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3.xml" ContentType="application/vnd.ms-excel.threadedcomments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EstaPastaDeTrabalho"/>
  <mc:AlternateContent xmlns:mc="http://schemas.openxmlformats.org/markup-compatibility/2006">
    <mc:Choice Requires="x15">
      <x15ac:absPath xmlns:x15ac="http://schemas.microsoft.com/office/spreadsheetml/2010/11/ac" url="K:\CLAUDINEI SSCCHHHCRRREIBEER\Solicitação de licitação protocolo 88502-2024 asf boa esperaça\"/>
    </mc:Choice>
  </mc:AlternateContent>
  <xr:revisionPtr revIDLastSave="0" documentId="13_ncr:1_{F5F498FD-7D5E-4A59-8022-053F99C7F710}" xr6:coauthVersionLast="47" xr6:coauthVersionMax="47" xr10:uidLastSave="{00000000-0000-0000-0000-000000000000}"/>
  <bookViews>
    <workbookView xWindow="-120" yWindow="-120" windowWidth="29040" windowHeight="15840" tabRatio="901" firstSheet="9" activeTab="11" xr2:uid="{00000000-000D-0000-FFFF-FFFF00000000}"/>
  </bookViews>
  <sheets>
    <sheet name="ORÇAMENTO" sheetId="18" state="hidden" r:id="rId1"/>
    <sheet name="viab-pav" sheetId="8" state="hidden" r:id="rId2"/>
    <sheet name="Novos_Traços_CBUQ" sheetId="25" state="hidden" r:id="rId3"/>
    <sheet name="viab-praça" sheetId="9" state="hidden" r:id="rId4"/>
    <sheet name="ENSAIOS DE ORÇAMENTO" sheetId="2" state="hidden" r:id="rId5"/>
    <sheet name="LIGANTES" sheetId="17" state="hidden" r:id="rId6"/>
    <sheet name="Prazos e Áreas" sheetId="10" state="hidden" r:id="rId7"/>
    <sheet name="Grandes_Itens" sheetId="7" state="hidden" r:id="rId8"/>
    <sheet name="Cronograma PAM" sheetId="11" state="hidden" r:id="rId9"/>
    <sheet name="BDI" sheetId="14" r:id="rId10"/>
    <sheet name="DMT" sheetId="22" state="hidden" r:id="rId11"/>
    <sheet name="ORÇ. EDITAVEL " sheetId="26" r:id="rId12"/>
    <sheet name="CRONO EDITAVEL " sheetId="28" r:id="rId13"/>
    <sheet name="REF. DE PREÇOS n editavel" sheetId="1" r:id="rId14"/>
  </sheets>
  <externalReferences>
    <externalReference r:id="rId15"/>
    <externalReference r:id="rId16"/>
  </externalReferences>
  <definedNames>
    <definedName name="_xlnm._FilterDatabase" localSheetId="10" hidden="1">DMT!$A$6:$H$6</definedName>
    <definedName name="_xlnm._FilterDatabase" localSheetId="4" hidden="1">'ENSAIOS DE ORÇAMENTO'!$A$4:$Z$4</definedName>
    <definedName name="_xlnm._FilterDatabase" localSheetId="7" hidden="1">Grandes_Itens!$A$4:$G$4</definedName>
    <definedName name="_xlnm._FilterDatabase" localSheetId="0" hidden="1">ORÇAMENTO!$A$18:$AY$2561</definedName>
    <definedName name="_xlnm._FilterDatabase" localSheetId="13" hidden="1">'REF. DE PREÇOS n editavel'!$A$18:$Y$2561</definedName>
    <definedName name="_xlnm.Print_Area" localSheetId="9">BDI!$A$1:$C$19</definedName>
    <definedName name="_xlnm.Print_Area" localSheetId="12">'CRONO EDITAVEL '!$A$1:$T$56</definedName>
    <definedName name="_xlnm.Print_Area" localSheetId="8">'Cronograma PAM'!$A$1:$T$56</definedName>
    <definedName name="_xlnm.Print_Area" localSheetId="10">DMT!$A$1:$G$62</definedName>
    <definedName name="_xlnm.Print_Area" localSheetId="4">'ENSAIOS DE ORÇAMENTO'!#REF!</definedName>
    <definedName name="_xlnm.Print_Area" localSheetId="7">Grandes_Itens!$A$1:$G$21</definedName>
    <definedName name="_xlnm.Print_Area" localSheetId="0">ORÇAMENTO!$B$1:$O$2560</definedName>
    <definedName name="_xlnm.Print_Area" localSheetId="13">'REF. DE PREÇOS n editavel'!$B$12:$O$2548</definedName>
    <definedName name="d" localSheetId="5">[1]proposta!#REF!</definedName>
    <definedName name="d">[1]proposta!#REF!</definedName>
    <definedName name="j" localSheetId="0">ORÇAMENTO!$B$1</definedName>
    <definedName name="j" localSheetId="1">[2]PROPOSTA!#REF!</definedName>
    <definedName name="j" localSheetId="3">[2]PROPOSTA!#REF!</definedName>
    <definedName name="j">'REF. DE PREÇOS n editavel'!$B$1</definedName>
    <definedName name="_xlnm.Print_Titles" localSheetId="4">'ENSAIOS DE ORÇAMENTO'!#REF!</definedName>
    <definedName name="_xlnm.Print_Titles" localSheetId="7">Grandes_Itens!$4:$4</definedName>
    <definedName name="_xlnm.Print_Titles" localSheetId="0">ORÇAMENTO!$17:$18</definedName>
    <definedName name="_xlnm.Print_Titles" localSheetId="13">'REF. DE PREÇOS n editavel'!$17:$18</definedName>
  </definedNames>
  <calcPr calcId="181029" iterate="1" iterateCount="10000"/>
</workbook>
</file>

<file path=xl/calcChain.xml><?xml version="1.0" encoding="utf-8"?>
<calcChain xmlns="http://schemas.openxmlformats.org/spreadsheetml/2006/main">
  <c r="V10" i="28" l="1"/>
  <c r="V11" i="28"/>
  <c r="V12" i="28"/>
  <c r="V13" i="28"/>
  <c r="V14" i="28"/>
  <c r="V15" i="28"/>
  <c r="V16" i="28"/>
  <c r="V17" i="28"/>
  <c r="V18" i="28"/>
  <c r="V19" i="28"/>
  <c r="V9" i="28"/>
  <c r="W18" i="28"/>
  <c r="W19" i="28"/>
  <c r="S9" i="28"/>
  <c r="C3" i="28"/>
  <c r="B56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A19" i="28"/>
  <c r="A18" i="28"/>
  <c r="W17" i="28"/>
  <c r="A17" i="28"/>
  <c r="W16" i="28"/>
  <c r="A16" i="28"/>
  <c r="W15" i="28"/>
  <c r="A15" i="28"/>
  <c r="W14" i="28"/>
  <c r="A14" i="28"/>
  <c r="W13" i="28"/>
  <c r="A13" i="28"/>
  <c r="W12" i="28"/>
  <c r="A12" i="28"/>
  <c r="W11" i="28"/>
  <c r="A11" i="28"/>
  <c r="W10" i="28"/>
  <c r="A10" i="28"/>
  <c r="W9" i="28"/>
  <c r="A9" i="28"/>
  <c r="G8" i="28"/>
  <c r="H7" i="28" s="1"/>
  <c r="H8" i="28" s="1"/>
  <c r="I7" i="28" s="1"/>
  <c r="I8" i="28" s="1"/>
  <c r="J7" i="28" s="1"/>
  <c r="J8" i="28" s="1"/>
  <c r="K7" i="28" s="1"/>
  <c r="K8" i="28" s="1"/>
  <c r="L7" i="28" s="1"/>
  <c r="L8" i="28" s="1"/>
  <c r="M7" i="28" s="1"/>
  <c r="M8" i="28" s="1"/>
  <c r="N7" i="28" s="1"/>
  <c r="N8" i="28" s="1"/>
  <c r="O7" i="28" s="1"/>
  <c r="O8" i="28" s="1"/>
  <c r="P7" i="28" s="1"/>
  <c r="P8" i="28" s="1"/>
  <c r="Q7" i="28" s="1"/>
  <c r="Q8" i="28" s="1"/>
  <c r="D6" i="28"/>
  <c r="K3" i="28"/>
  <c r="C2" i="28"/>
  <c r="D19" i="7"/>
  <c r="G62" i="26"/>
  <c r="G63" i="26"/>
  <c r="G50" i="26"/>
  <c r="G52" i="26"/>
  <c r="G43" i="26"/>
  <c r="G42" i="26"/>
  <c r="G47" i="26"/>
  <c r="G40" i="26"/>
  <c r="G61" i="26"/>
  <c r="G60" i="26"/>
  <c r="G59" i="26"/>
  <c r="G58" i="26"/>
  <c r="G57" i="26"/>
  <c r="G56" i="26"/>
  <c r="G48" i="26" l="1"/>
  <c r="G44" i="26"/>
  <c r="G51" i="26"/>
  <c r="G53" i="26"/>
  <c r="G54" i="26"/>
  <c r="G45" i="26"/>
  <c r="G39" i="26"/>
  <c r="H38" i="26" s="1"/>
  <c r="G49" i="26"/>
  <c r="G35" i="26"/>
  <c r="G36" i="26"/>
  <c r="G37" i="26"/>
  <c r="G46" i="26"/>
  <c r="G33" i="26"/>
  <c r="G34" i="26"/>
  <c r="G31" i="26"/>
  <c r="G19" i="26"/>
  <c r="G28" i="26"/>
  <c r="G29" i="26"/>
  <c r="G26" i="26"/>
  <c r="G20" i="26"/>
  <c r="G30" i="26"/>
  <c r="G23" i="26"/>
  <c r="G24" i="26"/>
  <c r="G14" i="26"/>
  <c r="G25" i="26"/>
  <c r="G15" i="26"/>
  <c r="G16" i="26"/>
  <c r="G27" i="26"/>
  <c r="G18" i="26"/>
  <c r="G22" i="26"/>
  <c r="G12" i="26"/>
  <c r="G11" i="26"/>
  <c r="H55" i="26"/>
  <c r="S17" i="28" l="1"/>
  <c r="S19" i="28"/>
  <c r="H32" i="26"/>
  <c r="H41" i="26"/>
  <c r="H13" i="26"/>
  <c r="H17" i="26"/>
  <c r="H21" i="26"/>
  <c r="G71" i="26"/>
  <c r="H10" i="26"/>
  <c r="S10" i="28" l="1"/>
  <c r="S12" i="28"/>
  <c r="S18" i="28"/>
  <c r="S11" i="28"/>
  <c r="S15" i="28"/>
  <c r="H71" i="26"/>
  <c r="J437" i="1"/>
  <c r="L378" i="1"/>
  <c r="L437" i="1"/>
  <c r="G92" i="1"/>
  <c r="L383" i="1"/>
  <c r="L433" i="1"/>
  <c r="L434" i="1"/>
  <c r="L435" i="1"/>
  <c r="L436" i="1"/>
  <c r="L236" i="1"/>
  <c r="L237" i="1" s="1"/>
  <c r="S21" i="28" l="1"/>
  <c r="L2471" i="1"/>
  <c r="L2470" i="1"/>
  <c r="L2473" i="1"/>
  <c r="M2473" i="1" s="1"/>
  <c r="N2473" i="1" s="1"/>
  <c r="L2472" i="1"/>
  <c r="G2470" i="1"/>
  <c r="I2470" i="1" s="1"/>
  <c r="J2475" i="1"/>
  <c r="I881" i="1"/>
  <c r="T19" i="28" l="1"/>
  <c r="T11" i="28"/>
  <c r="T16" i="28"/>
  <c r="T12" i="28"/>
  <c r="T9" i="28"/>
  <c r="T14" i="28"/>
  <c r="T15" i="28"/>
  <c r="T13" i="28"/>
  <c r="T17" i="28"/>
  <c r="S2" i="28"/>
  <c r="T18" i="28"/>
  <c r="T10" i="28"/>
  <c r="M2472" i="1"/>
  <c r="N2472" i="1" s="1"/>
  <c r="M2475" i="1"/>
  <c r="N2475" i="1" s="1"/>
  <c r="B24" i="14"/>
  <c r="C2" i="14" s="1"/>
  <c r="T21" i="28" l="1"/>
  <c r="T2" i="28"/>
  <c r="S3" i="28"/>
  <c r="T3" i="28" s="1"/>
  <c r="L25" i="18"/>
  <c r="F25" i="28" l="1"/>
  <c r="K35" i="28"/>
  <c r="I31" i="28"/>
  <c r="N27" i="28"/>
  <c r="I33" i="28"/>
  <c r="L35" i="28"/>
  <c r="J43" i="28"/>
  <c r="L43" i="28"/>
  <c r="O25" i="28"/>
  <c r="P27" i="28"/>
  <c r="N35" i="28"/>
  <c r="O41" i="28"/>
  <c r="J27" i="28"/>
  <c r="H41" i="28"/>
  <c r="O33" i="28"/>
  <c r="I43" i="28"/>
  <c r="Q41" i="28"/>
  <c r="M45" i="28"/>
  <c r="Q37" i="28"/>
  <c r="M31" i="28"/>
  <c r="H25" i="28"/>
  <c r="I41" i="28"/>
  <c r="M39" i="28"/>
  <c r="N39" i="28"/>
  <c r="O35" i="28"/>
  <c r="G45" i="28"/>
  <c r="P43" i="28"/>
  <c r="H39" i="28"/>
  <c r="G39" i="28"/>
  <c r="P25" i="28"/>
  <c r="M43" i="28"/>
  <c r="F45" i="28"/>
  <c r="I45" i="28"/>
  <c r="K43" i="28"/>
  <c r="G41" i="28"/>
  <c r="Q39" i="28"/>
  <c r="J31" i="28"/>
  <c r="H35" i="28"/>
  <c r="O31" i="28"/>
  <c r="M25" i="28"/>
  <c r="N45" i="28"/>
  <c r="P35" i="28"/>
  <c r="Q33" i="28"/>
  <c r="K41" i="28"/>
  <c r="H45" i="28"/>
  <c r="O45" i="28"/>
  <c r="H27" i="28"/>
  <c r="Q31" i="28"/>
  <c r="J35" i="28"/>
  <c r="Q27" i="28"/>
  <c r="L27" i="28"/>
  <c r="F39" i="28"/>
  <c r="O43" i="28"/>
  <c r="F27" i="28"/>
  <c r="L45" i="28"/>
  <c r="F31" i="28"/>
  <c r="I35" i="28"/>
  <c r="Q29" i="28"/>
  <c r="P33" i="28"/>
  <c r="P41" i="28"/>
  <c r="K39" i="28"/>
  <c r="N33" i="28"/>
  <c r="M29" i="28"/>
  <c r="P45" i="28"/>
  <c r="Q35" i="28"/>
  <c r="P31" i="28"/>
  <c r="Q25" i="28"/>
  <c r="I25" i="28"/>
  <c r="H43" i="28"/>
  <c r="Q43" i="28"/>
  <c r="N25" i="28"/>
  <c r="N48" i="28" s="1"/>
  <c r="F41" i="28"/>
  <c r="N31" i="28"/>
  <c r="M33" i="28"/>
  <c r="J41" i="28"/>
  <c r="G43" i="28"/>
  <c r="I27" i="28"/>
  <c r="K25" i="28"/>
  <c r="F35" i="28"/>
  <c r="M41" i="28"/>
  <c r="N41" i="28"/>
  <c r="O27" i="28"/>
  <c r="K45" i="28"/>
  <c r="G27" i="28"/>
  <c r="O39" i="28"/>
  <c r="L31" i="28"/>
  <c r="N43" i="28"/>
  <c r="I39" i="28"/>
  <c r="G31" i="28"/>
  <c r="L39" i="28"/>
  <c r="M27" i="28"/>
  <c r="P39" i="28"/>
  <c r="Q45" i="28"/>
  <c r="J25" i="28"/>
  <c r="L41" i="28"/>
  <c r="K27" i="28"/>
  <c r="J39" i="28"/>
  <c r="L29" i="28"/>
  <c r="J33" i="28"/>
  <c r="L25" i="28"/>
  <c r="J45" i="28"/>
  <c r="K31" i="28"/>
  <c r="G25" i="28"/>
  <c r="L33" i="28"/>
  <c r="H31" i="28"/>
  <c r="M35" i="28"/>
  <c r="I29" i="28"/>
  <c r="K33" i="28"/>
  <c r="H33" i="28"/>
  <c r="G35" i="28"/>
  <c r="F43" i="28"/>
  <c r="P29" i="28"/>
  <c r="J29" i="28"/>
  <c r="G33" i="28"/>
  <c r="F33" i="28"/>
  <c r="F29" i="28"/>
  <c r="G29" i="28"/>
  <c r="F37" i="28"/>
  <c r="K37" i="28"/>
  <c r="N29" i="28"/>
  <c r="H29" i="28"/>
  <c r="G37" i="28"/>
  <c r="O37" i="28"/>
  <c r="L37" i="28"/>
  <c r="O29" i="28"/>
  <c r="M37" i="28"/>
  <c r="H37" i="28"/>
  <c r="I37" i="28"/>
  <c r="N37" i="28"/>
  <c r="T4" i="28"/>
  <c r="J37" i="28"/>
  <c r="K29" i="28"/>
  <c r="P37" i="28"/>
  <c r="M38" i="28"/>
  <c r="I46" i="28"/>
  <c r="L32" i="28"/>
  <c r="K34" i="28"/>
  <c r="P44" i="28"/>
  <c r="H40" i="28"/>
  <c r="G38" i="28"/>
  <c r="Q36" i="28"/>
  <c r="P36" i="28"/>
  <c r="F34" i="28"/>
  <c r="R34" i="28" s="1"/>
  <c r="H36" i="28"/>
  <c r="F46" i="28"/>
  <c r="J46" i="28"/>
  <c r="P28" i="28"/>
  <c r="P42" i="28"/>
  <c r="F38" i="28"/>
  <c r="J44" i="28"/>
  <c r="N32" i="28"/>
  <c r="P32" i="28"/>
  <c r="M40" i="28"/>
  <c r="P38" i="28"/>
  <c r="J40" i="28"/>
  <c r="O38" i="28"/>
  <c r="M46" i="28"/>
  <c r="O40" i="28"/>
  <c r="I38" i="28"/>
  <c r="P34" i="28"/>
  <c r="O26" i="28"/>
  <c r="Q34" i="28"/>
  <c r="O46" i="28"/>
  <c r="N30" i="28"/>
  <c r="K46" i="28"/>
  <c r="F42" i="28"/>
  <c r="I26" i="28"/>
  <c r="I49" i="28" s="1"/>
  <c r="G46" i="28"/>
  <c r="F30" i="28"/>
  <c r="J32" i="28"/>
  <c r="K28" i="28"/>
  <c r="N34" i="28"/>
  <c r="N36" i="28"/>
  <c r="Q26" i="28"/>
  <c r="Q28" i="28"/>
  <c r="N46" i="28"/>
  <c r="Q46" i="28"/>
  <c r="L28" i="28"/>
  <c r="H42" i="28"/>
  <c r="H34" i="28"/>
  <c r="I42" i="28"/>
  <c r="O36" i="28"/>
  <c r="G34" i="28"/>
  <c r="P26" i="28"/>
  <c r="N42" i="28"/>
  <c r="K26" i="28"/>
  <c r="I36" i="28"/>
  <c r="H46" i="28"/>
  <c r="J42" i="28"/>
  <c r="N44" i="28"/>
  <c r="Q30" i="28"/>
  <c r="H30" i="28"/>
  <c r="O28" i="28"/>
  <c r="M32" i="28"/>
  <c r="K38" i="28"/>
  <c r="Q40" i="28"/>
  <c r="H28" i="28"/>
  <c r="H26" i="28"/>
  <c r="M34" i="28"/>
  <c r="G36" i="28"/>
  <c r="L34" i="28"/>
  <c r="I40" i="28"/>
  <c r="P46" i="28"/>
  <c r="M44" i="28"/>
  <c r="G28" i="28"/>
  <c r="G26" i="28"/>
  <c r="I44" i="28"/>
  <c r="J26" i="28"/>
  <c r="I28" i="28"/>
  <c r="H38" i="28"/>
  <c r="O42" i="28"/>
  <c r="Q42" i="28"/>
  <c r="K40" i="28"/>
  <c r="L42" i="28"/>
  <c r="L30" i="28"/>
  <c r="L36" i="28"/>
  <c r="F28" i="28"/>
  <c r="O34" i="28"/>
  <c r="Q44" i="28"/>
  <c r="N26" i="28"/>
  <c r="O32" i="28"/>
  <c r="J34" i="28"/>
  <c r="Q38" i="28"/>
  <c r="G42" i="28"/>
  <c r="I32" i="28"/>
  <c r="F40" i="28"/>
  <c r="F44" i="28"/>
  <c r="K30" i="28"/>
  <c r="M42" i="28"/>
  <c r="I34" i="28"/>
  <c r="Q32" i="28"/>
  <c r="M26" i="28"/>
  <c r="F26" i="28"/>
  <c r="K44" i="28"/>
  <c r="G30" i="28"/>
  <c r="J38" i="28"/>
  <c r="G40" i="28"/>
  <c r="H32" i="28"/>
  <c r="I30" i="28"/>
  <c r="L26" i="28"/>
  <c r="L46" i="28"/>
  <c r="M30" i="28"/>
  <c r="G32" i="28"/>
  <c r="K36" i="28"/>
  <c r="P40" i="28"/>
  <c r="N38" i="28"/>
  <c r="M36" i="28"/>
  <c r="L38" i="28"/>
  <c r="K32" i="28"/>
  <c r="H44" i="28"/>
  <c r="O44" i="28"/>
  <c r="P30" i="28"/>
  <c r="F36" i="28"/>
  <c r="J30" i="28"/>
  <c r="J28" i="28"/>
  <c r="K42" i="28"/>
  <c r="G44" i="28"/>
  <c r="F32" i="28"/>
  <c r="L40" i="28"/>
  <c r="L44" i="28"/>
  <c r="N28" i="28"/>
  <c r="M28" i="28"/>
  <c r="J36" i="28"/>
  <c r="O30" i="28"/>
  <c r="N40" i="28"/>
  <c r="S4" i="28"/>
  <c r="L653" i="18"/>
  <c r="D2522" i="18"/>
  <c r="C2522" i="18"/>
  <c r="B2522" i="18"/>
  <c r="D2521" i="18"/>
  <c r="C2521" i="18"/>
  <c r="B2521" i="18"/>
  <c r="D2520" i="18"/>
  <c r="C2520" i="18"/>
  <c r="B2520" i="18"/>
  <c r="D2519" i="18"/>
  <c r="C2519" i="18"/>
  <c r="B2519" i="18"/>
  <c r="D2518" i="18"/>
  <c r="C2518" i="18"/>
  <c r="B2518" i="18"/>
  <c r="D2517" i="18"/>
  <c r="C2517" i="18"/>
  <c r="B2517" i="18"/>
  <c r="D2516" i="18"/>
  <c r="C2516" i="18"/>
  <c r="B2516" i="18"/>
  <c r="D2514" i="18"/>
  <c r="C2514" i="18"/>
  <c r="B2514" i="18"/>
  <c r="D2513" i="18"/>
  <c r="C2513" i="18"/>
  <c r="B2513" i="18"/>
  <c r="D2512" i="18"/>
  <c r="C2512" i="18"/>
  <c r="B2512" i="18"/>
  <c r="D2511" i="18"/>
  <c r="C2511" i="18"/>
  <c r="B2511" i="18"/>
  <c r="D2510" i="18"/>
  <c r="C2510" i="18"/>
  <c r="B2510" i="18"/>
  <c r="D2509" i="18"/>
  <c r="C2509" i="18"/>
  <c r="B2509" i="18"/>
  <c r="D2508" i="18"/>
  <c r="C2508" i="18"/>
  <c r="B2508" i="18"/>
  <c r="D2507" i="18"/>
  <c r="C2507" i="18"/>
  <c r="B2507" i="18"/>
  <c r="D2506" i="18"/>
  <c r="C2506" i="18"/>
  <c r="B2506" i="18"/>
  <c r="D2505" i="18"/>
  <c r="C2505" i="18"/>
  <c r="B2505" i="18"/>
  <c r="D2504" i="18"/>
  <c r="C2504" i="18"/>
  <c r="B2504" i="18"/>
  <c r="D2503" i="18"/>
  <c r="C2503" i="18"/>
  <c r="B2503" i="18"/>
  <c r="D2502" i="18"/>
  <c r="C2502" i="18"/>
  <c r="B2502" i="18"/>
  <c r="D2501" i="18"/>
  <c r="C2501" i="18"/>
  <c r="B2501" i="18"/>
  <c r="L49" i="28" l="1"/>
  <c r="R41" i="28"/>
  <c r="S41" i="28"/>
  <c r="J48" i="28"/>
  <c r="H48" i="28"/>
  <c r="O48" i="28"/>
  <c r="S29" i="28"/>
  <c r="R29" i="28"/>
  <c r="I48" i="28"/>
  <c r="I51" i="28" s="1"/>
  <c r="R31" i="28"/>
  <c r="S31" i="28"/>
  <c r="S45" i="28"/>
  <c r="R45" i="28"/>
  <c r="S37" i="28"/>
  <c r="R37" i="28"/>
  <c r="R33" i="28"/>
  <c r="S33" i="28"/>
  <c r="G48" i="28"/>
  <c r="S35" i="28"/>
  <c r="R35" i="28"/>
  <c r="Q48" i="28"/>
  <c r="S32" i="28"/>
  <c r="R32" i="28"/>
  <c r="S34" i="28"/>
  <c r="H49" i="28"/>
  <c r="K49" i="28"/>
  <c r="Q49" i="28"/>
  <c r="Q51" i="28" s="1"/>
  <c r="K48" i="28"/>
  <c r="K51" i="28" s="1"/>
  <c r="R27" i="28"/>
  <c r="S27" i="28"/>
  <c r="P48" i="28"/>
  <c r="S44" i="28"/>
  <c r="R44" i="28"/>
  <c r="O49" i="28"/>
  <c r="R38" i="28"/>
  <c r="S38" i="28"/>
  <c r="R42" i="28"/>
  <c r="S42" i="28"/>
  <c r="F49" i="28"/>
  <c r="R26" i="28"/>
  <c r="S26" i="28"/>
  <c r="M49" i="28"/>
  <c r="P49" i="28"/>
  <c r="L48" i="28"/>
  <c r="L51" i="28" s="1"/>
  <c r="S39" i="28"/>
  <c r="R39" i="28"/>
  <c r="M48" i="28"/>
  <c r="N49" i="28"/>
  <c r="N51" i="28" s="1"/>
  <c r="S43" i="28"/>
  <c r="R43" i="28"/>
  <c r="J49" i="28"/>
  <c r="R40" i="28"/>
  <c r="S40" i="28"/>
  <c r="G49" i="28"/>
  <c r="R36" i="28"/>
  <c r="S36" i="28"/>
  <c r="R28" i="28"/>
  <c r="S28" i="28"/>
  <c r="R30" i="28"/>
  <c r="S30" i="28"/>
  <c r="S46" i="28"/>
  <c r="R46" i="28"/>
  <c r="F48" i="28"/>
  <c r="F51" i="28" s="1"/>
  <c r="S25" i="28"/>
  <c r="R25" i="28"/>
  <c r="D6" i="11"/>
  <c r="O16" i="1"/>
  <c r="I1759" i="1"/>
  <c r="F2546" i="18"/>
  <c r="F2545" i="18"/>
  <c r="F2544" i="18"/>
  <c r="F2543" i="18"/>
  <c r="F2542" i="18"/>
  <c r="F2541" i="18"/>
  <c r="F2540" i="18"/>
  <c r="F2539" i="18"/>
  <c r="F2538" i="18"/>
  <c r="F2537" i="18"/>
  <c r="F2536" i="18"/>
  <c r="F2535" i="18"/>
  <c r="F2534" i="18"/>
  <c r="F2533" i="18"/>
  <c r="F2532" i="18"/>
  <c r="F2531" i="18"/>
  <c r="F2530" i="18"/>
  <c r="F2529" i="18"/>
  <c r="F2528" i="18"/>
  <c r="F2527" i="18"/>
  <c r="F2526" i="18"/>
  <c r="F2525" i="18"/>
  <c r="F2524" i="18"/>
  <c r="F2523" i="18"/>
  <c r="F2522" i="18"/>
  <c r="F2521" i="18"/>
  <c r="F2520" i="18"/>
  <c r="F2519" i="18"/>
  <c r="F2518" i="18"/>
  <c r="F2517" i="18"/>
  <c r="F2516" i="18"/>
  <c r="F2515" i="18"/>
  <c r="F2514" i="18"/>
  <c r="F2513" i="18"/>
  <c r="F2512" i="18"/>
  <c r="F2511" i="18"/>
  <c r="F2510" i="18"/>
  <c r="F2509" i="18"/>
  <c r="F2508" i="18"/>
  <c r="F2507" i="18"/>
  <c r="F2506" i="18"/>
  <c r="F2505" i="18"/>
  <c r="F2504" i="18"/>
  <c r="F2503" i="18"/>
  <c r="F2502" i="18"/>
  <c r="F2501" i="18"/>
  <c r="F2500" i="18"/>
  <c r="F2499" i="18"/>
  <c r="F2498" i="18"/>
  <c r="F2497" i="18"/>
  <c r="F2496" i="18"/>
  <c r="F2495" i="18"/>
  <c r="F2494" i="18"/>
  <c r="F2493" i="18"/>
  <c r="F2492" i="18"/>
  <c r="F2491" i="18"/>
  <c r="F2490" i="18"/>
  <c r="F2489" i="18"/>
  <c r="F2488" i="18"/>
  <c r="F2487" i="18"/>
  <c r="F2486" i="18"/>
  <c r="F2485" i="18"/>
  <c r="F2484" i="18"/>
  <c r="F2483" i="18"/>
  <c r="F2482" i="18"/>
  <c r="F2481" i="18"/>
  <c r="F2480" i="18"/>
  <c r="F2479" i="18"/>
  <c r="F2478" i="18"/>
  <c r="F2477" i="18"/>
  <c r="F2476" i="18"/>
  <c r="F2475" i="18"/>
  <c r="F2474" i="18"/>
  <c r="F2473" i="18"/>
  <c r="F2472" i="18"/>
  <c r="F2471" i="18"/>
  <c r="F2470" i="18"/>
  <c r="F2469" i="18"/>
  <c r="F2468" i="18"/>
  <c r="F2467" i="18"/>
  <c r="F2461" i="18"/>
  <c r="F2455" i="18"/>
  <c r="F2449" i="18"/>
  <c r="F2443" i="18"/>
  <c r="F2437" i="18"/>
  <c r="F2431" i="18"/>
  <c r="F2425" i="18"/>
  <c r="F2419" i="18"/>
  <c r="F2413" i="18"/>
  <c r="F2407" i="18"/>
  <c r="F2403" i="18"/>
  <c r="F2399" i="18"/>
  <c r="F2395" i="18"/>
  <c r="F2391" i="18"/>
  <c r="F2387" i="18"/>
  <c r="F2383" i="18"/>
  <c r="F2379" i="18"/>
  <c r="F2375" i="18"/>
  <c r="F2371" i="18"/>
  <c r="F2367" i="18"/>
  <c r="F2363" i="18"/>
  <c r="F2359" i="18"/>
  <c r="F2355" i="18"/>
  <c r="F2351" i="18"/>
  <c r="F2347" i="18"/>
  <c r="F2343" i="18"/>
  <c r="F2339" i="18"/>
  <c r="F2335" i="18"/>
  <c r="F2331" i="18"/>
  <c r="F2327" i="18"/>
  <c r="F2323" i="18"/>
  <c r="F2317" i="18"/>
  <c r="F2311" i="18"/>
  <c r="F2305" i="18"/>
  <c r="F2299" i="18"/>
  <c r="F2293" i="18"/>
  <c r="F2289" i="18"/>
  <c r="F2285" i="18"/>
  <c r="F2281" i="18"/>
  <c r="F2277" i="18"/>
  <c r="F2273" i="18"/>
  <c r="F2269" i="18"/>
  <c r="F2265" i="18"/>
  <c r="F2261" i="18"/>
  <c r="F2257" i="18"/>
  <c r="F2253" i="18"/>
  <c r="F2249" i="18"/>
  <c r="F2245" i="18"/>
  <c r="F2239" i="18"/>
  <c r="F2233" i="18"/>
  <c r="F2227" i="18"/>
  <c r="F2221" i="18"/>
  <c r="F2215" i="18"/>
  <c r="F2211" i="18"/>
  <c r="F2207" i="18"/>
  <c r="F2203" i="18"/>
  <c r="F2199" i="18"/>
  <c r="F2195" i="18"/>
  <c r="F2191" i="18"/>
  <c r="F2187" i="18"/>
  <c r="F2183" i="18"/>
  <c r="F2177" i="18"/>
  <c r="F2171" i="18"/>
  <c r="F2165" i="18"/>
  <c r="F2159" i="18"/>
  <c r="F2155" i="18"/>
  <c r="F2151" i="18"/>
  <c r="F2147" i="18"/>
  <c r="F2143" i="18"/>
  <c r="F2139" i="18"/>
  <c r="F2135" i="18"/>
  <c r="F2131" i="18"/>
  <c r="F2127" i="18"/>
  <c r="F2121" i="18"/>
  <c r="F2115" i="18"/>
  <c r="F2109" i="18"/>
  <c r="F2103" i="18"/>
  <c r="F2102" i="18"/>
  <c r="F2101" i="18"/>
  <c r="F2100" i="18"/>
  <c r="F2099" i="18"/>
  <c r="F2098" i="18"/>
  <c r="F2097" i="18"/>
  <c r="F2096" i="18"/>
  <c r="F2095" i="18"/>
  <c r="F2094" i="18"/>
  <c r="F2093" i="18"/>
  <c r="F2092" i="18"/>
  <c r="F2091" i="18"/>
  <c r="F2090" i="18"/>
  <c r="F2089" i="18"/>
  <c r="F2088" i="18"/>
  <c r="F2087" i="18"/>
  <c r="F2086" i="18"/>
  <c r="F2085" i="18"/>
  <c r="F2084" i="18"/>
  <c r="F2083" i="18"/>
  <c r="F2082" i="18"/>
  <c r="F2081" i="18"/>
  <c r="F2080" i="18"/>
  <c r="F2079" i="18"/>
  <c r="F2078" i="18"/>
  <c r="F2077" i="18"/>
  <c r="F2076" i="18"/>
  <c r="F2075" i="18"/>
  <c r="F2074" i="18"/>
  <c r="F2073" i="18"/>
  <c r="F2072" i="18"/>
  <c r="F2071" i="18"/>
  <c r="F2070" i="18"/>
  <c r="F2069" i="18"/>
  <c r="F2068" i="18"/>
  <c r="F2067" i="18"/>
  <c r="F2066" i="18"/>
  <c r="F2065" i="18"/>
  <c r="F2064" i="18"/>
  <c r="F2063" i="18"/>
  <c r="F2062" i="18"/>
  <c r="F2061" i="18"/>
  <c r="F2060" i="18"/>
  <c r="F2059" i="18"/>
  <c r="F2058" i="18"/>
  <c r="F2057" i="18"/>
  <c r="F2056" i="18"/>
  <c r="F2055" i="18"/>
  <c r="F2054" i="18"/>
  <c r="F2053" i="18"/>
  <c r="F2052" i="18"/>
  <c r="F2051" i="18"/>
  <c r="F2050" i="18"/>
  <c r="F2049" i="18"/>
  <c r="F2048" i="18"/>
  <c r="F2047" i="18"/>
  <c r="F2046" i="18"/>
  <c r="F2045" i="18"/>
  <c r="F2044" i="18"/>
  <c r="F2043" i="18"/>
  <c r="F2042" i="18"/>
  <c r="F2041" i="18"/>
  <c r="F2040" i="18"/>
  <c r="F2039" i="18"/>
  <c r="F2038" i="18"/>
  <c r="F2037" i="18"/>
  <c r="F2036" i="18"/>
  <c r="F2035" i="18"/>
  <c r="F2034" i="18"/>
  <c r="F2033" i="18"/>
  <c r="F2032" i="18"/>
  <c r="F2031" i="18"/>
  <c r="F2030" i="18"/>
  <c r="F2029" i="18"/>
  <c r="F2028" i="18"/>
  <c r="F2027" i="18"/>
  <c r="F2026" i="18"/>
  <c r="F2025" i="18"/>
  <c r="F2024" i="18"/>
  <c r="F2023" i="18"/>
  <c r="F2022" i="18"/>
  <c r="F2021" i="18"/>
  <c r="F2020" i="18"/>
  <c r="F2019" i="18"/>
  <c r="F2018" i="18"/>
  <c r="F2017" i="18"/>
  <c r="F2016" i="18"/>
  <c r="F2015" i="18"/>
  <c r="F2014" i="18"/>
  <c r="F2013" i="18"/>
  <c r="F2012" i="18"/>
  <c r="F2011" i="18"/>
  <c r="F2010" i="18"/>
  <c r="F2009" i="18"/>
  <c r="F2008" i="18"/>
  <c r="F2007" i="18"/>
  <c r="F2006" i="18"/>
  <c r="F2005" i="18"/>
  <c r="F2004" i="18"/>
  <c r="F2003" i="18"/>
  <c r="F2002" i="18"/>
  <c r="F2001" i="18"/>
  <c r="F2000" i="18"/>
  <c r="F1999" i="18"/>
  <c r="F1998" i="18"/>
  <c r="F1997" i="18"/>
  <c r="F1996" i="18"/>
  <c r="F1995" i="18"/>
  <c r="F1994" i="18"/>
  <c r="F1993" i="18"/>
  <c r="F1992" i="18"/>
  <c r="F1991" i="18"/>
  <c r="F1990" i="18"/>
  <c r="F1989" i="18"/>
  <c r="F1988" i="18"/>
  <c r="F1987" i="18"/>
  <c r="F1986" i="18"/>
  <c r="F1985" i="18"/>
  <c r="F1984" i="18"/>
  <c r="F1983" i="18"/>
  <c r="F1982" i="18"/>
  <c r="F1981" i="18"/>
  <c r="F1980" i="18"/>
  <c r="F1979" i="18"/>
  <c r="F1978" i="18"/>
  <c r="F1977" i="18"/>
  <c r="F1976" i="18"/>
  <c r="F1975" i="18"/>
  <c r="F1974" i="18"/>
  <c r="F1973" i="18"/>
  <c r="F1972" i="18"/>
  <c r="F1971" i="18"/>
  <c r="F1970" i="18"/>
  <c r="F1969" i="18"/>
  <c r="F1968" i="18"/>
  <c r="F1967" i="18"/>
  <c r="F1966" i="18"/>
  <c r="F1965" i="18"/>
  <c r="F1964" i="18"/>
  <c r="F1963" i="18"/>
  <c r="F1962" i="18"/>
  <c r="F1961" i="18"/>
  <c r="F1960" i="18"/>
  <c r="F1959" i="18"/>
  <c r="F1958" i="18"/>
  <c r="F1957" i="18"/>
  <c r="F1956" i="18"/>
  <c r="F1955" i="18"/>
  <c r="F1954" i="18"/>
  <c r="F1953" i="18"/>
  <c r="F1952" i="18"/>
  <c r="F1951" i="18"/>
  <c r="F1950" i="18"/>
  <c r="F1949" i="18"/>
  <c r="F1948" i="18"/>
  <c r="F1947" i="18"/>
  <c r="F1946" i="18"/>
  <c r="F1945" i="18"/>
  <c r="F1944" i="18"/>
  <c r="F1943" i="18"/>
  <c r="F1942" i="18"/>
  <c r="F1941" i="18"/>
  <c r="F1940" i="18"/>
  <c r="F1939" i="18"/>
  <c r="F1938" i="18"/>
  <c r="F1937" i="18"/>
  <c r="F1936" i="18"/>
  <c r="F1935" i="18"/>
  <c r="F1934" i="18"/>
  <c r="F1933" i="18"/>
  <c r="F1932" i="18"/>
  <c r="F1931" i="18"/>
  <c r="F1930" i="18"/>
  <c r="F1929" i="18"/>
  <c r="F1928" i="18"/>
  <c r="F1927" i="18"/>
  <c r="F1926" i="18"/>
  <c r="F1925" i="18"/>
  <c r="F1924" i="18"/>
  <c r="F1923" i="18"/>
  <c r="F1922" i="18"/>
  <c r="F1921" i="18"/>
  <c r="F1920" i="18"/>
  <c r="F1919" i="18"/>
  <c r="F1918" i="18"/>
  <c r="F1917" i="18"/>
  <c r="F1916" i="18"/>
  <c r="F1915" i="18"/>
  <c r="F1914" i="18"/>
  <c r="F1913" i="18"/>
  <c r="F1912" i="18"/>
  <c r="F1911" i="18"/>
  <c r="F1910" i="18"/>
  <c r="F1909" i="18"/>
  <c r="F1908" i="18"/>
  <c r="F1907" i="18"/>
  <c r="F1906" i="18"/>
  <c r="F1905" i="18"/>
  <c r="F1904" i="18"/>
  <c r="F1903" i="18"/>
  <c r="F1902" i="18"/>
  <c r="F1901" i="18"/>
  <c r="F1900" i="18"/>
  <c r="F1899" i="18"/>
  <c r="F1898" i="18"/>
  <c r="F1897" i="18"/>
  <c r="F1896" i="18"/>
  <c r="F1895" i="18"/>
  <c r="F1894" i="18"/>
  <c r="F1893" i="18"/>
  <c r="F1892" i="18"/>
  <c r="F1891" i="18"/>
  <c r="F1890" i="18"/>
  <c r="F1889" i="18"/>
  <c r="F1888" i="18"/>
  <c r="F1887" i="18"/>
  <c r="F1886" i="18"/>
  <c r="F1885" i="18"/>
  <c r="F1884" i="18"/>
  <c r="F1883" i="18"/>
  <c r="F1882" i="18"/>
  <c r="F1881" i="18"/>
  <c r="F1880" i="18"/>
  <c r="F1879" i="18"/>
  <c r="F1878" i="18"/>
  <c r="F1877" i="18"/>
  <c r="F1876" i="18"/>
  <c r="F1875" i="18"/>
  <c r="F1874" i="18"/>
  <c r="F1873" i="18"/>
  <c r="F1872" i="18"/>
  <c r="F1871" i="18"/>
  <c r="F1870" i="18"/>
  <c r="F1869" i="18"/>
  <c r="F1868" i="18"/>
  <c r="F1867" i="18"/>
  <c r="F1866" i="18"/>
  <c r="F1865" i="18"/>
  <c r="F1864" i="18"/>
  <c r="F1863" i="18"/>
  <c r="F1862" i="18"/>
  <c r="F1861" i="18"/>
  <c r="F1860" i="18"/>
  <c r="F1859" i="18"/>
  <c r="F1858" i="18"/>
  <c r="F1857" i="18"/>
  <c r="F1856" i="18"/>
  <c r="F1855" i="18"/>
  <c r="F1854" i="18"/>
  <c r="F1853" i="18"/>
  <c r="F1852" i="18"/>
  <c r="F1851" i="18"/>
  <c r="F1850" i="18"/>
  <c r="F1849" i="18"/>
  <c r="F1848" i="18"/>
  <c r="F1847" i="18"/>
  <c r="F1846" i="18"/>
  <c r="F1845" i="18"/>
  <c r="F1844" i="18"/>
  <c r="F1843" i="18"/>
  <c r="F1842" i="18"/>
  <c r="F1841" i="18"/>
  <c r="F1840" i="18"/>
  <c r="F1839" i="18"/>
  <c r="F1838" i="18"/>
  <c r="F1837" i="18"/>
  <c r="F1836" i="18"/>
  <c r="F1835" i="18"/>
  <c r="F1834" i="18"/>
  <c r="F1833" i="18"/>
  <c r="F1832" i="18"/>
  <c r="F1831" i="18"/>
  <c r="F1830" i="18"/>
  <c r="F1829" i="18"/>
  <c r="F1828" i="18"/>
  <c r="F1827" i="18"/>
  <c r="F1826" i="18"/>
  <c r="F1825" i="18"/>
  <c r="F1824" i="18"/>
  <c r="F1823" i="18"/>
  <c r="F1822" i="18"/>
  <c r="F1821" i="18"/>
  <c r="F1820" i="18"/>
  <c r="F1819" i="18"/>
  <c r="F1818" i="18"/>
  <c r="F1817" i="18"/>
  <c r="F1816" i="18"/>
  <c r="F1815" i="18"/>
  <c r="F1814" i="18"/>
  <c r="F1813" i="18"/>
  <c r="F1812" i="18"/>
  <c r="F1811" i="18"/>
  <c r="F1810" i="18"/>
  <c r="F1809" i="18"/>
  <c r="F1808" i="18"/>
  <c r="F1807" i="18"/>
  <c r="F1806" i="18"/>
  <c r="F1805" i="18"/>
  <c r="F1804" i="18"/>
  <c r="F1803" i="18"/>
  <c r="F1802" i="18"/>
  <c r="F1801" i="18"/>
  <c r="F1800" i="18"/>
  <c r="F1799" i="18"/>
  <c r="F1798" i="18"/>
  <c r="F1797" i="18"/>
  <c r="F1796" i="18"/>
  <c r="F1795" i="18"/>
  <c r="F1794" i="18"/>
  <c r="F1793" i="18"/>
  <c r="F1792" i="18"/>
  <c r="F1791" i="18"/>
  <c r="F1790" i="18"/>
  <c r="F1789" i="18"/>
  <c r="F1788" i="18"/>
  <c r="F1787" i="18"/>
  <c r="F1786" i="18"/>
  <c r="F1785" i="18"/>
  <c r="F1784" i="18"/>
  <c r="F1783" i="18"/>
  <c r="F1782" i="18"/>
  <c r="F1781" i="18"/>
  <c r="F1780" i="18"/>
  <c r="F1779" i="18"/>
  <c r="F1778" i="18"/>
  <c r="F1777" i="18"/>
  <c r="F1776" i="18"/>
  <c r="F1775" i="18"/>
  <c r="F1774" i="18"/>
  <c r="F1773" i="18"/>
  <c r="F1772" i="18"/>
  <c r="F1771" i="18"/>
  <c r="F1770" i="18"/>
  <c r="F1769" i="18"/>
  <c r="F1768" i="18"/>
  <c r="F1767" i="18"/>
  <c r="F1766" i="18"/>
  <c r="F1765" i="18"/>
  <c r="F1764" i="18"/>
  <c r="F1763" i="18"/>
  <c r="F1762" i="18"/>
  <c r="F1761" i="18"/>
  <c r="F1760" i="18"/>
  <c r="F1759" i="18"/>
  <c r="F1758" i="18"/>
  <c r="F1757" i="18"/>
  <c r="F1756" i="18"/>
  <c r="F1755" i="18"/>
  <c r="F1754" i="18"/>
  <c r="F1753" i="18"/>
  <c r="F1752" i="18"/>
  <c r="F1751" i="18"/>
  <c r="F1750" i="18"/>
  <c r="F1749" i="18"/>
  <c r="F1748" i="18"/>
  <c r="F1747" i="18"/>
  <c r="F1746" i="18"/>
  <c r="F1745" i="18"/>
  <c r="F1744" i="18"/>
  <c r="F1743" i="18"/>
  <c r="F1742" i="18"/>
  <c r="F1741" i="18"/>
  <c r="F1740" i="18"/>
  <c r="F1739" i="18"/>
  <c r="F1738" i="18"/>
  <c r="F1737" i="18"/>
  <c r="F1736" i="18"/>
  <c r="F1735" i="18"/>
  <c r="F1734" i="18"/>
  <c r="F1733" i="18"/>
  <c r="F1732" i="18"/>
  <c r="F1731" i="18"/>
  <c r="F1730" i="18"/>
  <c r="F1729" i="18"/>
  <c r="F1728" i="18"/>
  <c r="F1727" i="18"/>
  <c r="F1726" i="18"/>
  <c r="F1725" i="18"/>
  <c r="F1724" i="18"/>
  <c r="F1723" i="18"/>
  <c r="F1722" i="18"/>
  <c r="F1721" i="18"/>
  <c r="F1720" i="18"/>
  <c r="F1719" i="18"/>
  <c r="F1718" i="18"/>
  <c r="F1717" i="18"/>
  <c r="F1716" i="18"/>
  <c r="F1715" i="18"/>
  <c r="F1714" i="18"/>
  <c r="F1713" i="18"/>
  <c r="F1712" i="18"/>
  <c r="F1711" i="18"/>
  <c r="F1710" i="18"/>
  <c r="F1709" i="18"/>
  <c r="F1708" i="18"/>
  <c r="F1707" i="18"/>
  <c r="F1706" i="18"/>
  <c r="F1705" i="18"/>
  <c r="F1704" i="18"/>
  <c r="F1703" i="18"/>
  <c r="F1702" i="18"/>
  <c r="F1701" i="18"/>
  <c r="F1700" i="18"/>
  <c r="F1699" i="18"/>
  <c r="F1698" i="18"/>
  <c r="F1697" i="18"/>
  <c r="F1696" i="18"/>
  <c r="F1695" i="18"/>
  <c r="F1694" i="18"/>
  <c r="F1693" i="18"/>
  <c r="F1692" i="18"/>
  <c r="F1691" i="18"/>
  <c r="F1690" i="18"/>
  <c r="F1689" i="18"/>
  <c r="F1688" i="18"/>
  <c r="F1687" i="18"/>
  <c r="F1686" i="18"/>
  <c r="F1685" i="18"/>
  <c r="F1684" i="18"/>
  <c r="F1683" i="18"/>
  <c r="F1682" i="18"/>
  <c r="F1681" i="18"/>
  <c r="F1680" i="18"/>
  <c r="F1679" i="18"/>
  <c r="F1678" i="18"/>
  <c r="F1677" i="18"/>
  <c r="F1676" i="18"/>
  <c r="F1675" i="18"/>
  <c r="F1674" i="18"/>
  <c r="F1673" i="18"/>
  <c r="F1672" i="18"/>
  <c r="F1671" i="18"/>
  <c r="F1670" i="18"/>
  <c r="F1669" i="18"/>
  <c r="F1668" i="18"/>
  <c r="F1667" i="18"/>
  <c r="F1666" i="18"/>
  <c r="F1665" i="18"/>
  <c r="F1664" i="18"/>
  <c r="F1663" i="18"/>
  <c r="F1662" i="18"/>
  <c r="F1661" i="18"/>
  <c r="F1660" i="18"/>
  <c r="F1659" i="18"/>
  <c r="F1658" i="18"/>
  <c r="F1657" i="18"/>
  <c r="F1656" i="18"/>
  <c r="F1655" i="18"/>
  <c r="F1654" i="18"/>
  <c r="F1653" i="18"/>
  <c r="F1652" i="18"/>
  <c r="F1651" i="18"/>
  <c r="F1650" i="18"/>
  <c r="F1649" i="18"/>
  <c r="F1648" i="18"/>
  <c r="F1647" i="18"/>
  <c r="F1646" i="18"/>
  <c r="F1645" i="18"/>
  <c r="F1644" i="18"/>
  <c r="F1643" i="18"/>
  <c r="F1642" i="18"/>
  <c r="F1641" i="18"/>
  <c r="F1639" i="18"/>
  <c r="F1638" i="18"/>
  <c r="F1637" i="18"/>
  <c r="F1636" i="18"/>
  <c r="F1635" i="18"/>
  <c r="F1634" i="18"/>
  <c r="F1633" i="18"/>
  <c r="F1632" i="18"/>
  <c r="F1629" i="18"/>
  <c r="F1628" i="18"/>
  <c r="F1627" i="18"/>
  <c r="F1626" i="18"/>
  <c r="F1625" i="18"/>
  <c r="F1624" i="18"/>
  <c r="F1623" i="18"/>
  <c r="F1622" i="18"/>
  <c r="F1621" i="18"/>
  <c r="F1620" i="18"/>
  <c r="F1619" i="18"/>
  <c r="F1618" i="18"/>
  <c r="F1617" i="18"/>
  <c r="F1616" i="18"/>
  <c r="F1615" i="18"/>
  <c r="F1614" i="18"/>
  <c r="F1613" i="18"/>
  <c r="F1612" i="18"/>
  <c r="F1611" i="18"/>
  <c r="F1610" i="18"/>
  <c r="F1609" i="18"/>
  <c r="F1608" i="18"/>
  <c r="F1607" i="18"/>
  <c r="F1606" i="18"/>
  <c r="F1605" i="18"/>
  <c r="F1604" i="18"/>
  <c r="F1603" i="18"/>
  <c r="F1602" i="18"/>
  <c r="F1601" i="18"/>
  <c r="F1600" i="18"/>
  <c r="F1599" i="18"/>
  <c r="F1598" i="18"/>
  <c r="F1597" i="18"/>
  <c r="F1596" i="18"/>
  <c r="F1595" i="18"/>
  <c r="F1594" i="18"/>
  <c r="F1593" i="18"/>
  <c r="F1592" i="18"/>
  <c r="F1591" i="18"/>
  <c r="F1590" i="18"/>
  <c r="F1589" i="18"/>
  <c r="F1588" i="18"/>
  <c r="F1587" i="18"/>
  <c r="F1586" i="18"/>
  <c r="F1585" i="18"/>
  <c r="F1584" i="18"/>
  <c r="F1583" i="18"/>
  <c r="F1582" i="18"/>
  <c r="F1581" i="18"/>
  <c r="F1580" i="18"/>
  <c r="F1579" i="18"/>
  <c r="F1578" i="18"/>
  <c r="F1577" i="18"/>
  <c r="F1576" i="18"/>
  <c r="F1575" i="18"/>
  <c r="F1574" i="18"/>
  <c r="F1573" i="18"/>
  <c r="F1572" i="18"/>
  <c r="F1571" i="18"/>
  <c r="F1570" i="18"/>
  <c r="F1569" i="18"/>
  <c r="F1568" i="18"/>
  <c r="F1567" i="18"/>
  <c r="F1566" i="18"/>
  <c r="F1565" i="18"/>
  <c r="F1564" i="18"/>
  <c r="F1563" i="18"/>
  <c r="F1562" i="18"/>
  <c r="F1561" i="18"/>
  <c r="F1560" i="18"/>
  <c r="F1559" i="18"/>
  <c r="F1558" i="18"/>
  <c r="F1557" i="18"/>
  <c r="F1556" i="18"/>
  <c r="F1555" i="18"/>
  <c r="F1554" i="18"/>
  <c r="F1553" i="18"/>
  <c r="F1552" i="18"/>
  <c r="F1551" i="18"/>
  <c r="F1550" i="18"/>
  <c r="F1549" i="18"/>
  <c r="F1548" i="18"/>
  <c r="F1547" i="18"/>
  <c r="F1546" i="18"/>
  <c r="F1545" i="18"/>
  <c r="F1544" i="18"/>
  <c r="F1543" i="18"/>
  <c r="F1542" i="18"/>
  <c r="F1541" i="18"/>
  <c r="F1540" i="18"/>
  <c r="F1539" i="18"/>
  <c r="F1538" i="18"/>
  <c r="F1537" i="18"/>
  <c r="F1536" i="18"/>
  <c r="F1535" i="18"/>
  <c r="F1534" i="18"/>
  <c r="F1533" i="18"/>
  <c r="F1532" i="18"/>
  <c r="F1531" i="18"/>
  <c r="F1530" i="18"/>
  <c r="F1529" i="18"/>
  <c r="F1528" i="18"/>
  <c r="F1527" i="18"/>
  <c r="F1526" i="18"/>
  <c r="F1525" i="18"/>
  <c r="F1524" i="18"/>
  <c r="F1523" i="18"/>
  <c r="F1522" i="18"/>
  <c r="F1521" i="18"/>
  <c r="F1520" i="18"/>
  <c r="F1519" i="18"/>
  <c r="F1518" i="18"/>
  <c r="F1517" i="18"/>
  <c r="F1516" i="18"/>
  <c r="F1515" i="18"/>
  <c r="F1514" i="18"/>
  <c r="F1513" i="18"/>
  <c r="F1512" i="18"/>
  <c r="F1511" i="18"/>
  <c r="F1510" i="18"/>
  <c r="F1509" i="18"/>
  <c r="F1508" i="18"/>
  <c r="F1507" i="18"/>
  <c r="F1506" i="18"/>
  <c r="F1505" i="18"/>
  <c r="F1504" i="18"/>
  <c r="F1503" i="18"/>
  <c r="F1502" i="18"/>
  <c r="F1501" i="18"/>
  <c r="F1500" i="18"/>
  <c r="F1499" i="18"/>
  <c r="F1498" i="18"/>
  <c r="F1497" i="18"/>
  <c r="F1496" i="18"/>
  <c r="F1495" i="18"/>
  <c r="F1494" i="18"/>
  <c r="F1493" i="18"/>
  <c r="F1492" i="18"/>
  <c r="F1491" i="18"/>
  <c r="F1490" i="18"/>
  <c r="F1489" i="18"/>
  <c r="F1488" i="18"/>
  <c r="F1487" i="18"/>
  <c r="F1486" i="18"/>
  <c r="F1485" i="18"/>
  <c r="F1484" i="18"/>
  <c r="F1483" i="18"/>
  <c r="F1482" i="18"/>
  <c r="F1481" i="18"/>
  <c r="F1480" i="18"/>
  <c r="F1479" i="18"/>
  <c r="F1478" i="18"/>
  <c r="F1477" i="18"/>
  <c r="F1476" i="18"/>
  <c r="F1475" i="18"/>
  <c r="F1474" i="18"/>
  <c r="F1473" i="18"/>
  <c r="F1472" i="18"/>
  <c r="F1471" i="18"/>
  <c r="F1470" i="18"/>
  <c r="F1469" i="18"/>
  <c r="F1468" i="18"/>
  <c r="F1467" i="18"/>
  <c r="F1466" i="18"/>
  <c r="F1465" i="18"/>
  <c r="F1464" i="18"/>
  <c r="F1463" i="18"/>
  <c r="F1462" i="18"/>
  <c r="F1461" i="18"/>
  <c r="F1460" i="18"/>
  <c r="F1459" i="18"/>
  <c r="F1458" i="18"/>
  <c r="F1457" i="18"/>
  <c r="F1456" i="18"/>
  <c r="F1455" i="18"/>
  <c r="F1454" i="18"/>
  <c r="F1453" i="18"/>
  <c r="F1452" i="18"/>
  <c r="F1451" i="18"/>
  <c r="F1450" i="18"/>
  <c r="F1449" i="18"/>
  <c r="F1448" i="18"/>
  <c r="F1447" i="18"/>
  <c r="F1446" i="18"/>
  <c r="F1445" i="18"/>
  <c r="F1444" i="18"/>
  <c r="F1443" i="18"/>
  <c r="F1442" i="18"/>
  <c r="F1441" i="18"/>
  <c r="F1440" i="18"/>
  <c r="F1439" i="18"/>
  <c r="F1438" i="18"/>
  <c r="F1437" i="18"/>
  <c r="F1436" i="18"/>
  <c r="F1435" i="18"/>
  <c r="F1434" i="18"/>
  <c r="F1433" i="18"/>
  <c r="F1432" i="18"/>
  <c r="F1431" i="18"/>
  <c r="F1430" i="18"/>
  <c r="F1429" i="18"/>
  <c r="F1428" i="18"/>
  <c r="F1427" i="18"/>
  <c r="F1426" i="18"/>
  <c r="F1425" i="18"/>
  <c r="F1424" i="18"/>
  <c r="F1423" i="18"/>
  <c r="F1422" i="18"/>
  <c r="F1421" i="18"/>
  <c r="F1420" i="18"/>
  <c r="F1419" i="18"/>
  <c r="F1418" i="18"/>
  <c r="F1417" i="18"/>
  <c r="F1416" i="18"/>
  <c r="F1415" i="18"/>
  <c r="F1414" i="18"/>
  <c r="F1413" i="18"/>
  <c r="F1412" i="18"/>
  <c r="F1411" i="18"/>
  <c r="F1410" i="18"/>
  <c r="F1409" i="18"/>
  <c r="F1408" i="18"/>
  <c r="F1407" i="18"/>
  <c r="F1406" i="18"/>
  <c r="F1405" i="18"/>
  <c r="F1404" i="18"/>
  <c r="F1403" i="18"/>
  <c r="F1402" i="18"/>
  <c r="F1401" i="18"/>
  <c r="F1400" i="18"/>
  <c r="F1399" i="18"/>
  <c r="F1398" i="18"/>
  <c r="F1397" i="18"/>
  <c r="F1396" i="18"/>
  <c r="F1395" i="18"/>
  <c r="F1394" i="18"/>
  <c r="F1393" i="18"/>
  <c r="F1392" i="18"/>
  <c r="F1391" i="18"/>
  <c r="F1390" i="18"/>
  <c r="F1389" i="18"/>
  <c r="F1388" i="18"/>
  <c r="F1387" i="18"/>
  <c r="F1386" i="18"/>
  <c r="F1385" i="18"/>
  <c r="F1384" i="18"/>
  <c r="F1383" i="18"/>
  <c r="F1382" i="18"/>
  <c r="F1381" i="18"/>
  <c r="F1380" i="18"/>
  <c r="F1379" i="18"/>
  <c r="F1378" i="18"/>
  <c r="F1377" i="18"/>
  <c r="F1376" i="18"/>
  <c r="F1375" i="18"/>
  <c r="F1374" i="18"/>
  <c r="F1373" i="18"/>
  <c r="F1372" i="18"/>
  <c r="F1371" i="18"/>
  <c r="F1370" i="18"/>
  <c r="F1369" i="18"/>
  <c r="F1368" i="18"/>
  <c r="F1367" i="18"/>
  <c r="F1366" i="18"/>
  <c r="F1365" i="18"/>
  <c r="F1364" i="18"/>
  <c r="F1363" i="18"/>
  <c r="F1362" i="18"/>
  <c r="F1361" i="18"/>
  <c r="F1360" i="18"/>
  <c r="F1359" i="18"/>
  <c r="F1358" i="18"/>
  <c r="F1357" i="18"/>
  <c r="F1356" i="18"/>
  <c r="F1355" i="18"/>
  <c r="F1354" i="18"/>
  <c r="F1353" i="18"/>
  <c r="F1352" i="18"/>
  <c r="F1351" i="18"/>
  <c r="F1350" i="18"/>
  <c r="F1349" i="18"/>
  <c r="F1348" i="18"/>
  <c r="F1347" i="18"/>
  <c r="F1346" i="18"/>
  <c r="F1345" i="18"/>
  <c r="F1344" i="18"/>
  <c r="F1343" i="18"/>
  <c r="F1342" i="18"/>
  <c r="F1341" i="18"/>
  <c r="F1340" i="18"/>
  <c r="F1339" i="18"/>
  <c r="F1338" i="18"/>
  <c r="F1337" i="18"/>
  <c r="F1336" i="18"/>
  <c r="F1335" i="18"/>
  <c r="F1334" i="18"/>
  <c r="F1333" i="18"/>
  <c r="F1332" i="18"/>
  <c r="F1331" i="18"/>
  <c r="F1330" i="18"/>
  <c r="F1329" i="18"/>
  <c r="F1328" i="18"/>
  <c r="F1327" i="18"/>
  <c r="F1326" i="18"/>
  <c r="F1325" i="18"/>
  <c r="F1324" i="18"/>
  <c r="F1323" i="18"/>
  <c r="F1322" i="18"/>
  <c r="F1321" i="18"/>
  <c r="F1320" i="18"/>
  <c r="F1319" i="18"/>
  <c r="F1318" i="18"/>
  <c r="F1317" i="18"/>
  <c r="F1316" i="18"/>
  <c r="F1315" i="18"/>
  <c r="F1314" i="18"/>
  <c r="F1313" i="18"/>
  <c r="F1312" i="18"/>
  <c r="F1311" i="18"/>
  <c r="F1310" i="18"/>
  <c r="F1309" i="18"/>
  <c r="F1308" i="18"/>
  <c r="F1307" i="18"/>
  <c r="F1306" i="18"/>
  <c r="F1305" i="18"/>
  <c r="F1304" i="18"/>
  <c r="F1303" i="18"/>
  <c r="F1302" i="18"/>
  <c r="F1301" i="18"/>
  <c r="F1300" i="18"/>
  <c r="F1299" i="18"/>
  <c r="F1298" i="18"/>
  <c r="F1297" i="18"/>
  <c r="F1296" i="18"/>
  <c r="F1295" i="18"/>
  <c r="F1294" i="18"/>
  <c r="F1293" i="18"/>
  <c r="F1292" i="18"/>
  <c r="F1291" i="18"/>
  <c r="F1290" i="18"/>
  <c r="F1289" i="18"/>
  <c r="F1288" i="18"/>
  <c r="F1287" i="18"/>
  <c r="F1286" i="18"/>
  <c r="F1285" i="18"/>
  <c r="F1284" i="18"/>
  <c r="F1283" i="18"/>
  <c r="F1282" i="18"/>
  <c r="F1281" i="18"/>
  <c r="F1280" i="18"/>
  <c r="F1279" i="18"/>
  <c r="F1278" i="18"/>
  <c r="F1277" i="18"/>
  <c r="F1276" i="18"/>
  <c r="F1275" i="18"/>
  <c r="F1274" i="18"/>
  <c r="F1273" i="18"/>
  <c r="F1272" i="18"/>
  <c r="F1271" i="18"/>
  <c r="F1270" i="18"/>
  <c r="F1269" i="18"/>
  <c r="F1268" i="18"/>
  <c r="F1267" i="18"/>
  <c r="F1266" i="18"/>
  <c r="F1265" i="18"/>
  <c r="F1264" i="18"/>
  <c r="F1263" i="18"/>
  <c r="F1262" i="18"/>
  <c r="F1261" i="18"/>
  <c r="F1260" i="18"/>
  <c r="F1259" i="18"/>
  <c r="F1258" i="18"/>
  <c r="F1257" i="18"/>
  <c r="F1256" i="18"/>
  <c r="F1255" i="18"/>
  <c r="F1254" i="18"/>
  <c r="F1253" i="18"/>
  <c r="F1252" i="18"/>
  <c r="F1251" i="18"/>
  <c r="F1250" i="18"/>
  <c r="F1249" i="18"/>
  <c r="F1248" i="18"/>
  <c r="F1247" i="18"/>
  <c r="F1246" i="18"/>
  <c r="F1245" i="18"/>
  <c r="F1244" i="18"/>
  <c r="F1243" i="18"/>
  <c r="F1242" i="18"/>
  <c r="F1241" i="18"/>
  <c r="F1240" i="18"/>
  <c r="F1239" i="18"/>
  <c r="F1238" i="18"/>
  <c r="F1237" i="18"/>
  <c r="F1236" i="18"/>
  <c r="F1235" i="18"/>
  <c r="F1234" i="18"/>
  <c r="F1233" i="18"/>
  <c r="F1232" i="18"/>
  <c r="F1231" i="18"/>
  <c r="F1230" i="18"/>
  <c r="F1229" i="18"/>
  <c r="F1228" i="18"/>
  <c r="F1227" i="18"/>
  <c r="F1226" i="18"/>
  <c r="F1225" i="18"/>
  <c r="F1224" i="18"/>
  <c r="F1223" i="18"/>
  <c r="F1222" i="18"/>
  <c r="F1221" i="18"/>
  <c r="F1220" i="18"/>
  <c r="F1219" i="18"/>
  <c r="F1218" i="18"/>
  <c r="F1217" i="18"/>
  <c r="F1216" i="18"/>
  <c r="F1215" i="18"/>
  <c r="F1214" i="18"/>
  <c r="F1213" i="18"/>
  <c r="F1212" i="18"/>
  <c r="F1211" i="18"/>
  <c r="F1210" i="18"/>
  <c r="F1209" i="18"/>
  <c r="F1208" i="18"/>
  <c r="F1207" i="18"/>
  <c r="F1206" i="18"/>
  <c r="F1205" i="18"/>
  <c r="F1204" i="18"/>
  <c r="F1203" i="18"/>
  <c r="F1202" i="18"/>
  <c r="F1201" i="18"/>
  <c r="F1200" i="18"/>
  <c r="F1199" i="18"/>
  <c r="F1198" i="18"/>
  <c r="F1197" i="18"/>
  <c r="F1196" i="18"/>
  <c r="F1195" i="18"/>
  <c r="F1194" i="18"/>
  <c r="F1193" i="18"/>
  <c r="F1192" i="18"/>
  <c r="F1191" i="18"/>
  <c r="F1190" i="18"/>
  <c r="F1189" i="18"/>
  <c r="F1188" i="18"/>
  <c r="F1187" i="18"/>
  <c r="F1186" i="18"/>
  <c r="F1185" i="18"/>
  <c r="F1184" i="18"/>
  <c r="F1183" i="18"/>
  <c r="F1182" i="18"/>
  <c r="F1181" i="18"/>
  <c r="F1180" i="18"/>
  <c r="F1179" i="18"/>
  <c r="F1178" i="18"/>
  <c r="F1177" i="18"/>
  <c r="F1176" i="18"/>
  <c r="F1175" i="18"/>
  <c r="F1174" i="18"/>
  <c r="F1173" i="18"/>
  <c r="F1172" i="18"/>
  <c r="F1171" i="18"/>
  <c r="F1170" i="18"/>
  <c r="F1169" i="18"/>
  <c r="F1168" i="18"/>
  <c r="F1167" i="18"/>
  <c r="F1166" i="18"/>
  <c r="F1165" i="18"/>
  <c r="F1164" i="18"/>
  <c r="F1163" i="18"/>
  <c r="F1162" i="18"/>
  <c r="F1161" i="18"/>
  <c r="F1160" i="18"/>
  <c r="F1159" i="18"/>
  <c r="F1158" i="18"/>
  <c r="F1157" i="18"/>
  <c r="F1156" i="18"/>
  <c r="F1155" i="18"/>
  <c r="F1154" i="18"/>
  <c r="F1153" i="18"/>
  <c r="F1152" i="18"/>
  <c r="F1151" i="18"/>
  <c r="F1150" i="18"/>
  <c r="F1149" i="18"/>
  <c r="F1148" i="18"/>
  <c r="F1147" i="18"/>
  <c r="F1146" i="18"/>
  <c r="F1145" i="18"/>
  <c r="F1144" i="18"/>
  <c r="F1143" i="18"/>
  <c r="F1142" i="18"/>
  <c r="F1141" i="18"/>
  <c r="F1140" i="18"/>
  <c r="F1139" i="18"/>
  <c r="F1138" i="18"/>
  <c r="F1137" i="18"/>
  <c r="F1136" i="18"/>
  <c r="F1135" i="18"/>
  <c r="F1134" i="18"/>
  <c r="F1133" i="18"/>
  <c r="F1132" i="18"/>
  <c r="F1131" i="18"/>
  <c r="F1130" i="18"/>
  <c r="F1129" i="18"/>
  <c r="F1128" i="18"/>
  <c r="F1127" i="18"/>
  <c r="F1126" i="18"/>
  <c r="F1125" i="18"/>
  <c r="F1124" i="18"/>
  <c r="F1123" i="18"/>
  <c r="F1122" i="18"/>
  <c r="F1121" i="18"/>
  <c r="F1120" i="18"/>
  <c r="F1119" i="18"/>
  <c r="F1118" i="18"/>
  <c r="F1117" i="18"/>
  <c r="F1116" i="18"/>
  <c r="F1115" i="18"/>
  <c r="F1114" i="18"/>
  <c r="F1113" i="18"/>
  <c r="F1112" i="18"/>
  <c r="F1111" i="18"/>
  <c r="F1110" i="18"/>
  <c r="F1109" i="18"/>
  <c r="F1108" i="18"/>
  <c r="F1107" i="18"/>
  <c r="F1106" i="18"/>
  <c r="F1105" i="18"/>
  <c r="F1104" i="18"/>
  <c r="F1103" i="18"/>
  <c r="F1102" i="18"/>
  <c r="F1101" i="18"/>
  <c r="F1100" i="18"/>
  <c r="F1099" i="18"/>
  <c r="F1098" i="18"/>
  <c r="F1097" i="18"/>
  <c r="F1096" i="18"/>
  <c r="F1095" i="18"/>
  <c r="F1094" i="18"/>
  <c r="F1093" i="18"/>
  <c r="F1092" i="18"/>
  <c r="F1091" i="18"/>
  <c r="F1090" i="18"/>
  <c r="F1089" i="18"/>
  <c r="F1088" i="18"/>
  <c r="F1087" i="18"/>
  <c r="F1086" i="18"/>
  <c r="F1085" i="18"/>
  <c r="F1084" i="18"/>
  <c r="F1083" i="18"/>
  <c r="F1082" i="18"/>
  <c r="F1081" i="18"/>
  <c r="F1080" i="18"/>
  <c r="F1079" i="18"/>
  <c r="F1078" i="18"/>
  <c r="F1077" i="18"/>
  <c r="F1076" i="18"/>
  <c r="F1075" i="18"/>
  <c r="F1074" i="18"/>
  <c r="F1073" i="18"/>
  <c r="F1072" i="18"/>
  <c r="F1071" i="18"/>
  <c r="F1070" i="18"/>
  <c r="F1069" i="18"/>
  <c r="F1068" i="18"/>
  <c r="F1067" i="18"/>
  <c r="F1066" i="18"/>
  <c r="F1065" i="18"/>
  <c r="F1064" i="18"/>
  <c r="F1063" i="18"/>
  <c r="F1062" i="18"/>
  <c r="F1061" i="18"/>
  <c r="F1060" i="18"/>
  <c r="F1059" i="18"/>
  <c r="F1058" i="18"/>
  <c r="F1057" i="18"/>
  <c r="F1056" i="18"/>
  <c r="F1055" i="18"/>
  <c r="F1054" i="18"/>
  <c r="F1053" i="18"/>
  <c r="F1052" i="18"/>
  <c r="F1051" i="18"/>
  <c r="F1050" i="18"/>
  <c r="F1049" i="18"/>
  <c r="F1048" i="18"/>
  <c r="F1047" i="18"/>
  <c r="F1046" i="18"/>
  <c r="F1045" i="18"/>
  <c r="F1044" i="18"/>
  <c r="F1043" i="18"/>
  <c r="F1042" i="18"/>
  <c r="F1041" i="18"/>
  <c r="F1040" i="18"/>
  <c r="F1039" i="18"/>
  <c r="F1038" i="18"/>
  <c r="F1037" i="18"/>
  <c r="F1036" i="18"/>
  <c r="F1035" i="18"/>
  <c r="F1034" i="18"/>
  <c r="F1033" i="18"/>
  <c r="F1032" i="18"/>
  <c r="F1031" i="18"/>
  <c r="F1030" i="18"/>
  <c r="F1029" i="18"/>
  <c r="F1028" i="18"/>
  <c r="F1027" i="18"/>
  <c r="F1026" i="18"/>
  <c r="F1025" i="18"/>
  <c r="F1024" i="18"/>
  <c r="F1023" i="18"/>
  <c r="F1022" i="18"/>
  <c r="F1021" i="18"/>
  <c r="F1020" i="18"/>
  <c r="F1019" i="18"/>
  <c r="F1018" i="18"/>
  <c r="F1017" i="18"/>
  <c r="F1016" i="18"/>
  <c r="F1015" i="18"/>
  <c r="F1014" i="18"/>
  <c r="F1013" i="18"/>
  <c r="F1012" i="18"/>
  <c r="F1011" i="18"/>
  <c r="F1010" i="18"/>
  <c r="F1009" i="18"/>
  <c r="F1008" i="18"/>
  <c r="F1007" i="18"/>
  <c r="F1006" i="18"/>
  <c r="F1005" i="18"/>
  <c r="F1004" i="18"/>
  <c r="F1003" i="18"/>
  <c r="F1002" i="18"/>
  <c r="F1001" i="18"/>
  <c r="F1000" i="18"/>
  <c r="F999" i="18"/>
  <c r="F998" i="18"/>
  <c r="F997" i="18"/>
  <c r="F996" i="18"/>
  <c r="F995" i="18"/>
  <c r="F994" i="18"/>
  <c r="F993" i="18"/>
  <c r="F992" i="18"/>
  <c r="F991" i="18"/>
  <c r="F990" i="18"/>
  <c r="F989" i="18"/>
  <c r="F988" i="18"/>
  <c r="F987" i="18"/>
  <c r="F986" i="18"/>
  <c r="F985" i="18"/>
  <c r="F984" i="18"/>
  <c r="F983" i="18"/>
  <c r="F982" i="18"/>
  <c r="F981" i="18"/>
  <c r="F980" i="18"/>
  <c r="F979" i="18"/>
  <c r="F978" i="18"/>
  <c r="F977" i="18"/>
  <c r="F976" i="18"/>
  <c r="F975" i="18"/>
  <c r="F974" i="18"/>
  <c r="F973" i="18"/>
  <c r="F972" i="18"/>
  <c r="F971" i="18"/>
  <c r="F970" i="18"/>
  <c r="F969" i="18"/>
  <c r="F968" i="18"/>
  <c r="F967" i="18"/>
  <c r="F966" i="18"/>
  <c r="F965" i="18"/>
  <c r="F964" i="18"/>
  <c r="F963" i="18"/>
  <c r="F962" i="18"/>
  <c r="F961" i="18"/>
  <c r="F960" i="18"/>
  <c r="F959" i="18"/>
  <c r="F958" i="18"/>
  <c r="F957" i="18"/>
  <c r="F956" i="18"/>
  <c r="F955" i="18"/>
  <c r="F954" i="18"/>
  <c r="F953" i="18"/>
  <c r="F952" i="18"/>
  <c r="F951" i="18"/>
  <c r="F950" i="18"/>
  <c r="F949" i="18"/>
  <c r="F948" i="18"/>
  <c r="F947" i="18"/>
  <c r="F946" i="18"/>
  <c r="F945" i="18"/>
  <c r="F944" i="18"/>
  <c r="F943" i="18"/>
  <c r="F942" i="18"/>
  <c r="F941" i="18"/>
  <c r="F940" i="18"/>
  <c r="F939" i="18"/>
  <c r="F938" i="18"/>
  <c r="F937" i="18"/>
  <c r="F936" i="18"/>
  <c r="F935" i="18"/>
  <c r="F934" i="18"/>
  <c r="F933" i="18"/>
  <c r="F932" i="18"/>
  <c r="F931" i="18"/>
  <c r="F930" i="18"/>
  <c r="F929" i="18"/>
  <c r="F928" i="18"/>
  <c r="F927" i="18"/>
  <c r="F926" i="18"/>
  <c r="F925" i="18"/>
  <c r="F924" i="18"/>
  <c r="F923" i="18"/>
  <c r="F922" i="18"/>
  <c r="F921" i="18"/>
  <c r="F920" i="18"/>
  <c r="F919" i="18"/>
  <c r="F918" i="18"/>
  <c r="F917" i="18"/>
  <c r="F916" i="18"/>
  <c r="F915" i="18"/>
  <c r="F914" i="18"/>
  <c r="F913" i="18"/>
  <c r="F912" i="18"/>
  <c r="F911" i="18"/>
  <c r="F910" i="18"/>
  <c r="F909" i="18"/>
  <c r="F908" i="18"/>
  <c r="F907" i="18"/>
  <c r="F906" i="18"/>
  <c r="F905" i="18"/>
  <c r="F904" i="18"/>
  <c r="F903" i="18"/>
  <c r="F902" i="18"/>
  <c r="F901" i="18"/>
  <c r="F900" i="18"/>
  <c r="F899" i="18"/>
  <c r="F898" i="18"/>
  <c r="F897" i="18"/>
  <c r="F896" i="18"/>
  <c r="F895" i="18"/>
  <c r="F894" i="18"/>
  <c r="F893" i="18"/>
  <c r="F892" i="18"/>
  <c r="F891" i="18"/>
  <c r="F890" i="18"/>
  <c r="F889" i="18"/>
  <c r="F888" i="18"/>
  <c r="F887" i="18"/>
  <c r="F886" i="18"/>
  <c r="F885" i="18"/>
  <c r="F884" i="18"/>
  <c r="F883" i="18"/>
  <c r="F882" i="18"/>
  <c r="F881" i="18"/>
  <c r="F880" i="18"/>
  <c r="F879" i="18"/>
  <c r="F878" i="18"/>
  <c r="F877" i="18"/>
  <c r="F876" i="18"/>
  <c r="F875" i="18"/>
  <c r="F874" i="18"/>
  <c r="F873" i="18"/>
  <c r="F872" i="18"/>
  <c r="F871" i="18"/>
  <c r="F870" i="18"/>
  <c r="F869" i="18"/>
  <c r="F868" i="18"/>
  <c r="F867" i="18"/>
  <c r="F866" i="18"/>
  <c r="F865" i="18"/>
  <c r="F864" i="18"/>
  <c r="F863" i="18"/>
  <c r="F862" i="18"/>
  <c r="F861" i="18"/>
  <c r="F860" i="18"/>
  <c r="F859" i="18"/>
  <c r="F858" i="18"/>
  <c r="F857" i="18"/>
  <c r="F856" i="18"/>
  <c r="F855" i="18"/>
  <c r="F854" i="18"/>
  <c r="F853" i="18"/>
  <c r="F852" i="18"/>
  <c r="F851" i="18"/>
  <c r="F850" i="18"/>
  <c r="F849" i="18"/>
  <c r="F848" i="18"/>
  <c r="F847" i="18"/>
  <c r="F846" i="18"/>
  <c r="F845" i="18"/>
  <c r="F844" i="18"/>
  <c r="F843" i="18"/>
  <c r="F842" i="18"/>
  <c r="F841" i="18"/>
  <c r="F840" i="18"/>
  <c r="F839" i="18"/>
  <c r="F838" i="18"/>
  <c r="F837" i="18"/>
  <c r="F836" i="18"/>
  <c r="F835" i="18"/>
  <c r="F834" i="18"/>
  <c r="F833" i="18"/>
  <c r="F832" i="18"/>
  <c r="F831" i="18"/>
  <c r="F830" i="18"/>
  <c r="F829" i="18"/>
  <c r="F828" i="18"/>
  <c r="F827" i="18"/>
  <c r="F826" i="18"/>
  <c r="F825" i="18"/>
  <c r="F824" i="18"/>
  <c r="F823" i="18"/>
  <c r="F822" i="18"/>
  <c r="F821" i="18"/>
  <c r="F820" i="18"/>
  <c r="F819" i="18"/>
  <c r="F818" i="18"/>
  <c r="F817" i="18"/>
  <c r="F816" i="18"/>
  <c r="F815" i="18"/>
  <c r="F814" i="18"/>
  <c r="F813" i="18"/>
  <c r="F812" i="18"/>
  <c r="F811" i="18"/>
  <c r="F810" i="18"/>
  <c r="F809" i="18"/>
  <c r="F808" i="18"/>
  <c r="F807" i="18"/>
  <c r="F806" i="18"/>
  <c r="F805" i="18"/>
  <c r="F804" i="18"/>
  <c r="F803" i="18"/>
  <c r="F802" i="18"/>
  <c r="F801" i="18"/>
  <c r="F800" i="18"/>
  <c r="F793" i="18"/>
  <c r="F792" i="18"/>
  <c r="F791" i="18"/>
  <c r="F790" i="18"/>
  <c r="F789" i="18"/>
  <c r="F788" i="18"/>
  <c r="F782" i="18"/>
  <c r="F776" i="18"/>
  <c r="F774" i="18"/>
  <c r="F773" i="18"/>
  <c r="F772" i="18"/>
  <c r="F771" i="18"/>
  <c r="F770" i="18"/>
  <c r="F768" i="18"/>
  <c r="F767" i="18"/>
  <c r="F766" i="18"/>
  <c r="F765" i="18"/>
  <c r="F764" i="18"/>
  <c r="F762" i="18"/>
  <c r="F761" i="18"/>
  <c r="F760" i="18"/>
  <c r="F759" i="18"/>
  <c r="F758" i="18"/>
  <c r="F757" i="18"/>
  <c r="F756" i="18"/>
  <c r="F755" i="18"/>
  <c r="F754" i="18"/>
  <c r="F753" i="18"/>
  <c r="F752" i="18"/>
  <c r="F750" i="18"/>
  <c r="F749" i="18"/>
  <c r="F748" i="18"/>
  <c r="F747" i="18"/>
  <c r="F746" i="18"/>
  <c r="F744" i="18"/>
  <c r="F743" i="18"/>
  <c r="F742" i="18"/>
  <c r="F741" i="18"/>
  <c r="F740" i="18"/>
  <c r="F738" i="18"/>
  <c r="F737" i="18"/>
  <c r="F736" i="18"/>
  <c r="F735" i="18"/>
  <c r="F734" i="18"/>
  <c r="F732" i="18"/>
  <c r="F731" i="18"/>
  <c r="F730" i="18"/>
  <c r="F729" i="18"/>
  <c r="F728" i="18"/>
  <c r="F726" i="18"/>
  <c r="F725" i="18"/>
  <c r="F724" i="18"/>
  <c r="F723" i="18"/>
  <c r="F722" i="18"/>
  <c r="F720" i="18"/>
  <c r="F719" i="18"/>
  <c r="F718" i="18"/>
  <c r="F717" i="18"/>
  <c r="F716" i="18"/>
  <c r="F714" i="18"/>
  <c r="F713" i="18"/>
  <c r="F712" i="18"/>
  <c r="F711" i="18"/>
  <c r="F710" i="18"/>
  <c r="F708" i="18"/>
  <c r="F707" i="18"/>
  <c r="F706" i="18"/>
  <c r="F705" i="18"/>
  <c r="F704" i="18"/>
  <c r="F703" i="18"/>
  <c r="F702" i="18"/>
  <c r="F701" i="18"/>
  <c r="F700" i="18"/>
  <c r="F699" i="18"/>
  <c r="F698" i="18"/>
  <c r="F697" i="18"/>
  <c r="F696" i="18"/>
  <c r="F695" i="18"/>
  <c r="F694" i="18"/>
  <c r="F693" i="18"/>
  <c r="F692" i="18"/>
  <c r="F691" i="18"/>
  <c r="F690" i="18"/>
  <c r="F689" i="18"/>
  <c r="F688" i="18"/>
  <c r="F687" i="18"/>
  <c r="F686" i="18"/>
  <c r="F683" i="18"/>
  <c r="F682" i="18"/>
  <c r="F678" i="18"/>
  <c r="F674" i="18"/>
  <c r="F670" i="18"/>
  <c r="F666" i="18"/>
  <c r="F665" i="18"/>
  <c r="F664" i="18"/>
  <c r="F663" i="18"/>
  <c r="F662" i="18"/>
  <c r="F661" i="18"/>
  <c r="F659" i="18"/>
  <c r="F658" i="18"/>
  <c r="F657" i="18"/>
  <c r="F656" i="18"/>
  <c r="F655" i="18"/>
  <c r="F654" i="18"/>
  <c r="F653" i="18"/>
  <c r="F652" i="18"/>
  <c r="F651" i="18"/>
  <c r="F650" i="18"/>
  <c r="F649" i="18"/>
  <c r="F644" i="18"/>
  <c r="F643" i="18"/>
  <c r="F642" i="18"/>
  <c r="F641" i="18"/>
  <c r="F640" i="18"/>
  <c r="F639" i="18"/>
  <c r="F638" i="18"/>
  <c r="F637" i="18"/>
  <c r="F636" i="18"/>
  <c r="F635" i="18"/>
  <c r="F634" i="18"/>
  <c r="F633" i="18"/>
  <c r="F632" i="18"/>
  <c r="F631" i="18"/>
  <c r="F630" i="18"/>
  <c r="F629" i="18"/>
  <c r="F628" i="18"/>
  <c r="F627" i="18"/>
  <c r="F626" i="18"/>
  <c r="F625" i="18"/>
  <c r="F624" i="18"/>
  <c r="F623" i="18"/>
  <c r="F622" i="18"/>
  <c r="F621" i="18"/>
  <c r="F620" i="18"/>
  <c r="F619" i="18"/>
  <c r="F618" i="18"/>
  <c r="F617" i="18"/>
  <c r="F613" i="18"/>
  <c r="F612" i="18"/>
  <c r="F608" i="18"/>
  <c r="F607" i="18"/>
  <c r="F603" i="18"/>
  <c r="F602" i="18"/>
  <c r="F598" i="18"/>
  <c r="F593" i="18"/>
  <c r="F592" i="18"/>
  <c r="F591" i="18"/>
  <c r="F590" i="18"/>
  <c r="F589" i="18"/>
  <c r="F588" i="18"/>
  <c r="F587" i="18"/>
  <c r="F586" i="18"/>
  <c r="F585" i="18"/>
  <c r="F584" i="18"/>
  <c r="F583" i="18"/>
  <c r="F582" i="18"/>
  <c r="F581" i="18"/>
  <c r="F580" i="18"/>
  <c r="F579" i="18"/>
  <c r="F578" i="18"/>
  <c r="F577" i="18"/>
  <c r="F576" i="18"/>
  <c r="F575" i="18"/>
  <c r="F574" i="18"/>
  <c r="F573" i="18"/>
  <c r="F572" i="18"/>
  <c r="F571" i="18"/>
  <c r="F570" i="18"/>
  <c r="F569" i="18"/>
  <c r="F568" i="18"/>
  <c r="F567" i="18"/>
  <c r="F566" i="18"/>
  <c r="F565" i="18"/>
  <c r="F564" i="18"/>
  <c r="F563" i="18"/>
  <c r="F562" i="18"/>
  <c r="F561" i="18"/>
  <c r="F560" i="18"/>
  <c r="F559" i="18"/>
  <c r="F558" i="18"/>
  <c r="F557" i="18"/>
  <c r="F556" i="18"/>
  <c r="F555" i="18"/>
  <c r="F554" i="18"/>
  <c r="F553" i="18"/>
  <c r="F552" i="18"/>
  <c r="F541" i="18"/>
  <c r="F540" i="18"/>
  <c r="F539" i="18"/>
  <c r="F538" i="18"/>
  <c r="F536" i="18"/>
  <c r="F535" i="18"/>
  <c r="F534" i="18"/>
  <c r="F533" i="18"/>
  <c r="F532" i="18"/>
  <c r="F531" i="18"/>
  <c r="F530" i="18"/>
  <c r="F529" i="18"/>
  <c r="F528" i="18"/>
  <c r="F527" i="18"/>
  <c r="F526" i="18"/>
  <c r="F525" i="18"/>
  <c r="F524" i="18"/>
  <c r="F523" i="18"/>
  <c r="F522" i="18"/>
  <c r="F521" i="18"/>
  <c r="F520" i="18"/>
  <c r="F519" i="18"/>
  <c r="F517" i="18"/>
  <c r="F516" i="18"/>
  <c r="F515" i="18"/>
  <c r="F514" i="18"/>
  <c r="F512" i="18"/>
  <c r="F511" i="18"/>
  <c r="F510" i="18"/>
  <c r="F509" i="18"/>
  <c r="F507" i="18"/>
  <c r="F506" i="18"/>
  <c r="F505" i="18"/>
  <c r="F504" i="18"/>
  <c r="F503" i="18"/>
  <c r="F501" i="18"/>
  <c r="F500" i="18"/>
  <c r="F499" i="18"/>
  <c r="F498" i="18"/>
  <c r="F497" i="18"/>
  <c r="F495" i="18"/>
  <c r="F494" i="18"/>
  <c r="F493" i="18"/>
  <c r="F492" i="18"/>
  <c r="F491" i="18"/>
  <c r="F485" i="18"/>
  <c r="F483" i="18"/>
  <c r="F482" i="18"/>
  <c r="F481" i="18"/>
  <c r="F480" i="18"/>
  <c r="F479" i="18"/>
  <c r="F477" i="18"/>
  <c r="F476" i="18"/>
  <c r="F475" i="18"/>
  <c r="F474" i="18"/>
  <c r="F473" i="18"/>
  <c r="F471" i="18"/>
  <c r="F470" i="18"/>
  <c r="F469" i="18"/>
  <c r="F468" i="18"/>
  <c r="F467" i="18"/>
  <c r="F461" i="18"/>
  <c r="F455" i="18"/>
  <c r="F449" i="18"/>
  <c r="F443" i="18"/>
  <c r="F437" i="18"/>
  <c r="F435" i="18"/>
  <c r="F434" i="18"/>
  <c r="F433" i="18"/>
  <c r="F432" i="18"/>
  <c r="F431" i="18"/>
  <c r="F429" i="18"/>
  <c r="F428" i="18"/>
  <c r="F427" i="18"/>
  <c r="F426" i="18"/>
  <c r="F425" i="18"/>
  <c r="F423" i="18"/>
  <c r="F422" i="18"/>
  <c r="F421" i="18"/>
  <c r="F420" i="18"/>
  <c r="F419" i="18"/>
  <c r="F413" i="18"/>
  <c r="F407" i="18"/>
  <c r="F405" i="18"/>
  <c r="F404" i="18"/>
  <c r="F403" i="18"/>
  <c r="F402" i="18"/>
  <c r="F401" i="18"/>
  <c r="F399" i="18"/>
  <c r="F398" i="18"/>
  <c r="F397" i="18"/>
  <c r="F396" i="18"/>
  <c r="F395" i="18"/>
  <c r="F389" i="18"/>
  <c r="F383" i="18"/>
  <c r="F381" i="18"/>
  <c r="F380" i="18"/>
  <c r="F379" i="18"/>
  <c r="F378" i="18"/>
  <c r="F377" i="18"/>
  <c r="F375" i="18"/>
  <c r="F374" i="18"/>
  <c r="F373" i="18"/>
  <c r="F372" i="18"/>
  <c r="F371" i="18"/>
  <c r="F369" i="18"/>
  <c r="F368" i="18"/>
  <c r="F367" i="18"/>
  <c r="F366" i="18"/>
  <c r="F365" i="18"/>
  <c r="F363" i="18"/>
  <c r="F362" i="18"/>
  <c r="F361" i="18"/>
  <c r="F360" i="18"/>
  <c r="F359" i="18"/>
  <c r="F358" i="18"/>
  <c r="F357" i="18"/>
  <c r="F356" i="18"/>
  <c r="F355" i="18"/>
  <c r="F354" i="18"/>
  <c r="F353" i="18"/>
  <c r="F351" i="18"/>
  <c r="F350" i="18"/>
  <c r="F349" i="18"/>
  <c r="F348" i="18"/>
  <c r="F347" i="18"/>
  <c r="F345" i="18"/>
  <c r="F344" i="18"/>
  <c r="F343" i="18"/>
  <c r="F342" i="18"/>
  <c r="F341" i="18"/>
  <c r="F339" i="18"/>
  <c r="F338" i="18"/>
  <c r="F337" i="18"/>
  <c r="F336" i="18"/>
  <c r="F335" i="18"/>
  <c r="F333" i="18"/>
  <c r="F332" i="18"/>
  <c r="F331" i="18"/>
  <c r="F330" i="18"/>
  <c r="F329" i="18"/>
  <c r="F327" i="18"/>
  <c r="F326" i="18"/>
  <c r="F325" i="18"/>
  <c r="F324" i="18"/>
  <c r="F323" i="18"/>
  <c r="F321" i="18"/>
  <c r="F320" i="18"/>
  <c r="F319" i="18"/>
  <c r="F318" i="18"/>
  <c r="F317" i="18"/>
  <c r="F315" i="18"/>
  <c r="F314" i="18"/>
  <c r="F313" i="18"/>
  <c r="F312" i="18"/>
  <c r="F311" i="18"/>
  <c r="F309" i="18"/>
  <c r="D776" i="18"/>
  <c r="C776" i="18"/>
  <c r="B776" i="18"/>
  <c r="D775" i="18"/>
  <c r="C775" i="18"/>
  <c r="B775" i="18"/>
  <c r="D774" i="18"/>
  <c r="C774" i="18"/>
  <c r="B774" i="18"/>
  <c r="D773" i="18"/>
  <c r="C773" i="18"/>
  <c r="B773" i="18"/>
  <c r="D772" i="18"/>
  <c r="C772" i="18"/>
  <c r="B772" i="18"/>
  <c r="E771" i="18"/>
  <c r="D771" i="18"/>
  <c r="C771" i="18"/>
  <c r="B771" i="18"/>
  <c r="D770" i="18"/>
  <c r="C770" i="18"/>
  <c r="B770" i="18"/>
  <c r="D769" i="18"/>
  <c r="C769" i="18"/>
  <c r="B769" i="18"/>
  <c r="D768" i="18"/>
  <c r="C768" i="18"/>
  <c r="B768" i="18"/>
  <c r="D767" i="18"/>
  <c r="C767" i="18"/>
  <c r="B767" i="18"/>
  <c r="D766" i="18"/>
  <c r="C766" i="18"/>
  <c r="B766" i="18"/>
  <c r="E765" i="18"/>
  <c r="D765" i="18"/>
  <c r="C765" i="18"/>
  <c r="B765" i="18"/>
  <c r="D788" i="18"/>
  <c r="C788" i="18"/>
  <c r="B788" i="18"/>
  <c r="D787" i="18"/>
  <c r="C787" i="18"/>
  <c r="B787" i="18"/>
  <c r="D786" i="18"/>
  <c r="C786" i="18"/>
  <c r="B786" i="18"/>
  <c r="D785" i="18"/>
  <c r="C785" i="18"/>
  <c r="B785" i="18"/>
  <c r="D784" i="18"/>
  <c r="C784" i="18"/>
  <c r="B784" i="18"/>
  <c r="E783" i="18"/>
  <c r="C783" i="18"/>
  <c r="B783" i="18"/>
  <c r="D782" i="18"/>
  <c r="C782" i="18"/>
  <c r="B782" i="18"/>
  <c r="D781" i="18"/>
  <c r="C781" i="18"/>
  <c r="B781" i="18"/>
  <c r="D780" i="18"/>
  <c r="C780" i="18"/>
  <c r="B780" i="18"/>
  <c r="D779" i="18"/>
  <c r="C779" i="18"/>
  <c r="B779" i="18"/>
  <c r="D778" i="18"/>
  <c r="C778" i="18"/>
  <c r="B778" i="18"/>
  <c r="E777" i="18"/>
  <c r="C777" i="18"/>
  <c r="B777" i="18"/>
  <c r="D783" i="1"/>
  <c r="D777" i="1"/>
  <c r="N787" i="18"/>
  <c r="M787" i="18"/>
  <c r="J787" i="18"/>
  <c r="I787" i="18"/>
  <c r="N786" i="18"/>
  <c r="M786" i="18"/>
  <c r="J786" i="18"/>
  <c r="I786" i="18"/>
  <c r="N785" i="18"/>
  <c r="M785" i="18"/>
  <c r="J785" i="18"/>
  <c r="I785" i="18"/>
  <c r="N784" i="18"/>
  <c r="M784" i="18"/>
  <c r="J784" i="18"/>
  <c r="I784" i="18"/>
  <c r="N783" i="18"/>
  <c r="P785" i="18" s="1"/>
  <c r="M783" i="18"/>
  <c r="E788" i="1"/>
  <c r="E787" i="1"/>
  <c r="E786" i="1"/>
  <c r="E785" i="1"/>
  <c r="E784" i="1"/>
  <c r="E784" i="18" s="1"/>
  <c r="D491" i="18"/>
  <c r="C491" i="18"/>
  <c r="B491" i="18"/>
  <c r="D490" i="18"/>
  <c r="C490" i="18"/>
  <c r="B490" i="18"/>
  <c r="D489" i="18"/>
  <c r="C489" i="18"/>
  <c r="B489" i="18"/>
  <c r="D488" i="18"/>
  <c r="C488" i="18"/>
  <c r="B488" i="18"/>
  <c r="D487" i="18"/>
  <c r="C487" i="18"/>
  <c r="B487" i="18"/>
  <c r="E486" i="18"/>
  <c r="C486" i="18"/>
  <c r="B486" i="18"/>
  <c r="D486" i="1"/>
  <c r="D462" i="1"/>
  <c r="D467" i="18"/>
  <c r="C467" i="18"/>
  <c r="B467" i="18"/>
  <c r="N466" i="18"/>
  <c r="M466" i="18"/>
  <c r="J466" i="18"/>
  <c r="I466" i="18"/>
  <c r="D466" i="18"/>
  <c r="C466" i="18"/>
  <c r="B466" i="18"/>
  <c r="N465" i="18"/>
  <c r="M465" i="18"/>
  <c r="J465" i="18"/>
  <c r="I465" i="18"/>
  <c r="D465" i="18"/>
  <c r="C465" i="18"/>
  <c r="B465" i="18"/>
  <c r="N464" i="18"/>
  <c r="M464" i="18"/>
  <c r="J464" i="18"/>
  <c r="I464" i="18"/>
  <c r="D464" i="18"/>
  <c r="C464" i="18"/>
  <c r="B464" i="18"/>
  <c r="N463" i="18"/>
  <c r="M463" i="18"/>
  <c r="J463" i="18"/>
  <c r="I463" i="18"/>
  <c r="D463" i="18"/>
  <c r="C463" i="18"/>
  <c r="B463" i="18"/>
  <c r="N462" i="18"/>
  <c r="P463" i="18" s="1"/>
  <c r="M462" i="18"/>
  <c r="E462" i="18"/>
  <c r="C462" i="18"/>
  <c r="B462" i="18"/>
  <c r="E467" i="1"/>
  <c r="E466" i="1"/>
  <c r="E465" i="1"/>
  <c r="E464" i="1"/>
  <c r="E464" i="18" s="1"/>
  <c r="E463" i="1"/>
  <c r="D456" i="1"/>
  <c r="D450" i="1"/>
  <c r="D461" i="18"/>
  <c r="C461" i="18"/>
  <c r="B461" i="18"/>
  <c r="N460" i="18"/>
  <c r="M460" i="18"/>
  <c r="J460" i="18"/>
  <c r="I460" i="18"/>
  <c r="D460" i="18"/>
  <c r="C460" i="18"/>
  <c r="B460" i="18"/>
  <c r="N459" i="18"/>
  <c r="M459" i="18"/>
  <c r="J459" i="18"/>
  <c r="I459" i="18"/>
  <c r="D459" i="18"/>
  <c r="C459" i="18"/>
  <c r="B459" i="18"/>
  <c r="N458" i="18"/>
  <c r="M458" i="18"/>
  <c r="J458" i="18"/>
  <c r="I458" i="18"/>
  <c r="D458" i="18"/>
  <c r="C458" i="18"/>
  <c r="B458" i="18"/>
  <c r="N457" i="18"/>
  <c r="M457" i="18"/>
  <c r="J457" i="18"/>
  <c r="I457" i="18"/>
  <c r="D457" i="18"/>
  <c r="C457" i="18"/>
  <c r="B457" i="18"/>
  <c r="N456" i="18"/>
  <c r="P459" i="18" s="1"/>
  <c r="M456" i="18"/>
  <c r="E456" i="18"/>
  <c r="C456" i="18"/>
  <c r="B456" i="18"/>
  <c r="D455" i="18"/>
  <c r="C455" i="18"/>
  <c r="B455" i="18"/>
  <c r="N454" i="18"/>
  <c r="M454" i="18"/>
  <c r="J454" i="18"/>
  <c r="I454" i="18"/>
  <c r="D454" i="18"/>
  <c r="C454" i="18"/>
  <c r="B454" i="18"/>
  <c r="N453" i="18"/>
  <c r="M453" i="18"/>
  <c r="J453" i="18"/>
  <c r="I453" i="18"/>
  <c r="D453" i="18"/>
  <c r="C453" i="18"/>
  <c r="B453" i="18"/>
  <c r="N452" i="18"/>
  <c r="M452" i="18"/>
  <c r="J452" i="18"/>
  <c r="I452" i="18"/>
  <c r="D452" i="18"/>
  <c r="C452" i="18"/>
  <c r="B452" i="18"/>
  <c r="N451" i="18"/>
  <c r="M451" i="18"/>
  <c r="J451" i="18"/>
  <c r="I451" i="18"/>
  <c r="D451" i="18"/>
  <c r="C451" i="18"/>
  <c r="B451" i="18"/>
  <c r="N450" i="18"/>
  <c r="P451" i="18" s="1"/>
  <c r="M450" i="18"/>
  <c r="E450" i="18"/>
  <c r="C450" i="18"/>
  <c r="B450" i="18"/>
  <c r="E461" i="1"/>
  <c r="E460" i="1"/>
  <c r="E459" i="1"/>
  <c r="E458" i="1"/>
  <c r="E457" i="1"/>
  <c r="E455" i="1"/>
  <c r="E454" i="1"/>
  <c r="E453" i="1"/>
  <c r="E452" i="1"/>
  <c r="E451" i="1"/>
  <c r="D449" i="18"/>
  <c r="D448" i="18"/>
  <c r="D447" i="18"/>
  <c r="D446" i="18"/>
  <c r="D445" i="18"/>
  <c r="E444" i="18"/>
  <c r="D444" i="1"/>
  <c r="C449" i="18"/>
  <c r="B449" i="18"/>
  <c r="N448" i="18"/>
  <c r="M448" i="18"/>
  <c r="J448" i="18"/>
  <c r="I448" i="18"/>
  <c r="C448" i="18"/>
  <c r="B448" i="18"/>
  <c r="N447" i="18"/>
  <c r="M447" i="18"/>
  <c r="J447" i="18"/>
  <c r="I447" i="18"/>
  <c r="C447" i="18"/>
  <c r="B447" i="18"/>
  <c r="N446" i="18"/>
  <c r="M446" i="18"/>
  <c r="J446" i="18"/>
  <c r="I446" i="18"/>
  <c r="C446" i="18"/>
  <c r="B446" i="18"/>
  <c r="N445" i="18"/>
  <c r="M445" i="18"/>
  <c r="J445" i="18"/>
  <c r="I445" i="18"/>
  <c r="C445" i="18"/>
  <c r="B445" i="18"/>
  <c r="N444" i="18"/>
  <c r="P447" i="18" s="1"/>
  <c r="M444" i="18"/>
  <c r="C444" i="18"/>
  <c r="B444" i="18"/>
  <c r="E449" i="1"/>
  <c r="E448" i="1"/>
  <c r="E447" i="1"/>
  <c r="E446" i="1"/>
  <c r="E445" i="1"/>
  <c r="D443" i="18"/>
  <c r="C443" i="18"/>
  <c r="B443" i="18"/>
  <c r="D442" i="18"/>
  <c r="C442" i="18"/>
  <c r="B442" i="18"/>
  <c r="D441" i="18"/>
  <c r="C441" i="18"/>
  <c r="B441" i="18"/>
  <c r="D440" i="18"/>
  <c r="C440" i="18"/>
  <c r="B440" i="18"/>
  <c r="D439" i="18"/>
  <c r="C439" i="18"/>
  <c r="B439" i="18"/>
  <c r="C438" i="18"/>
  <c r="B438" i="18"/>
  <c r="D437" i="18"/>
  <c r="C437" i="18"/>
  <c r="B437" i="18"/>
  <c r="D436" i="18"/>
  <c r="C436" i="18"/>
  <c r="B436" i="18"/>
  <c r="D435" i="18"/>
  <c r="C435" i="18"/>
  <c r="B435" i="18"/>
  <c r="D434" i="18"/>
  <c r="C434" i="18"/>
  <c r="B434" i="18"/>
  <c r="D433" i="18"/>
  <c r="C433" i="18"/>
  <c r="B433" i="18"/>
  <c r="D432" i="18"/>
  <c r="C432" i="18"/>
  <c r="B432" i="18"/>
  <c r="D431" i="18"/>
  <c r="C431" i="18"/>
  <c r="B431" i="18"/>
  <c r="D430" i="18"/>
  <c r="C430" i="18"/>
  <c r="B430" i="18"/>
  <c r="D429" i="18"/>
  <c r="C429" i="18"/>
  <c r="B429" i="18"/>
  <c r="D428" i="18"/>
  <c r="C428" i="18"/>
  <c r="B428" i="18"/>
  <c r="D427" i="18"/>
  <c r="C427" i="18"/>
  <c r="B427" i="18"/>
  <c r="D426" i="18"/>
  <c r="C426" i="18"/>
  <c r="B426" i="18"/>
  <c r="D425" i="18"/>
  <c r="C425" i="18"/>
  <c r="B425" i="18"/>
  <c r="D424" i="18"/>
  <c r="C424" i="18"/>
  <c r="B424" i="18"/>
  <c r="D423" i="18"/>
  <c r="C423" i="18"/>
  <c r="B423" i="18"/>
  <c r="D422" i="18"/>
  <c r="C422" i="18"/>
  <c r="B422" i="18"/>
  <c r="D421" i="18"/>
  <c r="C421" i="18"/>
  <c r="B421" i="18"/>
  <c r="D420" i="18"/>
  <c r="C420" i="18"/>
  <c r="B420" i="18"/>
  <c r="D419" i="18"/>
  <c r="C419" i="18"/>
  <c r="B419" i="18"/>
  <c r="D418" i="18"/>
  <c r="C418" i="18"/>
  <c r="B418" i="18"/>
  <c r="D417" i="18"/>
  <c r="C417" i="18"/>
  <c r="B417" i="18"/>
  <c r="D416" i="18"/>
  <c r="C416" i="18"/>
  <c r="B416" i="18"/>
  <c r="D415" i="18"/>
  <c r="C415" i="18"/>
  <c r="B415" i="18"/>
  <c r="C414" i="18"/>
  <c r="B414" i="18"/>
  <c r="E426" i="18"/>
  <c r="E420" i="18"/>
  <c r="D438" i="1"/>
  <c r="D414" i="1"/>
  <c r="N418" i="18"/>
  <c r="M418" i="18"/>
  <c r="J418" i="18"/>
  <c r="I418" i="18"/>
  <c r="N417" i="18"/>
  <c r="M417" i="18"/>
  <c r="J417" i="18"/>
  <c r="I417" i="18"/>
  <c r="N416" i="18"/>
  <c r="M416" i="18"/>
  <c r="J416" i="18"/>
  <c r="I416" i="18"/>
  <c r="N415" i="18"/>
  <c r="M415" i="18"/>
  <c r="J415" i="18"/>
  <c r="I415" i="18"/>
  <c r="N414" i="18"/>
  <c r="P417" i="18" s="1"/>
  <c r="M414" i="18"/>
  <c r="E414" i="18"/>
  <c r="E419" i="1"/>
  <c r="E418" i="1"/>
  <c r="E417" i="1"/>
  <c r="E417" i="18" s="1"/>
  <c r="E416" i="1"/>
  <c r="E416" i="18" s="1"/>
  <c r="E415" i="1"/>
  <c r="D413" i="18"/>
  <c r="C413" i="18"/>
  <c r="B413" i="18"/>
  <c r="D412" i="18"/>
  <c r="C412" i="18"/>
  <c r="B412" i="18"/>
  <c r="D411" i="18"/>
  <c r="C411" i="18"/>
  <c r="B411" i="18"/>
  <c r="D410" i="18"/>
  <c r="C410" i="18"/>
  <c r="B410" i="18"/>
  <c r="D409" i="18"/>
  <c r="C409" i="18"/>
  <c r="B409" i="18"/>
  <c r="C408" i="18"/>
  <c r="B408" i="18"/>
  <c r="D408" i="1"/>
  <c r="D390" i="1"/>
  <c r="D384" i="1"/>
  <c r="D395" i="18"/>
  <c r="C395" i="18"/>
  <c r="B395" i="18"/>
  <c r="N394" i="18"/>
  <c r="M394" i="18"/>
  <c r="J394" i="18"/>
  <c r="I394" i="18"/>
  <c r="D394" i="18"/>
  <c r="C394" i="18"/>
  <c r="B394" i="18"/>
  <c r="N393" i="18"/>
  <c r="M393" i="18"/>
  <c r="J393" i="18"/>
  <c r="I393" i="18"/>
  <c r="D393" i="18"/>
  <c r="C393" i="18"/>
  <c r="B393" i="18"/>
  <c r="N392" i="18"/>
  <c r="M392" i="18"/>
  <c r="J392" i="18"/>
  <c r="I392" i="18"/>
  <c r="D392" i="18"/>
  <c r="C392" i="18"/>
  <c r="B392" i="18"/>
  <c r="N391" i="18"/>
  <c r="M391" i="18"/>
  <c r="J391" i="18"/>
  <c r="I391" i="18"/>
  <c r="D391" i="18"/>
  <c r="C391" i="18"/>
  <c r="B391" i="18"/>
  <c r="N390" i="18"/>
  <c r="P393" i="18" s="1"/>
  <c r="M390" i="18"/>
  <c r="E390" i="18"/>
  <c r="C390" i="18"/>
  <c r="B390" i="18"/>
  <c r="E395" i="1"/>
  <c r="E394" i="1"/>
  <c r="E393" i="1"/>
  <c r="E393" i="18" s="1"/>
  <c r="E392" i="1"/>
  <c r="E392" i="18" s="1"/>
  <c r="E391" i="1"/>
  <c r="D389" i="18"/>
  <c r="C389" i="18"/>
  <c r="B389" i="18"/>
  <c r="D388" i="18"/>
  <c r="C388" i="18"/>
  <c r="B388" i="18"/>
  <c r="D387" i="18"/>
  <c r="C387" i="18"/>
  <c r="B387" i="18"/>
  <c r="D386" i="18"/>
  <c r="C386" i="18"/>
  <c r="B386" i="18"/>
  <c r="D385" i="18"/>
  <c r="C385" i="18"/>
  <c r="B385" i="18"/>
  <c r="E384" i="18"/>
  <c r="E378" i="18"/>
  <c r="C384" i="18"/>
  <c r="B384" i="18"/>
  <c r="F384" i="1"/>
  <c r="F384" i="18" s="1"/>
  <c r="M51" i="28" l="1"/>
  <c r="P51" i="28"/>
  <c r="S49" i="28"/>
  <c r="S52" i="28" s="1"/>
  <c r="G51" i="28"/>
  <c r="O51" i="28"/>
  <c r="S48" i="28"/>
  <c r="H51" i="28"/>
  <c r="J51" i="28"/>
  <c r="D783" i="18"/>
  <c r="E786" i="18"/>
  <c r="E788" i="18"/>
  <c r="D777" i="18"/>
  <c r="E785" i="18"/>
  <c r="D486" i="18"/>
  <c r="E787" i="18"/>
  <c r="H785" i="18"/>
  <c r="H786" i="18"/>
  <c r="Q783" i="18"/>
  <c r="Q785" i="18"/>
  <c r="S785" i="18"/>
  <c r="R785" i="18"/>
  <c r="G788" i="1"/>
  <c r="P784" i="18"/>
  <c r="P788" i="18"/>
  <c r="E447" i="18"/>
  <c r="P787" i="18"/>
  <c r="H784" i="18"/>
  <c r="R783" i="18"/>
  <c r="P786" i="18"/>
  <c r="S783" i="18"/>
  <c r="H787" i="18"/>
  <c r="D408" i="18"/>
  <c r="Q463" i="18"/>
  <c r="Q451" i="18"/>
  <c r="P464" i="18"/>
  <c r="Q464" i="18" s="1"/>
  <c r="R462" i="18"/>
  <c r="H467" i="18"/>
  <c r="E463" i="18"/>
  <c r="E467" i="18"/>
  <c r="H464" i="18"/>
  <c r="G467" i="1"/>
  <c r="Q459" i="18"/>
  <c r="E466" i="18"/>
  <c r="H463" i="18"/>
  <c r="H391" i="18"/>
  <c r="E465" i="18"/>
  <c r="H466" i="18"/>
  <c r="S463" i="18"/>
  <c r="R463" i="18"/>
  <c r="H465" i="18"/>
  <c r="D462" i="18"/>
  <c r="S462" i="18"/>
  <c r="P465" i="18"/>
  <c r="P466" i="18"/>
  <c r="P467" i="18"/>
  <c r="Q462" i="18"/>
  <c r="P460" i="18"/>
  <c r="S460" i="18" s="1"/>
  <c r="R456" i="18"/>
  <c r="D456" i="18"/>
  <c r="R450" i="18"/>
  <c r="P452" i="18"/>
  <c r="R452" i="18" s="1"/>
  <c r="E459" i="18"/>
  <c r="H445" i="18"/>
  <c r="E445" i="18"/>
  <c r="E448" i="18"/>
  <c r="H452" i="18"/>
  <c r="E453" i="18"/>
  <c r="E455" i="18"/>
  <c r="E457" i="18"/>
  <c r="H459" i="18"/>
  <c r="E460" i="18"/>
  <c r="G419" i="1"/>
  <c r="E451" i="18"/>
  <c r="G455" i="1"/>
  <c r="E446" i="18"/>
  <c r="E449" i="18"/>
  <c r="D450" i="18"/>
  <c r="D444" i="18"/>
  <c r="H451" i="18"/>
  <c r="H453" i="18"/>
  <c r="H457" i="18"/>
  <c r="E461" i="18"/>
  <c r="G461" i="1"/>
  <c r="E452" i="18"/>
  <c r="H454" i="18"/>
  <c r="H458" i="18"/>
  <c r="S459" i="18"/>
  <c r="R459" i="18"/>
  <c r="H460" i="18"/>
  <c r="E454" i="18"/>
  <c r="E458" i="18"/>
  <c r="S451" i="18"/>
  <c r="R451" i="18"/>
  <c r="S450" i="18"/>
  <c r="P453" i="18"/>
  <c r="P454" i="18"/>
  <c r="P461" i="18"/>
  <c r="P455" i="18"/>
  <c r="Q456" i="18"/>
  <c r="P457" i="18"/>
  <c r="P458" i="18"/>
  <c r="Q450" i="18"/>
  <c r="S456" i="18"/>
  <c r="Q444" i="18"/>
  <c r="R444" i="18"/>
  <c r="P448" i="18"/>
  <c r="S448" i="18" s="1"/>
  <c r="Q447" i="18"/>
  <c r="S447" i="18"/>
  <c r="R447" i="18"/>
  <c r="H446" i="18"/>
  <c r="E419" i="18"/>
  <c r="H447" i="18"/>
  <c r="P449" i="18"/>
  <c r="G449" i="1"/>
  <c r="H448" i="18"/>
  <c r="H416" i="18"/>
  <c r="D390" i="18"/>
  <c r="E418" i="18"/>
  <c r="P445" i="18"/>
  <c r="D414" i="18"/>
  <c r="D438" i="18"/>
  <c r="P446" i="18"/>
  <c r="H415" i="18"/>
  <c r="S444" i="18"/>
  <c r="P418" i="18"/>
  <c r="S418" i="18" s="1"/>
  <c r="S417" i="18"/>
  <c r="R417" i="18"/>
  <c r="Q417" i="18"/>
  <c r="H417" i="18"/>
  <c r="P419" i="18"/>
  <c r="H393" i="18"/>
  <c r="E394" i="18"/>
  <c r="D384" i="18"/>
  <c r="H418" i="18"/>
  <c r="H394" i="18"/>
  <c r="Q414" i="18"/>
  <c r="E415" i="18"/>
  <c r="P415" i="18"/>
  <c r="R414" i="18"/>
  <c r="P416" i="18"/>
  <c r="S414" i="18"/>
  <c r="P391" i="18"/>
  <c r="Q391" i="18" s="1"/>
  <c r="P394" i="18"/>
  <c r="S394" i="18" s="1"/>
  <c r="Q390" i="18"/>
  <c r="Q393" i="18"/>
  <c r="S393" i="18"/>
  <c r="R393" i="18"/>
  <c r="H392" i="18"/>
  <c r="E395" i="18"/>
  <c r="P395" i="18"/>
  <c r="G395" i="1"/>
  <c r="E391" i="18"/>
  <c r="R390" i="18"/>
  <c r="P392" i="18"/>
  <c r="S390" i="18"/>
  <c r="S51" i="28" l="1"/>
  <c r="Q452" i="18"/>
  <c r="H450" i="18"/>
  <c r="S452" i="18"/>
  <c r="R448" i="18"/>
  <c r="Q448" i="18"/>
  <c r="S787" i="18"/>
  <c r="R787" i="18"/>
  <c r="Q787" i="18"/>
  <c r="H783" i="18"/>
  <c r="S784" i="18"/>
  <c r="R784" i="18"/>
  <c r="Q784" i="18"/>
  <c r="G788" i="18"/>
  <c r="H788" i="18"/>
  <c r="R786" i="18"/>
  <c r="Q786" i="18"/>
  <c r="S786" i="18"/>
  <c r="H461" i="18"/>
  <c r="R464" i="18"/>
  <c r="S464" i="18"/>
  <c r="S466" i="18"/>
  <c r="R466" i="18"/>
  <c r="Q466" i="18"/>
  <c r="G467" i="18"/>
  <c r="H462" i="18"/>
  <c r="S465" i="18"/>
  <c r="R465" i="18"/>
  <c r="Q465" i="18"/>
  <c r="Q460" i="18"/>
  <c r="R460" i="18"/>
  <c r="G419" i="18"/>
  <c r="Q458" i="18"/>
  <c r="S458" i="18"/>
  <c r="R458" i="18"/>
  <c r="H455" i="18"/>
  <c r="R457" i="18"/>
  <c r="Q457" i="18"/>
  <c r="S457" i="18"/>
  <c r="G455" i="18"/>
  <c r="S454" i="18"/>
  <c r="R454" i="18"/>
  <c r="Q454" i="18"/>
  <c r="S453" i="18"/>
  <c r="R453" i="18"/>
  <c r="Q453" i="18"/>
  <c r="G461" i="18"/>
  <c r="H456" i="18"/>
  <c r="H444" i="18"/>
  <c r="Q446" i="18"/>
  <c r="R446" i="18"/>
  <c r="S446" i="18"/>
  <c r="H449" i="18"/>
  <c r="R445" i="18"/>
  <c r="Q445" i="18"/>
  <c r="S445" i="18"/>
  <c r="G449" i="18"/>
  <c r="R418" i="18"/>
  <c r="Q418" i="18"/>
  <c r="H419" i="18"/>
  <c r="R415" i="18"/>
  <c r="Q415" i="18"/>
  <c r="S415" i="18"/>
  <c r="Q416" i="18"/>
  <c r="S416" i="18"/>
  <c r="R416" i="18"/>
  <c r="H414" i="18"/>
  <c r="R394" i="18"/>
  <c r="Q394" i="18"/>
  <c r="R391" i="18"/>
  <c r="S391" i="18"/>
  <c r="G395" i="18"/>
  <c r="H395" i="18"/>
  <c r="H390" i="18"/>
  <c r="Q392" i="18"/>
  <c r="R392" i="18"/>
  <c r="S392" i="18"/>
  <c r="X5" i="28" l="1"/>
  <c r="P52" i="28"/>
  <c r="T44" i="28"/>
  <c r="S53" i="28"/>
  <c r="T27" i="28"/>
  <c r="T30" i="28"/>
  <c r="T26" i="28"/>
  <c r="T49" i="28" s="1"/>
  <c r="T25" i="28"/>
  <c r="T48" i="28" s="1"/>
  <c r="T51" i="28" s="1"/>
  <c r="T36" i="28"/>
  <c r="N52" i="28"/>
  <c r="T31" i="28"/>
  <c r="J52" i="28"/>
  <c r="M52" i="28"/>
  <c r="T40" i="28"/>
  <c r="T28" i="28"/>
  <c r="O52" i="28"/>
  <c r="Q52" i="28"/>
  <c r="T34" i="28"/>
  <c r="H52" i="28"/>
  <c r="T32" i="28"/>
  <c r="T35" i="28"/>
  <c r="T29" i="28"/>
  <c r="T42" i="28"/>
  <c r="T41" i="28"/>
  <c r="G52" i="28"/>
  <c r="T33" i="28"/>
  <c r="T45" i="28"/>
  <c r="T39" i="28"/>
  <c r="K52" i="28"/>
  <c r="T38" i="28"/>
  <c r="F52" i="28"/>
  <c r="T46" i="28"/>
  <c r="T43" i="28"/>
  <c r="T37" i="28"/>
  <c r="I52" i="28"/>
  <c r="L52" i="28"/>
  <c r="D42" i="18"/>
  <c r="C42" i="18"/>
  <c r="B42" i="18"/>
  <c r="D41" i="18"/>
  <c r="C41" i="18"/>
  <c r="B41" i="18"/>
  <c r="D40" i="18"/>
  <c r="C40" i="18"/>
  <c r="B40" i="18"/>
  <c r="D39" i="18"/>
  <c r="C39" i="18"/>
  <c r="B39" i="18"/>
  <c r="D38" i="18"/>
  <c r="C38" i="18"/>
  <c r="B38" i="18"/>
  <c r="D37" i="18"/>
  <c r="C37" i="18"/>
  <c r="B37" i="18"/>
  <c r="D36" i="18"/>
  <c r="C36" i="18"/>
  <c r="B36" i="18"/>
  <c r="D35" i="18"/>
  <c r="C35" i="18"/>
  <c r="B35" i="18"/>
  <c r="D34" i="18"/>
  <c r="C34" i="18"/>
  <c r="B34" i="18"/>
  <c r="D33" i="18"/>
  <c r="C33" i="18"/>
  <c r="B33" i="18"/>
  <c r="D32" i="18"/>
  <c r="C32" i="18"/>
  <c r="B32" i="18"/>
  <c r="D31" i="18"/>
  <c r="C31" i="18"/>
  <c r="B31" i="18"/>
  <c r="D30" i="18"/>
  <c r="C30" i="18"/>
  <c r="B30" i="18"/>
  <c r="D29" i="18"/>
  <c r="C29" i="18"/>
  <c r="B29" i="18"/>
  <c r="D28" i="18"/>
  <c r="C28" i="18"/>
  <c r="B28" i="18"/>
  <c r="D26" i="18"/>
  <c r="C26" i="18"/>
  <c r="B26" i="18"/>
  <c r="D25" i="18"/>
  <c r="C25" i="18"/>
  <c r="B25" i="18"/>
  <c r="D24" i="18"/>
  <c r="C24" i="18"/>
  <c r="B24" i="18"/>
  <c r="D23" i="18"/>
  <c r="C23" i="18"/>
  <c r="B23" i="18"/>
  <c r="D22" i="18"/>
  <c r="C22" i="18"/>
  <c r="B22" i="18"/>
  <c r="D21" i="18"/>
  <c r="C21" i="18"/>
  <c r="B21" i="18"/>
  <c r="D20" i="18"/>
  <c r="C20" i="18"/>
  <c r="B20" i="18"/>
  <c r="T3" i="2"/>
  <c r="J78" i="2" s="1"/>
  <c r="F53" i="28" l="1"/>
  <c r="G53" i="28" s="1"/>
  <c r="H53" i="28" s="1"/>
  <c r="I53" i="28" s="1"/>
  <c r="J53" i="28" s="1"/>
  <c r="K53" i="28" s="1"/>
  <c r="L53" i="28" s="1"/>
  <c r="M53" i="28" s="1"/>
  <c r="N53" i="28" s="1"/>
  <c r="O53" i="28" s="1"/>
  <c r="P53" i="28" s="1"/>
  <c r="Q53" i="28" s="1"/>
  <c r="T52" i="28"/>
  <c r="T53" i="28" s="1"/>
  <c r="J80" i="2"/>
  <c r="J81" i="2"/>
  <c r="J79" i="2"/>
  <c r="J82" i="2"/>
  <c r="J83" i="2"/>
  <c r="J72" i="2"/>
  <c r="J84" i="2"/>
  <c r="J73" i="2"/>
  <c r="J74" i="2"/>
  <c r="J75" i="2"/>
  <c r="J76" i="2"/>
  <c r="J77" i="2"/>
  <c r="T2" i="2"/>
  <c r="D43" i="18"/>
  <c r="C43" i="18"/>
  <c r="B43" i="18"/>
  <c r="I1624" i="1" l="1"/>
  <c r="J1624" i="1" s="1"/>
  <c r="I1623" i="1"/>
  <c r="J1623" i="1" s="1"/>
  <c r="I1622" i="1"/>
  <c r="J1622" i="1" s="1"/>
  <c r="I1621" i="1"/>
  <c r="J1621" i="1" s="1"/>
  <c r="I1620" i="1"/>
  <c r="J1620" i="1" s="1"/>
  <c r="I1619" i="1"/>
  <c r="J1619" i="1" s="1"/>
  <c r="I1618" i="1"/>
  <c r="J1618" i="1" s="1"/>
  <c r="I1617" i="1"/>
  <c r="J1617" i="1" s="1"/>
  <c r="I1616" i="1"/>
  <c r="J1616" i="1" s="1"/>
  <c r="I1615" i="1"/>
  <c r="J1615" i="1" s="1"/>
  <c r="I1614" i="1"/>
  <c r="J1614" i="1" s="1"/>
  <c r="I1613" i="1"/>
  <c r="J1613" i="1" s="1"/>
  <c r="I1612" i="1"/>
  <c r="J1612" i="1" s="1"/>
  <c r="I1611" i="1"/>
  <c r="J1611" i="1" s="1"/>
  <c r="I1610" i="1"/>
  <c r="J1610" i="1" s="1"/>
  <c r="I1609" i="1"/>
  <c r="J1609" i="1" s="1"/>
  <c r="I1608" i="1"/>
  <c r="J1608" i="1" s="1"/>
  <c r="I1607" i="1"/>
  <c r="J1607" i="1" s="1"/>
  <c r="J1606" i="1"/>
  <c r="I1606" i="1"/>
  <c r="I1605" i="1"/>
  <c r="J1605" i="1" s="1"/>
  <c r="I1604" i="1"/>
  <c r="J1604" i="1" s="1"/>
  <c r="I1603" i="1"/>
  <c r="J1603" i="1" s="1"/>
  <c r="I1602" i="1"/>
  <c r="J1602" i="1" s="1"/>
  <c r="I1601" i="1"/>
  <c r="J1601" i="1" s="1"/>
  <c r="I1600" i="1"/>
  <c r="J1600" i="1" s="1"/>
  <c r="I1599" i="1"/>
  <c r="J1599" i="1" s="1"/>
  <c r="J1598" i="1"/>
  <c r="I1598" i="1"/>
  <c r="I1597" i="1"/>
  <c r="J1597" i="1" s="1"/>
  <c r="I1596" i="1"/>
  <c r="J1596" i="1" s="1"/>
  <c r="I1595" i="1"/>
  <c r="J1595" i="1" s="1"/>
  <c r="I1594" i="1"/>
  <c r="J1594" i="1" s="1"/>
  <c r="I1593" i="1"/>
  <c r="J1593" i="1" s="1"/>
  <c r="D1028" i="18"/>
  <c r="C1028" i="18"/>
  <c r="B1028" i="18"/>
  <c r="D1027" i="18"/>
  <c r="C1027" i="18"/>
  <c r="B1027" i="18"/>
  <c r="D1026" i="18"/>
  <c r="C1026" i="18"/>
  <c r="B1026" i="18"/>
  <c r="D1025" i="18"/>
  <c r="C1025" i="18"/>
  <c r="B1025" i="18"/>
  <c r="D1024" i="18"/>
  <c r="C1024" i="18"/>
  <c r="B1024" i="18"/>
  <c r="D1023" i="18"/>
  <c r="C1023" i="18"/>
  <c r="B1023" i="18"/>
  <c r="B81" i="18"/>
  <c r="D81" i="18"/>
  <c r="C81" i="18"/>
  <c r="D691" i="18"/>
  <c r="C691" i="18"/>
  <c r="B691" i="18"/>
  <c r="D690" i="18"/>
  <c r="C690" i="18"/>
  <c r="B690" i="18"/>
  <c r="D648" i="18"/>
  <c r="C648" i="18"/>
  <c r="B648" i="18"/>
  <c r="D591" i="18"/>
  <c r="C591" i="18"/>
  <c r="B591" i="18"/>
  <c r="D590" i="18"/>
  <c r="C590" i="18"/>
  <c r="B590" i="18"/>
  <c r="D229" i="18"/>
  <c r="C229" i="18"/>
  <c r="B229" i="18"/>
  <c r="D186" i="18"/>
  <c r="C186" i="18"/>
  <c r="B186" i="18"/>
  <c r="D185" i="18"/>
  <c r="C185" i="18"/>
  <c r="B185" i="18"/>
  <c r="D27" i="18"/>
  <c r="C27" i="18"/>
  <c r="B27" i="18"/>
  <c r="B56" i="11" l="1"/>
  <c r="S56" i="11"/>
  <c r="R56" i="11"/>
  <c r="E21" i="7"/>
  <c r="F21" i="7"/>
  <c r="L25" i="17"/>
  <c r="L21" i="17"/>
  <c r="L12" i="17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L14" i="17" l="1"/>
  <c r="L22" i="17"/>
  <c r="L15" i="17"/>
  <c r="L24" i="17"/>
  <c r="L16" i="17"/>
  <c r="L17" i="17"/>
  <c r="L26" i="17"/>
  <c r="L18" i="17"/>
  <c r="L28" i="17"/>
  <c r="L19" i="17"/>
  <c r="L29" i="17"/>
  <c r="L20" i="17"/>
  <c r="L30" i="17"/>
  <c r="L31" i="17"/>
  <c r="E184" i="1" l="1"/>
  <c r="H26" i="18" l="1"/>
  <c r="H28" i="18"/>
  <c r="H27" i="18"/>
  <c r="O16" i="18"/>
  <c r="B2548" i="1"/>
  <c r="M216" i="25"/>
  <c r="F783" i="1" s="1"/>
  <c r="F216" i="25"/>
  <c r="F777" i="1" s="1"/>
  <c r="F777" i="18" s="1"/>
  <c r="K215" i="25"/>
  <c r="D215" i="25"/>
  <c r="J214" i="25"/>
  <c r="C214" i="25"/>
  <c r="J203" i="25"/>
  <c r="J204" i="25" s="1"/>
  <c r="C203" i="25"/>
  <c r="C204" i="25" s="1"/>
  <c r="M202" i="25"/>
  <c r="F202" i="25"/>
  <c r="M201" i="25"/>
  <c r="F201" i="25"/>
  <c r="M199" i="25"/>
  <c r="M203" i="25" s="1"/>
  <c r="M204" i="25" s="1"/>
  <c r="F199" i="25"/>
  <c r="M178" i="25"/>
  <c r="F178" i="25"/>
  <c r="F408" i="1" s="1"/>
  <c r="F408" i="18" s="1"/>
  <c r="K177" i="25"/>
  <c r="D177" i="25"/>
  <c r="J176" i="25"/>
  <c r="M174" i="25" s="1"/>
  <c r="C176" i="25"/>
  <c r="J165" i="25"/>
  <c r="J166" i="25" s="1"/>
  <c r="C165" i="25"/>
  <c r="C166" i="25" s="1"/>
  <c r="M164" i="25"/>
  <c r="F164" i="25"/>
  <c r="M163" i="25"/>
  <c r="F163" i="25"/>
  <c r="M161" i="25"/>
  <c r="F161" i="25"/>
  <c r="M141" i="25"/>
  <c r="F390" i="1" s="1"/>
  <c r="F141" i="25"/>
  <c r="K140" i="25"/>
  <c r="D140" i="25"/>
  <c r="J139" i="25"/>
  <c r="C139" i="25"/>
  <c r="J128" i="25"/>
  <c r="J129" i="25" s="1"/>
  <c r="C128" i="25"/>
  <c r="C129" i="25" s="1"/>
  <c r="M127" i="25"/>
  <c r="F127" i="25"/>
  <c r="M126" i="25"/>
  <c r="F126" i="25"/>
  <c r="M124" i="25"/>
  <c r="F124" i="25"/>
  <c r="M105" i="25"/>
  <c r="F486" i="1" s="1"/>
  <c r="F486" i="18" s="1"/>
  <c r="F105" i="25"/>
  <c r="F462" i="1" s="1"/>
  <c r="K104" i="25"/>
  <c r="D104" i="25"/>
  <c r="J103" i="25"/>
  <c r="C103" i="25"/>
  <c r="F101" i="25" s="1"/>
  <c r="F465" i="1" s="1"/>
  <c r="J92" i="25"/>
  <c r="J93" i="25" s="1"/>
  <c r="C92" i="25"/>
  <c r="C93" i="25" s="1"/>
  <c r="M91" i="25"/>
  <c r="F91" i="25"/>
  <c r="M90" i="25"/>
  <c r="F90" i="25"/>
  <c r="M88" i="25"/>
  <c r="F88" i="25"/>
  <c r="M69" i="25"/>
  <c r="F456" i="1" s="1"/>
  <c r="F69" i="25"/>
  <c r="F450" i="1" s="1"/>
  <c r="K68" i="25"/>
  <c r="D68" i="25"/>
  <c r="J67" i="25"/>
  <c r="M65" i="25" s="1"/>
  <c r="F459" i="1" s="1"/>
  <c r="C67" i="25"/>
  <c r="J56" i="25"/>
  <c r="J57" i="25" s="1"/>
  <c r="C56" i="25"/>
  <c r="C57" i="25" s="1"/>
  <c r="M55" i="25"/>
  <c r="F55" i="25"/>
  <c r="M54" i="25"/>
  <c r="F54" i="25"/>
  <c r="M52" i="25"/>
  <c r="F52" i="25"/>
  <c r="M34" i="25"/>
  <c r="F444" i="1" s="1"/>
  <c r="F34" i="25"/>
  <c r="F438" i="1" s="1"/>
  <c r="F438" i="18" s="1"/>
  <c r="K33" i="25"/>
  <c r="D33" i="25"/>
  <c r="J32" i="25"/>
  <c r="C32" i="25"/>
  <c r="J21" i="25"/>
  <c r="J22" i="25" s="1"/>
  <c r="C21" i="25"/>
  <c r="C22" i="25" s="1"/>
  <c r="M20" i="25"/>
  <c r="F20" i="25"/>
  <c r="M19" i="25"/>
  <c r="F19" i="25"/>
  <c r="M17" i="25"/>
  <c r="F17" i="25"/>
  <c r="F390" i="18" l="1"/>
  <c r="L395" i="18" s="1"/>
  <c r="M395" i="18" s="1"/>
  <c r="N395" i="18" s="1"/>
  <c r="F783" i="18"/>
  <c r="L788" i="18" s="1"/>
  <c r="M788" i="18" s="1"/>
  <c r="N788" i="18" s="1"/>
  <c r="F459" i="18"/>
  <c r="G459" i="1"/>
  <c r="G459" i="18" s="1"/>
  <c r="F21" i="25"/>
  <c r="F22" i="25" s="1"/>
  <c r="F465" i="18"/>
  <c r="G465" i="1"/>
  <c r="G465" i="18" s="1"/>
  <c r="F444" i="18"/>
  <c r="L449" i="18" s="1"/>
  <c r="M449" i="18" s="1"/>
  <c r="N449" i="18" s="1"/>
  <c r="F456" i="18"/>
  <c r="L461" i="18" s="1"/>
  <c r="M461" i="18" s="1"/>
  <c r="N461" i="18" s="1"/>
  <c r="F215" i="25"/>
  <c r="F779" i="1" s="1"/>
  <c r="F779" i="18" s="1"/>
  <c r="M104" i="25"/>
  <c r="F488" i="1" s="1"/>
  <c r="F488" i="18" s="1"/>
  <c r="M56" i="25"/>
  <c r="M57" i="25" s="1"/>
  <c r="F462" i="18"/>
  <c r="L467" i="18" s="1"/>
  <c r="M467" i="18" s="1"/>
  <c r="N467" i="18" s="1"/>
  <c r="F450" i="18"/>
  <c r="L455" i="18" s="1"/>
  <c r="M455" i="18" s="1"/>
  <c r="N455" i="18" s="1"/>
  <c r="M103" i="25"/>
  <c r="F487" i="1" s="1"/>
  <c r="F487" i="18" s="1"/>
  <c r="F414" i="1"/>
  <c r="F414" i="18" s="1"/>
  <c r="L419" i="18" s="1"/>
  <c r="M67" i="25"/>
  <c r="F457" i="1" s="1"/>
  <c r="F128" i="25"/>
  <c r="F129" i="25" s="1"/>
  <c r="M165" i="25"/>
  <c r="M166" i="25" s="1"/>
  <c r="F92" i="25"/>
  <c r="F93" i="25" s="1"/>
  <c r="M92" i="25"/>
  <c r="M93" i="25" s="1"/>
  <c r="F67" i="25"/>
  <c r="F451" i="1" s="1"/>
  <c r="F56" i="25"/>
  <c r="F57" i="25" s="1"/>
  <c r="M21" i="25"/>
  <c r="M22" i="25" s="1"/>
  <c r="F214" i="25"/>
  <c r="F778" i="1" s="1"/>
  <c r="F778" i="18" s="1"/>
  <c r="F65" i="25"/>
  <c r="F453" i="1" s="1"/>
  <c r="F212" i="25"/>
  <c r="F780" i="1" s="1"/>
  <c r="F780" i="18" s="1"/>
  <c r="M32" i="25"/>
  <c r="F445" i="1" s="1"/>
  <c r="F104" i="25"/>
  <c r="F464" i="1" s="1"/>
  <c r="M128" i="25"/>
  <c r="M129" i="25" s="1"/>
  <c r="F139" i="25"/>
  <c r="F385" i="1" s="1"/>
  <c r="F385" i="18" s="1"/>
  <c r="F165" i="25"/>
  <c r="F166" i="25" s="1"/>
  <c r="F176" i="25"/>
  <c r="F409" i="1" s="1"/>
  <c r="F409" i="18" s="1"/>
  <c r="F203" i="25"/>
  <c r="F204" i="25" s="1"/>
  <c r="F32" i="25"/>
  <c r="F439" i="1" s="1"/>
  <c r="F439" i="18" s="1"/>
  <c r="M101" i="25"/>
  <c r="F68" i="25"/>
  <c r="F452" i="1" s="1"/>
  <c r="M140" i="25"/>
  <c r="F392" i="1" s="1"/>
  <c r="M176" i="25"/>
  <c r="M214" i="25"/>
  <c r="F784" i="1" s="1"/>
  <c r="B2548" i="18"/>
  <c r="F33" i="25"/>
  <c r="F440" i="1" s="1"/>
  <c r="F440" i="18" s="1"/>
  <c r="M68" i="25"/>
  <c r="F458" i="1" s="1"/>
  <c r="F103" i="25"/>
  <c r="F463" i="1" s="1"/>
  <c r="F466" i="1" s="1"/>
  <c r="M139" i="25"/>
  <c r="F391" i="1" s="1"/>
  <c r="F177" i="25"/>
  <c r="F410" i="1" s="1"/>
  <c r="F410" i="18" s="1"/>
  <c r="M212" i="25"/>
  <c r="F786" i="1" s="1"/>
  <c r="M215" i="25"/>
  <c r="F785" i="1" s="1"/>
  <c r="F30" i="25"/>
  <c r="F441" i="1" s="1"/>
  <c r="F441" i="18" s="1"/>
  <c r="F174" i="25"/>
  <c r="F411" i="1" s="1"/>
  <c r="F411" i="18" s="1"/>
  <c r="M30" i="25"/>
  <c r="F447" i="1" s="1"/>
  <c r="M33" i="25"/>
  <c r="F446" i="1" s="1"/>
  <c r="F140" i="25"/>
  <c r="F386" i="1" s="1"/>
  <c r="F386" i="18" s="1"/>
  <c r="M177" i="25"/>
  <c r="F137" i="25"/>
  <c r="F387" i="1" s="1"/>
  <c r="F387" i="18" s="1"/>
  <c r="M137" i="25"/>
  <c r="F393" i="1" s="1"/>
  <c r="F787" i="1" l="1"/>
  <c r="F460" i="1"/>
  <c r="F460" i="18" s="1"/>
  <c r="F448" i="1"/>
  <c r="M179" i="25"/>
  <c r="F106" i="25"/>
  <c r="F107" i="25" s="1"/>
  <c r="F454" i="1"/>
  <c r="F454" i="18" s="1"/>
  <c r="F448" i="18"/>
  <c r="G448" i="1"/>
  <c r="G448" i="18" s="1"/>
  <c r="F787" i="18"/>
  <c r="G787" i="1"/>
  <c r="G787" i="18" s="1"/>
  <c r="G466" i="1"/>
  <c r="G466" i="18" s="1"/>
  <c r="F466" i="18"/>
  <c r="S455" i="18"/>
  <c r="Q455" i="18"/>
  <c r="R455" i="18"/>
  <c r="R449" i="18"/>
  <c r="Q449" i="18"/>
  <c r="S449" i="18"/>
  <c r="F391" i="18"/>
  <c r="G391" i="1"/>
  <c r="F451" i="18"/>
  <c r="G451" i="1"/>
  <c r="G451" i="18" s="1"/>
  <c r="R467" i="18"/>
  <c r="S467" i="18"/>
  <c r="Q467" i="18"/>
  <c r="F453" i="18"/>
  <c r="G453" i="1"/>
  <c r="G453" i="18" s="1"/>
  <c r="F463" i="18"/>
  <c r="G463" i="1"/>
  <c r="S788" i="18"/>
  <c r="R788" i="18"/>
  <c r="Q788" i="18"/>
  <c r="F447" i="18"/>
  <c r="G447" i="1"/>
  <c r="G447" i="18" s="1"/>
  <c r="F452" i="18"/>
  <c r="G452" i="1"/>
  <c r="G452" i="18" s="1"/>
  <c r="F786" i="18"/>
  <c r="G786" i="1"/>
  <c r="G786" i="18" s="1"/>
  <c r="F458" i="18"/>
  <c r="G458" i="1"/>
  <c r="G458" i="18" s="1"/>
  <c r="F394" i="1"/>
  <c r="F392" i="18"/>
  <c r="G392" i="1"/>
  <c r="G392" i="18" s="1"/>
  <c r="F393" i="18"/>
  <c r="G393" i="1"/>
  <c r="G393" i="18" s="1"/>
  <c r="F464" i="18"/>
  <c r="G464" i="1"/>
  <c r="G464" i="18" s="1"/>
  <c r="S395" i="18"/>
  <c r="Q395" i="18"/>
  <c r="R395" i="18"/>
  <c r="F785" i="18"/>
  <c r="G785" i="1"/>
  <c r="G785" i="18" s="1"/>
  <c r="F446" i="18"/>
  <c r="G446" i="1"/>
  <c r="G446" i="18" s="1"/>
  <c r="F784" i="18"/>
  <c r="G784" i="1"/>
  <c r="F445" i="18"/>
  <c r="G445" i="1"/>
  <c r="F457" i="18"/>
  <c r="G457" i="1"/>
  <c r="G457" i="18" s="1"/>
  <c r="S461" i="18"/>
  <c r="R461" i="18"/>
  <c r="Q461" i="18"/>
  <c r="M419" i="18"/>
  <c r="N419" i="18" s="1"/>
  <c r="Q419" i="18" s="1"/>
  <c r="M106" i="25"/>
  <c r="M107" i="25" s="1"/>
  <c r="F489" i="1"/>
  <c r="F489" i="18" s="1"/>
  <c r="F416" i="1"/>
  <c r="F415" i="1"/>
  <c r="F35" i="25"/>
  <c r="F36" i="25" s="1"/>
  <c r="M217" i="25"/>
  <c r="M218" i="25" s="1"/>
  <c r="M35" i="25"/>
  <c r="M36" i="25" s="1"/>
  <c r="F217" i="25"/>
  <c r="F218" i="25" s="1"/>
  <c r="F70" i="25"/>
  <c r="F71" i="25" s="1"/>
  <c r="F179" i="25"/>
  <c r="F180" i="25" s="1"/>
  <c r="M70" i="25"/>
  <c r="M71" i="25" s="1"/>
  <c r="M142" i="25"/>
  <c r="M143" i="25" s="1"/>
  <c r="F142" i="25"/>
  <c r="F143" i="25" s="1"/>
  <c r="G460" i="1" l="1"/>
  <c r="G454" i="1"/>
  <c r="G456" i="1"/>
  <c r="G460" i="18"/>
  <c r="G415" i="1"/>
  <c r="F415" i="18"/>
  <c r="G784" i="18"/>
  <c r="G783" i="1"/>
  <c r="G391" i="18"/>
  <c r="F394" i="18"/>
  <c r="G394" i="1"/>
  <c r="G394" i="18" s="1"/>
  <c r="G463" i="18"/>
  <c r="G462" i="1"/>
  <c r="G416" i="1"/>
  <c r="G416" i="18" s="1"/>
  <c r="F416" i="18"/>
  <c r="G450" i="1"/>
  <c r="G454" i="18"/>
  <c r="G445" i="18"/>
  <c r="G444" i="1"/>
  <c r="R419" i="18"/>
  <c r="S419" i="18"/>
  <c r="G415" i="18"/>
  <c r="B10" i="9"/>
  <c r="G390" i="1" l="1"/>
  <c r="I462" i="1"/>
  <c r="I462" i="18" s="1"/>
  <c r="G462" i="18"/>
  <c r="I783" i="1"/>
  <c r="I783" i="18" s="1"/>
  <c r="G783" i="18"/>
  <c r="I444" i="1"/>
  <c r="I444" i="18" s="1"/>
  <c r="G444" i="18"/>
  <c r="I450" i="1"/>
  <c r="I450" i="18" s="1"/>
  <c r="G450" i="18"/>
  <c r="I456" i="1"/>
  <c r="I456" i="18" s="1"/>
  <c r="G456" i="18"/>
  <c r="L782" i="18"/>
  <c r="H782" i="18"/>
  <c r="N781" i="18"/>
  <c r="M781" i="18"/>
  <c r="J781" i="18"/>
  <c r="I781" i="18"/>
  <c r="H781" i="18"/>
  <c r="N780" i="18"/>
  <c r="M780" i="18"/>
  <c r="J780" i="18"/>
  <c r="I780" i="18"/>
  <c r="H780" i="18"/>
  <c r="N779" i="18"/>
  <c r="M779" i="18"/>
  <c r="J779" i="18"/>
  <c r="I779" i="18"/>
  <c r="H779" i="18"/>
  <c r="N778" i="18"/>
  <c r="M778" i="18"/>
  <c r="J778" i="18"/>
  <c r="I778" i="18"/>
  <c r="H778" i="18"/>
  <c r="N777" i="18"/>
  <c r="M777" i="18"/>
  <c r="H777" i="18"/>
  <c r="E782" i="1"/>
  <c r="E781" i="1"/>
  <c r="E780" i="1"/>
  <c r="E779" i="1"/>
  <c r="E778" i="1"/>
  <c r="L389" i="18"/>
  <c r="H389" i="18"/>
  <c r="N388" i="18"/>
  <c r="M388" i="18"/>
  <c r="J388" i="18"/>
  <c r="I388" i="18"/>
  <c r="H388" i="18"/>
  <c r="N387" i="18"/>
  <c r="M387" i="18"/>
  <c r="J387" i="18"/>
  <c r="I387" i="18"/>
  <c r="H387" i="18"/>
  <c r="N386" i="18"/>
  <c r="M386" i="18"/>
  <c r="J386" i="18"/>
  <c r="I386" i="18"/>
  <c r="H386" i="18"/>
  <c r="N385" i="18"/>
  <c r="M385" i="18"/>
  <c r="J385" i="18"/>
  <c r="I385" i="18"/>
  <c r="H385" i="18"/>
  <c r="N384" i="18"/>
  <c r="M384" i="18"/>
  <c r="H384" i="18"/>
  <c r="E389" i="1"/>
  <c r="E388" i="1"/>
  <c r="E387" i="1"/>
  <c r="E386" i="1"/>
  <c r="E385" i="1"/>
  <c r="L413" i="18"/>
  <c r="H413" i="18"/>
  <c r="N412" i="18"/>
  <c r="M412" i="18"/>
  <c r="J412" i="18"/>
  <c r="I412" i="18"/>
  <c r="H412" i="18"/>
  <c r="N411" i="18"/>
  <c r="M411" i="18"/>
  <c r="J411" i="18"/>
  <c r="I411" i="18"/>
  <c r="H411" i="18"/>
  <c r="N410" i="18"/>
  <c r="M410" i="18"/>
  <c r="J410" i="18"/>
  <c r="I410" i="18"/>
  <c r="H410" i="18"/>
  <c r="N409" i="18"/>
  <c r="M409" i="18"/>
  <c r="J409" i="18"/>
  <c r="I409" i="18"/>
  <c r="H409" i="18"/>
  <c r="N408" i="18"/>
  <c r="M408" i="18"/>
  <c r="H408" i="18"/>
  <c r="E408" i="18"/>
  <c r="E413" i="1"/>
  <c r="E412" i="1"/>
  <c r="E411" i="1"/>
  <c r="E411" i="18" s="1"/>
  <c r="E410" i="1"/>
  <c r="E410" i="18" s="1"/>
  <c r="E409" i="1"/>
  <c r="H491" i="18"/>
  <c r="N490" i="18"/>
  <c r="M490" i="18"/>
  <c r="J490" i="18"/>
  <c r="I490" i="18"/>
  <c r="H490" i="18"/>
  <c r="N489" i="18"/>
  <c r="M489" i="18"/>
  <c r="J489" i="18"/>
  <c r="I489" i="18"/>
  <c r="H489" i="18"/>
  <c r="N488" i="18"/>
  <c r="M488" i="18"/>
  <c r="J488" i="18"/>
  <c r="I488" i="18"/>
  <c r="H488" i="18"/>
  <c r="N487" i="18"/>
  <c r="M487" i="18"/>
  <c r="J487" i="18"/>
  <c r="I487" i="18"/>
  <c r="H487" i="18"/>
  <c r="N486" i="18"/>
  <c r="M486" i="18"/>
  <c r="H486" i="18"/>
  <c r="L491" i="18"/>
  <c r="E491" i="1"/>
  <c r="E490" i="1"/>
  <c r="E489" i="1"/>
  <c r="E488" i="1"/>
  <c r="E487" i="1"/>
  <c r="L443" i="18"/>
  <c r="H443" i="18"/>
  <c r="N442" i="18"/>
  <c r="M442" i="18"/>
  <c r="J442" i="18"/>
  <c r="I442" i="18"/>
  <c r="H442" i="18"/>
  <c r="N441" i="18"/>
  <c r="M441" i="18"/>
  <c r="J441" i="18"/>
  <c r="I441" i="18"/>
  <c r="H441" i="18"/>
  <c r="N440" i="18"/>
  <c r="M440" i="18"/>
  <c r="J440" i="18"/>
  <c r="I440" i="18"/>
  <c r="H440" i="18"/>
  <c r="N439" i="18"/>
  <c r="M439" i="18"/>
  <c r="J439" i="18"/>
  <c r="I439" i="18"/>
  <c r="H439" i="18"/>
  <c r="N438" i="18"/>
  <c r="M438" i="18"/>
  <c r="H438" i="18"/>
  <c r="E438" i="18"/>
  <c r="E443" i="1"/>
  <c r="E442" i="1"/>
  <c r="E441" i="1"/>
  <c r="E441" i="18" s="1"/>
  <c r="E440" i="1"/>
  <c r="E440" i="18" s="1"/>
  <c r="E439" i="1"/>
  <c r="O15" i="18"/>
  <c r="B2" i="1"/>
  <c r="G390" i="18" l="1"/>
  <c r="I390" i="1"/>
  <c r="I390" i="18" s="1"/>
  <c r="E779" i="18"/>
  <c r="E780" i="18"/>
  <c r="P488" i="18"/>
  <c r="S488" i="18" s="1"/>
  <c r="E781" i="18"/>
  <c r="P386" i="18"/>
  <c r="R386" i="18" s="1"/>
  <c r="E782" i="18"/>
  <c r="E778" i="18"/>
  <c r="E491" i="18"/>
  <c r="E487" i="18"/>
  <c r="E488" i="18"/>
  <c r="E489" i="18"/>
  <c r="E490" i="18"/>
  <c r="E387" i="18"/>
  <c r="E388" i="18"/>
  <c r="E389" i="18"/>
  <c r="E385" i="18"/>
  <c r="E386" i="18"/>
  <c r="F781" i="1"/>
  <c r="G385" i="1"/>
  <c r="G385" i="18" s="1"/>
  <c r="G778" i="1"/>
  <c r="G489" i="1"/>
  <c r="G782" i="1"/>
  <c r="G487" i="1"/>
  <c r="G488" i="1"/>
  <c r="F388" i="1"/>
  <c r="G780" i="1"/>
  <c r="G780" i="18" s="1"/>
  <c r="G491" i="1"/>
  <c r="P779" i="18"/>
  <c r="R779" i="18" s="1"/>
  <c r="P440" i="18"/>
  <c r="Q440" i="18" s="1"/>
  <c r="P410" i="18"/>
  <c r="R410" i="18" s="1"/>
  <c r="P782" i="18"/>
  <c r="Q777" i="18"/>
  <c r="S777" i="18"/>
  <c r="P778" i="18"/>
  <c r="Q778" i="18" s="1"/>
  <c r="M782" i="18"/>
  <c r="N782" i="18" s="1"/>
  <c r="P781" i="18"/>
  <c r="F490" i="1"/>
  <c r="G389" i="1"/>
  <c r="R777" i="18"/>
  <c r="P780" i="18"/>
  <c r="G779" i="1"/>
  <c r="Q384" i="18"/>
  <c r="P385" i="18"/>
  <c r="S385" i="18" s="1"/>
  <c r="M389" i="18"/>
  <c r="N389" i="18" s="1"/>
  <c r="G386" i="1"/>
  <c r="P389" i="18"/>
  <c r="P388" i="18"/>
  <c r="G387" i="1"/>
  <c r="R384" i="18"/>
  <c r="P387" i="18"/>
  <c r="S384" i="18"/>
  <c r="P411" i="18"/>
  <c r="Q411" i="18" s="1"/>
  <c r="Q408" i="18"/>
  <c r="R408" i="18"/>
  <c r="P413" i="18"/>
  <c r="M413" i="18"/>
  <c r="N413" i="18" s="1"/>
  <c r="G443" i="1"/>
  <c r="E439" i="18"/>
  <c r="E409" i="18"/>
  <c r="P409" i="18"/>
  <c r="E413" i="18"/>
  <c r="E443" i="18"/>
  <c r="P487" i="18"/>
  <c r="S487" i="18" s="1"/>
  <c r="E412" i="18"/>
  <c r="P412" i="18"/>
  <c r="G413" i="1"/>
  <c r="S408" i="18"/>
  <c r="M491" i="18"/>
  <c r="N491" i="18" s="1"/>
  <c r="P491" i="18"/>
  <c r="P490" i="18"/>
  <c r="Q486" i="18"/>
  <c r="R486" i="18"/>
  <c r="P489" i="18"/>
  <c r="S486" i="18"/>
  <c r="P439" i="18"/>
  <c r="S439" i="18" s="1"/>
  <c r="F442" i="1"/>
  <c r="G439" i="1"/>
  <c r="G439" i="18" s="1"/>
  <c r="S438" i="18"/>
  <c r="M443" i="18"/>
  <c r="N443" i="18" s="1"/>
  <c r="G440" i="1"/>
  <c r="P443" i="18"/>
  <c r="E442" i="18"/>
  <c r="P442" i="18"/>
  <c r="Q438" i="18"/>
  <c r="G441" i="1"/>
  <c r="R438" i="18"/>
  <c r="P441" i="18"/>
  <c r="B2" i="18"/>
  <c r="E614" i="1"/>
  <c r="E609" i="1"/>
  <c r="E604" i="1"/>
  <c r="E599" i="1"/>
  <c r="E594" i="1"/>
  <c r="G824" i="1"/>
  <c r="I824" i="1" s="1"/>
  <c r="G823" i="1"/>
  <c r="I823" i="1" s="1"/>
  <c r="G822" i="1"/>
  <c r="I822" i="1" s="1"/>
  <c r="G821" i="1"/>
  <c r="I821" i="1" s="1"/>
  <c r="F442" i="18" l="1"/>
  <c r="F388" i="18"/>
  <c r="F781" i="18"/>
  <c r="F490" i="18"/>
  <c r="Q488" i="18"/>
  <c r="Q386" i="18"/>
  <c r="R488" i="18"/>
  <c r="S386" i="18"/>
  <c r="G489" i="18"/>
  <c r="S440" i="18"/>
  <c r="G781" i="1"/>
  <c r="G781" i="18" s="1"/>
  <c r="R440" i="18"/>
  <c r="G778" i="18"/>
  <c r="S410" i="18"/>
  <c r="G389" i="18"/>
  <c r="Q779" i="18"/>
  <c r="G388" i="1"/>
  <c r="G384" i="1" s="1"/>
  <c r="S779" i="18"/>
  <c r="G782" i="18"/>
  <c r="Q410" i="18"/>
  <c r="G490" i="1"/>
  <c r="G486" i="1" s="1"/>
  <c r="I486" i="1" s="1"/>
  <c r="R778" i="18"/>
  <c r="S778" i="18"/>
  <c r="Q782" i="18"/>
  <c r="R782" i="18"/>
  <c r="S782" i="18"/>
  <c r="Q413" i="18"/>
  <c r="G779" i="18"/>
  <c r="G443" i="18"/>
  <c r="R780" i="18"/>
  <c r="Q780" i="18"/>
  <c r="S780" i="18"/>
  <c r="S781" i="18"/>
  <c r="R781" i="18"/>
  <c r="Q781" i="18"/>
  <c r="Q385" i="18"/>
  <c r="R385" i="18"/>
  <c r="R387" i="18"/>
  <c r="Q387" i="18"/>
  <c r="S387" i="18"/>
  <c r="G387" i="18"/>
  <c r="G386" i="18"/>
  <c r="S388" i="18"/>
  <c r="R388" i="18"/>
  <c r="Q388" i="18"/>
  <c r="R487" i="18"/>
  <c r="S389" i="18"/>
  <c r="R389" i="18"/>
  <c r="Q389" i="18"/>
  <c r="R413" i="18"/>
  <c r="R411" i="18"/>
  <c r="S411" i="18"/>
  <c r="S412" i="18"/>
  <c r="R412" i="18"/>
  <c r="Q412" i="18"/>
  <c r="S409" i="18"/>
  <c r="R409" i="18"/>
  <c r="Q409" i="18"/>
  <c r="Q487" i="18"/>
  <c r="G413" i="18"/>
  <c r="S413" i="18"/>
  <c r="G491" i="18"/>
  <c r="S491" i="18"/>
  <c r="R491" i="18"/>
  <c r="Q491" i="18"/>
  <c r="G487" i="18"/>
  <c r="R489" i="18"/>
  <c r="Q489" i="18"/>
  <c r="S489" i="18"/>
  <c r="S490" i="18"/>
  <c r="R490" i="18"/>
  <c r="Q490" i="18"/>
  <c r="G488" i="18"/>
  <c r="G442" i="1"/>
  <c r="G442" i="18" s="1"/>
  <c r="R439" i="18"/>
  <c r="Q439" i="18"/>
  <c r="G440" i="18"/>
  <c r="S442" i="18"/>
  <c r="R442" i="18"/>
  <c r="Q442" i="18"/>
  <c r="G441" i="18"/>
  <c r="R441" i="18"/>
  <c r="Q441" i="18"/>
  <c r="S441" i="18"/>
  <c r="S443" i="18"/>
  <c r="R443" i="18"/>
  <c r="Q443" i="18"/>
  <c r="E801" i="1"/>
  <c r="H2546" i="18"/>
  <c r="H2545" i="18"/>
  <c r="H2544" i="18"/>
  <c r="H2543" i="18"/>
  <c r="H2542" i="18"/>
  <c r="H2541" i="18"/>
  <c r="H2540" i="18"/>
  <c r="H2539" i="18"/>
  <c r="H2538" i="18"/>
  <c r="H2537" i="18"/>
  <c r="H2536" i="18"/>
  <c r="H2535" i="18"/>
  <c r="H2534" i="18"/>
  <c r="H2533" i="18"/>
  <c r="H2532" i="18"/>
  <c r="H2531" i="18"/>
  <c r="H2530" i="18"/>
  <c r="H2529" i="18"/>
  <c r="H2528" i="18"/>
  <c r="H2527" i="18"/>
  <c r="H2526" i="18"/>
  <c r="H2525" i="18"/>
  <c r="H2524" i="18"/>
  <c r="H2523" i="18"/>
  <c r="H2522" i="18"/>
  <c r="H2521" i="18"/>
  <c r="H2520" i="18"/>
  <c r="H2519" i="18"/>
  <c r="H2518" i="18"/>
  <c r="H2517" i="18"/>
  <c r="H2516" i="18"/>
  <c r="J2515" i="18"/>
  <c r="I2515" i="18"/>
  <c r="H2515" i="18"/>
  <c r="H2514" i="18"/>
  <c r="H2513" i="18"/>
  <c r="H2512" i="18"/>
  <c r="H2511" i="18"/>
  <c r="H2510" i="18"/>
  <c r="H2509" i="18"/>
  <c r="H2508" i="18"/>
  <c r="H2507" i="18"/>
  <c r="H2506" i="18"/>
  <c r="H2505" i="18"/>
  <c r="H2504" i="18"/>
  <c r="H2503" i="18"/>
  <c r="H2502" i="18"/>
  <c r="H2501" i="18"/>
  <c r="J2500" i="18"/>
  <c r="I2500" i="18"/>
  <c r="H2500" i="18"/>
  <c r="J2499" i="18"/>
  <c r="I2499" i="18"/>
  <c r="H2499" i="18"/>
  <c r="H2498" i="18"/>
  <c r="H2497" i="18"/>
  <c r="H2496" i="18"/>
  <c r="H2495" i="18"/>
  <c r="H2494" i="18"/>
  <c r="H2493" i="18"/>
  <c r="H2492" i="18"/>
  <c r="H2491" i="18"/>
  <c r="H2490" i="18"/>
  <c r="H2489" i="18"/>
  <c r="H2488" i="18"/>
  <c r="H2487" i="18"/>
  <c r="H2486" i="18"/>
  <c r="H2485" i="18"/>
  <c r="H2484" i="18"/>
  <c r="H2483" i="18"/>
  <c r="H2482" i="18"/>
  <c r="H2481" i="18"/>
  <c r="H2480" i="18"/>
  <c r="H2479" i="18"/>
  <c r="H2478" i="18"/>
  <c r="H2477" i="18"/>
  <c r="H2476" i="18"/>
  <c r="H2475" i="18"/>
  <c r="H2474" i="18"/>
  <c r="H2473" i="18"/>
  <c r="H2472" i="18"/>
  <c r="H2471" i="18"/>
  <c r="H2470" i="18"/>
  <c r="H2469" i="18"/>
  <c r="H2468" i="18"/>
  <c r="J2467" i="18"/>
  <c r="I2467" i="18"/>
  <c r="H2467" i="18"/>
  <c r="H2466" i="18"/>
  <c r="H2465" i="18"/>
  <c r="H2464" i="18"/>
  <c r="H2463" i="18"/>
  <c r="H2462" i="18"/>
  <c r="H2460" i="18"/>
  <c r="H2459" i="18"/>
  <c r="H2458" i="18"/>
  <c r="H2457" i="18"/>
  <c r="H2456" i="18"/>
  <c r="H2454" i="18"/>
  <c r="H2453" i="18"/>
  <c r="H2452" i="18"/>
  <c r="H2451" i="18"/>
  <c r="H2450" i="18"/>
  <c r="H2448" i="18"/>
  <c r="H2447" i="18"/>
  <c r="H2446" i="18"/>
  <c r="H2445" i="18"/>
  <c r="H2444" i="18"/>
  <c r="H2442" i="18"/>
  <c r="H2441" i="18"/>
  <c r="H2440" i="18"/>
  <c r="H2439" i="18"/>
  <c r="H2438" i="18"/>
  <c r="H2436" i="18"/>
  <c r="H2435" i="18"/>
  <c r="H2434" i="18"/>
  <c r="H2433" i="18"/>
  <c r="H2432" i="18"/>
  <c r="H2430" i="18"/>
  <c r="H2429" i="18"/>
  <c r="H2428" i="18"/>
  <c r="H2427" i="18"/>
  <c r="H2426" i="18"/>
  <c r="H2424" i="18"/>
  <c r="H2423" i="18"/>
  <c r="H2422" i="18"/>
  <c r="H2421" i="18"/>
  <c r="H2420" i="18"/>
  <c r="H2418" i="18"/>
  <c r="H2417" i="18"/>
  <c r="H2416" i="18"/>
  <c r="H2415" i="18"/>
  <c r="H2414" i="18"/>
  <c r="H2412" i="18"/>
  <c r="H2411" i="18"/>
  <c r="H2410" i="18"/>
  <c r="H2409" i="18"/>
  <c r="H2408" i="18"/>
  <c r="I2406" i="18"/>
  <c r="H2406" i="18"/>
  <c r="I2405" i="18"/>
  <c r="H2405" i="18"/>
  <c r="I2404" i="18"/>
  <c r="H2404" i="18"/>
  <c r="I2402" i="18"/>
  <c r="H2402" i="18"/>
  <c r="I2401" i="18"/>
  <c r="H2401" i="18"/>
  <c r="I2400" i="18"/>
  <c r="H2400" i="18"/>
  <c r="I2398" i="18"/>
  <c r="H2398" i="18"/>
  <c r="I2397" i="18"/>
  <c r="H2397" i="18"/>
  <c r="I2396" i="18"/>
  <c r="H2396" i="18"/>
  <c r="I2394" i="18"/>
  <c r="H2394" i="18"/>
  <c r="I2393" i="18"/>
  <c r="H2393" i="18"/>
  <c r="I2392" i="18"/>
  <c r="H2392" i="18"/>
  <c r="I2390" i="18"/>
  <c r="H2390" i="18"/>
  <c r="I2389" i="18"/>
  <c r="H2389" i="18"/>
  <c r="I2388" i="18"/>
  <c r="H2388" i="18"/>
  <c r="I2386" i="18"/>
  <c r="H2386" i="18"/>
  <c r="I2385" i="18"/>
  <c r="H2385" i="18"/>
  <c r="I2384" i="18"/>
  <c r="H2384" i="18"/>
  <c r="I2382" i="18"/>
  <c r="H2382" i="18"/>
  <c r="I2381" i="18"/>
  <c r="H2381" i="18"/>
  <c r="I2380" i="18"/>
  <c r="H2380" i="18"/>
  <c r="I2378" i="18"/>
  <c r="H2378" i="18"/>
  <c r="I2377" i="18"/>
  <c r="H2377" i="18"/>
  <c r="I2376" i="18"/>
  <c r="H2376" i="18"/>
  <c r="I2374" i="18"/>
  <c r="H2374" i="18"/>
  <c r="I2373" i="18"/>
  <c r="H2373" i="18"/>
  <c r="I2372" i="18"/>
  <c r="H2372" i="18"/>
  <c r="I2370" i="18"/>
  <c r="H2370" i="18"/>
  <c r="I2369" i="18"/>
  <c r="H2369" i="18"/>
  <c r="I2368" i="18"/>
  <c r="H2368" i="18"/>
  <c r="I2366" i="18"/>
  <c r="H2366" i="18"/>
  <c r="I2365" i="18"/>
  <c r="H2365" i="18"/>
  <c r="I2364" i="18"/>
  <c r="H2364" i="18"/>
  <c r="I2362" i="18"/>
  <c r="H2362" i="18"/>
  <c r="I2361" i="18"/>
  <c r="H2361" i="18"/>
  <c r="I2360" i="18"/>
  <c r="H2360" i="18"/>
  <c r="I2358" i="18"/>
  <c r="H2358" i="18"/>
  <c r="I2357" i="18"/>
  <c r="H2357" i="18"/>
  <c r="I2356" i="18"/>
  <c r="H2356" i="18"/>
  <c r="I2354" i="18"/>
  <c r="H2354" i="18"/>
  <c r="I2353" i="18"/>
  <c r="H2353" i="18"/>
  <c r="I2352" i="18"/>
  <c r="H2352" i="18"/>
  <c r="I2350" i="18"/>
  <c r="H2350" i="18"/>
  <c r="I2349" i="18"/>
  <c r="H2349" i="18"/>
  <c r="I2348" i="18"/>
  <c r="H2348" i="18"/>
  <c r="I2346" i="18"/>
  <c r="H2346" i="18"/>
  <c r="I2345" i="18"/>
  <c r="H2345" i="18"/>
  <c r="I2344" i="18"/>
  <c r="H2344" i="18"/>
  <c r="I2342" i="18"/>
  <c r="H2342" i="18"/>
  <c r="I2341" i="18"/>
  <c r="H2341" i="18"/>
  <c r="I2340" i="18"/>
  <c r="H2340" i="18"/>
  <c r="I2338" i="18"/>
  <c r="H2338" i="18"/>
  <c r="I2337" i="18"/>
  <c r="H2337" i="18"/>
  <c r="I2336" i="18"/>
  <c r="H2336" i="18"/>
  <c r="I2334" i="18"/>
  <c r="H2334" i="18"/>
  <c r="I2333" i="18"/>
  <c r="H2333" i="18"/>
  <c r="I2332" i="18"/>
  <c r="H2332" i="18"/>
  <c r="I2330" i="18"/>
  <c r="H2330" i="18"/>
  <c r="I2329" i="18"/>
  <c r="H2329" i="18"/>
  <c r="I2328" i="18"/>
  <c r="H2328" i="18"/>
  <c r="I2326" i="18"/>
  <c r="H2326" i="18"/>
  <c r="I2325" i="18"/>
  <c r="H2325" i="18"/>
  <c r="I2324" i="18"/>
  <c r="H2324" i="18"/>
  <c r="I2322" i="18"/>
  <c r="H2322" i="18"/>
  <c r="I2321" i="18"/>
  <c r="H2321" i="18"/>
  <c r="I2320" i="18"/>
  <c r="H2320" i="18"/>
  <c r="I2319" i="18"/>
  <c r="H2319" i="18"/>
  <c r="I2318" i="18"/>
  <c r="H2318" i="18"/>
  <c r="I2316" i="18"/>
  <c r="H2316" i="18"/>
  <c r="I2315" i="18"/>
  <c r="H2315" i="18"/>
  <c r="I2314" i="18"/>
  <c r="H2314" i="18"/>
  <c r="I2313" i="18"/>
  <c r="H2313" i="18"/>
  <c r="I2312" i="18"/>
  <c r="H2312" i="18"/>
  <c r="I2310" i="18"/>
  <c r="H2310" i="18"/>
  <c r="I2309" i="18"/>
  <c r="H2309" i="18"/>
  <c r="I2308" i="18"/>
  <c r="H2308" i="18"/>
  <c r="I2307" i="18"/>
  <c r="H2307" i="18"/>
  <c r="I2306" i="18"/>
  <c r="H2306" i="18"/>
  <c r="I2304" i="18"/>
  <c r="H2304" i="18"/>
  <c r="I2303" i="18"/>
  <c r="H2303" i="18"/>
  <c r="I2302" i="18"/>
  <c r="H2302" i="18"/>
  <c r="I2301" i="18"/>
  <c r="H2301" i="18"/>
  <c r="I2300" i="18"/>
  <c r="H2300" i="18"/>
  <c r="I2298" i="18"/>
  <c r="H2298" i="18"/>
  <c r="I2297" i="18"/>
  <c r="H2297" i="18"/>
  <c r="I2296" i="18"/>
  <c r="H2296" i="18"/>
  <c r="I2295" i="18"/>
  <c r="H2295" i="18"/>
  <c r="I2294" i="18"/>
  <c r="H2294" i="18"/>
  <c r="I2292" i="18"/>
  <c r="H2292" i="18"/>
  <c r="I2291" i="18"/>
  <c r="H2291" i="18"/>
  <c r="I2290" i="18"/>
  <c r="H2290" i="18"/>
  <c r="I2288" i="18"/>
  <c r="H2288" i="18"/>
  <c r="I2287" i="18"/>
  <c r="H2287" i="18"/>
  <c r="I2286" i="18"/>
  <c r="H2286" i="18"/>
  <c r="I2284" i="18"/>
  <c r="H2284" i="18"/>
  <c r="I2283" i="18"/>
  <c r="H2283" i="18"/>
  <c r="I2282" i="18"/>
  <c r="H2282" i="18"/>
  <c r="I2280" i="18"/>
  <c r="H2280" i="18"/>
  <c r="I2279" i="18"/>
  <c r="H2279" i="18"/>
  <c r="I2278" i="18"/>
  <c r="H2278" i="18"/>
  <c r="I2276" i="18"/>
  <c r="H2276" i="18"/>
  <c r="I2275" i="18"/>
  <c r="H2275" i="18"/>
  <c r="I2274" i="18"/>
  <c r="H2274" i="18"/>
  <c r="I2272" i="18"/>
  <c r="H2272" i="18"/>
  <c r="I2271" i="18"/>
  <c r="H2271" i="18"/>
  <c r="I2270" i="18"/>
  <c r="H2270" i="18"/>
  <c r="I2268" i="18"/>
  <c r="H2268" i="18"/>
  <c r="I2267" i="18"/>
  <c r="H2267" i="18"/>
  <c r="I2266" i="18"/>
  <c r="H2266" i="18"/>
  <c r="I2264" i="18"/>
  <c r="H2264" i="18"/>
  <c r="I2263" i="18"/>
  <c r="H2263" i="18"/>
  <c r="I2262" i="18"/>
  <c r="H2262" i="18"/>
  <c r="I2260" i="18"/>
  <c r="H2260" i="18"/>
  <c r="I2259" i="18"/>
  <c r="H2259" i="18"/>
  <c r="I2258" i="18"/>
  <c r="H2258" i="18"/>
  <c r="I2256" i="18"/>
  <c r="H2256" i="18"/>
  <c r="I2255" i="18"/>
  <c r="H2255" i="18"/>
  <c r="I2254" i="18"/>
  <c r="H2254" i="18"/>
  <c r="I2252" i="18"/>
  <c r="H2252" i="18"/>
  <c r="I2251" i="18"/>
  <c r="H2251" i="18"/>
  <c r="I2250" i="18"/>
  <c r="H2250" i="18"/>
  <c r="I2248" i="18"/>
  <c r="H2248" i="18"/>
  <c r="I2247" i="18"/>
  <c r="H2247" i="18"/>
  <c r="I2246" i="18"/>
  <c r="H2246" i="18"/>
  <c r="I2244" i="18"/>
  <c r="H2244" i="18"/>
  <c r="I2243" i="18"/>
  <c r="H2243" i="18"/>
  <c r="I2242" i="18"/>
  <c r="H2242" i="18"/>
  <c r="I2241" i="18"/>
  <c r="H2241" i="18"/>
  <c r="I2240" i="18"/>
  <c r="H2240" i="18"/>
  <c r="I2238" i="18"/>
  <c r="H2238" i="18"/>
  <c r="I2237" i="18"/>
  <c r="H2237" i="18"/>
  <c r="I2236" i="18"/>
  <c r="H2236" i="18"/>
  <c r="I2235" i="18"/>
  <c r="H2235" i="18"/>
  <c r="I2234" i="18"/>
  <c r="H2234" i="18"/>
  <c r="I2232" i="18"/>
  <c r="H2232" i="18"/>
  <c r="I2231" i="18"/>
  <c r="H2231" i="18"/>
  <c r="I2230" i="18"/>
  <c r="H2230" i="18"/>
  <c r="I2229" i="18"/>
  <c r="H2229" i="18"/>
  <c r="I2228" i="18"/>
  <c r="H2228" i="18"/>
  <c r="I2226" i="18"/>
  <c r="H2226" i="18"/>
  <c r="I2225" i="18"/>
  <c r="H2225" i="18"/>
  <c r="I2224" i="18"/>
  <c r="H2224" i="18"/>
  <c r="I2223" i="18"/>
  <c r="H2223" i="18"/>
  <c r="I2222" i="18"/>
  <c r="H2222" i="18"/>
  <c r="I2220" i="18"/>
  <c r="H2220" i="18"/>
  <c r="I2219" i="18"/>
  <c r="H2219" i="18"/>
  <c r="I2218" i="18"/>
  <c r="H2218" i="18"/>
  <c r="I2217" i="18"/>
  <c r="H2217" i="18"/>
  <c r="I2216" i="18"/>
  <c r="H2216" i="18"/>
  <c r="I2214" i="18"/>
  <c r="H2214" i="18"/>
  <c r="I2213" i="18"/>
  <c r="H2213" i="18"/>
  <c r="I2212" i="18"/>
  <c r="H2212" i="18"/>
  <c r="I2210" i="18"/>
  <c r="H2210" i="18"/>
  <c r="I2209" i="18"/>
  <c r="H2209" i="18"/>
  <c r="I2208" i="18"/>
  <c r="H2208" i="18"/>
  <c r="I2206" i="18"/>
  <c r="H2206" i="18"/>
  <c r="I2205" i="18"/>
  <c r="H2205" i="18"/>
  <c r="I2204" i="18"/>
  <c r="H2204" i="18"/>
  <c r="I2202" i="18"/>
  <c r="H2202" i="18"/>
  <c r="I2201" i="18"/>
  <c r="H2201" i="18"/>
  <c r="I2200" i="18"/>
  <c r="H2200" i="18"/>
  <c r="I2198" i="18"/>
  <c r="H2198" i="18"/>
  <c r="I2197" i="18"/>
  <c r="H2197" i="18"/>
  <c r="I2196" i="18"/>
  <c r="H2196" i="18"/>
  <c r="I2194" i="18"/>
  <c r="H2194" i="18"/>
  <c r="I2193" i="18"/>
  <c r="H2193" i="18"/>
  <c r="I2192" i="18"/>
  <c r="H2192" i="18"/>
  <c r="I2190" i="18"/>
  <c r="H2190" i="18"/>
  <c r="I2189" i="18"/>
  <c r="H2189" i="18"/>
  <c r="I2188" i="18"/>
  <c r="H2188" i="18"/>
  <c r="I2186" i="18"/>
  <c r="H2186" i="18"/>
  <c r="I2185" i="18"/>
  <c r="H2185" i="18"/>
  <c r="I2184" i="18"/>
  <c r="H2184" i="18"/>
  <c r="I2182" i="18"/>
  <c r="H2182" i="18"/>
  <c r="I2181" i="18"/>
  <c r="H2181" i="18"/>
  <c r="I2180" i="18"/>
  <c r="H2180" i="18"/>
  <c r="I2179" i="18"/>
  <c r="H2179" i="18"/>
  <c r="I2178" i="18"/>
  <c r="H2178" i="18"/>
  <c r="I2176" i="18"/>
  <c r="H2176" i="18"/>
  <c r="I2175" i="18"/>
  <c r="H2175" i="18"/>
  <c r="I2174" i="18"/>
  <c r="H2174" i="18"/>
  <c r="I2173" i="18"/>
  <c r="H2173" i="18"/>
  <c r="I2172" i="18"/>
  <c r="H2172" i="18"/>
  <c r="I2170" i="18"/>
  <c r="H2170" i="18"/>
  <c r="I2169" i="18"/>
  <c r="H2169" i="18"/>
  <c r="I2168" i="18"/>
  <c r="H2168" i="18"/>
  <c r="I2167" i="18"/>
  <c r="H2167" i="18"/>
  <c r="I2166" i="18"/>
  <c r="H2166" i="18"/>
  <c r="I2164" i="18"/>
  <c r="H2164" i="18"/>
  <c r="I2163" i="18"/>
  <c r="H2163" i="18"/>
  <c r="I2162" i="18"/>
  <c r="H2162" i="18"/>
  <c r="I2161" i="18"/>
  <c r="H2161" i="18"/>
  <c r="I2160" i="18"/>
  <c r="H2160" i="18"/>
  <c r="I2158" i="18"/>
  <c r="H2158" i="18"/>
  <c r="I2157" i="18"/>
  <c r="H2157" i="18"/>
  <c r="I2156" i="18"/>
  <c r="H2156" i="18"/>
  <c r="I2154" i="18"/>
  <c r="H2154" i="18"/>
  <c r="I2153" i="18"/>
  <c r="H2153" i="18"/>
  <c r="I2152" i="18"/>
  <c r="H2152" i="18"/>
  <c r="I2150" i="18"/>
  <c r="H2150" i="18"/>
  <c r="I2149" i="18"/>
  <c r="H2149" i="18"/>
  <c r="I2148" i="18"/>
  <c r="H2148" i="18"/>
  <c r="I2146" i="18"/>
  <c r="H2146" i="18"/>
  <c r="I2145" i="18"/>
  <c r="H2145" i="18"/>
  <c r="I2144" i="18"/>
  <c r="H2144" i="18"/>
  <c r="I2142" i="18"/>
  <c r="H2142" i="18"/>
  <c r="I2141" i="18"/>
  <c r="H2141" i="18"/>
  <c r="I2140" i="18"/>
  <c r="H2140" i="18"/>
  <c r="I2138" i="18"/>
  <c r="H2138" i="18"/>
  <c r="I2137" i="18"/>
  <c r="H2137" i="18"/>
  <c r="I2136" i="18"/>
  <c r="H2136" i="18"/>
  <c r="I2134" i="18"/>
  <c r="H2134" i="18"/>
  <c r="I2133" i="18"/>
  <c r="H2133" i="18"/>
  <c r="I2132" i="18"/>
  <c r="H2132" i="18"/>
  <c r="I2130" i="18"/>
  <c r="H2130" i="18"/>
  <c r="I2129" i="18"/>
  <c r="H2129" i="18"/>
  <c r="I2128" i="18"/>
  <c r="H2128" i="18"/>
  <c r="I2126" i="18"/>
  <c r="H2126" i="18"/>
  <c r="I2125" i="18"/>
  <c r="H2125" i="18"/>
  <c r="I2124" i="18"/>
  <c r="H2124" i="18"/>
  <c r="I2123" i="18"/>
  <c r="H2123" i="18"/>
  <c r="I2122" i="18"/>
  <c r="H2122" i="18"/>
  <c r="I2120" i="18"/>
  <c r="H2120" i="18"/>
  <c r="I2119" i="18"/>
  <c r="H2119" i="18"/>
  <c r="I2118" i="18"/>
  <c r="H2118" i="18"/>
  <c r="I2117" i="18"/>
  <c r="H2117" i="18"/>
  <c r="I2116" i="18"/>
  <c r="H2116" i="18"/>
  <c r="I2114" i="18"/>
  <c r="H2114" i="18"/>
  <c r="I2113" i="18"/>
  <c r="H2113" i="18"/>
  <c r="I2112" i="18"/>
  <c r="H2112" i="18"/>
  <c r="I2111" i="18"/>
  <c r="H2111" i="18"/>
  <c r="I2110" i="18"/>
  <c r="H2110" i="18"/>
  <c r="I2108" i="18"/>
  <c r="H2108" i="18"/>
  <c r="I2107" i="18"/>
  <c r="H2107" i="18"/>
  <c r="I2106" i="18"/>
  <c r="H2106" i="18"/>
  <c r="I2105" i="18"/>
  <c r="H2105" i="18"/>
  <c r="I2104" i="18"/>
  <c r="H2104" i="18"/>
  <c r="I2102" i="18"/>
  <c r="H2102" i="18"/>
  <c r="I2101" i="18"/>
  <c r="H2101" i="18"/>
  <c r="I2100" i="18"/>
  <c r="H2100" i="18"/>
  <c r="I2099" i="18"/>
  <c r="H2099" i="18"/>
  <c r="H2098" i="18"/>
  <c r="I2097" i="18"/>
  <c r="H2097" i="18"/>
  <c r="I2096" i="18"/>
  <c r="H2096" i="18"/>
  <c r="I2095" i="18"/>
  <c r="H2095" i="18"/>
  <c r="I2094" i="18"/>
  <c r="H2094" i="18"/>
  <c r="H2093" i="18"/>
  <c r="I2092" i="18"/>
  <c r="H2092" i="18"/>
  <c r="I2091" i="18"/>
  <c r="H2091" i="18"/>
  <c r="I2090" i="18"/>
  <c r="H2090" i="18"/>
  <c r="I2089" i="18"/>
  <c r="H2089" i="18"/>
  <c r="H2088" i="18"/>
  <c r="I2087" i="18"/>
  <c r="H2087" i="18"/>
  <c r="I2086" i="18"/>
  <c r="H2086" i="18"/>
  <c r="I2085" i="18"/>
  <c r="H2085" i="18"/>
  <c r="I2084" i="18"/>
  <c r="H2084" i="18"/>
  <c r="H2083" i="18"/>
  <c r="I2082" i="18"/>
  <c r="H2082" i="18"/>
  <c r="I2081" i="18"/>
  <c r="H2081" i="18"/>
  <c r="I2080" i="18"/>
  <c r="H2080" i="18"/>
  <c r="I2079" i="18"/>
  <c r="H2079" i="18"/>
  <c r="H2078" i="18"/>
  <c r="I2077" i="18"/>
  <c r="H2077" i="18"/>
  <c r="I2076" i="18"/>
  <c r="H2076" i="18"/>
  <c r="I2075" i="18"/>
  <c r="H2075" i="18"/>
  <c r="I2074" i="18"/>
  <c r="H2074" i="18"/>
  <c r="H2073" i="18"/>
  <c r="I2072" i="18"/>
  <c r="H2072" i="18"/>
  <c r="I2071" i="18"/>
  <c r="H2071" i="18"/>
  <c r="I2070" i="18"/>
  <c r="H2070" i="18"/>
  <c r="I2069" i="18"/>
  <c r="H2069" i="18"/>
  <c r="H2068" i="18"/>
  <c r="I2067" i="18"/>
  <c r="H2067" i="18"/>
  <c r="I2066" i="18"/>
  <c r="H2066" i="18"/>
  <c r="I2065" i="18"/>
  <c r="H2065" i="18"/>
  <c r="I2064" i="18"/>
  <c r="H2064" i="18"/>
  <c r="H2063" i="18"/>
  <c r="I2062" i="18"/>
  <c r="H2062" i="18"/>
  <c r="I2061" i="18"/>
  <c r="H2061" i="18"/>
  <c r="I2060" i="18"/>
  <c r="H2060" i="18"/>
  <c r="I2059" i="18"/>
  <c r="H2059" i="18"/>
  <c r="H2058" i="18"/>
  <c r="I2057" i="18"/>
  <c r="H2057" i="18"/>
  <c r="I2056" i="18"/>
  <c r="H2056" i="18"/>
  <c r="I2055" i="18"/>
  <c r="H2055" i="18"/>
  <c r="I2054" i="18"/>
  <c r="H2054" i="18"/>
  <c r="H2053" i="18"/>
  <c r="I2052" i="18"/>
  <c r="H2052" i="18"/>
  <c r="I2051" i="18"/>
  <c r="H2051" i="18"/>
  <c r="I2050" i="18"/>
  <c r="H2050" i="18"/>
  <c r="I2049" i="18"/>
  <c r="H2049" i="18"/>
  <c r="H2048" i="18"/>
  <c r="I2047" i="18"/>
  <c r="H2047" i="18"/>
  <c r="I2046" i="18"/>
  <c r="H2046" i="18"/>
  <c r="I2045" i="18"/>
  <c r="H2045" i="18"/>
  <c r="H2044" i="18"/>
  <c r="I2043" i="18"/>
  <c r="H2043" i="18"/>
  <c r="I2042" i="18"/>
  <c r="H2042" i="18"/>
  <c r="I2041" i="18"/>
  <c r="H2041" i="18"/>
  <c r="H2040" i="18"/>
  <c r="H2039" i="18"/>
  <c r="H2038" i="18"/>
  <c r="H2037" i="18"/>
  <c r="H2036" i="18"/>
  <c r="I2035" i="18"/>
  <c r="H2035" i="18"/>
  <c r="I2034" i="18"/>
  <c r="H2034" i="18"/>
  <c r="I2033" i="18"/>
  <c r="H2033" i="18"/>
  <c r="H2032" i="18"/>
  <c r="I2031" i="18"/>
  <c r="H2031" i="18"/>
  <c r="I2030" i="18"/>
  <c r="H2030" i="18"/>
  <c r="I2029" i="18"/>
  <c r="H2029" i="18"/>
  <c r="H2028" i="18"/>
  <c r="I2027" i="18"/>
  <c r="H2027" i="18"/>
  <c r="I2026" i="18"/>
  <c r="H2026" i="18"/>
  <c r="I2025" i="18"/>
  <c r="H2025" i="18"/>
  <c r="H2024" i="18"/>
  <c r="I2023" i="18"/>
  <c r="H2023" i="18"/>
  <c r="I2022" i="18"/>
  <c r="H2022" i="18"/>
  <c r="I2021" i="18"/>
  <c r="H2021" i="18"/>
  <c r="H2020" i="18"/>
  <c r="I2019" i="18"/>
  <c r="H2019" i="18"/>
  <c r="I2018" i="18"/>
  <c r="H2018" i="18"/>
  <c r="I2017" i="18"/>
  <c r="H2017" i="18"/>
  <c r="H2016" i="18"/>
  <c r="I2015" i="18"/>
  <c r="H2015" i="18"/>
  <c r="I2014" i="18"/>
  <c r="H2014" i="18"/>
  <c r="I2013" i="18"/>
  <c r="H2013" i="18"/>
  <c r="H2012" i="18"/>
  <c r="I2011" i="18"/>
  <c r="H2011" i="18"/>
  <c r="I2010" i="18"/>
  <c r="H2010" i="18"/>
  <c r="I2009" i="18"/>
  <c r="H2009" i="18"/>
  <c r="H2008" i="18"/>
  <c r="I2007" i="18"/>
  <c r="H2007" i="18"/>
  <c r="I2006" i="18"/>
  <c r="H2006" i="18"/>
  <c r="I2005" i="18"/>
  <c r="H2005" i="18"/>
  <c r="H2004" i="18"/>
  <c r="I2003" i="18"/>
  <c r="H2003" i="18"/>
  <c r="I2002" i="18"/>
  <c r="H2002" i="18"/>
  <c r="I2001" i="18"/>
  <c r="H2001" i="18"/>
  <c r="H2000" i="18"/>
  <c r="I1999" i="18"/>
  <c r="H1999" i="18"/>
  <c r="I1998" i="18"/>
  <c r="H1998" i="18"/>
  <c r="I1997" i="18"/>
  <c r="H1997" i="18"/>
  <c r="H1996" i="18"/>
  <c r="I1995" i="18"/>
  <c r="H1995" i="18"/>
  <c r="I1994" i="18"/>
  <c r="H1994" i="18"/>
  <c r="I1993" i="18"/>
  <c r="H1993" i="18"/>
  <c r="H1992" i="18"/>
  <c r="I1991" i="18"/>
  <c r="H1991" i="18"/>
  <c r="I1990" i="18"/>
  <c r="H1990" i="18"/>
  <c r="I1989" i="18"/>
  <c r="H1989" i="18"/>
  <c r="H1988" i="18"/>
  <c r="I1987" i="18"/>
  <c r="H1987" i="18"/>
  <c r="I1986" i="18"/>
  <c r="H1986" i="18"/>
  <c r="I1985" i="18"/>
  <c r="H1985" i="18"/>
  <c r="H1984" i="18"/>
  <c r="I1983" i="18"/>
  <c r="H1983" i="18"/>
  <c r="I1982" i="18"/>
  <c r="H1982" i="18"/>
  <c r="I1981" i="18"/>
  <c r="H1981" i="18"/>
  <c r="H1980" i="18"/>
  <c r="I1979" i="18"/>
  <c r="H1979" i="18"/>
  <c r="I1978" i="18"/>
  <c r="H1978" i="18"/>
  <c r="I1977" i="18"/>
  <c r="H1977" i="18"/>
  <c r="H1976" i="18"/>
  <c r="I1975" i="18"/>
  <c r="H1975" i="18"/>
  <c r="I1974" i="18"/>
  <c r="H1974" i="18"/>
  <c r="I1973" i="18"/>
  <c r="H1973" i="18"/>
  <c r="H1972" i="18"/>
  <c r="I1971" i="18"/>
  <c r="H1971" i="18"/>
  <c r="I1970" i="18"/>
  <c r="H1970" i="18"/>
  <c r="I1969" i="18"/>
  <c r="H1969" i="18"/>
  <c r="H1968" i="18"/>
  <c r="I1967" i="18"/>
  <c r="H1967" i="18"/>
  <c r="I1966" i="18"/>
  <c r="H1966" i="18"/>
  <c r="I1965" i="18"/>
  <c r="H1965" i="18"/>
  <c r="H1964" i="18"/>
  <c r="I1963" i="18"/>
  <c r="H1963" i="18"/>
  <c r="I1962" i="18"/>
  <c r="H1962" i="18"/>
  <c r="I1961" i="18"/>
  <c r="H1961" i="18"/>
  <c r="H1960" i="18"/>
  <c r="I1959" i="18"/>
  <c r="H1959" i="18"/>
  <c r="I1958" i="18"/>
  <c r="H1958" i="18"/>
  <c r="I1957" i="18"/>
  <c r="H1957" i="18"/>
  <c r="H1956" i="18"/>
  <c r="I1955" i="18"/>
  <c r="H1955" i="18"/>
  <c r="I1954" i="18"/>
  <c r="H1954" i="18"/>
  <c r="I1953" i="18"/>
  <c r="H1953" i="18"/>
  <c r="H1952" i="18"/>
  <c r="I1951" i="18"/>
  <c r="H1951" i="18"/>
  <c r="I1950" i="18"/>
  <c r="H1950" i="18"/>
  <c r="I1949" i="18"/>
  <c r="H1949" i="18"/>
  <c r="H1948" i="18"/>
  <c r="I1947" i="18"/>
  <c r="H1947" i="18"/>
  <c r="I1946" i="18"/>
  <c r="H1946" i="18"/>
  <c r="I1945" i="18"/>
  <c r="H1945" i="18"/>
  <c r="H1944" i="18"/>
  <c r="I1943" i="18"/>
  <c r="H1943" i="18"/>
  <c r="I1942" i="18"/>
  <c r="H1942" i="18"/>
  <c r="I1941" i="18"/>
  <c r="H1941" i="18"/>
  <c r="H1940" i="18"/>
  <c r="I1939" i="18"/>
  <c r="H1939" i="18"/>
  <c r="I1938" i="18"/>
  <c r="H1938" i="18"/>
  <c r="I1937" i="18"/>
  <c r="H1937" i="18"/>
  <c r="H1936" i="18"/>
  <c r="I1935" i="18"/>
  <c r="H1935" i="18"/>
  <c r="I1934" i="18"/>
  <c r="H1934" i="18"/>
  <c r="I1933" i="18"/>
  <c r="H1933" i="18"/>
  <c r="H1932" i="18"/>
  <c r="I1931" i="18"/>
  <c r="H1931" i="18"/>
  <c r="I1930" i="18"/>
  <c r="H1930" i="18"/>
  <c r="I1929" i="18"/>
  <c r="H1929" i="18"/>
  <c r="H1928" i="18"/>
  <c r="I1927" i="18"/>
  <c r="H1927" i="18"/>
  <c r="I1926" i="18"/>
  <c r="H1926" i="18"/>
  <c r="I1925" i="18"/>
  <c r="H1925" i="18"/>
  <c r="H1924" i="18"/>
  <c r="I1923" i="18"/>
  <c r="H1923" i="18"/>
  <c r="I1922" i="18"/>
  <c r="H1922" i="18"/>
  <c r="I1921" i="18"/>
  <c r="H1921" i="18"/>
  <c r="H1920" i="18"/>
  <c r="I1919" i="18"/>
  <c r="H1919" i="18"/>
  <c r="I1918" i="18"/>
  <c r="H1918" i="18"/>
  <c r="I1917" i="18"/>
  <c r="H1917" i="18"/>
  <c r="H1916" i="18"/>
  <c r="I1915" i="18"/>
  <c r="H1915" i="18"/>
  <c r="I1914" i="18"/>
  <c r="H1914" i="18"/>
  <c r="I1913" i="18"/>
  <c r="H1913" i="18"/>
  <c r="H1912" i="18"/>
  <c r="I1911" i="18"/>
  <c r="H1911" i="18"/>
  <c r="I1910" i="18"/>
  <c r="H1910" i="18"/>
  <c r="I1909" i="18"/>
  <c r="H1909" i="18"/>
  <c r="H1908" i="18"/>
  <c r="I1907" i="18"/>
  <c r="H1907" i="18"/>
  <c r="I1906" i="18"/>
  <c r="H1906" i="18"/>
  <c r="I1905" i="18"/>
  <c r="H1905" i="18"/>
  <c r="H1904" i="18"/>
  <c r="I1903" i="18"/>
  <c r="H1903" i="18"/>
  <c r="I1902" i="18"/>
  <c r="H1902" i="18"/>
  <c r="I1901" i="18"/>
  <c r="H1901" i="18"/>
  <c r="H1900" i="18"/>
  <c r="I1899" i="18"/>
  <c r="H1899" i="18"/>
  <c r="I1898" i="18"/>
  <c r="H1898" i="18"/>
  <c r="I1897" i="18"/>
  <c r="H1897" i="18"/>
  <c r="H1896" i="18"/>
  <c r="I1895" i="18"/>
  <c r="H1895" i="18"/>
  <c r="I1894" i="18"/>
  <c r="H1894" i="18"/>
  <c r="I1893" i="18"/>
  <c r="H1893" i="18"/>
  <c r="H1892" i="18"/>
  <c r="I1891" i="18"/>
  <c r="H1891" i="18"/>
  <c r="I1890" i="18"/>
  <c r="H1890" i="18"/>
  <c r="I1889" i="18"/>
  <c r="H1889" i="18"/>
  <c r="H1888" i="18"/>
  <c r="I1887" i="18"/>
  <c r="H1887" i="18"/>
  <c r="I1886" i="18"/>
  <c r="H1886" i="18"/>
  <c r="I1885" i="18"/>
  <c r="H1885" i="18"/>
  <c r="H1884" i="18"/>
  <c r="I1883" i="18"/>
  <c r="H1883" i="18"/>
  <c r="I1882" i="18"/>
  <c r="H1882" i="18"/>
  <c r="I1881" i="18"/>
  <c r="H1881" i="18"/>
  <c r="H1880" i="18"/>
  <c r="I1879" i="18"/>
  <c r="H1879" i="18"/>
  <c r="I1878" i="18"/>
  <c r="H1878" i="18"/>
  <c r="I1877" i="18"/>
  <c r="H1877" i="18"/>
  <c r="H1876" i="18"/>
  <c r="I1875" i="18"/>
  <c r="H1875" i="18"/>
  <c r="I1874" i="18"/>
  <c r="H1874" i="18"/>
  <c r="I1873" i="18"/>
  <c r="H1873" i="18"/>
  <c r="H1872" i="18"/>
  <c r="I1871" i="18"/>
  <c r="H1871" i="18"/>
  <c r="I1870" i="18"/>
  <c r="H1870" i="18"/>
  <c r="I1869" i="18"/>
  <c r="H1869" i="18"/>
  <c r="H1868" i="18"/>
  <c r="I1867" i="18"/>
  <c r="H1867" i="18"/>
  <c r="I1866" i="18"/>
  <c r="H1866" i="18"/>
  <c r="I1865" i="18"/>
  <c r="H1865" i="18"/>
  <c r="H1864" i="18"/>
  <c r="I1863" i="18"/>
  <c r="H1863" i="18"/>
  <c r="I1862" i="18"/>
  <c r="H1862" i="18"/>
  <c r="I1861" i="18"/>
  <c r="H1861" i="18"/>
  <c r="H1860" i="18"/>
  <c r="I1859" i="18"/>
  <c r="H1859" i="18"/>
  <c r="I1858" i="18"/>
  <c r="H1858" i="18"/>
  <c r="I1857" i="18"/>
  <c r="H1857" i="18"/>
  <c r="H1856" i="18"/>
  <c r="I1855" i="18"/>
  <c r="H1855" i="18"/>
  <c r="I1854" i="18"/>
  <c r="H1854" i="18"/>
  <c r="I1853" i="18"/>
  <c r="H1853" i="18"/>
  <c r="H1852" i="18"/>
  <c r="I1851" i="18"/>
  <c r="H1851" i="18"/>
  <c r="I1850" i="18"/>
  <c r="H1850" i="18"/>
  <c r="I1849" i="18"/>
  <c r="H1849" i="18"/>
  <c r="H1848" i="18"/>
  <c r="I1847" i="18"/>
  <c r="H1847" i="18"/>
  <c r="I1846" i="18"/>
  <c r="H1846" i="18"/>
  <c r="I1845" i="18"/>
  <c r="H1845" i="18"/>
  <c r="H1844" i="18"/>
  <c r="I1843" i="18"/>
  <c r="H1843" i="18"/>
  <c r="I1842" i="18"/>
  <c r="H1842" i="18"/>
  <c r="I1841" i="18"/>
  <c r="H1841" i="18"/>
  <c r="I1840" i="18"/>
  <c r="H1840" i="18"/>
  <c r="H1839" i="18"/>
  <c r="I1838" i="18"/>
  <c r="H1838" i="18"/>
  <c r="I1837" i="18"/>
  <c r="H1837" i="18"/>
  <c r="I1836" i="18"/>
  <c r="H1836" i="18"/>
  <c r="H1835" i="18"/>
  <c r="I1834" i="18"/>
  <c r="H1834" i="18"/>
  <c r="I1833" i="18"/>
  <c r="H1833" i="18"/>
  <c r="I1832" i="18"/>
  <c r="H1832" i="18"/>
  <c r="H1831" i="18"/>
  <c r="I1830" i="18"/>
  <c r="H1830" i="18"/>
  <c r="I1829" i="18"/>
  <c r="H1829" i="18"/>
  <c r="I1828" i="18"/>
  <c r="H1828" i="18"/>
  <c r="H1827" i="18"/>
  <c r="I1826" i="18"/>
  <c r="H1826" i="18"/>
  <c r="I1825" i="18"/>
  <c r="H1825" i="18"/>
  <c r="I1824" i="18"/>
  <c r="H1824" i="18"/>
  <c r="H1823" i="18"/>
  <c r="I1822" i="18"/>
  <c r="H1822" i="18"/>
  <c r="I1821" i="18"/>
  <c r="H1821" i="18"/>
  <c r="I1820" i="18"/>
  <c r="H1820" i="18"/>
  <c r="H1819" i="18"/>
  <c r="I1818" i="18"/>
  <c r="H1818" i="18"/>
  <c r="I1817" i="18"/>
  <c r="H1817" i="18"/>
  <c r="I1816" i="18"/>
  <c r="H1816" i="18"/>
  <c r="H1815" i="18"/>
  <c r="I1814" i="18"/>
  <c r="H1814" i="18"/>
  <c r="I1813" i="18"/>
  <c r="H1813" i="18"/>
  <c r="I1812" i="18"/>
  <c r="H1812" i="18"/>
  <c r="H1811" i="18"/>
  <c r="I1810" i="18"/>
  <c r="H1810" i="18"/>
  <c r="I1809" i="18"/>
  <c r="H1809" i="18"/>
  <c r="I1808" i="18"/>
  <c r="H1808" i="18"/>
  <c r="H1807" i="18"/>
  <c r="I1806" i="18"/>
  <c r="H1806" i="18"/>
  <c r="I1805" i="18"/>
  <c r="H1805" i="18"/>
  <c r="I1804" i="18"/>
  <c r="H1804" i="18"/>
  <c r="H1803" i="18"/>
  <c r="I1802" i="18"/>
  <c r="H1802" i="18"/>
  <c r="I1801" i="18"/>
  <c r="H1801" i="18"/>
  <c r="I1800" i="18"/>
  <c r="H1800" i="18"/>
  <c r="H1799" i="18"/>
  <c r="I1798" i="18"/>
  <c r="H1798" i="18"/>
  <c r="I1797" i="18"/>
  <c r="H1797" i="18"/>
  <c r="I1796" i="18"/>
  <c r="H1796" i="18"/>
  <c r="H1795" i="18"/>
  <c r="I1794" i="18"/>
  <c r="H1794" i="18"/>
  <c r="I1793" i="18"/>
  <c r="H1793" i="18"/>
  <c r="I1792" i="18"/>
  <c r="H1792" i="18"/>
  <c r="H1791" i="18"/>
  <c r="I1790" i="18"/>
  <c r="H1790" i="18"/>
  <c r="I1789" i="18"/>
  <c r="H1789" i="18"/>
  <c r="H1788" i="18"/>
  <c r="I1787" i="18"/>
  <c r="H1787" i="18"/>
  <c r="I1786" i="18"/>
  <c r="H1786" i="18"/>
  <c r="H1785" i="18"/>
  <c r="I1784" i="18"/>
  <c r="H1784" i="18"/>
  <c r="I1783" i="18"/>
  <c r="H1783" i="18"/>
  <c r="H1782" i="18"/>
  <c r="H1781" i="18"/>
  <c r="H1780" i="18"/>
  <c r="I1779" i="18"/>
  <c r="H1779" i="18"/>
  <c r="I1778" i="18"/>
  <c r="H1778" i="18"/>
  <c r="I1777" i="18"/>
  <c r="H1777" i="18"/>
  <c r="H1776" i="18"/>
  <c r="H1775" i="18"/>
  <c r="H1774" i="18"/>
  <c r="H1773" i="18"/>
  <c r="H1772" i="18"/>
  <c r="I1771" i="18"/>
  <c r="H1771" i="18"/>
  <c r="I1770" i="18"/>
  <c r="H1770" i="18"/>
  <c r="I1769" i="18"/>
  <c r="H1769" i="18"/>
  <c r="H1768" i="18"/>
  <c r="H1767" i="18"/>
  <c r="H1766" i="18"/>
  <c r="H1765" i="18"/>
  <c r="H1764" i="18"/>
  <c r="H1763" i="18"/>
  <c r="H1762" i="18"/>
  <c r="H1761" i="18"/>
  <c r="H1760" i="18"/>
  <c r="H1759" i="18"/>
  <c r="H1758" i="18"/>
  <c r="I1757" i="18"/>
  <c r="H1757" i="18"/>
  <c r="I1756" i="18"/>
  <c r="H1756" i="18"/>
  <c r="H1755" i="18"/>
  <c r="I1754" i="18"/>
  <c r="H1754" i="18"/>
  <c r="I1753" i="18"/>
  <c r="H1753" i="18"/>
  <c r="H1752" i="18"/>
  <c r="I1751" i="18"/>
  <c r="H1751" i="18"/>
  <c r="I1750" i="18"/>
  <c r="H1750" i="18"/>
  <c r="H1749" i="18"/>
  <c r="I1748" i="18"/>
  <c r="H1748" i="18"/>
  <c r="I1747" i="18"/>
  <c r="H1747" i="18"/>
  <c r="H1746" i="18"/>
  <c r="I1745" i="18"/>
  <c r="H1745" i="18"/>
  <c r="I1744" i="18"/>
  <c r="H1744" i="18"/>
  <c r="H1743" i="18"/>
  <c r="J1742" i="18"/>
  <c r="I1742" i="18"/>
  <c r="H1742" i="18"/>
  <c r="J1741" i="18"/>
  <c r="I1741" i="18"/>
  <c r="H1741" i="18"/>
  <c r="H1740" i="18"/>
  <c r="J1739" i="18"/>
  <c r="I1739" i="18"/>
  <c r="H1739" i="18"/>
  <c r="J1738" i="18"/>
  <c r="I1738" i="18"/>
  <c r="H1738" i="18"/>
  <c r="H1737" i="18"/>
  <c r="H1736" i="18"/>
  <c r="H1735" i="18"/>
  <c r="H1734" i="18"/>
  <c r="H1733" i="18"/>
  <c r="H1732" i="18"/>
  <c r="H1731" i="18"/>
  <c r="H1730" i="18"/>
  <c r="H1729" i="18"/>
  <c r="H1728" i="18"/>
  <c r="H1727" i="18"/>
  <c r="H1726" i="18"/>
  <c r="H1725" i="18"/>
  <c r="H1724" i="18"/>
  <c r="H1723" i="18"/>
  <c r="H1722" i="18"/>
  <c r="H1721" i="18"/>
  <c r="J1720" i="18"/>
  <c r="I1720" i="18"/>
  <c r="H1720" i="18"/>
  <c r="H1719" i="18"/>
  <c r="H1718" i="18"/>
  <c r="H1717" i="18"/>
  <c r="H1716" i="18"/>
  <c r="H1715" i="18"/>
  <c r="H1714" i="18"/>
  <c r="H1713" i="18"/>
  <c r="H1712" i="18"/>
  <c r="H1711" i="18"/>
  <c r="H1710" i="18"/>
  <c r="H1709" i="18"/>
  <c r="H1708" i="18"/>
  <c r="H1707" i="18"/>
  <c r="H1706" i="18"/>
  <c r="H1705" i="18"/>
  <c r="H1704" i="18"/>
  <c r="H1703" i="18"/>
  <c r="H1702" i="18"/>
  <c r="H1701" i="18"/>
  <c r="H1700" i="18"/>
  <c r="H1699" i="18"/>
  <c r="H1698" i="18"/>
  <c r="H1697" i="18"/>
  <c r="H1696" i="18"/>
  <c r="H1695" i="18"/>
  <c r="H1694" i="18"/>
  <c r="H1693" i="18"/>
  <c r="H1692" i="18"/>
  <c r="H1691" i="18"/>
  <c r="H1690" i="18"/>
  <c r="H1689" i="18"/>
  <c r="H1688" i="18"/>
  <c r="I1687" i="18"/>
  <c r="H1687" i="18"/>
  <c r="H1686" i="18"/>
  <c r="H1685" i="18"/>
  <c r="H1684" i="18"/>
  <c r="H1683" i="18"/>
  <c r="H1682" i="18"/>
  <c r="H1681" i="18"/>
  <c r="H1680" i="18"/>
  <c r="H1679" i="18"/>
  <c r="H1678" i="18"/>
  <c r="H1677" i="18"/>
  <c r="H1676" i="18"/>
  <c r="H1675" i="18"/>
  <c r="H1674" i="18"/>
  <c r="H1673" i="18"/>
  <c r="H1672" i="18"/>
  <c r="H1671" i="18"/>
  <c r="H1670" i="18"/>
  <c r="H1669" i="18"/>
  <c r="H1668" i="18"/>
  <c r="H1667" i="18"/>
  <c r="H1666" i="18"/>
  <c r="H1665" i="18"/>
  <c r="H1664" i="18"/>
  <c r="H1663" i="18"/>
  <c r="H1662" i="18"/>
  <c r="J1661" i="18"/>
  <c r="I1661" i="18"/>
  <c r="H1661" i="18"/>
  <c r="J1660" i="18"/>
  <c r="I1660" i="18"/>
  <c r="H1660" i="18"/>
  <c r="J1659" i="18"/>
  <c r="I1659" i="18"/>
  <c r="H1659" i="18"/>
  <c r="H1658" i="18"/>
  <c r="J1657" i="18"/>
  <c r="I1657" i="18"/>
  <c r="H1657" i="18"/>
  <c r="J1656" i="18"/>
  <c r="I1656" i="18"/>
  <c r="H1656" i="18"/>
  <c r="J1655" i="18"/>
  <c r="I1655" i="18"/>
  <c r="H1655" i="18"/>
  <c r="H1654" i="18"/>
  <c r="J1653" i="18"/>
  <c r="I1653" i="18"/>
  <c r="H1653" i="18"/>
  <c r="J1652" i="18"/>
  <c r="I1652" i="18"/>
  <c r="H1652" i="18"/>
  <c r="J1651" i="18"/>
  <c r="I1651" i="18"/>
  <c r="H1651" i="18"/>
  <c r="H1650" i="18"/>
  <c r="J1649" i="18"/>
  <c r="I1649" i="18"/>
  <c r="H1649" i="18"/>
  <c r="J1648" i="18"/>
  <c r="I1648" i="18"/>
  <c r="H1648" i="18"/>
  <c r="J1647" i="18"/>
  <c r="I1647" i="18"/>
  <c r="H1647" i="18"/>
  <c r="H1646" i="18"/>
  <c r="J1645" i="18"/>
  <c r="I1645" i="18"/>
  <c r="H1645" i="18"/>
  <c r="J1644" i="18"/>
  <c r="I1644" i="18"/>
  <c r="H1644" i="18"/>
  <c r="J1643" i="18"/>
  <c r="I1643" i="18"/>
  <c r="H1643" i="18"/>
  <c r="H1642" i="18"/>
  <c r="H1641" i="18"/>
  <c r="H1640" i="18"/>
  <c r="H1639" i="18"/>
  <c r="H1638" i="18"/>
  <c r="J1637" i="18"/>
  <c r="I1637" i="18"/>
  <c r="H1637" i="18"/>
  <c r="J1636" i="18"/>
  <c r="I1636" i="18"/>
  <c r="H1636" i="18"/>
  <c r="J1635" i="18"/>
  <c r="I1635" i="18"/>
  <c r="H1635" i="18"/>
  <c r="H1634" i="18"/>
  <c r="H1633" i="18"/>
  <c r="H1632" i="18"/>
  <c r="H1631" i="18"/>
  <c r="H1630" i="18"/>
  <c r="H1629" i="18"/>
  <c r="H1628" i="18"/>
  <c r="H1627" i="18"/>
  <c r="H1626" i="18"/>
  <c r="J1625" i="18"/>
  <c r="I1625" i="18"/>
  <c r="H1625" i="18"/>
  <c r="I1624" i="18"/>
  <c r="H1624" i="18"/>
  <c r="I1623" i="18"/>
  <c r="H1623" i="18"/>
  <c r="I1622" i="18"/>
  <c r="H1622" i="18"/>
  <c r="I1621" i="18"/>
  <c r="H1621" i="18"/>
  <c r="I1620" i="18"/>
  <c r="H1620" i="18"/>
  <c r="I1619" i="18"/>
  <c r="H1619" i="18"/>
  <c r="I1618" i="18"/>
  <c r="H1618" i="18"/>
  <c r="I1617" i="18"/>
  <c r="H1617" i="18"/>
  <c r="I1616" i="18"/>
  <c r="H1616" i="18"/>
  <c r="I1615" i="18"/>
  <c r="H1615" i="18"/>
  <c r="I1614" i="18"/>
  <c r="H1614" i="18"/>
  <c r="I1613" i="18"/>
  <c r="H1613" i="18"/>
  <c r="I1612" i="18"/>
  <c r="H1612" i="18"/>
  <c r="I1611" i="18"/>
  <c r="H1611" i="18"/>
  <c r="I1610" i="18"/>
  <c r="H1610" i="18"/>
  <c r="I1609" i="18"/>
  <c r="H1609" i="18"/>
  <c r="I1608" i="18"/>
  <c r="H1608" i="18"/>
  <c r="I1607" i="18"/>
  <c r="H1607" i="18"/>
  <c r="I1606" i="18"/>
  <c r="H1606" i="18"/>
  <c r="I1605" i="18"/>
  <c r="H1605" i="18"/>
  <c r="I1604" i="18"/>
  <c r="H1604" i="18"/>
  <c r="I1603" i="18"/>
  <c r="H1603" i="18"/>
  <c r="I1602" i="18"/>
  <c r="H1602" i="18"/>
  <c r="I1601" i="18"/>
  <c r="H1601" i="18"/>
  <c r="I1600" i="18"/>
  <c r="H1600" i="18"/>
  <c r="I1599" i="18"/>
  <c r="H1599" i="18"/>
  <c r="I1598" i="18"/>
  <c r="H1598" i="18"/>
  <c r="I1597" i="18"/>
  <c r="H1597" i="18"/>
  <c r="I1596" i="18"/>
  <c r="H1596" i="18"/>
  <c r="I1595" i="18"/>
  <c r="H1595" i="18"/>
  <c r="I1594" i="18"/>
  <c r="H1594" i="18"/>
  <c r="I1593" i="18"/>
  <c r="H1593" i="18"/>
  <c r="I1592" i="18"/>
  <c r="H1592" i="18"/>
  <c r="H1591" i="18"/>
  <c r="H1590" i="18"/>
  <c r="H1589" i="18"/>
  <c r="H1588" i="18"/>
  <c r="H1587" i="18"/>
  <c r="H1586" i="18"/>
  <c r="H1585" i="18"/>
  <c r="H1584" i="18"/>
  <c r="H1583" i="18"/>
  <c r="H1582" i="18"/>
  <c r="H1581" i="18"/>
  <c r="H1580" i="18"/>
  <c r="H1579" i="18"/>
  <c r="H1578" i="18"/>
  <c r="H1577" i="18"/>
  <c r="H1576" i="18"/>
  <c r="H1575" i="18"/>
  <c r="H1574" i="18"/>
  <c r="H1573" i="18"/>
  <c r="H1572" i="18"/>
  <c r="H1571" i="18"/>
  <c r="H1570" i="18"/>
  <c r="H1569" i="18"/>
  <c r="H1568" i="18"/>
  <c r="H1567" i="18"/>
  <c r="H1566" i="18"/>
  <c r="H1565" i="18"/>
  <c r="H1564" i="18"/>
  <c r="H1563" i="18"/>
  <c r="H1562" i="18"/>
  <c r="H1561" i="18"/>
  <c r="H1560" i="18"/>
  <c r="H1559" i="18"/>
  <c r="H1558" i="18"/>
  <c r="H1557" i="18"/>
  <c r="H1556" i="18"/>
  <c r="H1555" i="18"/>
  <c r="H1554" i="18"/>
  <c r="H1553" i="18"/>
  <c r="H1552" i="18"/>
  <c r="H1551" i="18"/>
  <c r="H1550" i="18"/>
  <c r="H1549" i="18"/>
  <c r="H1548" i="18"/>
  <c r="H1547" i="18"/>
  <c r="H1546" i="18"/>
  <c r="H1545" i="18"/>
  <c r="H1544" i="18"/>
  <c r="H1543" i="18"/>
  <c r="H1542" i="18"/>
  <c r="H1541" i="18"/>
  <c r="H1540" i="18"/>
  <c r="H1539" i="18"/>
  <c r="H1538" i="18"/>
  <c r="H1537" i="18"/>
  <c r="H1536" i="18"/>
  <c r="H1535" i="18"/>
  <c r="H1534" i="18"/>
  <c r="H1533" i="18"/>
  <c r="H1532" i="18"/>
  <c r="H1531" i="18"/>
  <c r="H1530" i="18"/>
  <c r="H1529" i="18"/>
  <c r="H1528" i="18"/>
  <c r="H1527" i="18"/>
  <c r="H1526" i="18"/>
  <c r="H1525" i="18"/>
  <c r="H1524" i="18"/>
  <c r="H1523" i="18"/>
  <c r="H1522" i="18"/>
  <c r="H1521" i="18"/>
  <c r="H1520" i="18"/>
  <c r="H1519" i="18"/>
  <c r="H1518" i="18"/>
  <c r="H1517" i="18"/>
  <c r="H1516" i="18"/>
  <c r="H1515" i="18"/>
  <c r="H1514" i="18"/>
  <c r="H1513" i="18"/>
  <c r="H1512" i="18"/>
  <c r="H1511" i="18"/>
  <c r="H1510" i="18"/>
  <c r="H1509" i="18"/>
  <c r="H1508" i="18"/>
  <c r="H1507" i="18"/>
  <c r="H1506" i="18"/>
  <c r="H1505" i="18"/>
  <c r="H1504" i="18"/>
  <c r="H1503" i="18"/>
  <c r="H1502" i="18"/>
  <c r="H1501" i="18"/>
  <c r="H1500" i="18"/>
  <c r="H1499" i="18"/>
  <c r="H1498" i="18"/>
  <c r="H1497" i="18"/>
  <c r="H1496" i="18"/>
  <c r="H1495" i="18"/>
  <c r="H1494" i="18"/>
  <c r="H1493" i="18"/>
  <c r="H1492" i="18"/>
  <c r="H1491" i="18"/>
  <c r="H1490" i="18"/>
  <c r="H1489" i="18"/>
  <c r="H1488" i="18"/>
  <c r="H1487" i="18"/>
  <c r="H1486" i="18"/>
  <c r="H1485" i="18"/>
  <c r="H1484" i="18"/>
  <c r="H1483" i="18"/>
  <c r="H1482" i="18"/>
  <c r="H1481" i="18"/>
  <c r="H1480" i="18"/>
  <c r="H1479" i="18"/>
  <c r="H1478" i="18"/>
  <c r="H1477" i="18"/>
  <c r="H1476" i="18"/>
  <c r="H1475" i="18"/>
  <c r="H1474" i="18"/>
  <c r="H1473" i="18"/>
  <c r="H1472" i="18"/>
  <c r="H1471" i="18"/>
  <c r="H1470" i="18"/>
  <c r="H1469" i="18"/>
  <c r="H1468" i="18"/>
  <c r="H1467" i="18"/>
  <c r="H1466" i="18"/>
  <c r="H1465" i="18"/>
  <c r="H1464" i="18"/>
  <c r="H1463" i="18"/>
  <c r="H1462" i="18"/>
  <c r="H1461" i="18"/>
  <c r="H1460" i="18"/>
  <c r="H1459" i="18"/>
  <c r="H1458" i="18"/>
  <c r="H1457" i="18"/>
  <c r="H1456" i="18"/>
  <c r="H1455" i="18"/>
  <c r="H1454" i="18"/>
  <c r="H1453" i="18"/>
  <c r="H1452" i="18"/>
  <c r="H1451" i="18"/>
  <c r="H1450" i="18"/>
  <c r="H1449" i="18"/>
  <c r="H1448" i="18"/>
  <c r="H1447" i="18"/>
  <c r="H1446" i="18"/>
  <c r="H1445" i="18"/>
  <c r="H1444" i="18"/>
  <c r="H1443" i="18"/>
  <c r="H1442" i="18"/>
  <c r="H1441" i="18"/>
  <c r="H1440" i="18"/>
  <c r="H1439" i="18"/>
  <c r="H1438" i="18"/>
  <c r="H1437" i="18"/>
  <c r="H1436" i="18"/>
  <c r="H1435" i="18"/>
  <c r="H1434" i="18"/>
  <c r="H1433" i="18"/>
  <c r="H1432" i="18"/>
  <c r="H1431" i="18"/>
  <c r="H1430" i="18"/>
  <c r="H1429" i="18"/>
  <c r="H1428" i="18"/>
  <c r="H1427" i="18"/>
  <c r="H1426" i="18"/>
  <c r="H1425" i="18"/>
  <c r="H1424" i="18"/>
  <c r="H1423" i="18"/>
  <c r="H1422" i="18"/>
  <c r="H1421" i="18"/>
  <c r="H1420" i="18"/>
  <c r="H1419" i="18"/>
  <c r="H1418" i="18"/>
  <c r="H1417" i="18"/>
  <c r="H1416" i="18"/>
  <c r="H1415" i="18"/>
  <c r="H1414" i="18"/>
  <c r="H1413" i="18"/>
  <c r="H1412" i="18"/>
  <c r="H1411" i="18"/>
  <c r="H1410" i="18"/>
  <c r="H1409" i="18"/>
  <c r="H1408" i="18"/>
  <c r="H1407" i="18"/>
  <c r="H1406" i="18"/>
  <c r="H1405" i="18"/>
  <c r="H1404" i="18"/>
  <c r="H1403" i="18"/>
  <c r="H1402" i="18"/>
  <c r="H1401" i="18"/>
  <c r="H1400" i="18"/>
  <c r="H1399" i="18"/>
  <c r="H1398" i="18"/>
  <c r="H1397" i="18"/>
  <c r="H1396" i="18"/>
  <c r="H1395" i="18"/>
  <c r="H1394" i="18"/>
  <c r="H1393" i="18"/>
  <c r="H1392" i="18"/>
  <c r="H1391" i="18"/>
  <c r="H1390" i="18"/>
  <c r="H1389" i="18"/>
  <c r="H1388" i="18"/>
  <c r="H1387" i="18"/>
  <c r="H1386" i="18"/>
  <c r="H1385" i="18"/>
  <c r="H1384" i="18"/>
  <c r="H1383" i="18"/>
  <c r="H1382" i="18"/>
  <c r="H1381" i="18"/>
  <c r="H1380" i="18"/>
  <c r="H1379" i="18"/>
  <c r="H1378" i="18"/>
  <c r="H1377" i="18"/>
  <c r="H1376" i="18"/>
  <c r="H1375" i="18"/>
  <c r="H1374" i="18"/>
  <c r="H1373" i="18"/>
  <c r="H1372" i="18"/>
  <c r="H1371" i="18"/>
  <c r="H1370" i="18"/>
  <c r="H1369" i="18"/>
  <c r="H1368" i="18"/>
  <c r="H1367" i="18"/>
  <c r="H1366" i="18"/>
  <c r="H1365" i="18"/>
  <c r="H1364" i="18"/>
  <c r="H1363" i="18"/>
  <c r="H1362" i="18"/>
  <c r="H1361" i="18"/>
  <c r="H1360" i="18"/>
  <c r="H1359" i="18"/>
  <c r="H1358" i="18"/>
  <c r="H1357" i="18"/>
  <c r="H1356" i="18"/>
  <c r="H1355" i="18"/>
  <c r="H1354" i="18"/>
  <c r="H1353" i="18"/>
  <c r="H1352" i="18"/>
  <c r="H1351" i="18"/>
  <c r="H1350" i="18"/>
  <c r="H1349" i="18"/>
  <c r="H1348" i="18"/>
  <c r="H1347" i="18"/>
  <c r="H1346" i="18"/>
  <c r="H1345" i="18"/>
  <c r="H1344" i="18"/>
  <c r="H1343" i="18"/>
  <c r="H1342" i="18"/>
  <c r="H1341" i="18"/>
  <c r="H1340" i="18"/>
  <c r="H1339" i="18"/>
  <c r="H1338" i="18"/>
  <c r="H1337" i="18"/>
  <c r="H1336" i="18"/>
  <c r="H1335" i="18"/>
  <c r="H1334" i="18"/>
  <c r="H1333" i="18"/>
  <c r="H1332" i="18"/>
  <c r="H1331" i="18"/>
  <c r="H1330" i="18"/>
  <c r="H1329" i="18"/>
  <c r="H1328" i="18"/>
  <c r="H1327" i="18"/>
  <c r="H1326" i="18"/>
  <c r="H1325" i="18"/>
  <c r="H1324" i="18"/>
  <c r="H1323" i="18"/>
  <c r="H1322" i="18"/>
  <c r="H1321" i="18"/>
  <c r="H1320" i="18"/>
  <c r="H1319" i="18"/>
  <c r="H1318" i="18"/>
  <c r="H1317" i="18"/>
  <c r="H1316" i="18"/>
  <c r="H1315" i="18"/>
  <c r="H1314" i="18"/>
  <c r="H1313" i="18"/>
  <c r="H1312" i="18"/>
  <c r="H1311" i="18"/>
  <c r="H1310" i="18"/>
  <c r="H1309" i="18"/>
  <c r="H1308" i="18"/>
  <c r="H1307" i="18"/>
  <c r="H1306" i="18"/>
  <c r="H1305" i="18"/>
  <c r="H1304" i="18"/>
  <c r="H1303" i="18"/>
  <c r="H1302" i="18"/>
  <c r="H1301" i="18"/>
  <c r="H1300" i="18"/>
  <c r="H1299" i="18"/>
  <c r="H1298" i="18"/>
  <c r="H1297" i="18"/>
  <c r="H1296" i="18"/>
  <c r="H1295" i="18"/>
  <c r="H1294" i="18"/>
  <c r="H1293" i="18"/>
  <c r="H1292" i="18"/>
  <c r="H1291" i="18"/>
  <c r="H1290" i="18"/>
  <c r="H1289" i="18"/>
  <c r="H1288" i="18"/>
  <c r="H1287" i="18"/>
  <c r="H1286" i="18"/>
  <c r="H1285" i="18"/>
  <c r="H1284" i="18"/>
  <c r="H1283" i="18"/>
  <c r="H1282" i="18"/>
  <c r="H1281" i="18"/>
  <c r="H1280" i="18"/>
  <c r="H1279" i="18"/>
  <c r="H1278" i="18"/>
  <c r="H1277" i="18"/>
  <c r="H1276" i="18"/>
  <c r="H1275" i="18"/>
  <c r="H1274" i="18"/>
  <c r="H1273" i="18"/>
  <c r="H1272" i="18"/>
  <c r="H1271" i="18"/>
  <c r="H1270" i="18"/>
  <c r="H1269" i="18"/>
  <c r="H1268" i="18"/>
  <c r="H1267" i="18"/>
  <c r="H1266" i="18"/>
  <c r="H1265" i="18"/>
  <c r="H1264" i="18"/>
  <c r="H1263" i="18"/>
  <c r="H1262" i="18"/>
  <c r="H1261" i="18"/>
  <c r="H1260" i="18"/>
  <c r="H1259" i="18"/>
  <c r="H1258" i="18"/>
  <c r="H1257" i="18"/>
  <c r="H1256" i="18"/>
  <c r="H1255" i="18"/>
  <c r="H1254" i="18"/>
  <c r="H1253" i="18"/>
  <c r="H1252" i="18"/>
  <c r="H1251" i="18"/>
  <c r="H1250" i="18"/>
  <c r="H1249" i="18"/>
  <c r="H1248" i="18"/>
  <c r="H1247" i="18"/>
  <c r="H1246" i="18"/>
  <c r="H1245" i="18"/>
  <c r="H1244" i="18"/>
  <c r="H1243" i="18"/>
  <c r="H1242" i="18"/>
  <c r="H1241" i="18"/>
  <c r="H1240" i="18"/>
  <c r="H1239" i="18"/>
  <c r="H1238" i="18"/>
  <c r="H1237" i="18"/>
  <c r="H1236" i="18"/>
  <c r="H1235" i="18"/>
  <c r="H1234" i="18"/>
  <c r="H1233" i="18"/>
  <c r="H1232" i="18"/>
  <c r="H1231" i="18"/>
  <c r="H1230" i="18"/>
  <c r="H1229" i="18"/>
  <c r="H1228" i="18"/>
  <c r="H1227" i="18"/>
  <c r="H1226" i="18"/>
  <c r="H1225" i="18"/>
  <c r="H1224" i="18"/>
  <c r="H1223" i="18"/>
  <c r="H1222" i="18"/>
  <c r="H1221" i="18"/>
  <c r="H1220" i="18"/>
  <c r="H1219" i="18"/>
  <c r="H1218" i="18"/>
  <c r="H1217" i="18"/>
  <c r="H1216" i="18"/>
  <c r="H1215" i="18"/>
  <c r="H1214" i="18"/>
  <c r="H1213" i="18"/>
  <c r="H1212" i="18"/>
  <c r="H1211" i="18"/>
  <c r="H1210" i="18"/>
  <c r="H1209" i="18"/>
  <c r="H1208" i="18"/>
  <c r="H1207" i="18"/>
  <c r="H1206" i="18"/>
  <c r="H1205" i="18"/>
  <c r="H1204" i="18"/>
  <c r="H1203" i="18"/>
  <c r="H1202" i="18"/>
  <c r="H1201" i="18"/>
  <c r="H1200" i="18"/>
  <c r="H1199" i="18"/>
  <c r="H1198" i="18"/>
  <c r="H1197" i="18"/>
  <c r="H1196" i="18"/>
  <c r="H1195" i="18"/>
  <c r="H1194" i="18"/>
  <c r="H1193" i="18"/>
  <c r="H1192" i="18"/>
  <c r="H1191" i="18"/>
  <c r="H1190" i="18"/>
  <c r="H1189" i="18"/>
  <c r="H1188" i="18"/>
  <c r="H1187" i="18"/>
  <c r="H1186" i="18"/>
  <c r="H1185" i="18"/>
  <c r="H1184" i="18"/>
  <c r="H1183" i="18"/>
  <c r="H1182" i="18"/>
  <c r="H1181" i="18"/>
  <c r="H1180" i="18"/>
  <c r="H1179" i="18"/>
  <c r="H1178" i="18"/>
  <c r="H1177" i="18"/>
  <c r="H1176" i="18"/>
  <c r="H1175" i="18"/>
  <c r="H1174" i="18"/>
  <c r="H1173" i="18"/>
  <c r="H1172" i="18"/>
  <c r="H1171" i="18"/>
  <c r="H1170" i="18"/>
  <c r="H1169" i="18"/>
  <c r="H1168" i="18"/>
  <c r="H1167" i="18"/>
  <c r="H1166" i="18"/>
  <c r="H1165" i="18"/>
  <c r="H1164" i="18"/>
  <c r="H1163" i="18"/>
  <c r="H1162" i="18"/>
  <c r="H1161" i="18"/>
  <c r="H1160" i="18"/>
  <c r="H1159" i="18"/>
  <c r="H1158" i="18"/>
  <c r="H1157" i="18"/>
  <c r="H1156" i="18"/>
  <c r="H1155" i="18"/>
  <c r="H1154" i="18"/>
  <c r="H1153" i="18"/>
  <c r="H1152" i="18"/>
  <c r="H1151" i="18"/>
  <c r="H1150" i="18"/>
  <c r="H1149" i="18"/>
  <c r="H1148" i="18"/>
  <c r="H1147" i="18"/>
  <c r="H1146" i="18"/>
  <c r="H1145" i="18"/>
  <c r="H1144" i="18"/>
  <c r="H1143" i="18"/>
  <c r="H1142" i="18"/>
  <c r="H1141" i="18"/>
  <c r="H1140" i="18"/>
  <c r="H1139" i="18"/>
  <c r="H1138" i="18"/>
  <c r="H1137" i="18"/>
  <c r="H1136" i="18"/>
  <c r="H1135" i="18"/>
  <c r="H1134" i="18"/>
  <c r="H1133" i="18"/>
  <c r="H1132" i="18"/>
  <c r="H1131" i="18"/>
  <c r="H1130" i="18"/>
  <c r="H1129" i="18"/>
  <c r="H1128" i="18"/>
  <c r="H1127" i="18"/>
  <c r="H1126" i="18"/>
  <c r="H1125" i="18"/>
  <c r="H1124" i="18"/>
  <c r="H1123" i="18"/>
  <c r="H1122" i="18"/>
  <c r="H1121" i="18"/>
  <c r="H1120" i="18"/>
  <c r="H1119" i="18"/>
  <c r="H1118" i="18"/>
  <c r="H1117" i="18"/>
  <c r="H1116" i="18"/>
  <c r="H1115" i="18"/>
  <c r="H1114" i="18"/>
  <c r="H1113" i="18"/>
  <c r="H1112" i="18"/>
  <c r="H1111" i="18"/>
  <c r="H1110" i="18"/>
  <c r="H1109" i="18"/>
  <c r="H1108" i="18"/>
  <c r="H1107" i="18"/>
  <c r="H1106" i="18"/>
  <c r="H1105" i="18"/>
  <c r="H1104" i="18"/>
  <c r="H1103" i="18"/>
  <c r="H1102" i="18"/>
  <c r="H1101" i="18"/>
  <c r="H1100" i="18"/>
  <c r="H1099" i="18"/>
  <c r="H1098" i="18"/>
  <c r="H1097" i="18"/>
  <c r="H1096" i="18"/>
  <c r="H1095" i="18"/>
  <c r="H1094" i="18"/>
  <c r="H1093" i="18"/>
  <c r="H1092" i="18"/>
  <c r="H1091" i="18"/>
  <c r="H1090" i="18"/>
  <c r="H1089" i="18"/>
  <c r="H1088" i="18"/>
  <c r="H1087" i="18"/>
  <c r="H1086" i="18"/>
  <c r="H1085" i="18"/>
  <c r="H1084" i="18"/>
  <c r="H1083" i="18"/>
  <c r="H1082" i="18"/>
  <c r="H1081" i="18"/>
  <c r="H1080" i="18"/>
  <c r="H1079" i="18"/>
  <c r="H1078" i="18"/>
  <c r="H1077" i="18"/>
  <c r="H1076" i="18"/>
  <c r="H1075" i="18"/>
  <c r="H1074" i="18"/>
  <c r="H1073" i="18"/>
  <c r="H1072" i="18"/>
  <c r="H1071" i="18"/>
  <c r="H1070" i="18"/>
  <c r="H1069" i="18"/>
  <c r="H1068" i="18"/>
  <c r="H1067" i="18"/>
  <c r="H1066" i="18"/>
  <c r="H1065" i="18"/>
  <c r="H1064" i="18"/>
  <c r="H1063" i="18"/>
  <c r="H1062" i="18"/>
  <c r="H1061" i="18"/>
  <c r="H1060" i="18"/>
  <c r="H1059" i="18"/>
  <c r="H1058" i="18"/>
  <c r="H1057" i="18"/>
  <c r="H1056" i="18"/>
  <c r="H1055" i="18"/>
  <c r="H1054" i="18"/>
  <c r="H1053" i="18"/>
  <c r="H1052" i="18"/>
  <c r="H1051" i="18"/>
  <c r="H1050" i="18"/>
  <c r="H1049" i="18"/>
  <c r="H1048" i="18"/>
  <c r="H1047" i="18"/>
  <c r="H1046" i="18"/>
  <c r="H1045" i="18"/>
  <c r="H1044" i="18"/>
  <c r="H1043" i="18"/>
  <c r="H1042" i="18"/>
  <c r="H1041" i="18"/>
  <c r="H1040" i="18"/>
  <c r="H1039" i="18"/>
  <c r="H1038" i="18"/>
  <c r="H1037" i="18"/>
  <c r="H1036" i="18"/>
  <c r="H1035" i="18"/>
  <c r="H1034" i="18"/>
  <c r="H1033" i="18"/>
  <c r="H1032" i="18"/>
  <c r="H1031" i="18"/>
  <c r="H1030" i="18"/>
  <c r="H1029" i="18"/>
  <c r="H1028" i="18"/>
  <c r="H1027" i="18"/>
  <c r="H1026" i="18"/>
  <c r="H1025" i="18"/>
  <c r="H1024" i="18"/>
  <c r="H1023" i="18"/>
  <c r="H1022" i="18"/>
  <c r="H1021" i="18"/>
  <c r="H1020" i="18"/>
  <c r="H1019" i="18"/>
  <c r="H1018" i="18"/>
  <c r="H1017" i="18"/>
  <c r="H1016" i="18"/>
  <c r="H1015" i="18"/>
  <c r="H1014" i="18"/>
  <c r="H1013" i="18"/>
  <c r="H1012" i="18"/>
  <c r="H1011" i="18"/>
  <c r="H1010" i="18"/>
  <c r="H1009" i="18"/>
  <c r="H1008" i="18"/>
  <c r="H1007" i="18"/>
  <c r="H1006" i="18"/>
  <c r="H1005" i="18"/>
  <c r="H1004" i="18"/>
  <c r="H1003" i="18"/>
  <c r="H1002" i="18"/>
  <c r="H1001" i="18"/>
  <c r="H1000" i="18"/>
  <c r="H999" i="18"/>
  <c r="H998" i="18"/>
  <c r="H997" i="18"/>
  <c r="H996" i="18"/>
  <c r="H995" i="18"/>
  <c r="H994" i="18"/>
  <c r="H993" i="18"/>
  <c r="H992" i="18"/>
  <c r="H991" i="18"/>
  <c r="H990" i="18"/>
  <c r="H989" i="18"/>
  <c r="H988" i="18"/>
  <c r="H987" i="18"/>
  <c r="H986" i="18"/>
  <c r="H985" i="18"/>
  <c r="H984" i="18"/>
  <c r="H983" i="18"/>
  <c r="H982" i="18"/>
  <c r="H981" i="18"/>
  <c r="H980" i="18"/>
  <c r="H979" i="18"/>
  <c r="H978" i="18"/>
  <c r="H977" i="18"/>
  <c r="H976" i="18"/>
  <c r="H975" i="18"/>
  <c r="H974" i="18"/>
  <c r="H973" i="18"/>
  <c r="H972" i="18"/>
  <c r="H971" i="18"/>
  <c r="H970" i="18"/>
  <c r="H969" i="18"/>
  <c r="H968" i="18"/>
  <c r="H967" i="18"/>
  <c r="H966" i="18"/>
  <c r="H965" i="18"/>
  <c r="H964" i="18"/>
  <c r="H963" i="18"/>
  <c r="H962" i="18"/>
  <c r="H961" i="18"/>
  <c r="H960" i="18"/>
  <c r="H959" i="18"/>
  <c r="H958" i="18"/>
  <c r="H957" i="18"/>
  <c r="H956" i="18"/>
  <c r="H955" i="18"/>
  <c r="H954" i="18"/>
  <c r="H953" i="18"/>
  <c r="H952" i="18"/>
  <c r="H951" i="18"/>
  <c r="H950" i="18"/>
  <c r="H949" i="18"/>
  <c r="H948" i="18"/>
  <c r="H947" i="18"/>
  <c r="H946" i="18"/>
  <c r="H945" i="18"/>
  <c r="H944" i="18"/>
  <c r="H943" i="18"/>
  <c r="H942" i="18"/>
  <c r="H941" i="18"/>
  <c r="H940" i="18"/>
  <c r="H939" i="18"/>
  <c r="H938" i="18"/>
  <c r="H937" i="18"/>
  <c r="H936" i="18"/>
  <c r="H935" i="18"/>
  <c r="H934" i="18"/>
  <c r="H933" i="18"/>
  <c r="H932" i="18"/>
  <c r="H931" i="18"/>
  <c r="H930" i="18"/>
  <c r="H929" i="18"/>
  <c r="H928" i="18"/>
  <c r="H927" i="18"/>
  <c r="H926" i="18"/>
  <c r="H925" i="18"/>
  <c r="H924" i="18"/>
  <c r="H923" i="18"/>
  <c r="H922" i="18"/>
  <c r="H921" i="18"/>
  <c r="H920" i="18"/>
  <c r="H919" i="18"/>
  <c r="H918" i="18"/>
  <c r="H917" i="18"/>
  <c r="H916" i="18"/>
  <c r="H915" i="18"/>
  <c r="H914" i="18"/>
  <c r="J913" i="18"/>
  <c r="I913" i="18"/>
  <c r="H913" i="18"/>
  <c r="H912" i="18"/>
  <c r="H911" i="18"/>
  <c r="H910" i="18"/>
  <c r="H909" i="18"/>
  <c r="H908" i="18"/>
  <c r="H907" i="18"/>
  <c r="H906" i="18"/>
  <c r="H905" i="18"/>
  <c r="H904" i="18"/>
  <c r="H903" i="18"/>
  <c r="H902" i="18"/>
  <c r="H901" i="18"/>
  <c r="H900" i="18"/>
  <c r="H899" i="18"/>
  <c r="H898" i="18"/>
  <c r="H897" i="18"/>
  <c r="H896" i="18"/>
  <c r="H895" i="18"/>
  <c r="H894" i="18"/>
  <c r="H893" i="18"/>
  <c r="H892" i="18"/>
  <c r="H891" i="18"/>
  <c r="H890" i="18"/>
  <c r="H889" i="18"/>
  <c r="H888" i="18"/>
  <c r="H887" i="18"/>
  <c r="H886" i="18"/>
  <c r="H885" i="18"/>
  <c r="H884" i="18"/>
  <c r="H883" i="18"/>
  <c r="H882" i="18"/>
  <c r="H881" i="18"/>
  <c r="J880" i="18"/>
  <c r="I880" i="18"/>
  <c r="H880" i="18"/>
  <c r="H870" i="18"/>
  <c r="H869" i="18"/>
  <c r="H868" i="18"/>
  <c r="H867" i="18"/>
  <c r="H866" i="18"/>
  <c r="H865" i="18"/>
  <c r="H864" i="18"/>
  <c r="H863" i="18"/>
  <c r="H862" i="18"/>
  <c r="J861" i="18"/>
  <c r="I861" i="18"/>
  <c r="H861" i="18"/>
  <c r="J860" i="18"/>
  <c r="I860" i="18"/>
  <c r="H860" i="18"/>
  <c r="J859" i="18"/>
  <c r="I859" i="18"/>
  <c r="H859" i="18"/>
  <c r="H858" i="18"/>
  <c r="J857" i="18"/>
  <c r="I857" i="18"/>
  <c r="H857" i="18"/>
  <c r="J856" i="18"/>
  <c r="I856" i="18"/>
  <c r="H856" i="18"/>
  <c r="J855" i="18"/>
  <c r="I855" i="18"/>
  <c r="H855" i="18"/>
  <c r="H854" i="18"/>
  <c r="J853" i="18"/>
  <c r="I853" i="18"/>
  <c r="H853" i="18"/>
  <c r="H852" i="18"/>
  <c r="H851" i="18"/>
  <c r="H850" i="18"/>
  <c r="H849" i="18"/>
  <c r="H848" i="18"/>
  <c r="H847" i="18"/>
  <c r="H846" i="18"/>
  <c r="H845" i="18"/>
  <c r="H844" i="18"/>
  <c r="H843" i="18"/>
  <c r="H842" i="18"/>
  <c r="H841" i="18"/>
  <c r="H840" i="18"/>
  <c r="H839" i="18"/>
  <c r="H838" i="18"/>
  <c r="H837" i="18"/>
  <c r="H836" i="18"/>
  <c r="H835" i="18"/>
  <c r="H834" i="18"/>
  <c r="H833" i="18"/>
  <c r="H832" i="18"/>
  <c r="H831" i="18"/>
  <c r="H830" i="18"/>
  <c r="H829" i="18"/>
  <c r="H828" i="18"/>
  <c r="H827" i="18"/>
  <c r="H826" i="18"/>
  <c r="H825" i="18"/>
  <c r="I824" i="18"/>
  <c r="H824" i="18"/>
  <c r="I823" i="18"/>
  <c r="H823" i="18"/>
  <c r="I822" i="18"/>
  <c r="H822" i="18"/>
  <c r="I821" i="18"/>
  <c r="H821" i="18"/>
  <c r="I820" i="18"/>
  <c r="H820" i="18"/>
  <c r="H819" i="18"/>
  <c r="H818" i="18"/>
  <c r="H817" i="18"/>
  <c r="H816" i="18"/>
  <c r="H815" i="18"/>
  <c r="H814" i="18"/>
  <c r="H813" i="18"/>
  <c r="H812" i="18"/>
  <c r="H811" i="18"/>
  <c r="H810" i="18"/>
  <c r="H809" i="18"/>
  <c r="H808" i="18"/>
  <c r="H807" i="18"/>
  <c r="H806" i="18"/>
  <c r="H805" i="18"/>
  <c r="H804" i="18"/>
  <c r="H803" i="18"/>
  <c r="H802" i="18"/>
  <c r="H801" i="18"/>
  <c r="H800" i="18"/>
  <c r="H799" i="18"/>
  <c r="H798" i="18"/>
  <c r="H797" i="18"/>
  <c r="H796" i="18"/>
  <c r="H795" i="18"/>
  <c r="H794" i="18"/>
  <c r="H793" i="18"/>
  <c r="H792" i="18"/>
  <c r="H791" i="18"/>
  <c r="H790" i="18"/>
  <c r="H789" i="18"/>
  <c r="H776" i="18"/>
  <c r="J775" i="18"/>
  <c r="I775" i="18"/>
  <c r="H775" i="18"/>
  <c r="J774" i="18"/>
  <c r="I774" i="18"/>
  <c r="H774" i="18"/>
  <c r="J773" i="18"/>
  <c r="I773" i="18"/>
  <c r="H773" i="18"/>
  <c r="J772" i="18"/>
  <c r="I772" i="18"/>
  <c r="H772" i="18"/>
  <c r="H771" i="18"/>
  <c r="H770" i="18"/>
  <c r="J769" i="18"/>
  <c r="I769" i="18"/>
  <c r="H769" i="18"/>
  <c r="J768" i="18"/>
  <c r="I768" i="18"/>
  <c r="H768" i="18"/>
  <c r="J767" i="18"/>
  <c r="I767" i="18"/>
  <c r="H767" i="18"/>
  <c r="J766" i="18"/>
  <c r="I766" i="18"/>
  <c r="H766" i="18"/>
  <c r="H765" i="18"/>
  <c r="H764" i="18"/>
  <c r="J763" i="18"/>
  <c r="I763" i="18"/>
  <c r="H763" i="18"/>
  <c r="J762" i="18"/>
  <c r="I762" i="18"/>
  <c r="H762" i="18"/>
  <c r="J761" i="18"/>
  <c r="I761" i="18"/>
  <c r="H761" i="18"/>
  <c r="J760" i="18"/>
  <c r="I760" i="18"/>
  <c r="H760" i="18"/>
  <c r="H759" i="18"/>
  <c r="H758" i="18"/>
  <c r="J757" i="18"/>
  <c r="I757" i="18"/>
  <c r="H757" i="18"/>
  <c r="J756" i="18"/>
  <c r="I756" i="18"/>
  <c r="H756" i="18"/>
  <c r="J755" i="18"/>
  <c r="I755" i="18"/>
  <c r="H755" i="18"/>
  <c r="J754" i="18"/>
  <c r="I754" i="18"/>
  <c r="H754" i="18"/>
  <c r="H753" i="18"/>
  <c r="H752" i="18"/>
  <c r="J751" i="18"/>
  <c r="I751" i="18"/>
  <c r="H751" i="18"/>
  <c r="J750" i="18"/>
  <c r="I750" i="18"/>
  <c r="H750" i="18"/>
  <c r="J749" i="18"/>
  <c r="I749" i="18"/>
  <c r="H749" i="18"/>
  <c r="J748" i="18"/>
  <c r="I748" i="18"/>
  <c r="H748" i="18"/>
  <c r="H747" i="18"/>
  <c r="H746" i="18"/>
  <c r="J745" i="18"/>
  <c r="I745" i="18"/>
  <c r="H745" i="18"/>
  <c r="J744" i="18"/>
  <c r="I744" i="18"/>
  <c r="H744" i="18"/>
  <c r="J743" i="18"/>
  <c r="I743" i="18"/>
  <c r="H743" i="18"/>
  <c r="J742" i="18"/>
  <c r="I742" i="18"/>
  <c r="H742" i="18"/>
  <c r="H741" i="18"/>
  <c r="H740" i="18"/>
  <c r="J739" i="18"/>
  <c r="I739" i="18"/>
  <c r="H739" i="18"/>
  <c r="J738" i="18"/>
  <c r="I738" i="18"/>
  <c r="H738" i="18"/>
  <c r="J737" i="18"/>
  <c r="I737" i="18"/>
  <c r="H737" i="18"/>
  <c r="J736" i="18"/>
  <c r="I736" i="18"/>
  <c r="H736" i="18"/>
  <c r="H735" i="18"/>
  <c r="H734" i="18"/>
  <c r="J733" i="18"/>
  <c r="I733" i="18"/>
  <c r="H733" i="18"/>
  <c r="J732" i="18"/>
  <c r="I732" i="18"/>
  <c r="H732" i="18"/>
  <c r="J731" i="18"/>
  <c r="I731" i="18"/>
  <c r="H731" i="18"/>
  <c r="J730" i="18"/>
  <c r="I730" i="18"/>
  <c r="H730" i="18"/>
  <c r="H729" i="18"/>
  <c r="H728" i="18"/>
  <c r="J727" i="18"/>
  <c r="I727" i="18"/>
  <c r="H727" i="18"/>
  <c r="J726" i="18"/>
  <c r="I726" i="18"/>
  <c r="H726" i="18"/>
  <c r="J725" i="18"/>
  <c r="I725" i="18"/>
  <c r="H725" i="18"/>
  <c r="J724" i="18"/>
  <c r="I724" i="18"/>
  <c r="H724" i="18"/>
  <c r="H723" i="18"/>
  <c r="H722" i="18"/>
  <c r="J721" i="18"/>
  <c r="I721" i="18"/>
  <c r="H721" i="18"/>
  <c r="J720" i="18"/>
  <c r="I720" i="18"/>
  <c r="H720" i="18"/>
  <c r="J719" i="18"/>
  <c r="I719" i="18"/>
  <c r="H719" i="18"/>
  <c r="J718" i="18"/>
  <c r="I718" i="18"/>
  <c r="H718" i="18"/>
  <c r="H717" i="18"/>
  <c r="H716" i="18"/>
  <c r="J715" i="18"/>
  <c r="I715" i="18"/>
  <c r="H715" i="18"/>
  <c r="J714" i="18"/>
  <c r="I714" i="18"/>
  <c r="H714" i="18"/>
  <c r="J713" i="18"/>
  <c r="I713" i="18"/>
  <c r="H713" i="18"/>
  <c r="J712" i="18"/>
  <c r="I712" i="18"/>
  <c r="H712" i="18"/>
  <c r="H711" i="18"/>
  <c r="H710" i="18"/>
  <c r="J709" i="18"/>
  <c r="I709" i="18"/>
  <c r="H709" i="18"/>
  <c r="J708" i="18"/>
  <c r="I708" i="18"/>
  <c r="H708" i="18"/>
  <c r="J707" i="18"/>
  <c r="I707" i="18"/>
  <c r="H707" i="18"/>
  <c r="J706" i="18"/>
  <c r="I706" i="18"/>
  <c r="H706" i="18"/>
  <c r="H705" i="18"/>
  <c r="H704" i="18"/>
  <c r="J703" i="18"/>
  <c r="I703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J681" i="18"/>
  <c r="I681" i="18"/>
  <c r="H681" i="18"/>
  <c r="J680" i="18"/>
  <c r="I680" i="18"/>
  <c r="H680" i="18"/>
  <c r="J679" i="18"/>
  <c r="I679" i="18"/>
  <c r="H679" i="18"/>
  <c r="H678" i="18"/>
  <c r="J677" i="18"/>
  <c r="H677" i="18"/>
  <c r="J676" i="18"/>
  <c r="H676" i="18"/>
  <c r="J675" i="18"/>
  <c r="H675" i="18"/>
  <c r="H674" i="18"/>
  <c r="J673" i="18"/>
  <c r="H673" i="18"/>
  <c r="J672" i="18"/>
  <c r="H672" i="18"/>
  <c r="J671" i="18"/>
  <c r="H671" i="18"/>
  <c r="H670" i="18"/>
  <c r="J669" i="18"/>
  <c r="H669" i="18"/>
  <c r="J668" i="18"/>
  <c r="H668" i="18"/>
  <c r="J667" i="18"/>
  <c r="H667" i="18"/>
  <c r="H666" i="18"/>
  <c r="H665" i="18"/>
  <c r="H664" i="18"/>
  <c r="H663" i="18"/>
  <c r="H662" i="18"/>
  <c r="H661" i="18"/>
  <c r="H660" i="18"/>
  <c r="H659" i="18"/>
  <c r="H658" i="18"/>
  <c r="J657" i="18"/>
  <c r="I657" i="18"/>
  <c r="H657" i="18"/>
  <c r="J656" i="18"/>
  <c r="I656" i="18"/>
  <c r="H656" i="18"/>
  <c r="J655" i="18"/>
  <c r="I655" i="18"/>
  <c r="H655" i="18"/>
  <c r="H654" i="18"/>
  <c r="H653" i="18"/>
  <c r="H652" i="18"/>
  <c r="H651" i="18"/>
  <c r="H650" i="18"/>
  <c r="H649" i="18"/>
  <c r="H648" i="18"/>
  <c r="H647" i="18"/>
  <c r="H646" i="18"/>
  <c r="H645" i="18"/>
  <c r="J644" i="18"/>
  <c r="I644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22" i="18"/>
  <c r="H621" i="18"/>
  <c r="H620" i="18"/>
  <c r="H619" i="18"/>
  <c r="J618" i="18"/>
  <c r="I618" i="18"/>
  <c r="H618" i="18"/>
  <c r="H617" i="18"/>
  <c r="J616" i="18"/>
  <c r="I616" i="18"/>
  <c r="H616" i="18"/>
  <c r="J615" i="18"/>
  <c r="I615" i="18"/>
  <c r="H615" i="18"/>
  <c r="J614" i="18"/>
  <c r="I614" i="18"/>
  <c r="H614" i="18"/>
  <c r="H613" i="18"/>
  <c r="H612" i="18"/>
  <c r="J611" i="18"/>
  <c r="I611" i="18"/>
  <c r="H611" i="18"/>
  <c r="J610" i="18"/>
  <c r="I610" i="18"/>
  <c r="H610" i="18"/>
  <c r="J609" i="18"/>
  <c r="I609" i="18"/>
  <c r="H609" i="18"/>
  <c r="H608" i="18"/>
  <c r="H607" i="18"/>
  <c r="J606" i="18"/>
  <c r="I606" i="18"/>
  <c r="H606" i="18"/>
  <c r="J605" i="18"/>
  <c r="I605" i="18"/>
  <c r="H605" i="18"/>
  <c r="J604" i="18"/>
  <c r="I604" i="18"/>
  <c r="H604" i="18"/>
  <c r="H603" i="18"/>
  <c r="H602" i="18"/>
  <c r="J601" i="18"/>
  <c r="I601" i="18"/>
  <c r="H601" i="18"/>
  <c r="J600" i="18"/>
  <c r="I600" i="18"/>
  <c r="H600" i="18"/>
  <c r="J599" i="18"/>
  <c r="I599" i="18"/>
  <c r="H599" i="18"/>
  <c r="H598" i="18"/>
  <c r="H597" i="18"/>
  <c r="J596" i="18"/>
  <c r="I596" i="18"/>
  <c r="H596" i="18"/>
  <c r="J595" i="18"/>
  <c r="I595" i="18"/>
  <c r="H595" i="18"/>
  <c r="J594" i="18"/>
  <c r="I594" i="18"/>
  <c r="H594" i="18"/>
  <c r="H593" i="18"/>
  <c r="H592" i="18"/>
  <c r="H591" i="18"/>
  <c r="H590" i="18"/>
  <c r="J589" i="18"/>
  <c r="I589" i="18"/>
  <c r="H589" i="18"/>
  <c r="H588" i="18"/>
  <c r="H587" i="18"/>
  <c r="H586" i="18"/>
  <c r="H585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J563" i="18"/>
  <c r="I563" i="18"/>
  <c r="H563" i="18"/>
  <c r="H562" i="18"/>
  <c r="H561" i="18"/>
  <c r="H560" i="18"/>
  <c r="H559" i="18"/>
  <c r="H558" i="18"/>
  <c r="H557" i="18"/>
  <c r="H556" i="18"/>
  <c r="H555" i="18"/>
  <c r="H554" i="18"/>
  <c r="H553" i="18"/>
  <c r="H552" i="18"/>
  <c r="H551" i="18"/>
  <c r="H550" i="18"/>
  <c r="H549" i="18"/>
  <c r="H548" i="18"/>
  <c r="H547" i="18"/>
  <c r="H546" i="18"/>
  <c r="H545" i="18"/>
  <c r="H544" i="18"/>
  <c r="H543" i="18"/>
  <c r="J542" i="18"/>
  <c r="I542" i="18"/>
  <c r="H542" i="18"/>
  <c r="J541" i="18"/>
  <c r="I541" i="18"/>
  <c r="H541" i="18"/>
  <c r="J540" i="18"/>
  <c r="I540" i="18"/>
  <c r="H540" i="18"/>
  <c r="J539" i="18"/>
  <c r="I539" i="18"/>
  <c r="H539" i="18"/>
  <c r="H538" i="18"/>
  <c r="J537" i="18"/>
  <c r="I537" i="18"/>
  <c r="H537" i="18"/>
  <c r="J536" i="18"/>
  <c r="I536" i="18"/>
  <c r="H536" i="18"/>
  <c r="J535" i="18"/>
  <c r="I535" i="18"/>
  <c r="H535" i="18"/>
  <c r="J534" i="18"/>
  <c r="I534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J518" i="18"/>
  <c r="I518" i="18"/>
  <c r="H518" i="18"/>
  <c r="J517" i="18"/>
  <c r="I517" i="18"/>
  <c r="H517" i="18"/>
  <c r="J516" i="18"/>
  <c r="I516" i="18"/>
  <c r="H516" i="18"/>
  <c r="J515" i="18"/>
  <c r="I515" i="18"/>
  <c r="H515" i="18"/>
  <c r="H514" i="18"/>
  <c r="J513" i="18"/>
  <c r="I513" i="18"/>
  <c r="H513" i="18"/>
  <c r="J512" i="18"/>
  <c r="I512" i="18"/>
  <c r="H512" i="18"/>
  <c r="J511" i="18"/>
  <c r="I511" i="18"/>
  <c r="H511" i="18"/>
  <c r="J510" i="18"/>
  <c r="I510" i="18"/>
  <c r="H510" i="18"/>
  <c r="H509" i="18"/>
  <c r="J508" i="18"/>
  <c r="I508" i="18"/>
  <c r="H508" i="18"/>
  <c r="J507" i="18"/>
  <c r="I507" i="18"/>
  <c r="H507" i="18"/>
  <c r="J506" i="18"/>
  <c r="I506" i="18"/>
  <c r="H506" i="18"/>
  <c r="J505" i="18"/>
  <c r="I505" i="18"/>
  <c r="H505" i="18"/>
  <c r="H504" i="18"/>
  <c r="H503" i="18"/>
  <c r="J502" i="18"/>
  <c r="I502" i="18"/>
  <c r="H502" i="18"/>
  <c r="J501" i="18"/>
  <c r="I501" i="18"/>
  <c r="H501" i="18"/>
  <c r="J500" i="18"/>
  <c r="I500" i="18"/>
  <c r="H500" i="18"/>
  <c r="J499" i="18"/>
  <c r="I499" i="18"/>
  <c r="H499" i="18"/>
  <c r="H498" i="18"/>
  <c r="H497" i="18"/>
  <c r="J496" i="18"/>
  <c r="I496" i="18"/>
  <c r="H496" i="18"/>
  <c r="J495" i="18"/>
  <c r="I495" i="18"/>
  <c r="H495" i="18"/>
  <c r="J494" i="18"/>
  <c r="I494" i="18"/>
  <c r="H494" i="18"/>
  <c r="J493" i="18"/>
  <c r="I493" i="18"/>
  <c r="H493" i="18"/>
  <c r="H492" i="18"/>
  <c r="H485" i="18"/>
  <c r="J484" i="18"/>
  <c r="I484" i="18"/>
  <c r="H484" i="18"/>
  <c r="J483" i="18"/>
  <c r="I483" i="18"/>
  <c r="H483" i="18"/>
  <c r="J482" i="18"/>
  <c r="I482" i="18"/>
  <c r="H482" i="18"/>
  <c r="J481" i="18"/>
  <c r="I481" i="18"/>
  <c r="H481" i="18"/>
  <c r="H480" i="18"/>
  <c r="H479" i="18"/>
  <c r="J478" i="18"/>
  <c r="I478" i="18"/>
  <c r="H478" i="18"/>
  <c r="J477" i="18"/>
  <c r="I477" i="18"/>
  <c r="H477" i="18"/>
  <c r="J476" i="18"/>
  <c r="I476" i="18"/>
  <c r="H476" i="18"/>
  <c r="J475" i="18"/>
  <c r="I475" i="18"/>
  <c r="H475" i="18"/>
  <c r="H474" i="18"/>
  <c r="H473" i="18"/>
  <c r="J472" i="18"/>
  <c r="I472" i="18"/>
  <c r="H472" i="18"/>
  <c r="J471" i="18"/>
  <c r="I471" i="18"/>
  <c r="H471" i="18"/>
  <c r="J470" i="18"/>
  <c r="I470" i="18"/>
  <c r="H470" i="18"/>
  <c r="J469" i="18"/>
  <c r="I469" i="18"/>
  <c r="H469" i="18"/>
  <c r="H468" i="18"/>
  <c r="H437" i="18"/>
  <c r="J436" i="18"/>
  <c r="I436" i="18"/>
  <c r="H436" i="18"/>
  <c r="J435" i="18"/>
  <c r="I435" i="18"/>
  <c r="H435" i="18"/>
  <c r="J434" i="18"/>
  <c r="I434" i="18"/>
  <c r="H434" i="18"/>
  <c r="J433" i="18"/>
  <c r="I433" i="18"/>
  <c r="H433" i="18"/>
  <c r="H432" i="18"/>
  <c r="H431" i="18"/>
  <c r="J430" i="18"/>
  <c r="I430" i="18"/>
  <c r="H430" i="18"/>
  <c r="J429" i="18"/>
  <c r="I429" i="18"/>
  <c r="H429" i="18"/>
  <c r="J428" i="18"/>
  <c r="I428" i="18"/>
  <c r="H428" i="18"/>
  <c r="J427" i="18"/>
  <c r="I427" i="18"/>
  <c r="H427" i="18"/>
  <c r="H426" i="18"/>
  <c r="H425" i="18"/>
  <c r="J424" i="18"/>
  <c r="I424" i="18"/>
  <c r="H424" i="18"/>
  <c r="J423" i="18"/>
  <c r="I423" i="18"/>
  <c r="H423" i="18"/>
  <c r="J422" i="18"/>
  <c r="I422" i="18"/>
  <c r="H422" i="18"/>
  <c r="J421" i="18"/>
  <c r="I421" i="18"/>
  <c r="H421" i="18"/>
  <c r="H420" i="18"/>
  <c r="H407" i="18"/>
  <c r="J406" i="18"/>
  <c r="I406" i="18"/>
  <c r="H406" i="18"/>
  <c r="J405" i="18"/>
  <c r="I405" i="18"/>
  <c r="H405" i="18"/>
  <c r="J404" i="18"/>
  <c r="I404" i="18"/>
  <c r="H404" i="18"/>
  <c r="J403" i="18"/>
  <c r="I403" i="18"/>
  <c r="H403" i="18"/>
  <c r="H402" i="18"/>
  <c r="H401" i="18"/>
  <c r="J400" i="18"/>
  <c r="I400" i="18"/>
  <c r="H400" i="18"/>
  <c r="J399" i="18"/>
  <c r="I399" i="18"/>
  <c r="H399" i="18"/>
  <c r="J398" i="18"/>
  <c r="I398" i="18"/>
  <c r="H398" i="18"/>
  <c r="J397" i="18"/>
  <c r="I397" i="18"/>
  <c r="H397" i="18"/>
  <c r="H396" i="18"/>
  <c r="H383" i="18"/>
  <c r="J382" i="18"/>
  <c r="I382" i="18"/>
  <c r="H382" i="18"/>
  <c r="J381" i="18"/>
  <c r="I381" i="18"/>
  <c r="H381" i="18"/>
  <c r="J380" i="18"/>
  <c r="I380" i="18"/>
  <c r="H380" i="18"/>
  <c r="J379" i="18"/>
  <c r="I379" i="18"/>
  <c r="H379" i="18"/>
  <c r="H378" i="18"/>
  <c r="H377" i="18"/>
  <c r="J376" i="18"/>
  <c r="I376" i="18"/>
  <c r="H376" i="18"/>
  <c r="J375" i="18"/>
  <c r="I375" i="18"/>
  <c r="H375" i="18"/>
  <c r="J374" i="18"/>
  <c r="I374" i="18"/>
  <c r="H374" i="18"/>
  <c r="J373" i="18"/>
  <c r="I373" i="18"/>
  <c r="H373" i="18"/>
  <c r="H372" i="18"/>
  <c r="H371" i="18"/>
  <c r="J370" i="18"/>
  <c r="I370" i="18"/>
  <c r="H370" i="18"/>
  <c r="J369" i="18"/>
  <c r="I369" i="18"/>
  <c r="H369" i="18"/>
  <c r="J368" i="18"/>
  <c r="I368" i="18"/>
  <c r="H368" i="18"/>
  <c r="J367" i="18"/>
  <c r="I367" i="18"/>
  <c r="H367" i="18"/>
  <c r="H366" i="18"/>
  <c r="H365" i="18"/>
  <c r="J364" i="18"/>
  <c r="I364" i="18"/>
  <c r="H364" i="18"/>
  <c r="J363" i="18"/>
  <c r="I363" i="18"/>
  <c r="H363" i="18"/>
  <c r="J362" i="18"/>
  <c r="I362" i="18"/>
  <c r="H362" i="18"/>
  <c r="J361" i="18"/>
  <c r="I361" i="18"/>
  <c r="H361" i="18"/>
  <c r="H360" i="18"/>
  <c r="H359" i="18"/>
  <c r="J358" i="18"/>
  <c r="I358" i="18"/>
  <c r="H358" i="18"/>
  <c r="J357" i="18"/>
  <c r="I357" i="18"/>
  <c r="H357" i="18"/>
  <c r="J356" i="18"/>
  <c r="I356" i="18"/>
  <c r="H356" i="18"/>
  <c r="J355" i="18"/>
  <c r="I355" i="18"/>
  <c r="H355" i="18"/>
  <c r="H354" i="18"/>
  <c r="H353" i="18"/>
  <c r="J352" i="18"/>
  <c r="I352" i="18"/>
  <c r="H352" i="18"/>
  <c r="J351" i="18"/>
  <c r="I351" i="18"/>
  <c r="H351" i="18"/>
  <c r="J350" i="18"/>
  <c r="I350" i="18"/>
  <c r="H350" i="18"/>
  <c r="J349" i="18"/>
  <c r="I349" i="18"/>
  <c r="H349" i="18"/>
  <c r="H348" i="18"/>
  <c r="H347" i="18"/>
  <c r="J346" i="18"/>
  <c r="I346" i="18"/>
  <c r="H346" i="18"/>
  <c r="J345" i="18"/>
  <c r="I345" i="18"/>
  <c r="H345" i="18"/>
  <c r="J344" i="18"/>
  <c r="I344" i="18"/>
  <c r="H344" i="18"/>
  <c r="J343" i="18"/>
  <c r="I343" i="18"/>
  <c r="H343" i="18"/>
  <c r="H342" i="18"/>
  <c r="H341" i="18"/>
  <c r="J340" i="18"/>
  <c r="I340" i="18"/>
  <c r="H340" i="18"/>
  <c r="J339" i="18"/>
  <c r="I339" i="18"/>
  <c r="H339" i="18"/>
  <c r="J338" i="18"/>
  <c r="I338" i="18"/>
  <c r="H338" i="18"/>
  <c r="J337" i="18"/>
  <c r="I337" i="18"/>
  <c r="H337" i="18"/>
  <c r="H336" i="18"/>
  <c r="H335" i="18"/>
  <c r="J334" i="18"/>
  <c r="I334" i="18"/>
  <c r="H334" i="18"/>
  <c r="J333" i="18"/>
  <c r="I333" i="18"/>
  <c r="H333" i="18"/>
  <c r="J332" i="18"/>
  <c r="I332" i="18"/>
  <c r="H332" i="18"/>
  <c r="J331" i="18"/>
  <c r="I331" i="18"/>
  <c r="H331" i="18"/>
  <c r="H330" i="18"/>
  <c r="H329" i="18"/>
  <c r="J328" i="18"/>
  <c r="I328" i="18"/>
  <c r="H328" i="18"/>
  <c r="J327" i="18"/>
  <c r="I327" i="18"/>
  <c r="H327" i="18"/>
  <c r="J326" i="18"/>
  <c r="I326" i="18"/>
  <c r="H326" i="18"/>
  <c r="J325" i="18"/>
  <c r="I325" i="18"/>
  <c r="H325" i="18"/>
  <c r="H324" i="18"/>
  <c r="H323" i="18"/>
  <c r="J322" i="18"/>
  <c r="I322" i="18"/>
  <c r="H322" i="18"/>
  <c r="J321" i="18"/>
  <c r="I321" i="18"/>
  <c r="H321" i="18"/>
  <c r="J320" i="18"/>
  <c r="I320" i="18"/>
  <c r="H320" i="18"/>
  <c r="J319" i="18"/>
  <c r="I319" i="18"/>
  <c r="H319" i="18"/>
  <c r="H318" i="18"/>
  <c r="H317" i="18"/>
  <c r="J316" i="18"/>
  <c r="I316" i="18"/>
  <c r="H316" i="18"/>
  <c r="J315" i="18"/>
  <c r="I315" i="18"/>
  <c r="H315" i="18"/>
  <c r="J314" i="18"/>
  <c r="I314" i="18"/>
  <c r="H314" i="18"/>
  <c r="J313" i="18"/>
  <c r="I313" i="18"/>
  <c r="H313" i="18"/>
  <c r="H312" i="18"/>
  <c r="H311" i="18"/>
  <c r="J310" i="18"/>
  <c r="I310" i="18"/>
  <c r="H310" i="18"/>
  <c r="J309" i="18"/>
  <c r="I309" i="18"/>
  <c r="H309" i="18"/>
  <c r="J308" i="18"/>
  <c r="I308" i="18"/>
  <c r="H308" i="18"/>
  <c r="J307" i="18"/>
  <c r="I307" i="18"/>
  <c r="H307" i="18"/>
  <c r="H306" i="18"/>
  <c r="H305" i="18"/>
  <c r="J304" i="18"/>
  <c r="I304" i="18"/>
  <c r="H304" i="18"/>
  <c r="H303" i="18"/>
  <c r="H302" i="18"/>
  <c r="J301" i="18"/>
  <c r="I301" i="18"/>
  <c r="H301" i="18"/>
  <c r="H300" i="18"/>
  <c r="H299" i="18"/>
  <c r="J298" i="18"/>
  <c r="I298" i="18"/>
  <c r="H298" i="18"/>
  <c r="H297" i="18"/>
  <c r="H296" i="18"/>
  <c r="J295" i="18"/>
  <c r="I295" i="18"/>
  <c r="H295" i="18"/>
  <c r="H294" i="18"/>
  <c r="H293" i="18"/>
  <c r="J292" i="18"/>
  <c r="I292" i="18"/>
  <c r="H292" i="18"/>
  <c r="H291" i="18"/>
  <c r="H290" i="18"/>
  <c r="J289" i="18"/>
  <c r="I289" i="18"/>
  <c r="H289" i="18"/>
  <c r="H288" i="18"/>
  <c r="H287" i="18"/>
  <c r="J286" i="18"/>
  <c r="I286" i="18"/>
  <c r="H286" i="18"/>
  <c r="H285" i="18"/>
  <c r="H284" i="18"/>
  <c r="J283" i="18"/>
  <c r="I283" i="18"/>
  <c r="H283" i="18"/>
  <c r="H282" i="18"/>
  <c r="H281" i="18"/>
  <c r="J280" i="18"/>
  <c r="I280" i="18"/>
  <c r="H280" i="18"/>
  <c r="H279" i="18"/>
  <c r="H278" i="18"/>
  <c r="J277" i="18"/>
  <c r="I277" i="18"/>
  <c r="H277" i="18"/>
  <c r="H276" i="18"/>
  <c r="H275" i="18"/>
  <c r="J274" i="18"/>
  <c r="I274" i="18"/>
  <c r="H274" i="18"/>
  <c r="J273" i="18"/>
  <c r="I273" i="18"/>
  <c r="H273" i="18"/>
  <c r="J272" i="18"/>
  <c r="I272" i="18"/>
  <c r="H272" i="18"/>
  <c r="H271" i="18"/>
  <c r="H270" i="18"/>
  <c r="J269" i="18"/>
  <c r="I269" i="18"/>
  <c r="H269" i="18"/>
  <c r="J268" i="18"/>
  <c r="I268" i="18"/>
  <c r="H268" i="18"/>
  <c r="J267" i="18"/>
  <c r="I267" i="18"/>
  <c r="H267" i="18"/>
  <c r="H266" i="18"/>
  <c r="H265" i="18"/>
  <c r="J264" i="18"/>
  <c r="I264" i="18"/>
  <c r="H264" i="18"/>
  <c r="J263" i="18"/>
  <c r="I263" i="18"/>
  <c r="H263" i="18"/>
  <c r="J262" i="18"/>
  <c r="I262" i="18"/>
  <c r="H262" i="18"/>
  <c r="H261" i="18"/>
  <c r="H260" i="18"/>
  <c r="J259" i="18"/>
  <c r="I259" i="18"/>
  <c r="H259" i="18"/>
  <c r="J258" i="18"/>
  <c r="I258" i="18"/>
  <c r="H258" i="18"/>
  <c r="J257" i="18"/>
  <c r="I257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30" i="18"/>
  <c r="H229" i="18"/>
  <c r="J228" i="18"/>
  <c r="I228" i="18"/>
  <c r="H228" i="18"/>
  <c r="H227" i="18"/>
  <c r="H226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J202" i="18"/>
  <c r="I202" i="18"/>
  <c r="H202" i="18"/>
  <c r="H201" i="18"/>
  <c r="H200" i="18"/>
  <c r="I199" i="18"/>
  <c r="H199" i="18"/>
  <c r="I198" i="18"/>
  <c r="H198" i="18"/>
  <c r="H197" i="18"/>
  <c r="I196" i="18"/>
  <c r="H196" i="18"/>
  <c r="I195" i="18"/>
  <c r="H195" i="18"/>
  <c r="H194" i="18"/>
  <c r="I193" i="18"/>
  <c r="H193" i="18"/>
  <c r="I192" i="18"/>
  <c r="H192" i="18"/>
  <c r="I191" i="18"/>
  <c r="H191" i="18"/>
  <c r="H190" i="18"/>
  <c r="H189" i="18"/>
  <c r="H188" i="18"/>
  <c r="H187" i="18"/>
  <c r="H186" i="18"/>
  <c r="H185" i="18"/>
  <c r="H184" i="18"/>
  <c r="I183" i="18"/>
  <c r="H183" i="18"/>
  <c r="I182" i="18"/>
  <c r="H182" i="18"/>
  <c r="I181" i="18"/>
  <c r="H181" i="18"/>
  <c r="H180" i="18"/>
  <c r="I179" i="18"/>
  <c r="H179" i="18"/>
  <c r="I178" i="18"/>
  <c r="H178" i="18"/>
  <c r="I177" i="18"/>
  <c r="H177" i="18"/>
  <c r="H176" i="18"/>
  <c r="I175" i="18"/>
  <c r="H175" i="18"/>
  <c r="I174" i="18"/>
  <c r="H174" i="18"/>
  <c r="I173" i="18"/>
  <c r="H173" i="18"/>
  <c r="H172" i="18"/>
  <c r="I171" i="18"/>
  <c r="H171" i="18"/>
  <c r="I170" i="18"/>
  <c r="H170" i="18"/>
  <c r="I169" i="18"/>
  <c r="H169" i="18"/>
  <c r="H168" i="18"/>
  <c r="I167" i="18"/>
  <c r="H167" i="18"/>
  <c r="I166" i="18"/>
  <c r="H166" i="18"/>
  <c r="I165" i="18"/>
  <c r="H165" i="18"/>
  <c r="H164" i="18"/>
  <c r="I163" i="18"/>
  <c r="H163" i="18"/>
  <c r="I162" i="18"/>
  <c r="H162" i="18"/>
  <c r="I161" i="18"/>
  <c r="H161" i="18"/>
  <c r="H160" i="18"/>
  <c r="I159" i="18"/>
  <c r="H159" i="18"/>
  <c r="I158" i="18"/>
  <c r="H158" i="18"/>
  <c r="H157" i="18"/>
  <c r="I156" i="18"/>
  <c r="H156" i="18"/>
  <c r="I155" i="18"/>
  <c r="H155" i="18"/>
  <c r="H154" i="18"/>
  <c r="I153" i="18"/>
  <c r="H153" i="18"/>
  <c r="I152" i="18"/>
  <c r="H152" i="18"/>
  <c r="H151" i="18"/>
  <c r="I150" i="18"/>
  <c r="H150" i="18"/>
  <c r="I149" i="18"/>
  <c r="H149" i="18"/>
  <c r="H148" i="18"/>
  <c r="I147" i="18"/>
  <c r="H147" i="18"/>
  <c r="I146" i="18"/>
  <c r="H146" i="18"/>
  <c r="H145" i="18"/>
  <c r="I144" i="18"/>
  <c r="H144" i="18"/>
  <c r="I143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H131" i="18"/>
  <c r="H130" i="18"/>
  <c r="H129" i="18"/>
  <c r="H128" i="18"/>
  <c r="I127" i="18"/>
  <c r="H127" i="18"/>
  <c r="I126" i="18"/>
  <c r="H126" i="18"/>
  <c r="I125" i="18"/>
  <c r="H125" i="18"/>
  <c r="H124" i="18"/>
  <c r="H123" i="18"/>
  <c r="H122" i="18"/>
  <c r="H121" i="18"/>
  <c r="H120" i="18"/>
  <c r="H119" i="18"/>
  <c r="H118" i="18"/>
  <c r="J117" i="18"/>
  <c r="I117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J91" i="18"/>
  <c r="I91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J69" i="18"/>
  <c r="I69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J43" i="18"/>
  <c r="I43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5" i="18"/>
  <c r="H24" i="18"/>
  <c r="H23" i="18"/>
  <c r="H22" i="18"/>
  <c r="H21" i="18"/>
  <c r="G777" i="1" l="1"/>
  <c r="G388" i="18"/>
  <c r="G384" i="18"/>
  <c r="I384" i="1"/>
  <c r="I384" i="18" s="1"/>
  <c r="G490" i="18"/>
  <c r="G486" i="18"/>
  <c r="G438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69" i="1"/>
  <c r="I2468" i="1"/>
  <c r="W10" i="11"/>
  <c r="W11" i="11"/>
  <c r="W12" i="11"/>
  <c r="W13" i="11"/>
  <c r="W14" i="11"/>
  <c r="W15" i="11"/>
  <c r="W16" i="11"/>
  <c r="W17" i="11"/>
  <c r="W18" i="11"/>
  <c r="W19" i="11"/>
  <c r="G2546" i="18"/>
  <c r="G2545" i="18"/>
  <c r="G2544" i="18"/>
  <c r="G2543" i="18"/>
  <c r="G2542" i="18"/>
  <c r="G2541" i="18"/>
  <c r="G2540" i="18"/>
  <c r="G2539" i="18"/>
  <c r="G2538" i="18"/>
  <c r="G2537" i="18"/>
  <c r="G2536" i="18"/>
  <c r="G2535" i="18"/>
  <c r="G2534" i="18"/>
  <c r="G2533" i="18"/>
  <c r="G2532" i="18"/>
  <c r="G2531" i="18"/>
  <c r="G2530" i="18"/>
  <c r="G2529" i="18"/>
  <c r="G2528" i="18"/>
  <c r="G2527" i="18"/>
  <c r="G2526" i="18"/>
  <c r="G2525" i="18"/>
  <c r="G2524" i="18"/>
  <c r="G2523" i="18"/>
  <c r="G2522" i="18"/>
  <c r="G2521" i="18"/>
  <c r="G2520" i="18"/>
  <c r="G2519" i="18"/>
  <c r="G2518" i="18"/>
  <c r="G2517" i="18"/>
  <c r="G2516" i="18"/>
  <c r="G2515" i="18"/>
  <c r="G2514" i="18"/>
  <c r="G2513" i="18"/>
  <c r="G2512" i="18"/>
  <c r="G2511" i="18"/>
  <c r="G2510" i="18"/>
  <c r="G2509" i="18"/>
  <c r="G2508" i="18"/>
  <c r="G2507" i="18"/>
  <c r="G2506" i="18"/>
  <c r="G2505" i="18"/>
  <c r="G2504" i="18"/>
  <c r="G2503" i="18"/>
  <c r="G2502" i="18"/>
  <c r="G2501" i="18"/>
  <c r="G2498" i="18"/>
  <c r="G2497" i="18"/>
  <c r="G2496" i="18"/>
  <c r="G2495" i="18"/>
  <c r="G2494" i="18"/>
  <c r="G2493" i="18"/>
  <c r="G2492" i="18"/>
  <c r="G2491" i="18"/>
  <c r="G2490" i="18"/>
  <c r="G2489" i="18"/>
  <c r="G2488" i="18"/>
  <c r="G2487" i="18"/>
  <c r="G2486" i="18"/>
  <c r="G2485" i="18"/>
  <c r="G2484" i="18"/>
  <c r="G2483" i="18"/>
  <c r="G2482" i="18"/>
  <c r="G2481" i="18"/>
  <c r="G2480" i="18"/>
  <c r="G2479" i="18"/>
  <c r="G2478" i="18"/>
  <c r="G2477" i="18"/>
  <c r="G2476" i="18"/>
  <c r="G2475" i="18"/>
  <c r="G2474" i="18"/>
  <c r="G2473" i="18"/>
  <c r="G2472" i="18"/>
  <c r="G2471" i="18"/>
  <c r="G2470" i="18"/>
  <c r="G2469" i="18"/>
  <c r="G2468" i="18"/>
  <c r="G2467" i="18"/>
  <c r="G1762" i="18"/>
  <c r="G1761" i="18"/>
  <c r="G1760" i="18"/>
  <c r="G1759" i="18"/>
  <c r="G1758" i="18"/>
  <c r="G1719" i="18"/>
  <c r="G1718" i="18"/>
  <c r="G1717" i="18"/>
  <c r="G1716" i="18"/>
  <c r="G1715" i="18"/>
  <c r="G1714" i="18"/>
  <c r="G1713" i="18"/>
  <c r="G1712" i="18"/>
  <c r="G1711" i="18"/>
  <c r="G1710" i="18"/>
  <c r="G1709" i="18"/>
  <c r="G1708" i="18"/>
  <c r="G1707" i="18"/>
  <c r="G1706" i="18"/>
  <c r="G1705" i="18"/>
  <c r="G1704" i="18"/>
  <c r="G1703" i="18"/>
  <c r="G1702" i="18"/>
  <c r="G1701" i="18"/>
  <c r="G1700" i="18"/>
  <c r="G1699" i="18"/>
  <c r="G1698" i="18"/>
  <c r="G1697" i="18"/>
  <c r="G1696" i="18"/>
  <c r="G1695" i="18"/>
  <c r="G1694" i="18"/>
  <c r="G1693" i="18"/>
  <c r="G1692" i="18"/>
  <c r="G1691" i="18"/>
  <c r="G1690" i="18"/>
  <c r="G1689" i="18"/>
  <c r="G1688" i="18"/>
  <c r="G1687" i="18"/>
  <c r="G1686" i="18"/>
  <c r="G1685" i="18"/>
  <c r="G1684" i="18"/>
  <c r="G1682" i="18"/>
  <c r="G1681" i="18"/>
  <c r="G1680" i="18"/>
  <c r="G1679" i="18"/>
  <c r="G1678" i="18"/>
  <c r="G1677" i="18"/>
  <c r="G1676" i="18"/>
  <c r="G1675" i="18"/>
  <c r="G1674" i="18"/>
  <c r="G1671" i="18"/>
  <c r="G1670" i="18"/>
  <c r="G1669" i="18"/>
  <c r="G1668" i="18"/>
  <c r="G1667" i="18"/>
  <c r="G1666" i="18"/>
  <c r="G1665" i="18"/>
  <c r="G1664" i="18"/>
  <c r="G1663" i="18"/>
  <c r="G1662" i="18"/>
  <c r="G1629" i="18"/>
  <c r="G1628" i="18"/>
  <c r="G1627" i="18"/>
  <c r="G1624" i="18"/>
  <c r="G1623" i="18"/>
  <c r="G1622" i="18"/>
  <c r="G1621" i="18"/>
  <c r="G1620" i="18"/>
  <c r="G1619" i="18"/>
  <c r="G1618" i="18"/>
  <c r="G1617" i="18"/>
  <c r="G1616" i="18"/>
  <c r="G1615" i="18"/>
  <c r="G1614" i="18"/>
  <c r="G1613" i="18"/>
  <c r="G1612" i="18"/>
  <c r="G1611" i="18"/>
  <c r="G1610" i="18"/>
  <c r="G1609" i="18"/>
  <c r="G1608" i="18"/>
  <c r="G1607" i="18"/>
  <c r="G1606" i="18"/>
  <c r="G1605" i="18"/>
  <c r="G1604" i="18"/>
  <c r="G1603" i="18"/>
  <c r="G1602" i="18"/>
  <c r="G1601" i="18"/>
  <c r="G1600" i="18"/>
  <c r="G1599" i="18"/>
  <c r="G1598" i="18"/>
  <c r="G1597" i="18"/>
  <c r="G1596" i="18"/>
  <c r="G1595" i="18"/>
  <c r="G1594" i="18"/>
  <c r="G1593" i="18"/>
  <c r="G1592" i="18"/>
  <c r="G1591" i="18"/>
  <c r="G1590" i="18"/>
  <c r="G1589" i="18"/>
  <c r="G1588" i="18"/>
  <c r="G1587" i="18"/>
  <c r="G1586" i="18"/>
  <c r="G1585" i="18"/>
  <c r="G1584" i="18"/>
  <c r="G1583" i="18"/>
  <c r="G1582" i="18"/>
  <c r="G1581" i="18"/>
  <c r="G1580" i="18"/>
  <c r="G1579" i="18"/>
  <c r="G1578" i="18"/>
  <c r="G1577" i="18"/>
  <c r="G1576" i="18"/>
  <c r="G1575" i="18"/>
  <c r="G1574" i="18"/>
  <c r="G1573" i="18"/>
  <c r="G1572" i="18"/>
  <c r="G1571" i="18"/>
  <c r="G1570" i="18"/>
  <c r="G1569" i="18"/>
  <c r="G1568" i="18"/>
  <c r="G1567" i="18"/>
  <c r="G1566" i="18"/>
  <c r="G1565" i="18"/>
  <c r="G1564" i="18"/>
  <c r="G1563" i="18"/>
  <c r="G1562" i="18"/>
  <c r="G1561" i="18"/>
  <c r="G1560" i="18"/>
  <c r="G1559" i="18"/>
  <c r="G1558" i="18"/>
  <c r="G1557" i="18"/>
  <c r="G1556" i="18"/>
  <c r="G1555" i="18"/>
  <c r="G1554" i="18"/>
  <c r="G1553" i="18"/>
  <c r="G1552" i="18"/>
  <c r="G1551" i="18"/>
  <c r="G1550" i="18"/>
  <c r="G1549" i="18"/>
  <c r="G1548" i="18"/>
  <c r="G1547" i="18"/>
  <c r="G1546" i="18"/>
  <c r="G1545" i="18"/>
  <c r="G1544" i="18"/>
  <c r="G1543" i="18"/>
  <c r="G1542" i="18"/>
  <c r="G1541" i="18"/>
  <c r="G1540" i="18"/>
  <c r="G1539" i="18"/>
  <c r="G1538" i="18"/>
  <c r="G1537" i="18"/>
  <c r="G1536" i="18"/>
  <c r="G1535" i="18"/>
  <c r="G1534" i="18"/>
  <c r="G1533" i="18"/>
  <c r="G1532" i="18"/>
  <c r="G1531" i="18"/>
  <c r="G1530" i="18"/>
  <c r="G1529" i="18"/>
  <c r="G1528" i="18"/>
  <c r="G1527" i="18"/>
  <c r="G1526" i="18"/>
  <c r="G1525" i="18"/>
  <c r="G1524" i="18"/>
  <c r="G1523" i="18"/>
  <c r="G1522" i="18"/>
  <c r="G1521" i="18"/>
  <c r="G1520" i="18"/>
  <c r="G1519" i="18"/>
  <c r="G1518" i="18"/>
  <c r="G1517" i="18"/>
  <c r="G1516" i="18"/>
  <c r="G1515" i="18"/>
  <c r="G1514" i="18"/>
  <c r="G1513" i="18"/>
  <c r="G1512" i="18"/>
  <c r="G1511" i="18"/>
  <c r="G1510" i="18"/>
  <c r="G1509" i="18"/>
  <c r="G1508" i="18"/>
  <c r="G1507" i="18"/>
  <c r="G1506" i="18"/>
  <c r="G1505" i="18"/>
  <c r="G1504" i="18"/>
  <c r="G1503" i="18"/>
  <c r="G1502" i="18"/>
  <c r="G1501" i="18"/>
  <c r="G1500" i="18"/>
  <c r="G1499" i="18"/>
  <c r="G1498" i="18"/>
  <c r="G1497" i="18"/>
  <c r="G1496" i="18"/>
  <c r="G1495" i="18"/>
  <c r="G1494" i="18"/>
  <c r="G1493" i="18"/>
  <c r="G1492" i="18"/>
  <c r="G1491" i="18"/>
  <c r="G1490" i="18"/>
  <c r="G1489" i="18"/>
  <c r="G1488" i="18"/>
  <c r="G1487" i="18"/>
  <c r="G1486" i="18"/>
  <c r="G1485" i="18"/>
  <c r="G1484" i="18"/>
  <c r="G1483" i="18"/>
  <c r="G1482" i="18"/>
  <c r="G1481" i="18"/>
  <c r="G1480" i="18"/>
  <c r="G1479" i="18"/>
  <c r="G1478" i="18"/>
  <c r="G1477" i="18"/>
  <c r="G1476" i="18"/>
  <c r="G1475" i="18"/>
  <c r="G1474" i="18"/>
  <c r="G1473" i="18"/>
  <c r="G1472" i="18"/>
  <c r="G1471" i="18"/>
  <c r="G1470" i="18"/>
  <c r="G1469" i="18"/>
  <c r="G1468" i="18"/>
  <c r="G1467" i="18"/>
  <c r="G1466" i="18"/>
  <c r="G1465" i="18"/>
  <c r="G1464" i="18"/>
  <c r="G1463" i="18"/>
  <c r="G1462" i="18"/>
  <c r="G1461" i="18"/>
  <c r="G1460" i="18"/>
  <c r="G1459" i="18"/>
  <c r="G1458" i="18"/>
  <c r="G1457" i="18"/>
  <c r="G1456" i="18"/>
  <c r="G1455" i="18"/>
  <c r="G1454" i="18"/>
  <c r="G1453" i="18"/>
  <c r="G1452" i="18"/>
  <c r="G1451" i="18"/>
  <c r="G1450" i="18"/>
  <c r="G1449" i="18"/>
  <c r="G1448" i="18"/>
  <c r="G1447" i="18"/>
  <c r="G1446" i="18"/>
  <c r="G1445" i="18"/>
  <c r="G1444" i="18"/>
  <c r="G1443" i="18"/>
  <c r="G1442" i="18"/>
  <c r="G1441" i="18"/>
  <c r="G1440" i="18"/>
  <c r="G1439" i="18"/>
  <c r="G1438" i="18"/>
  <c r="G1437" i="18"/>
  <c r="G1436" i="18"/>
  <c r="G1435" i="18"/>
  <c r="G1434" i="18"/>
  <c r="G1433" i="18"/>
  <c r="G1432" i="18"/>
  <c r="G1431" i="18"/>
  <c r="G1430" i="18"/>
  <c r="G1429" i="18"/>
  <c r="G1428" i="18"/>
  <c r="G1427" i="18"/>
  <c r="G1426" i="18"/>
  <c r="G1425" i="18"/>
  <c r="G1424" i="18"/>
  <c r="G1423" i="18"/>
  <c r="G1422" i="18"/>
  <c r="G1421" i="18"/>
  <c r="G1420" i="18"/>
  <c r="G1419" i="18"/>
  <c r="G1418" i="18"/>
  <c r="G1417" i="18"/>
  <c r="G1416" i="18"/>
  <c r="G1415" i="18"/>
  <c r="G1414" i="18"/>
  <c r="G1413" i="18"/>
  <c r="G1412" i="18"/>
  <c r="G1411" i="18"/>
  <c r="G1410" i="18"/>
  <c r="G1409" i="18"/>
  <c r="G1408" i="18"/>
  <c r="G1407" i="18"/>
  <c r="G1406" i="18"/>
  <c r="G1405" i="18"/>
  <c r="G1404" i="18"/>
  <c r="G1403" i="18"/>
  <c r="G1402" i="18"/>
  <c r="G1401" i="18"/>
  <c r="G1400" i="18"/>
  <c r="G1399" i="18"/>
  <c r="G1398" i="18"/>
  <c r="G1397" i="18"/>
  <c r="G1396" i="18"/>
  <c r="G1395" i="18"/>
  <c r="G1394" i="18"/>
  <c r="G1393" i="18"/>
  <c r="G1392" i="18"/>
  <c r="G1391" i="18"/>
  <c r="G1390" i="18"/>
  <c r="G1389" i="18"/>
  <c r="G1388" i="18"/>
  <c r="G1387" i="18"/>
  <c r="G1386" i="18"/>
  <c r="G1385" i="18"/>
  <c r="G1384" i="18"/>
  <c r="G1383" i="18"/>
  <c r="G1382" i="18"/>
  <c r="G1381" i="18"/>
  <c r="G1380" i="18"/>
  <c r="G1379" i="18"/>
  <c r="G1378" i="18"/>
  <c r="G1377" i="18"/>
  <c r="G1376" i="18"/>
  <c r="G1375" i="18"/>
  <c r="G1374" i="18"/>
  <c r="G1373" i="18"/>
  <c r="G1372" i="18"/>
  <c r="G1371" i="18"/>
  <c r="G1370" i="18"/>
  <c r="G1369" i="18"/>
  <c r="G1368" i="18"/>
  <c r="G1367" i="18"/>
  <c r="G1366" i="18"/>
  <c r="G1365" i="18"/>
  <c r="G1364" i="18"/>
  <c r="G1363" i="18"/>
  <c r="G1362" i="18"/>
  <c r="G1361" i="18"/>
  <c r="G1360" i="18"/>
  <c r="G1359" i="18"/>
  <c r="G1358" i="18"/>
  <c r="G1357" i="18"/>
  <c r="G1356" i="18"/>
  <c r="G1355" i="18"/>
  <c r="G1354" i="18"/>
  <c r="G1353" i="18"/>
  <c r="G1352" i="18"/>
  <c r="G1351" i="18"/>
  <c r="G1350" i="18"/>
  <c r="G1349" i="18"/>
  <c r="G1348" i="18"/>
  <c r="G1347" i="18"/>
  <c r="G1346" i="18"/>
  <c r="G1345" i="18"/>
  <c r="G1344" i="18"/>
  <c r="G1343" i="18"/>
  <c r="G1342" i="18"/>
  <c r="G1341" i="18"/>
  <c r="G1340" i="18"/>
  <c r="G1339" i="18"/>
  <c r="G1338" i="18"/>
  <c r="G1337" i="18"/>
  <c r="G1336" i="18"/>
  <c r="G1335" i="18"/>
  <c r="G1334" i="18"/>
  <c r="G1333" i="18"/>
  <c r="G1332" i="18"/>
  <c r="G1331" i="18"/>
  <c r="G1330" i="18"/>
  <c r="G1329" i="18"/>
  <c r="G1328" i="18"/>
  <c r="G1327" i="18"/>
  <c r="G1326" i="18"/>
  <c r="G1325" i="18"/>
  <c r="G1324" i="18"/>
  <c r="G1323" i="18"/>
  <c r="G1322" i="18"/>
  <c r="G1321" i="18"/>
  <c r="G1320" i="18"/>
  <c r="G1319" i="18"/>
  <c r="G1318" i="18"/>
  <c r="G1317" i="18"/>
  <c r="G1316" i="18"/>
  <c r="G1315" i="18"/>
  <c r="G1314" i="18"/>
  <c r="G1313" i="18"/>
  <c r="G1312" i="18"/>
  <c r="G1311" i="18"/>
  <c r="G1310" i="18"/>
  <c r="G1309" i="18"/>
  <c r="G1308" i="18"/>
  <c r="G1307" i="18"/>
  <c r="G1306" i="18"/>
  <c r="G1305" i="18"/>
  <c r="G1304" i="18"/>
  <c r="G1303" i="18"/>
  <c r="G1302" i="18"/>
  <c r="G1301" i="18"/>
  <c r="G1300" i="18"/>
  <c r="G1299" i="18"/>
  <c r="G1298" i="18"/>
  <c r="G1297" i="18"/>
  <c r="G1296" i="18"/>
  <c r="G1295" i="18"/>
  <c r="G1294" i="18"/>
  <c r="G1293" i="18"/>
  <c r="G1292" i="18"/>
  <c r="G1291" i="18"/>
  <c r="G1290" i="18"/>
  <c r="G1289" i="18"/>
  <c r="G1288" i="18"/>
  <c r="G1287" i="18"/>
  <c r="G1286" i="18"/>
  <c r="G1285" i="18"/>
  <c r="G1284" i="18"/>
  <c r="G1283" i="18"/>
  <c r="G1282" i="18"/>
  <c r="G1281" i="18"/>
  <c r="G1280" i="18"/>
  <c r="G1279" i="18"/>
  <c r="G1278" i="18"/>
  <c r="G1277" i="18"/>
  <c r="G1276" i="18"/>
  <c r="G1275" i="18"/>
  <c r="G1274" i="18"/>
  <c r="G1273" i="18"/>
  <c r="G1272" i="18"/>
  <c r="G1271" i="18"/>
  <c r="G1270" i="18"/>
  <c r="G1269" i="18"/>
  <c r="G1268" i="18"/>
  <c r="G1267" i="18"/>
  <c r="G1266" i="18"/>
  <c r="G1265" i="18"/>
  <c r="G1264" i="18"/>
  <c r="G1263" i="18"/>
  <c r="G1262" i="18"/>
  <c r="G1261" i="18"/>
  <c r="G1260" i="18"/>
  <c r="G1259" i="18"/>
  <c r="G1258" i="18"/>
  <c r="G1257" i="18"/>
  <c r="G1256" i="18"/>
  <c r="G1255" i="18"/>
  <c r="G1254" i="18"/>
  <c r="G1253" i="18"/>
  <c r="G1252" i="18"/>
  <c r="G1251" i="18"/>
  <c r="G1250" i="18"/>
  <c r="G1249" i="18"/>
  <c r="G1248" i="18"/>
  <c r="G1247" i="18"/>
  <c r="G1246" i="18"/>
  <c r="G1245" i="18"/>
  <c r="G1244" i="18"/>
  <c r="G1243" i="18"/>
  <c r="G1242" i="18"/>
  <c r="G1241" i="18"/>
  <c r="G1240" i="18"/>
  <c r="G1239" i="18"/>
  <c r="G1238" i="18"/>
  <c r="G1237" i="18"/>
  <c r="G1236" i="18"/>
  <c r="G1235" i="18"/>
  <c r="G1234" i="18"/>
  <c r="G1233" i="18"/>
  <c r="G1232" i="18"/>
  <c r="G1231" i="18"/>
  <c r="G1230" i="18"/>
  <c r="G1229" i="18"/>
  <c r="G1228" i="18"/>
  <c r="G1227" i="18"/>
  <c r="G1226" i="18"/>
  <c r="G1225" i="18"/>
  <c r="G1224" i="18"/>
  <c r="G1223" i="18"/>
  <c r="G1222" i="18"/>
  <c r="G1221" i="18"/>
  <c r="G1220" i="18"/>
  <c r="G1219" i="18"/>
  <c r="G1218" i="18"/>
  <c r="G1217" i="18"/>
  <c r="G1216" i="18"/>
  <c r="G1215" i="18"/>
  <c r="G1214" i="18"/>
  <c r="G1213" i="18"/>
  <c r="G1212" i="18"/>
  <c r="G1211" i="18"/>
  <c r="G1210" i="18"/>
  <c r="G1209" i="18"/>
  <c r="G1208" i="18"/>
  <c r="G1207" i="18"/>
  <c r="G1206" i="18"/>
  <c r="G1205" i="18"/>
  <c r="G1204" i="18"/>
  <c r="G1203" i="18"/>
  <c r="G1202" i="18"/>
  <c r="G1201" i="18"/>
  <c r="G1200" i="18"/>
  <c r="G1199" i="18"/>
  <c r="G1198" i="18"/>
  <c r="G1197" i="18"/>
  <c r="G1196" i="18"/>
  <c r="G1195" i="18"/>
  <c r="G1194" i="18"/>
  <c r="G1193" i="18"/>
  <c r="G1192" i="18"/>
  <c r="G1191" i="18"/>
  <c r="G1190" i="18"/>
  <c r="G1189" i="18"/>
  <c r="G1188" i="18"/>
  <c r="G1187" i="18"/>
  <c r="G1186" i="18"/>
  <c r="G1185" i="18"/>
  <c r="G1184" i="18"/>
  <c r="G1183" i="18"/>
  <c r="G1182" i="18"/>
  <c r="G1181" i="18"/>
  <c r="G1180" i="18"/>
  <c r="G1179" i="18"/>
  <c r="G1178" i="18"/>
  <c r="G1177" i="18"/>
  <c r="G1176" i="18"/>
  <c r="G1175" i="18"/>
  <c r="G1174" i="18"/>
  <c r="G1173" i="18"/>
  <c r="G1172" i="18"/>
  <c r="G1171" i="18"/>
  <c r="G1170" i="18"/>
  <c r="G1169" i="18"/>
  <c r="G1168" i="18"/>
  <c r="G1167" i="18"/>
  <c r="G1166" i="18"/>
  <c r="G1165" i="18"/>
  <c r="G1164" i="18"/>
  <c r="G1163" i="18"/>
  <c r="G1162" i="18"/>
  <c r="G1161" i="18"/>
  <c r="G1160" i="18"/>
  <c r="G1159" i="18"/>
  <c r="G1158" i="18"/>
  <c r="G1157" i="18"/>
  <c r="G1156" i="18"/>
  <c r="G1155" i="18"/>
  <c r="G1154" i="18"/>
  <c r="G1153" i="18"/>
  <c r="G1152" i="18"/>
  <c r="G1151" i="18"/>
  <c r="G1150" i="18"/>
  <c r="G1149" i="18"/>
  <c r="G1148" i="18"/>
  <c r="G1147" i="18"/>
  <c r="G1146" i="18"/>
  <c r="G1145" i="18"/>
  <c r="G1144" i="18"/>
  <c r="G1143" i="18"/>
  <c r="G1142" i="18"/>
  <c r="G1141" i="18"/>
  <c r="G1140" i="18"/>
  <c r="G1139" i="18"/>
  <c r="G1138" i="18"/>
  <c r="G1137" i="18"/>
  <c r="G1136" i="18"/>
  <c r="G1135" i="18"/>
  <c r="G1134" i="18"/>
  <c r="G1133" i="18"/>
  <c r="G1132" i="18"/>
  <c r="G1131" i="18"/>
  <c r="G1130" i="18"/>
  <c r="G1129" i="18"/>
  <c r="G1128" i="18"/>
  <c r="G1127" i="18"/>
  <c r="G1126" i="18"/>
  <c r="G1125" i="18"/>
  <c r="G1124" i="18"/>
  <c r="G1123" i="18"/>
  <c r="G1122" i="18"/>
  <c r="G1121" i="18"/>
  <c r="G1120" i="18"/>
  <c r="G1119" i="18"/>
  <c r="G1118" i="18"/>
  <c r="G1117" i="18"/>
  <c r="G1116" i="18"/>
  <c r="G1115" i="18"/>
  <c r="G1114" i="18"/>
  <c r="G1113" i="18"/>
  <c r="G1112" i="18"/>
  <c r="G1111" i="18"/>
  <c r="G1110" i="18"/>
  <c r="G1109" i="18"/>
  <c r="G1108" i="18"/>
  <c r="G1107" i="18"/>
  <c r="G1106" i="18"/>
  <c r="G1105" i="18"/>
  <c r="G1104" i="18"/>
  <c r="G1103" i="18"/>
  <c r="G1102" i="18"/>
  <c r="G1101" i="18"/>
  <c r="G1100" i="18"/>
  <c r="G1099" i="18"/>
  <c r="G1098" i="18"/>
  <c r="G1097" i="18"/>
  <c r="G1096" i="18"/>
  <c r="G1095" i="18"/>
  <c r="G1094" i="18"/>
  <c r="G1093" i="18"/>
  <c r="G1092" i="18"/>
  <c r="G1091" i="18"/>
  <c r="G1090" i="18"/>
  <c r="G1089" i="18"/>
  <c r="G1088" i="18"/>
  <c r="G1087" i="18"/>
  <c r="G1086" i="18"/>
  <c r="G1085" i="18"/>
  <c r="G1084" i="18"/>
  <c r="G1083" i="18"/>
  <c r="G1082" i="18"/>
  <c r="G1081" i="18"/>
  <c r="G1080" i="18"/>
  <c r="G1079" i="18"/>
  <c r="G1078" i="18"/>
  <c r="G1077" i="18"/>
  <c r="G1076" i="18"/>
  <c r="G1075" i="18"/>
  <c r="G1074" i="18"/>
  <c r="G1073" i="18"/>
  <c r="G1072" i="18"/>
  <c r="G1071" i="18"/>
  <c r="G1070" i="18"/>
  <c r="G1069" i="18"/>
  <c r="G1068" i="18"/>
  <c r="G1067" i="18"/>
  <c r="G1066" i="18"/>
  <c r="G1065" i="18"/>
  <c r="G1064" i="18"/>
  <c r="G1063" i="18"/>
  <c r="G1062" i="18"/>
  <c r="G1061" i="18"/>
  <c r="G1060" i="18"/>
  <c r="G1059" i="18"/>
  <c r="G1058" i="18"/>
  <c r="G1057" i="18"/>
  <c r="G1056" i="18"/>
  <c r="G1055" i="18"/>
  <c r="G1054" i="18"/>
  <c r="G1053" i="18"/>
  <c r="G1052" i="18"/>
  <c r="G1051" i="18"/>
  <c r="G1050" i="18"/>
  <c r="G1049" i="18"/>
  <c r="G1048" i="18"/>
  <c r="G1047" i="18"/>
  <c r="G1046" i="18"/>
  <c r="G1045" i="18"/>
  <c r="G1044" i="18"/>
  <c r="G1043" i="18"/>
  <c r="G1042" i="18"/>
  <c r="G1041" i="18"/>
  <c r="G1040" i="18"/>
  <c r="G1039" i="18"/>
  <c r="G1038" i="18"/>
  <c r="G1037" i="18"/>
  <c r="G1036" i="18"/>
  <c r="G1035" i="18"/>
  <c r="G1034" i="18"/>
  <c r="G1033" i="18"/>
  <c r="G1032" i="18"/>
  <c r="G1031" i="18"/>
  <c r="G1030" i="18"/>
  <c r="G1029" i="18"/>
  <c r="G1028" i="18"/>
  <c r="G1027" i="18"/>
  <c r="G1026" i="18"/>
  <c r="G1025" i="18"/>
  <c r="G1024" i="18"/>
  <c r="G1023" i="18"/>
  <c r="G1022" i="18"/>
  <c r="G1021" i="18"/>
  <c r="G1020" i="18"/>
  <c r="G1019" i="18"/>
  <c r="G1018" i="18"/>
  <c r="G1017" i="18"/>
  <c r="G1016" i="18"/>
  <c r="G1015" i="18"/>
  <c r="G1014" i="18"/>
  <c r="G1013" i="18"/>
  <c r="G1012" i="18"/>
  <c r="G1011" i="18"/>
  <c r="G1010" i="18"/>
  <c r="G1009" i="18"/>
  <c r="G1008" i="18"/>
  <c r="G1007" i="18"/>
  <c r="G1006" i="18"/>
  <c r="G1005" i="18"/>
  <c r="G1004" i="18"/>
  <c r="G1003" i="18"/>
  <c r="G1002" i="18"/>
  <c r="G1001" i="18"/>
  <c r="G1000" i="18"/>
  <c r="G999" i="18"/>
  <c r="G998" i="18"/>
  <c r="G997" i="18"/>
  <c r="G996" i="18"/>
  <c r="G995" i="18"/>
  <c r="G994" i="18"/>
  <c r="G993" i="18"/>
  <c r="G992" i="18"/>
  <c r="G991" i="18"/>
  <c r="G990" i="18"/>
  <c r="G989" i="18"/>
  <c r="G988" i="18"/>
  <c r="G987" i="18"/>
  <c r="G986" i="18"/>
  <c r="G985" i="18"/>
  <c r="G984" i="18"/>
  <c r="G983" i="18"/>
  <c r="G982" i="18"/>
  <c r="G981" i="18"/>
  <c r="G980" i="18"/>
  <c r="G979" i="18"/>
  <c r="G978" i="18"/>
  <c r="G977" i="18"/>
  <c r="G976" i="18"/>
  <c r="G975" i="18"/>
  <c r="G974" i="18"/>
  <c r="G973" i="18"/>
  <c r="G972" i="18"/>
  <c r="G971" i="18"/>
  <c r="G970" i="18"/>
  <c r="G969" i="18"/>
  <c r="G968" i="18"/>
  <c r="G967" i="18"/>
  <c r="G966" i="18"/>
  <c r="G965" i="18"/>
  <c r="G964" i="18"/>
  <c r="G963" i="18"/>
  <c r="G962" i="18"/>
  <c r="G961" i="18"/>
  <c r="G960" i="18"/>
  <c r="G959" i="18"/>
  <c r="G958" i="18"/>
  <c r="G957" i="18"/>
  <c r="G956" i="18"/>
  <c r="G955" i="18"/>
  <c r="G954" i="18"/>
  <c r="G953" i="18"/>
  <c r="G952" i="18"/>
  <c r="G951" i="18"/>
  <c r="G950" i="18"/>
  <c r="G949" i="18"/>
  <c r="G948" i="18"/>
  <c r="G947" i="18"/>
  <c r="G946" i="18"/>
  <c r="G945" i="18"/>
  <c r="G944" i="18"/>
  <c r="G943" i="18"/>
  <c r="G942" i="18"/>
  <c r="G941" i="18"/>
  <c r="G940" i="18"/>
  <c r="G939" i="18"/>
  <c r="G938" i="18"/>
  <c r="G937" i="18"/>
  <c r="G936" i="18"/>
  <c r="G935" i="18"/>
  <c r="G934" i="18"/>
  <c r="G933" i="18"/>
  <c r="G932" i="18"/>
  <c r="G931" i="18"/>
  <c r="G930" i="18"/>
  <c r="G929" i="18"/>
  <c r="G928" i="18"/>
  <c r="G927" i="18"/>
  <c r="G926" i="18"/>
  <c r="G925" i="18"/>
  <c r="G924" i="18"/>
  <c r="G923" i="18"/>
  <c r="G922" i="18"/>
  <c r="G921" i="18"/>
  <c r="G920" i="18"/>
  <c r="G919" i="18"/>
  <c r="G918" i="18"/>
  <c r="G917" i="18"/>
  <c r="G916" i="18"/>
  <c r="G915" i="18"/>
  <c r="G914" i="18"/>
  <c r="G912" i="18"/>
  <c r="G911" i="18"/>
  <c r="G910" i="18"/>
  <c r="G909" i="18"/>
  <c r="G908" i="18"/>
  <c r="G907" i="18"/>
  <c r="G906" i="18"/>
  <c r="G905" i="18"/>
  <c r="G904" i="18"/>
  <c r="G903" i="18"/>
  <c r="G902" i="18"/>
  <c r="G901" i="18"/>
  <c r="G900" i="18"/>
  <c r="G899" i="18"/>
  <c r="G898" i="18"/>
  <c r="G897" i="18"/>
  <c r="G896" i="18"/>
  <c r="G895" i="18"/>
  <c r="G894" i="18"/>
  <c r="G893" i="18"/>
  <c r="G892" i="18"/>
  <c r="G891" i="18"/>
  <c r="G890" i="18"/>
  <c r="G889" i="18"/>
  <c r="G888" i="18"/>
  <c r="G887" i="18"/>
  <c r="G886" i="18"/>
  <c r="G885" i="18"/>
  <c r="G884" i="18"/>
  <c r="G883" i="18"/>
  <c r="G882" i="18"/>
  <c r="G881" i="18"/>
  <c r="G880" i="18"/>
  <c r="G879" i="18"/>
  <c r="G878" i="18"/>
  <c r="G877" i="18"/>
  <c r="G876" i="18"/>
  <c r="G875" i="18"/>
  <c r="G874" i="18"/>
  <c r="G873" i="18"/>
  <c r="G872" i="18"/>
  <c r="G871" i="18"/>
  <c r="G870" i="18"/>
  <c r="G869" i="18"/>
  <c r="G868" i="18"/>
  <c r="G867" i="18"/>
  <c r="G866" i="18"/>
  <c r="G865" i="18"/>
  <c r="G864" i="18"/>
  <c r="G863" i="18"/>
  <c r="G862" i="18"/>
  <c r="G852" i="18"/>
  <c r="G851" i="18"/>
  <c r="G850" i="18"/>
  <c r="G849" i="18"/>
  <c r="G848" i="18"/>
  <c r="G847" i="18"/>
  <c r="G846" i="18"/>
  <c r="G845" i="18"/>
  <c r="G844" i="18"/>
  <c r="G843" i="18"/>
  <c r="G842" i="18"/>
  <c r="G841" i="18"/>
  <c r="G840" i="18"/>
  <c r="G839" i="18"/>
  <c r="G838" i="18"/>
  <c r="G837" i="18"/>
  <c r="G836" i="18"/>
  <c r="G835" i="18"/>
  <c r="G834" i="18"/>
  <c r="G833" i="18"/>
  <c r="G832" i="18"/>
  <c r="G831" i="18"/>
  <c r="G830" i="18"/>
  <c r="G829" i="18"/>
  <c r="G828" i="18"/>
  <c r="G827" i="18"/>
  <c r="G826" i="18"/>
  <c r="G825" i="18"/>
  <c r="G824" i="18"/>
  <c r="G823" i="18"/>
  <c r="G822" i="18"/>
  <c r="G821" i="18"/>
  <c r="G820" i="18"/>
  <c r="G819" i="18"/>
  <c r="G818" i="18"/>
  <c r="G817" i="18"/>
  <c r="G816" i="18"/>
  <c r="G815" i="18"/>
  <c r="G814" i="18"/>
  <c r="G813" i="18"/>
  <c r="G812" i="18"/>
  <c r="G811" i="18"/>
  <c r="G810" i="18"/>
  <c r="G809" i="18"/>
  <c r="G808" i="18"/>
  <c r="G807" i="18"/>
  <c r="G760" i="18"/>
  <c r="G754" i="18"/>
  <c r="G743" i="18"/>
  <c r="G737" i="18"/>
  <c r="G731" i="18"/>
  <c r="G730" i="18"/>
  <c r="G725" i="18"/>
  <c r="G724" i="18"/>
  <c r="G719" i="18"/>
  <c r="G718" i="18"/>
  <c r="G713" i="18"/>
  <c r="G712" i="18"/>
  <c r="G707" i="18"/>
  <c r="G706" i="18"/>
  <c r="G700" i="18"/>
  <c r="G698" i="18"/>
  <c r="G696" i="18"/>
  <c r="G694" i="18"/>
  <c r="G683" i="18"/>
  <c r="G682" i="18"/>
  <c r="G643" i="18"/>
  <c r="G642" i="18"/>
  <c r="G641" i="18"/>
  <c r="G640" i="18"/>
  <c r="G639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591" i="18"/>
  <c r="G590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F308" i="18"/>
  <c r="F307" i="18"/>
  <c r="F306" i="18"/>
  <c r="F305" i="18"/>
  <c r="F304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F283" i="18"/>
  <c r="F282" i="18"/>
  <c r="F281" i="18"/>
  <c r="F280" i="18"/>
  <c r="F279" i="18"/>
  <c r="F278" i="18"/>
  <c r="F277" i="18"/>
  <c r="F276" i="18"/>
  <c r="F275" i="18"/>
  <c r="F274" i="18"/>
  <c r="F273" i="18"/>
  <c r="F272" i="18"/>
  <c r="F271" i="18"/>
  <c r="F270" i="18"/>
  <c r="F269" i="18"/>
  <c r="F268" i="18"/>
  <c r="F267" i="18"/>
  <c r="F266" i="18"/>
  <c r="F265" i="18"/>
  <c r="F264" i="18"/>
  <c r="F263" i="18"/>
  <c r="F262" i="18"/>
  <c r="F261" i="18"/>
  <c r="F260" i="18"/>
  <c r="F259" i="18"/>
  <c r="F258" i="18"/>
  <c r="F257" i="18"/>
  <c r="F256" i="18"/>
  <c r="F255" i="18"/>
  <c r="F254" i="18"/>
  <c r="F253" i="18"/>
  <c r="F252" i="18"/>
  <c r="F251" i="18"/>
  <c r="F250" i="18"/>
  <c r="F249" i="18"/>
  <c r="F242" i="18"/>
  <c r="G241" i="18"/>
  <c r="F241" i="18"/>
  <c r="G240" i="18"/>
  <c r="F240" i="18"/>
  <c r="F239" i="18"/>
  <c r="F238" i="18"/>
  <c r="F237" i="18"/>
  <c r="G236" i="18"/>
  <c r="F236" i="18"/>
  <c r="F235" i="18"/>
  <c r="G234" i="18"/>
  <c r="F234" i="18"/>
  <c r="F233" i="18"/>
  <c r="G232" i="18"/>
  <c r="F232" i="18"/>
  <c r="F231" i="18"/>
  <c r="G230" i="18"/>
  <c r="F230" i="18"/>
  <c r="G229" i="18"/>
  <c r="F229" i="18"/>
  <c r="G227" i="18"/>
  <c r="F227" i="18"/>
  <c r="G226" i="18"/>
  <c r="F226" i="18"/>
  <c r="G225" i="18"/>
  <c r="F225" i="18"/>
  <c r="G224" i="18"/>
  <c r="F224" i="18"/>
  <c r="G223" i="18"/>
  <c r="F223" i="18"/>
  <c r="G222" i="18"/>
  <c r="F222" i="18"/>
  <c r="G221" i="18"/>
  <c r="F221" i="18"/>
  <c r="G220" i="18"/>
  <c r="F220" i="18"/>
  <c r="G219" i="18"/>
  <c r="F219" i="18"/>
  <c r="G218" i="18"/>
  <c r="F218" i="18"/>
  <c r="G217" i="18"/>
  <c r="F217" i="18"/>
  <c r="G216" i="18"/>
  <c r="F216" i="18"/>
  <c r="G215" i="18"/>
  <c r="F215" i="18"/>
  <c r="G214" i="18"/>
  <c r="F214" i="18"/>
  <c r="G213" i="18"/>
  <c r="F213" i="18"/>
  <c r="G212" i="18"/>
  <c r="F212" i="18"/>
  <c r="G211" i="18"/>
  <c r="F211" i="18"/>
  <c r="G210" i="18"/>
  <c r="F210" i="18"/>
  <c r="G209" i="18"/>
  <c r="F209" i="18"/>
  <c r="G208" i="18"/>
  <c r="F208" i="18"/>
  <c r="G207" i="18"/>
  <c r="F207" i="18"/>
  <c r="G206" i="18"/>
  <c r="F206" i="18"/>
  <c r="G205" i="18"/>
  <c r="F205" i="18"/>
  <c r="G204" i="18"/>
  <c r="F204" i="18"/>
  <c r="G203" i="18"/>
  <c r="F203" i="18"/>
  <c r="G202" i="18"/>
  <c r="F202" i="18"/>
  <c r="F201" i="18"/>
  <c r="F200" i="18"/>
  <c r="F199" i="18"/>
  <c r="F198" i="18"/>
  <c r="F197" i="18"/>
  <c r="F196" i="18"/>
  <c r="F195" i="18"/>
  <c r="F194" i="18"/>
  <c r="F193" i="18"/>
  <c r="F192" i="18"/>
  <c r="F191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1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F150" i="18"/>
  <c r="F149" i="18"/>
  <c r="F148" i="18"/>
  <c r="F147" i="18"/>
  <c r="F146" i="18"/>
  <c r="F145" i="18"/>
  <c r="F144" i="18"/>
  <c r="F143" i="18"/>
  <c r="F142" i="18"/>
  <c r="F141" i="18"/>
  <c r="F140" i="18"/>
  <c r="F139" i="18"/>
  <c r="G138" i="18"/>
  <c r="F138" i="18"/>
  <c r="G137" i="18"/>
  <c r="F137" i="18"/>
  <c r="G136" i="18"/>
  <c r="F136" i="18"/>
  <c r="G135" i="18"/>
  <c r="F135" i="18"/>
  <c r="F134" i="18"/>
  <c r="F133" i="18"/>
  <c r="G132" i="18"/>
  <c r="F132" i="18"/>
  <c r="F131" i="18"/>
  <c r="F129" i="18"/>
  <c r="F128" i="18"/>
  <c r="F127" i="18"/>
  <c r="F126" i="18"/>
  <c r="F125" i="18"/>
  <c r="F124" i="18"/>
  <c r="F123" i="18"/>
  <c r="F122" i="18"/>
  <c r="F121" i="18"/>
  <c r="F120" i="18"/>
  <c r="G116" i="18"/>
  <c r="F116" i="18"/>
  <c r="G115" i="18"/>
  <c r="F115" i="18"/>
  <c r="G114" i="18"/>
  <c r="F114" i="18"/>
  <c r="G113" i="18"/>
  <c r="F113" i="18"/>
  <c r="G112" i="18"/>
  <c r="F112" i="18"/>
  <c r="G111" i="18"/>
  <c r="F111" i="18"/>
  <c r="G110" i="18"/>
  <c r="F110" i="18"/>
  <c r="G109" i="18"/>
  <c r="F109" i="18"/>
  <c r="G108" i="18"/>
  <c r="F108" i="18"/>
  <c r="G107" i="18"/>
  <c r="F107" i="18"/>
  <c r="G106" i="18"/>
  <c r="F106" i="18"/>
  <c r="G105" i="18"/>
  <c r="F105" i="18"/>
  <c r="G104" i="18"/>
  <c r="F104" i="18"/>
  <c r="G103" i="18"/>
  <c r="F103" i="18"/>
  <c r="G102" i="18"/>
  <c r="F102" i="18"/>
  <c r="G101" i="18"/>
  <c r="F101" i="18"/>
  <c r="G100" i="18"/>
  <c r="F100" i="18"/>
  <c r="G99" i="18"/>
  <c r="F99" i="18"/>
  <c r="G98" i="18"/>
  <c r="F98" i="18"/>
  <c r="G97" i="18"/>
  <c r="F97" i="18"/>
  <c r="G96" i="18"/>
  <c r="F96" i="18"/>
  <c r="G95" i="18"/>
  <c r="F95" i="18"/>
  <c r="G94" i="18"/>
  <c r="F94" i="18"/>
  <c r="G93" i="18"/>
  <c r="F93" i="18"/>
  <c r="G92" i="18"/>
  <c r="F92" i="18"/>
  <c r="G91" i="18"/>
  <c r="F91" i="18"/>
  <c r="F90" i="18"/>
  <c r="F89" i="18"/>
  <c r="G88" i="18"/>
  <c r="F88" i="18"/>
  <c r="F87" i="18"/>
  <c r="F86" i="18"/>
  <c r="F85" i="18"/>
  <c r="G84" i="18"/>
  <c r="F84" i="18"/>
  <c r="G83" i="18"/>
  <c r="F83" i="18"/>
  <c r="G82" i="18"/>
  <c r="F82" i="18"/>
  <c r="G81" i="18"/>
  <c r="F81" i="18"/>
  <c r="G80" i="18"/>
  <c r="F80" i="18"/>
  <c r="G79" i="18"/>
  <c r="F79" i="18"/>
  <c r="G78" i="18"/>
  <c r="F78" i="18"/>
  <c r="F77" i="18"/>
  <c r="G76" i="18"/>
  <c r="F76" i="18"/>
  <c r="G75" i="18"/>
  <c r="F75" i="18"/>
  <c r="G74" i="18"/>
  <c r="F74" i="18"/>
  <c r="G73" i="18"/>
  <c r="F73" i="18"/>
  <c r="G72" i="18"/>
  <c r="F72" i="18"/>
  <c r="G71" i="18"/>
  <c r="F71" i="18"/>
  <c r="F70" i="18"/>
  <c r="G69" i="18"/>
  <c r="F69" i="18"/>
  <c r="G68" i="18"/>
  <c r="F68" i="18"/>
  <c r="G67" i="18"/>
  <c r="F67" i="18"/>
  <c r="G66" i="18"/>
  <c r="F66" i="18"/>
  <c r="G65" i="18"/>
  <c r="F65" i="18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F25" i="18"/>
  <c r="F24" i="18"/>
  <c r="G23" i="18"/>
  <c r="F23" i="18"/>
  <c r="G22" i="18"/>
  <c r="F22" i="18"/>
  <c r="G21" i="18"/>
  <c r="F21" i="18"/>
  <c r="H20" i="18"/>
  <c r="G20" i="18"/>
  <c r="F20" i="18"/>
  <c r="G777" i="18" l="1"/>
  <c r="I777" i="1"/>
  <c r="I486" i="18"/>
  <c r="G438" i="18"/>
  <c r="I438" i="1"/>
  <c r="I2498" i="18"/>
  <c r="I2482" i="18"/>
  <c r="I2475" i="18"/>
  <c r="I2474" i="18"/>
  <c r="I2490" i="18"/>
  <c r="I2483" i="18"/>
  <c r="I2491" i="18"/>
  <c r="I2468" i="18"/>
  <c r="I2476" i="18"/>
  <c r="I2484" i="18"/>
  <c r="I2492" i="18"/>
  <c r="I2469" i="18"/>
  <c r="I2477" i="18"/>
  <c r="I2485" i="18"/>
  <c r="I2493" i="18"/>
  <c r="I2470" i="18"/>
  <c r="I2478" i="18"/>
  <c r="I2486" i="18"/>
  <c r="I2494" i="18"/>
  <c r="I2471" i="18"/>
  <c r="I2479" i="18"/>
  <c r="I2487" i="18"/>
  <c r="I2495" i="18"/>
  <c r="I2472" i="18"/>
  <c r="I2480" i="18"/>
  <c r="I2488" i="18"/>
  <c r="I2496" i="18"/>
  <c r="I2473" i="18"/>
  <c r="I2481" i="18"/>
  <c r="I2489" i="18"/>
  <c r="I2497" i="18"/>
  <c r="N2546" i="18"/>
  <c r="N2545" i="18"/>
  <c r="N2544" i="18"/>
  <c r="N2543" i="18"/>
  <c r="N2542" i="18"/>
  <c r="N2541" i="18"/>
  <c r="N2540" i="18"/>
  <c r="N2539" i="18"/>
  <c r="N2538" i="18"/>
  <c r="N2537" i="18"/>
  <c r="N2536" i="18"/>
  <c r="N2535" i="18"/>
  <c r="N2534" i="18"/>
  <c r="N2533" i="18"/>
  <c r="N2532" i="18"/>
  <c r="N2531" i="18"/>
  <c r="N2530" i="18"/>
  <c r="N2529" i="18"/>
  <c r="N2528" i="18"/>
  <c r="N2527" i="18"/>
  <c r="N2526" i="18"/>
  <c r="N2525" i="18"/>
  <c r="N2524" i="18"/>
  <c r="N2523" i="18"/>
  <c r="N2522" i="18"/>
  <c r="N2521" i="18"/>
  <c r="N2520" i="18"/>
  <c r="N2519" i="18"/>
  <c r="N2518" i="18"/>
  <c r="N2517" i="18"/>
  <c r="N2516" i="18"/>
  <c r="N2515" i="18"/>
  <c r="N2508" i="18"/>
  <c r="N2502" i="18"/>
  <c r="N2500" i="18"/>
  <c r="N2499" i="18"/>
  <c r="N2498" i="18"/>
  <c r="N2497" i="18"/>
  <c r="N2496" i="18"/>
  <c r="N2495" i="18"/>
  <c r="N2494" i="18"/>
  <c r="N2493" i="18"/>
  <c r="N2492" i="18"/>
  <c r="N2491" i="18"/>
  <c r="N2490" i="18"/>
  <c r="N2489" i="18"/>
  <c r="N2488" i="18"/>
  <c r="N2487" i="18"/>
  <c r="N2486" i="18"/>
  <c r="N2485" i="18"/>
  <c r="N2484" i="18"/>
  <c r="N2483" i="18"/>
  <c r="N2482" i="18"/>
  <c r="N2481" i="18"/>
  <c r="N2480" i="18"/>
  <c r="N2479" i="18"/>
  <c r="N2478" i="18"/>
  <c r="N2477" i="18"/>
  <c r="N2476" i="18"/>
  <c r="N2475" i="18"/>
  <c r="N2473" i="18"/>
  <c r="N2472" i="18"/>
  <c r="N2467" i="18"/>
  <c r="N2466" i="18"/>
  <c r="N2465" i="18"/>
  <c r="N2464" i="18"/>
  <c r="N2463" i="18"/>
  <c r="N2462" i="18"/>
  <c r="N2461" i="18"/>
  <c r="N2460" i="18"/>
  <c r="N2459" i="18"/>
  <c r="N2458" i="18"/>
  <c r="N2457" i="18"/>
  <c r="N2456" i="18"/>
  <c r="N2455" i="18"/>
  <c r="N2454" i="18"/>
  <c r="N2453" i="18"/>
  <c r="N2452" i="18"/>
  <c r="N2451" i="18"/>
  <c r="N2450" i="18"/>
  <c r="N2449" i="18"/>
  <c r="N2448" i="18"/>
  <c r="N2447" i="18"/>
  <c r="N2446" i="18"/>
  <c r="N2445" i="18"/>
  <c r="N2444" i="18"/>
  <c r="N2443" i="18"/>
  <c r="N2442" i="18"/>
  <c r="N2441" i="18"/>
  <c r="N2440" i="18"/>
  <c r="N2439" i="18"/>
  <c r="N2438" i="18"/>
  <c r="N2437" i="18"/>
  <c r="N2436" i="18"/>
  <c r="N2435" i="18"/>
  <c r="N2434" i="18"/>
  <c r="N2433" i="18"/>
  <c r="N2432" i="18"/>
  <c r="N2431" i="18"/>
  <c r="N2430" i="18"/>
  <c r="N2429" i="18"/>
  <c r="N2428" i="18"/>
  <c r="N2427" i="18"/>
  <c r="N2426" i="18"/>
  <c r="N2425" i="18"/>
  <c r="N2424" i="18"/>
  <c r="N2423" i="18"/>
  <c r="N2422" i="18"/>
  <c r="N2421" i="18"/>
  <c r="N2420" i="18"/>
  <c r="N2419" i="18"/>
  <c r="N2418" i="18"/>
  <c r="N2417" i="18"/>
  <c r="N2416" i="18"/>
  <c r="N2415" i="18"/>
  <c r="N2414" i="18"/>
  <c r="N2413" i="18"/>
  <c r="N2412" i="18"/>
  <c r="N2411" i="18"/>
  <c r="N2410" i="18"/>
  <c r="N2409" i="18"/>
  <c r="N2408" i="18"/>
  <c r="N2407" i="18"/>
  <c r="N2406" i="18"/>
  <c r="N2405" i="18"/>
  <c r="N2404" i="18"/>
  <c r="N2403" i="18"/>
  <c r="N2402" i="18"/>
  <c r="N2401" i="18"/>
  <c r="N2400" i="18"/>
  <c r="N2399" i="18"/>
  <c r="N2398" i="18"/>
  <c r="N2397" i="18"/>
  <c r="N2396" i="18"/>
  <c r="N2395" i="18"/>
  <c r="N2394" i="18"/>
  <c r="N2393" i="18"/>
  <c r="N2392" i="18"/>
  <c r="N2391" i="18"/>
  <c r="N2390" i="18"/>
  <c r="N2389" i="18"/>
  <c r="N2388" i="18"/>
  <c r="N2387" i="18"/>
  <c r="N2386" i="18"/>
  <c r="N2385" i="18"/>
  <c r="N2384" i="18"/>
  <c r="N2383" i="18"/>
  <c r="N2382" i="18"/>
  <c r="N2381" i="18"/>
  <c r="N2380" i="18"/>
  <c r="N2379" i="18"/>
  <c r="N2378" i="18"/>
  <c r="N2377" i="18"/>
  <c r="N2376" i="18"/>
  <c r="N2375" i="18"/>
  <c r="N2374" i="18"/>
  <c r="N2373" i="18"/>
  <c r="N2372" i="18"/>
  <c r="N2371" i="18"/>
  <c r="N2370" i="18"/>
  <c r="N2369" i="18"/>
  <c r="N2368" i="18"/>
  <c r="N2367" i="18"/>
  <c r="N2366" i="18"/>
  <c r="N2365" i="18"/>
  <c r="N2364" i="18"/>
  <c r="N2363" i="18"/>
  <c r="N2362" i="18"/>
  <c r="N2361" i="18"/>
  <c r="N2360" i="18"/>
  <c r="N2359" i="18"/>
  <c r="N2358" i="18"/>
  <c r="N2357" i="18"/>
  <c r="N2356" i="18"/>
  <c r="N2355" i="18"/>
  <c r="N2354" i="18"/>
  <c r="N2353" i="18"/>
  <c r="N2352" i="18"/>
  <c r="N2351" i="18"/>
  <c r="N2350" i="18"/>
  <c r="N2349" i="18"/>
  <c r="N2348" i="18"/>
  <c r="N2347" i="18"/>
  <c r="N2346" i="18"/>
  <c r="N2345" i="18"/>
  <c r="N2344" i="18"/>
  <c r="N2343" i="18"/>
  <c r="N2342" i="18"/>
  <c r="N2341" i="18"/>
  <c r="N2340" i="18"/>
  <c r="N2339" i="18"/>
  <c r="N2338" i="18"/>
  <c r="N2337" i="18"/>
  <c r="N2336" i="18"/>
  <c r="N2335" i="18"/>
  <c r="N2334" i="18"/>
  <c r="N2333" i="18"/>
  <c r="N2332" i="18"/>
  <c r="N2331" i="18"/>
  <c r="N2330" i="18"/>
  <c r="N2329" i="18"/>
  <c r="N2328" i="18"/>
  <c r="N2327" i="18"/>
  <c r="N2326" i="18"/>
  <c r="N2325" i="18"/>
  <c r="N2324" i="18"/>
  <c r="N2323" i="18"/>
  <c r="N2322" i="18"/>
  <c r="N2321" i="18"/>
  <c r="N2320" i="18"/>
  <c r="N2319" i="18"/>
  <c r="N2318" i="18"/>
  <c r="N2317" i="18"/>
  <c r="N2316" i="18"/>
  <c r="N2315" i="18"/>
  <c r="N2314" i="18"/>
  <c r="N2313" i="18"/>
  <c r="N2312" i="18"/>
  <c r="N2311" i="18"/>
  <c r="N2310" i="18"/>
  <c r="N2309" i="18"/>
  <c r="N2308" i="18"/>
  <c r="N2307" i="18"/>
  <c r="N2306" i="18"/>
  <c r="N2305" i="18"/>
  <c r="N2304" i="18"/>
  <c r="N2303" i="18"/>
  <c r="N2302" i="18"/>
  <c r="N2301" i="18"/>
  <c r="N2300" i="18"/>
  <c r="N2299" i="18"/>
  <c r="N2298" i="18"/>
  <c r="N2297" i="18"/>
  <c r="N2296" i="18"/>
  <c r="N2295" i="18"/>
  <c r="N2294" i="18"/>
  <c r="N2293" i="18"/>
  <c r="N2292" i="18"/>
  <c r="N2291" i="18"/>
  <c r="N2290" i="18"/>
  <c r="N2289" i="18"/>
  <c r="N2288" i="18"/>
  <c r="N2287" i="18"/>
  <c r="N2286" i="18"/>
  <c r="N2285" i="18"/>
  <c r="N2284" i="18"/>
  <c r="N2283" i="18"/>
  <c r="N2282" i="18"/>
  <c r="N2281" i="18"/>
  <c r="N2280" i="18"/>
  <c r="N2279" i="18"/>
  <c r="N2278" i="18"/>
  <c r="N2277" i="18"/>
  <c r="N2276" i="18"/>
  <c r="N2275" i="18"/>
  <c r="N2274" i="18"/>
  <c r="N2273" i="18"/>
  <c r="N2272" i="18"/>
  <c r="N2271" i="18"/>
  <c r="N2270" i="18"/>
  <c r="N2269" i="18"/>
  <c r="N2268" i="18"/>
  <c r="N2267" i="18"/>
  <c r="N2266" i="18"/>
  <c r="N2265" i="18"/>
  <c r="N2264" i="18"/>
  <c r="N2263" i="18"/>
  <c r="N2262" i="18"/>
  <c r="N2261" i="18"/>
  <c r="N2260" i="18"/>
  <c r="N2259" i="18"/>
  <c r="N2258" i="18"/>
  <c r="N2257" i="18"/>
  <c r="N2256" i="18"/>
  <c r="N2255" i="18"/>
  <c r="N2254" i="18"/>
  <c r="N2253" i="18"/>
  <c r="N2252" i="18"/>
  <c r="N2251" i="18"/>
  <c r="N2250" i="18"/>
  <c r="N2249" i="18"/>
  <c r="N2248" i="18"/>
  <c r="N2247" i="18"/>
  <c r="N2246" i="18"/>
  <c r="N2245" i="18"/>
  <c r="N2244" i="18"/>
  <c r="N2243" i="18"/>
  <c r="N2242" i="18"/>
  <c r="N2241" i="18"/>
  <c r="N2240" i="18"/>
  <c r="N2239" i="18"/>
  <c r="N2238" i="18"/>
  <c r="N2237" i="18"/>
  <c r="N2236" i="18"/>
  <c r="N2235" i="18"/>
  <c r="N2234" i="18"/>
  <c r="N2233" i="18"/>
  <c r="N2232" i="18"/>
  <c r="N2231" i="18"/>
  <c r="N2230" i="18"/>
  <c r="N2229" i="18"/>
  <c r="N2228" i="18"/>
  <c r="N2227" i="18"/>
  <c r="N2226" i="18"/>
  <c r="N2225" i="18"/>
  <c r="N2224" i="18"/>
  <c r="N2223" i="18"/>
  <c r="N2222" i="18"/>
  <c r="N2220" i="18"/>
  <c r="N2219" i="18"/>
  <c r="N2218" i="18"/>
  <c r="N2217" i="18"/>
  <c r="N2216" i="18"/>
  <c r="N2215" i="18"/>
  <c r="N2214" i="18"/>
  <c r="N2213" i="18"/>
  <c r="N2212" i="18"/>
  <c r="N2211" i="18"/>
  <c r="N2210" i="18"/>
  <c r="N2209" i="18"/>
  <c r="N2208" i="18"/>
  <c r="N2207" i="18"/>
  <c r="N2206" i="18"/>
  <c r="N2205" i="18"/>
  <c r="N2204" i="18"/>
  <c r="N2203" i="18"/>
  <c r="N2202" i="18"/>
  <c r="N2201" i="18"/>
  <c r="N2200" i="18"/>
  <c r="N2199" i="18"/>
  <c r="N2198" i="18"/>
  <c r="N2197" i="18"/>
  <c r="N2196" i="18"/>
  <c r="N2195" i="18"/>
  <c r="N2194" i="18"/>
  <c r="N2193" i="18"/>
  <c r="N2192" i="18"/>
  <c r="N2191" i="18"/>
  <c r="N2190" i="18"/>
  <c r="N2189" i="18"/>
  <c r="N2188" i="18"/>
  <c r="N2187" i="18"/>
  <c r="N2186" i="18"/>
  <c r="N2185" i="18"/>
  <c r="N2184" i="18"/>
  <c r="N2183" i="18"/>
  <c r="N2182" i="18"/>
  <c r="N2181" i="18"/>
  <c r="N2180" i="18"/>
  <c r="N2179" i="18"/>
  <c r="N2178" i="18"/>
  <c r="N2177" i="18"/>
  <c r="N2176" i="18"/>
  <c r="N2175" i="18"/>
  <c r="N2174" i="18"/>
  <c r="N2173" i="18"/>
  <c r="N2172" i="18"/>
  <c r="N2171" i="18"/>
  <c r="N2170" i="18"/>
  <c r="N2169" i="18"/>
  <c r="N2168" i="18"/>
  <c r="N2167" i="18"/>
  <c r="N2166" i="18"/>
  <c r="N2165" i="18"/>
  <c r="N2164" i="18"/>
  <c r="N2163" i="18"/>
  <c r="N2162" i="18"/>
  <c r="N2161" i="18"/>
  <c r="N2160" i="18"/>
  <c r="N2159" i="18"/>
  <c r="N2158" i="18"/>
  <c r="N2157" i="18"/>
  <c r="N2156" i="18"/>
  <c r="N2155" i="18"/>
  <c r="N2154" i="18"/>
  <c r="N2153" i="18"/>
  <c r="N2152" i="18"/>
  <c r="N2151" i="18"/>
  <c r="N2150" i="18"/>
  <c r="N2149" i="18"/>
  <c r="N2148" i="18"/>
  <c r="N2147" i="18"/>
  <c r="N2146" i="18"/>
  <c r="N2145" i="18"/>
  <c r="N2144" i="18"/>
  <c r="N2143" i="18"/>
  <c r="N2142" i="18"/>
  <c r="N2141" i="18"/>
  <c r="N2140" i="18"/>
  <c r="N2139" i="18"/>
  <c r="N2138" i="18"/>
  <c r="N2137" i="18"/>
  <c r="N2136" i="18"/>
  <c r="N2135" i="18"/>
  <c r="N2134" i="18"/>
  <c r="N2133" i="18"/>
  <c r="N2132" i="18"/>
  <c r="N2131" i="18"/>
  <c r="N2130" i="18"/>
  <c r="N2129" i="18"/>
  <c r="N2128" i="18"/>
  <c r="N2127" i="18"/>
  <c r="N2126" i="18"/>
  <c r="N2125" i="18"/>
  <c r="N2124" i="18"/>
  <c r="N2123" i="18"/>
  <c r="N2122" i="18"/>
  <c r="N2121" i="18"/>
  <c r="N2120" i="18"/>
  <c r="N2119" i="18"/>
  <c r="N2118" i="18"/>
  <c r="N2117" i="18"/>
  <c r="N2116" i="18"/>
  <c r="N2115" i="18"/>
  <c r="N2114" i="18"/>
  <c r="N2113" i="18"/>
  <c r="N2112" i="18"/>
  <c r="N2111" i="18"/>
  <c r="N2110" i="18"/>
  <c r="N2109" i="18"/>
  <c r="N2108" i="18"/>
  <c r="N2107" i="18"/>
  <c r="N2106" i="18"/>
  <c r="N2105" i="18"/>
  <c r="N2104" i="18"/>
  <c r="N2102" i="18"/>
  <c r="N2101" i="18"/>
  <c r="N2100" i="18"/>
  <c r="N2099" i="18"/>
  <c r="N2098" i="18"/>
  <c r="N2097" i="18"/>
  <c r="N2096" i="18"/>
  <c r="N2095" i="18"/>
  <c r="N2094" i="18"/>
  <c r="N2093" i="18"/>
  <c r="N2092" i="18"/>
  <c r="N2091" i="18"/>
  <c r="N2090" i="18"/>
  <c r="N2089" i="18"/>
  <c r="N2088" i="18"/>
  <c r="N2087" i="18"/>
  <c r="N2086" i="18"/>
  <c r="N2085" i="18"/>
  <c r="N2084" i="18"/>
  <c r="N2082" i="18"/>
  <c r="N2081" i="18"/>
  <c r="N2080" i="18"/>
  <c r="N2079" i="18"/>
  <c r="N2077" i="18"/>
  <c r="N2076" i="18"/>
  <c r="N2075" i="18"/>
  <c r="N2074" i="18"/>
  <c r="N2073" i="18"/>
  <c r="N2072" i="18"/>
  <c r="N2071" i="18"/>
  <c r="N2070" i="18"/>
  <c r="N2069" i="18"/>
  <c r="N2068" i="18"/>
  <c r="N2067" i="18"/>
  <c r="N2066" i="18"/>
  <c r="N2065" i="18"/>
  <c r="N2064" i="18"/>
  <c r="N2063" i="18"/>
  <c r="N2062" i="18"/>
  <c r="N2061" i="18"/>
  <c r="N2060" i="18"/>
  <c r="N2059" i="18"/>
  <c r="N2057" i="18"/>
  <c r="N2056" i="18"/>
  <c r="N2055" i="18"/>
  <c r="N2054" i="18"/>
  <c r="N2053" i="18"/>
  <c r="N2052" i="18"/>
  <c r="N2051" i="18"/>
  <c r="N2050" i="18"/>
  <c r="N2049" i="18"/>
  <c r="N2048" i="18"/>
  <c r="N2047" i="18"/>
  <c r="N2046" i="18"/>
  <c r="N2045" i="18"/>
  <c r="N2044" i="18"/>
  <c r="N2043" i="18"/>
  <c r="N2042" i="18"/>
  <c r="N2041" i="18"/>
  <c r="N2040" i="18"/>
  <c r="N2039" i="18"/>
  <c r="N2038" i="18"/>
  <c r="N2037" i="18"/>
  <c r="N2036" i="18"/>
  <c r="N2035" i="18"/>
  <c r="N2034" i="18"/>
  <c r="N2033" i="18"/>
  <c r="N2032" i="18"/>
  <c r="N2031" i="18"/>
  <c r="N2030" i="18"/>
  <c r="N2029" i="18"/>
  <c r="N2028" i="18"/>
  <c r="N2027" i="18"/>
  <c r="N2026" i="18"/>
  <c r="N2025" i="18"/>
  <c r="N2024" i="18"/>
  <c r="N2023" i="18"/>
  <c r="N2022" i="18"/>
  <c r="N2021" i="18"/>
  <c r="N2020" i="18"/>
  <c r="N2019" i="18"/>
  <c r="N2018" i="18"/>
  <c r="N2017" i="18"/>
  <c r="N2016" i="18"/>
  <c r="N2015" i="18"/>
  <c r="N2014" i="18"/>
  <c r="N2013" i="18"/>
  <c r="N2012" i="18"/>
  <c r="N2011" i="18"/>
  <c r="N2010" i="18"/>
  <c r="N2009" i="18"/>
  <c r="N2008" i="18"/>
  <c r="N2007" i="18"/>
  <c r="N2006" i="18"/>
  <c r="N2005" i="18"/>
  <c r="N2004" i="18"/>
  <c r="N2003" i="18"/>
  <c r="N2002" i="18"/>
  <c r="N2001" i="18"/>
  <c r="N2000" i="18"/>
  <c r="N1999" i="18"/>
  <c r="N1998" i="18"/>
  <c r="N1997" i="18"/>
  <c r="N1996" i="18"/>
  <c r="N1995" i="18"/>
  <c r="N1994" i="18"/>
  <c r="N1993" i="18"/>
  <c r="N1992" i="18"/>
  <c r="N1991" i="18"/>
  <c r="N1990" i="18"/>
  <c r="N1989" i="18"/>
  <c r="N1988" i="18"/>
  <c r="N1987" i="18"/>
  <c r="N1986" i="18"/>
  <c r="N1985" i="18"/>
  <c r="N1983" i="18"/>
  <c r="N1982" i="18"/>
  <c r="N1981" i="18"/>
  <c r="N1980" i="18"/>
  <c r="N1979" i="18"/>
  <c r="N1978" i="18"/>
  <c r="N1977" i="18"/>
  <c r="N1975" i="18"/>
  <c r="N1974" i="18"/>
  <c r="N1973" i="18"/>
  <c r="N1972" i="18"/>
  <c r="N1971" i="18"/>
  <c r="N1970" i="18"/>
  <c r="N1969" i="18"/>
  <c r="N1967" i="18"/>
  <c r="N1966" i="18"/>
  <c r="N1965" i="18"/>
  <c r="N1964" i="18"/>
  <c r="N1963" i="18"/>
  <c r="N1962" i="18"/>
  <c r="N1961" i="18"/>
  <c r="N1959" i="18"/>
  <c r="N1958" i="18"/>
  <c r="N1957" i="18"/>
  <c r="N1956" i="18"/>
  <c r="N1955" i="18"/>
  <c r="N1954" i="18"/>
  <c r="N1953" i="18"/>
  <c r="N1952" i="18"/>
  <c r="N1951" i="18"/>
  <c r="N1950" i="18"/>
  <c r="N1949" i="18"/>
  <c r="N1947" i="18"/>
  <c r="N1946" i="18"/>
  <c r="N1945" i="18"/>
  <c r="N1944" i="18"/>
  <c r="N1943" i="18"/>
  <c r="N1942" i="18"/>
  <c r="N1941" i="18"/>
  <c r="N1939" i="18"/>
  <c r="N1938" i="18"/>
  <c r="N1937" i="18"/>
  <c r="N1936" i="18"/>
  <c r="N1935" i="18"/>
  <c r="N1934" i="18"/>
  <c r="N1933" i="18"/>
  <c r="N1932" i="18"/>
  <c r="N1931" i="18"/>
  <c r="N1930" i="18"/>
  <c r="N1929" i="18"/>
  <c r="N1928" i="18"/>
  <c r="N1927" i="18"/>
  <c r="N1926" i="18"/>
  <c r="N1925" i="18"/>
  <c r="N1924" i="18"/>
  <c r="N1923" i="18"/>
  <c r="N1922" i="18"/>
  <c r="N1921" i="18"/>
  <c r="N1920" i="18"/>
  <c r="N1919" i="18"/>
  <c r="N1918" i="18"/>
  <c r="N1917" i="18"/>
  <c r="N1915" i="18"/>
  <c r="N1914" i="18"/>
  <c r="N1913" i="18"/>
  <c r="N1911" i="18"/>
  <c r="N1910" i="18"/>
  <c r="N1909" i="18"/>
  <c r="N1907" i="18"/>
  <c r="N1906" i="18"/>
  <c r="N1905" i="18"/>
  <c r="N1904" i="18"/>
  <c r="N1903" i="18"/>
  <c r="N1902" i="18"/>
  <c r="N1901" i="18"/>
  <c r="N1900" i="18"/>
  <c r="N1899" i="18"/>
  <c r="N1898" i="18"/>
  <c r="N1897" i="18"/>
  <c r="N1896" i="18"/>
  <c r="N1895" i="18"/>
  <c r="N1894" i="18"/>
  <c r="N1893" i="18"/>
  <c r="N1891" i="18"/>
  <c r="N1890" i="18"/>
  <c r="N1889" i="18"/>
  <c r="N1888" i="18"/>
  <c r="N1887" i="18"/>
  <c r="N1886" i="18"/>
  <c r="N1885" i="18"/>
  <c r="N1884" i="18"/>
  <c r="N1883" i="18"/>
  <c r="N1882" i="18"/>
  <c r="N1881" i="18"/>
  <c r="N1880" i="18"/>
  <c r="N1879" i="18"/>
  <c r="N1878" i="18"/>
  <c r="N1877" i="18"/>
  <c r="N1876" i="18"/>
  <c r="N1875" i="18"/>
  <c r="N1874" i="18"/>
  <c r="N1873" i="18"/>
  <c r="N1872" i="18"/>
  <c r="N1871" i="18"/>
  <c r="N1870" i="18"/>
  <c r="N1869" i="18"/>
  <c r="N1868" i="18"/>
  <c r="N1867" i="18"/>
  <c r="N1866" i="18"/>
  <c r="N1865" i="18"/>
  <c r="N1864" i="18"/>
  <c r="N1863" i="18"/>
  <c r="N1862" i="18"/>
  <c r="N1861" i="18"/>
  <c r="N1860" i="18"/>
  <c r="N1859" i="18"/>
  <c r="N1858" i="18"/>
  <c r="N1857" i="18"/>
  <c r="N1856" i="18"/>
  <c r="N1855" i="18"/>
  <c r="N1854" i="18"/>
  <c r="N1853" i="18"/>
  <c r="N1852" i="18"/>
  <c r="N1851" i="18"/>
  <c r="N1850" i="18"/>
  <c r="N1849" i="18"/>
  <c r="N1848" i="18"/>
  <c r="N1847" i="18"/>
  <c r="N1846" i="18"/>
  <c r="N1845" i="18"/>
  <c r="N1844" i="18"/>
  <c r="N1843" i="18"/>
  <c r="N1842" i="18"/>
  <c r="N1841" i="18"/>
  <c r="N1840" i="18"/>
  <c r="N1839" i="18"/>
  <c r="N1838" i="18"/>
  <c r="N1837" i="18"/>
  <c r="N1836" i="18"/>
  <c r="N1835" i="18"/>
  <c r="N1834" i="18"/>
  <c r="N1833" i="18"/>
  <c r="N1832" i="18"/>
  <c r="N1831" i="18"/>
  <c r="N1830" i="18"/>
  <c r="N1829" i="18"/>
  <c r="N1828" i="18"/>
  <c r="N1827" i="18"/>
  <c r="N1826" i="18"/>
  <c r="N1825" i="18"/>
  <c r="N1824" i="18"/>
  <c r="N1823" i="18"/>
  <c r="N1822" i="18"/>
  <c r="N1821" i="18"/>
  <c r="N1820" i="18"/>
  <c r="N1819" i="18"/>
  <c r="N1818" i="18"/>
  <c r="N1817" i="18"/>
  <c r="N1816" i="18"/>
  <c r="N1815" i="18"/>
  <c r="N1814" i="18"/>
  <c r="N1813" i="18"/>
  <c r="N1812" i="18"/>
  <c r="N1811" i="18"/>
  <c r="N1810" i="18"/>
  <c r="N1809" i="18"/>
  <c r="N1808" i="18"/>
  <c r="N1807" i="18"/>
  <c r="N1806" i="18"/>
  <c r="N1805" i="18"/>
  <c r="N1804" i="18"/>
  <c r="N1803" i="18"/>
  <c r="N1802" i="18"/>
  <c r="N1801" i="18"/>
  <c r="N1800" i="18"/>
  <c r="N1799" i="18"/>
  <c r="N1798" i="18"/>
  <c r="N1797" i="18"/>
  <c r="N1796" i="18"/>
  <c r="N1795" i="18"/>
  <c r="N1794" i="18"/>
  <c r="N1793" i="18"/>
  <c r="N1792" i="18"/>
  <c r="N1791" i="18"/>
  <c r="N1790" i="18"/>
  <c r="N1789" i="18"/>
  <c r="N1787" i="18"/>
  <c r="N1786" i="18"/>
  <c r="N1785" i="18"/>
  <c r="N1784" i="18"/>
  <c r="N1783" i="18"/>
  <c r="N1782" i="18"/>
  <c r="N1781" i="18"/>
  <c r="N1780" i="18"/>
  <c r="N1779" i="18"/>
  <c r="N1778" i="18"/>
  <c r="N1777" i="18"/>
  <c r="N1776" i="18"/>
  <c r="N1775" i="18"/>
  <c r="N1774" i="18"/>
  <c r="N1773" i="18"/>
  <c r="N1772" i="18"/>
  <c r="N1771" i="18"/>
  <c r="N1770" i="18"/>
  <c r="N1769" i="18"/>
  <c r="N1768" i="18"/>
  <c r="N1767" i="18"/>
  <c r="N1766" i="18"/>
  <c r="N1765" i="18"/>
  <c r="N1764" i="18"/>
  <c r="N1763" i="18"/>
  <c r="N1762" i="18"/>
  <c r="N1761" i="18"/>
  <c r="N1760" i="18"/>
  <c r="N1759" i="18"/>
  <c r="N1757" i="18"/>
  <c r="N1756" i="18"/>
  <c r="N1755" i="18"/>
  <c r="N1754" i="18"/>
  <c r="N1753" i="18"/>
  <c r="N1752" i="18"/>
  <c r="N1751" i="18"/>
  <c r="N1750" i="18"/>
  <c r="N1749" i="18"/>
  <c r="N1748" i="18"/>
  <c r="N1747" i="18"/>
  <c r="N1746" i="18"/>
  <c r="N1745" i="18"/>
  <c r="N1744" i="18"/>
  <c r="N1743" i="18"/>
  <c r="N1742" i="18"/>
  <c r="N1741" i="18"/>
  <c r="N1740" i="18"/>
  <c r="N1739" i="18"/>
  <c r="N1738" i="18"/>
  <c r="N1737" i="18"/>
  <c r="N1736" i="18"/>
  <c r="N1735" i="18"/>
  <c r="N1734" i="18"/>
  <c r="N1733" i="18"/>
  <c r="N1732" i="18"/>
  <c r="N1731" i="18"/>
  <c r="N1730" i="18"/>
  <c r="N1729" i="18"/>
  <c r="N1728" i="18"/>
  <c r="N1727" i="18"/>
  <c r="N1726" i="18"/>
  <c r="N1725" i="18"/>
  <c r="N1724" i="18"/>
  <c r="N1723" i="18"/>
  <c r="N1721" i="18"/>
  <c r="N1720" i="18"/>
  <c r="N1719" i="18"/>
  <c r="N1718" i="18"/>
  <c r="N1717" i="18"/>
  <c r="N1716" i="18"/>
  <c r="N1715" i="18"/>
  <c r="N1714" i="18"/>
  <c r="N1713" i="18"/>
  <c r="N1712" i="18"/>
  <c r="N1711" i="18"/>
  <c r="N1710" i="18"/>
  <c r="N1709" i="18"/>
  <c r="N1708" i="18"/>
  <c r="N1707" i="18"/>
  <c r="N1706" i="18"/>
  <c r="N1705" i="18"/>
  <c r="N1704" i="18"/>
  <c r="N1703" i="18"/>
  <c r="N1702" i="18"/>
  <c r="N1701" i="18"/>
  <c r="N1700" i="18"/>
  <c r="N1699" i="18"/>
  <c r="N1698" i="18"/>
  <c r="N1697" i="18"/>
  <c r="N1696" i="18"/>
  <c r="N1695" i="18"/>
  <c r="N1694" i="18"/>
  <c r="N1693" i="18"/>
  <c r="N1692" i="18"/>
  <c r="N1691" i="18"/>
  <c r="N1690" i="18"/>
  <c r="N1689" i="18"/>
  <c r="N1688" i="18"/>
  <c r="N1687" i="18"/>
  <c r="N1686" i="18"/>
  <c r="N1685" i="18"/>
  <c r="N1684" i="18"/>
  <c r="N1683" i="18"/>
  <c r="N1682" i="18"/>
  <c r="N1681" i="18"/>
  <c r="N1680" i="18"/>
  <c r="N1679" i="18"/>
  <c r="N1678" i="18"/>
  <c r="N1677" i="18"/>
  <c r="N1676" i="18"/>
  <c r="N1675" i="18"/>
  <c r="N1674" i="18"/>
  <c r="N1673" i="18"/>
  <c r="N1672" i="18"/>
  <c r="N1670" i="18"/>
  <c r="N1669" i="18"/>
  <c r="N1668" i="18"/>
  <c r="N1667" i="18"/>
  <c r="N1666" i="18"/>
  <c r="N1665" i="18"/>
  <c r="N1664" i="18"/>
  <c r="N1663" i="18"/>
  <c r="N1662" i="18"/>
  <c r="N1661" i="18"/>
  <c r="N1660" i="18"/>
  <c r="N1659" i="18"/>
  <c r="N1658" i="18"/>
  <c r="N1657" i="18"/>
  <c r="N1656" i="18"/>
  <c r="N1655" i="18"/>
  <c r="N1654" i="18"/>
  <c r="N1653" i="18"/>
  <c r="N1652" i="18"/>
  <c r="N1651" i="18"/>
  <c r="N1650" i="18"/>
  <c r="N1649" i="18"/>
  <c r="N1648" i="18"/>
  <c r="N1647" i="18"/>
  <c r="N1646" i="18"/>
  <c r="N1645" i="18"/>
  <c r="N1644" i="18"/>
  <c r="N1643" i="18"/>
  <c r="N1642" i="18"/>
  <c r="N1641" i="18"/>
  <c r="N1640" i="18"/>
  <c r="N1639" i="18"/>
  <c r="N1638" i="18"/>
  <c r="N1637" i="18"/>
  <c r="N1636" i="18"/>
  <c r="N1635" i="18"/>
  <c r="N1634" i="18"/>
  <c r="N1633" i="18"/>
  <c r="N1632" i="18"/>
  <c r="N1631" i="18"/>
  <c r="N1630" i="18"/>
  <c r="N1629" i="18"/>
  <c r="N1628" i="18"/>
  <c r="N1627" i="18"/>
  <c r="N1626" i="18"/>
  <c r="N1625" i="18"/>
  <c r="N1624" i="18"/>
  <c r="N1623" i="18"/>
  <c r="N1622" i="18"/>
  <c r="N1621" i="18"/>
  <c r="N1620" i="18"/>
  <c r="N1619" i="18"/>
  <c r="N1618" i="18"/>
  <c r="N1617" i="18"/>
  <c r="N1616" i="18"/>
  <c r="N1615" i="18"/>
  <c r="N1614" i="18"/>
  <c r="N1613" i="18"/>
  <c r="N1612" i="18"/>
  <c r="N1611" i="18"/>
  <c r="N1610" i="18"/>
  <c r="N1609" i="18"/>
  <c r="N1608" i="18"/>
  <c r="N1607" i="18"/>
  <c r="N1606" i="18"/>
  <c r="N1605" i="18"/>
  <c r="N1604" i="18"/>
  <c r="N1603" i="18"/>
  <c r="N1602" i="18"/>
  <c r="N1601" i="18"/>
  <c r="N1600" i="18"/>
  <c r="N1599" i="18"/>
  <c r="N1598" i="18"/>
  <c r="N1597" i="18"/>
  <c r="N1596" i="18"/>
  <c r="N1595" i="18"/>
  <c r="N1594" i="18"/>
  <c r="N1593" i="18"/>
  <c r="N1592" i="18"/>
  <c r="N1591" i="18"/>
  <c r="N1590" i="18"/>
  <c r="N1589" i="18"/>
  <c r="N1588" i="18"/>
  <c r="N1587" i="18"/>
  <c r="N1586" i="18"/>
  <c r="N1585" i="18"/>
  <c r="N1584" i="18"/>
  <c r="N1583" i="18"/>
  <c r="N1582" i="18"/>
  <c r="N1581" i="18"/>
  <c r="N1580" i="18"/>
  <c r="N1579" i="18"/>
  <c r="N1578" i="18"/>
  <c r="N1577" i="18"/>
  <c r="N1576" i="18"/>
  <c r="N1575" i="18"/>
  <c r="N1574" i="18"/>
  <c r="N1573" i="18"/>
  <c r="N1572" i="18"/>
  <c r="N1571" i="18"/>
  <c r="N1570" i="18"/>
  <c r="N1569" i="18"/>
  <c r="N1568" i="18"/>
  <c r="N1567" i="18"/>
  <c r="N1566" i="18"/>
  <c r="N1565" i="18"/>
  <c r="N1564" i="18"/>
  <c r="N1563" i="18"/>
  <c r="N1562" i="18"/>
  <c r="N1561" i="18"/>
  <c r="N1560" i="18"/>
  <c r="N1559" i="18"/>
  <c r="N1558" i="18"/>
  <c r="N1557" i="18"/>
  <c r="N1556" i="18"/>
  <c r="N1555" i="18"/>
  <c r="N1554" i="18"/>
  <c r="N1553" i="18"/>
  <c r="N1552" i="18"/>
  <c r="N1551" i="18"/>
  <c r="N1550" i="18"/>
  <c r="N1549" i="18"/>
  <c r="N1548" i="18"/>
  <c r="N1547" i="18"/>
  <c r="N1546" i="18"/>
  <c r="N1545" i="18"/>
  <c r="N1544" i="18"/>
  <c r="N1543" i="18"/>
  <c r="N1542" i="18"/>
  <c r="N1541" i="18"/>
  <c r="N1540" i="18"/>
  <c r="N1539" i="18"/>
  <c r="N1538" i="18"/>
  <c r="N1537" i="18"/>
  <c r="N1536" i="18"/>
  <c r="N1535" i="18"/>
  <c r="N1534" i="18"/>
  <c r="N1533" i="18"/>
  <c r="N1532" i="18"/>
  <c r="N1531" i="18"/>
  <c r="N1530" i="18"/>
  <c r="N1529" i="18"/>
  <c r="N1528" i="18"/>
  <c r="N1527" i="18"/>
  <c r="N1526" i="18"/>
  <c r="N1525" i="18"/>
  <c r="N1524" i="18"/>
  <c r="N1523" i="18"/>
  <c r="N1522" i="18"/>
  <c r="N1521" i="18"/>
  <c r="N1520" i="18"/>
  <c r="N1519" i="18"/>
  <c r="N1518" i="18"/>
  <c r="N1517" i="18"/>
  <c r="N1516" i="18"/>
  <c r="N1515" i="18"/>
  <c r="N1514" i="18"/>
  <c r="N1513" i="18"/>
  <c r="N1512" i="18"/>
  <c r="N1511" i="18"/>
  <c r="N1510" i="18"/>
  <c r="N1509" i="18"/>
  <c r="N1508" i="18"/>
  <c r="N1507" i="18"/>
  <c r="N1506" i="18"/>
  <c r="N1505" i="18"/>
  <c r="N1504" i="18"/>
  <c r="N1503" i="18"/>
  <c r="N1502" i="18"/>
  <c r="N1501" i="18"/>
  <c r="N1500" i="18"/>
  <c r="N1499" i="18"/>
  <c r="N1498" i="18"/>
  <c r="N1497" i="18"/>
  <c r="N1496" i="18"/>
  <c r="N1495" i="18"/>
  <c r="N1494" i="18"/>
  <c r="N1493" i="18"/>
  <c r="N1492" i="18"/>
  <c r="N1491" i="18"/>
  <c r="N1490" i="18"/>
  <c r="N1489" i="18"/>
  <c r="N1488" i="18"/>
  <c r="N1487" i="18"/>
  <c r="N1486" i="18"/>
  <c r="N1485" i="18"/>
  <c r="N1484" i="18"/>
  <c r="N1483" i="18"/>
  <c r="N1482" i="18"/>
  <c r="N1481" i="18"/>
  <c r="N1480" i="18"/>
  <c r="N1479" i="18"/>
  <c r="N1478" i="18"/>
  <c r="N1477" i="18"/>
  <c r="N1476" i="18"/>
  <c r="N1475" i="18"/>
  <c r="N1474" i="18"/>
  <c r="N1473" i="18"/>
  <c r="N1472" i="18"/>
  <c r="N1471" i="18"/>
  <c r="N1470" i="18"/>
  <c r="N1469" i="18"/>
  <c r="N1468" i="18"/>
  <c r="N1467" i="18"/>
  <c r="N1466" i="18"/>
  <c r="N1465" i="18"/>
  <c r="N1464" i="18"/>
  <c r="N1463" i="18"/>
  <c r="N1462" i="18"/>
  <c r="N1461" i="18"/>
  <c r="N1460" i="18"/>
  <c r="N1459" i="18"/>
  <c r="N1458" i="18"/>
  <c r="N1457" i="18"/>
  <c r="N1456" i="18"/>
  <c r="N1455" i="18"/>
  <c r="N1454" i="18"/>
  <c r="N1453" i="18"/>
  <c r="N1452" i="18"/>
  <c r="N1451" i="18"/>
  <c r="N1450" i="18"/>
  <c r="N1449" i="18"/>
  <c r="N1448" i="18"/>
  <c r="N1447" i="18"/>
  <c r="N1446" i="18"/>
  <c r="N1445" i="18"/>
  <c r="N1444" i="18"/>
  <c r="N1443" i="18"/>
  <c r="N1442" i="18"/>
  <c r="N1441" i="18"/>
  <c r="N1440" i="18"/>
  <c r="N1439" i="18"/>
  <c r="N1438" i="18"/>
  <c r="N1437" i="18"/>
  <c r="N1436" i="18"/>
  <c r="N1435" i="18"/>
  <c r="N1434" i="18"/>
  <c r="N1433" i="18"/>
  <c r="N1432" i="18"/>
  <c r="N1431" i="18"/>
  <c r="N1430" i="18"/>
  <c r="N1429" i="18"/>
  <c r="N1428" i="18"/>
  <c r="N1427" i="18"/>
  <c r="N1426" i="18"/>
  <c r="N1425" i="18"/>
  <c r="N1424" i="18"/>
  <c r="N1423" i="18"/>
  <c r="N1422" i="18"/>
  <c r="N1421" i="18"/>
  <c r="N1420" i="18"/>
  <c r="N1419" i="18"/>
  <c r="N1418" i="18"/>
  <c r="N1417" i="18"/>
  <c r="N1416" i="18"/>
  <c r="N1415" i="18"/>
  <c r="N1414" i="18"/>
  <c r="N1413" i="18"/>
  <c r="N1412" i="18"/>
  <c r="N1411" i="18"/>
  <c r="N1410" i="18"/>
  <c r="N1409" i="18"/>
  <c r="N1408" i="18"/>
  <c r="N1407" i="18"/>
  <c r="N1406" i="18"/>
  <c r="N1405" i="18"/>
  <c r="N1404" i="18"/>
  <c r="N1403" i="18"/>
  <c r="N1402" i="18"/>
  <c r="N1401" i="18"/>
  <c r="N1400" i="18"/>
  <c r="N1399" i="18"/>
  <c r="N1398" i="18"/>
  <c r="N1397" i="18"/>
  <c r="N1396" i="18"/>
  <c r="N1395" i="18"/>
  <c r="N1394" i="18"/>
  <c r="N1393" i="18"/>
  <c r="N1392" i="18"/>
  <c r="N1391" i="18"/>
  <c r="N1390" i="18"/>
  <c r="N1389" i="18"/>
  <c r="N1388" i="18"/>
  <c r="N1387" i="18"/>
  <c r="N1386" i="18"/>
  <c r="N1385" i="18"/>
  <c r="N1384" i="18"/>
  <c r="N1383" i="18"/>
  <c r="N1382" i="18"/>
  <c r="N1381" i="18"/>
  <c r="N1380" i="18"/>
  <c r="N1379" i="18"/>
  <c r="N1378" i="18"/>
  <c r="N1377" i="18"/>
  <c r="N1376" i="18"/>
  <c r="N1375" i="18"/>
  <c r="N1374" i="18"/>
  <c r="N1373" i="18"/>
  <c r="N1372" i="18"/>
  <c r="N1371" i="18"/>
  <c r="N1370" i="18"/>
  <c r="N1369" i="18"/>
  <c r="N1368" i="18"/>
  <c r="N1367" i="18"/>
  <c r="N1366" i="18"/>
  <c r="N1365" i="18"/>
  <c r="N1364" i="18"/>
  <c r="N1363" i="18"/>
  <c r="N1362" i="18"/>
  <c r="N1361" i="18"/>
  <c r="N1360" i="18"/>
  <c r="N1359" i="18"/>
  <c r="N1358" i="18"/>
  <c r="N1357" i="18"/>
  <c r="N1356" i="18"/>
  <c r="N1355" i="18"/>
  <c r="N1354" i="18"/>
  <c r="N1353" i="18"/>
  <c r="N1352" i="18"/>
  <c r="N1351" i="18"/>
  <c r="N1350" i="18"/>
  <c r="N1349" i="18"/>
  <c r="N1348" i="18"/>
  <c r="N1347" i="18"/>
  <c r="N1346" i="18"/>
  <c r="N1345" i="18"/>
  <c r="N1344" i="18"/>
  <c r="N1343" i="18"/>
  <c r="N1342" i="18"/>
  <c r="N1341" i="18"/>
  <c r="N1340" i="18"/>
  <c r="N1339" i="18"/>
  <c r="N1338" i="18"/>
  <c r="N1337" i="18"/>
  <c r="N1336" i="18"/>
  <c r="N1335" i="18"/>
  <c r="N1334" i="18"/>
  <c r="N1333" i="18"/>
  <c r="N1332" i="18"/>
  <c r="N1331" i="18"/>
  <c r="N1330" i="18"/>
  <c r="N1329" i="18"/>
  <c r="N1328" i="18"/>
  <c r="N1327" i="18"/>
  <c r="N1326" i="18"/>
  <c r="N1325" i="18"/>
  <c r="N1324" i="18"/>
  <c r="N1323" i="18"/>
  <c r="N1322" i="18"/>
  <c r="N1321" i="18"/>
  <c r="N1320" i="18"/>
  <c r="N1319" i="18"/>
  <c r="N1318" i="18"/>
  <c r="N1317" i="18"/>
  <c r="N1316" i="18"/>
  <c r="N1315" i="18"/>
  <c r="N1314" i="18"/>
  <c r="N1313" i="18"/>
  <c r="N1312" i="18"/>
  <c r="N1311" i="18"/>
  <c r="N1310" i="18"/>
  <c r="N1309" i="18"/>
  <c r="N1308" i="18"/>
  <c r="N1307" i="18"/>
  <c r="N1306" i="18"/>
  <c r="N1305" i="18"/>
  <c r="N1304" i="18"/>
  <c r="N1303" i="18"/>
  <c r="N1302" i="18"/>
  <c r="N1301" i="18"/>
  <c r="N1300" i="18"/>
  <c r="N1299" i="18"/>
  <c r="N1298" i="18"/>
  <c r="N1297" i="18"/>
  <c r="N1296" i="18"/>
  <c r="N1295" i="18"/>
  <c r="N1294" i="18"/>
  <c r="N1293" i="18"/>
  <c r="N1292" i="18"/>
  <c r="N1291" i="18"/>
  <c r="N1290" i="18"/>
  <c r="N1289" i="18"/>
  <c r="N1288" i="18"/>
  <c r="N1287" i="18"/>
  <c r="N1286" i="18"/>
  <c r="N1285" i="18"/>
  <c r="N1284" i="18"/>
  <c r="N1283" i="18"/>
  <c r="N1282" i="18"/>
  <c r="N1281" i="18"/>
  <c r="N1280" i="18"/>
  <c r="N1279" i="18"/>
  <c r="N1278" i="18"/>
  <c r="N1277" i="18"/>
  <c r="N1276" i="18"/>
  <c r="N1275" i="18"/>
  <c r="N1274" i="18"/>
  <c r="N1273" i="18"/>
  <c r="N1272" i="18"/>
  <c r="N1271" i="18"/>
  <c r="N1270" i="18"/>
  <c r="N1269" i="18"/>
  <c r="N1268" i="18"/>
  <c r="N1267" i="18"/>
  <c r="N1266" i="18"/>
  <c r="N1265" i="18"/>
  <c r="N1264" i="18"/>
  <c r="N1263" i="18"/>
  <c r="N1262" i="18"/>
  <c r="N1261" i="18"/>
  <c r="N1260" i="18"/>
  <c r="N1259" i="18"/>
  <c r="N1258" i="18"/>
  <c r="N1257" i="18"/>
  <c r="N1256" i="18"/>
  <c r="N1255" i="18"/>
  <c r="N1254" i="18"/>
  <c r="N1253" i="18"/>
  <c r="N1252" i="18"/>
  <c r="N1251" i="18"/>
  <c r="N1250" i="18"/>
  <c r="N1249" i="18"/>
  <c r="N1248" i="18"/>
  <c r="N1247" i="18"/>
  <c r="N1246" i="18"/>
  <c r="N1245" i="18"/>
  <c r="N1244" i="18"/>
  <c r="N1243" i="18"/>
  <c r="N1242" i="18"/>
  <c r="N1241" i="18"/>
  <c r="N1240" i="18"/>
  <c r="N1239" i="18"/>
  <c r="N1238" i="18"/>
  <c r="N1237" i="18"/>
  <c r="N1236" i="18"/>
  <c r="N1235" i="18"/>
  <c r="N1234" i="18"/>
  <c r="N1233" i="18"/>
  <c r="N1232" i="18"/>
  <c r="N1231" i="18"/>
  <c r="N1230" i="18"/>
  <c r="N1229" i="18"/>
  <c r="N1228" i="18"/>
  <c r="N1227" i="18"/>
  <c r="N1226" i="18"/>
  <c r="N1225" i="18"/>
  <c r="N1224" i="18"/>
  <c r="N1223" i="18"/>
  <c r="N1222" i="18"/>
  <c r="N1221" i="18"/>
  <c r="N1220" i="18"/>
  <c r="N1219" i="18"/>
  <c r="N1218" i="18"/>
  <c r="N1217" i="18"/>
  <c r="N1216" i="18"/>
  <c r="N1215" i="18"/>
  <c r="N1214" i="18"/>
  <c r="N1213" i="18"/>
  <c r="N1212" i="18"/>
  <c r="N1211" i="18"/>
  <c r="N1210" i="18"/>
  <c r="N1209" i="18"/>
  <c r="N1208" i="18"/>
  <c r="N1207" i="18"/>
  <c r="N1206" i="18"/>
  <c r="N1205" i="18"/>
  <c r="N1204" i="18"/>
  <c r="N1203" i="18"/>
  <c r="N1202" i="18"/>
  <c r="N1201" i="18"/>
  <c r="N1200" i="18"/>
  <c r="N1199" i="18"/>
  <c r="N1198" i="18"/>
  <c r="N1197" i="18"/>
  <c r="N1196" i="18"/>
  <c r="N1195" i="18"/>
  <c r="N1194" i="18"/>
  <c r="N1193" i="18"/>
  <c r="N1192" i="18"/>
  <c r="N1191" i="18"/>
  <c r="N1190" i="18"/>
  <c r="N1189" i="18"/>
  <c r="N1188" i="18"/>
  <c r="N1187" i="18"/>
  <c r="N1186" i="18"/>
  <c r="N1185" i="18"/>
  <c r="N1184" i="18"/>
  <c r="N1183" i="18"/>
  <c r="N1182" i="18"/>
  <c r="N1181" i="18"/>
  <c r="N1180" i="18"/>
  <c r="N1179" i="18"/>
  <c r="N1178" i="18"/>
  <c r="N1177" i="18"/>
  <c r="N1176" i="18"/>
  <c r="N1175" i="18"/>
  <c r="N1174" i="18"/>
  <c r="N1173" i="18"/>
  <c r="N1172" i="18"/>
  <c r="N1171" i="18"/>
  <c r="N1170" i="18"/>
  <c r="N1169" i="18"/>
  <c r="N1168" i="18"/>
  <c r="N1167" i="18"/>
  <c r="N1166" i="18"/>
  <c r="N1165" i="18"/>
  <c r="N1164" i="18"/>
  <c r="N1163" i="18"/>
  <c r="N1162" i="18"/>
  <c r="N1161" i="18"/>
  <c r="N1160" i="18"/>
  <c r="N1159" i="18"/>
  <c r="N1158" i="18"/>
  <c r="N1157" i="18"/>
  <c r="N1156" i="18"/>
  <c r="N1155" i="18"/>
  <c r="N1154" i="18"/>
  <c r="N1153" i="18"/>
  <c r="N1152" i="18"/>
  <c r="N1151" i="18"/>
  <c r="N1150" i="18"/>
  <c r="N1149" i="18"/>
  <c r="N1148" i="18"/>
  <c r="N1147" i="18"/>
  <c r="N1146" i="18"/>
  <c r="N1145" i="18"/>
  <c r="N1144" i="18"/>
  <c r="N1143" i="18"/>
  <c r="N1142" i="18"/>
  <c r="N1141" i="18"/>
  <c r="N1140" i="18"/>
  <c r="N1139" i="18"/>
  <c r="N1138" i="18"/>
  <c r="N1137" i="18"/>
  <c r="N1136" i="18"/>
  <c r="N1135" i="18"/>
  <c r="N1134" i="18"/>
  <c r="N1133" i="18"/>
  <c r="N1132" i="18"/>
  <c r="N1131" i="18"/>
  <c r="N1130" i="18"/>
  <c r="N1129" i="18"/>
  <c r="N1128" i="18"/>
  <c r="N1127" i="18"/>
  <c r="N1126" i="18"/>
  <c r="N1125" i="18"/>
  <c r="N1124" i="18"/>
  <c r="N1123" i="18"/>
  <c r="N1122" i="18"/>
  <c r="N1121" i="18"/>
  <c r="N1120" i="18"/>
  <c r="N1119" i="18"/>
  <c r="N1118" i="18"/>
  <c r="N1117" i="18"/>
  <c r="N1116" i="18"/>
  <c r="N1115" i="18"/>
  <c r="N1114" i="18"/>
  <c r="N1113" i="18"/>
  <c r="N1112" i="18"/>
  <c r="N1111" i="18"/>
  <c r="N1110" i="18"/>
  <c r="N1109" i="18"/>
  <c r="N1108" i="18"/>
  <c r="N1107" i="18"/>
  <c r="N1106" i="18"/>
  <c r="N1105" i="18"/>
  <c r="N1104" i="18"/>
  <c r="N1103" i="18"/>
  <c r="N1102" i="18"/>
  <c r="N1101" i="18"/>
  <c r="N1100" i="18"/>
  <c r="N1099" i="18"/>
  <c r="N1098" i="18"/>
  <c r="N1097" i="18"/>
  <c r="N1096" i="18"/>
  <c r="N1095" i="18"/>
  <c r="N1094" i="18"/>
  <c r="N1093" i="18"/>
  <c r="N1092" i="18"/>
  <c r="N1091" i="18"/>
  <c r="N1090" i="18"/>
  <c r="N1089" i="18"/>
  <c r="N1088" i="18"/>
  <c r="N1087" i="18"/>
  <c r="N1086" i="18"/>
  <c r="N1085" i="18"/>
  <c r="N1084" i="18"/>
  <c r="N1083" i="18"/>
  <c r="N1082" i="18"/>
  <c r="N1081" i="18"/>
  <c r="N1080" i="18"/>
  <c r="N1079" i="18"/>
  <c r="N1078" i="18"/>
  <c r="N1077" i="18"/>
  <c r="N1076" i="18"/>
  <c r="N1075" i="18"/>
  <c r="N1074" i="18"/>
  <c r="N1073" i="18"/>
  <c r="N1072" i="18"/>
  <c r="N1071" i="18"/>
  <c r="N1070" i="18"/>
  <c r="N1069" i="18"/>
  <c r="N1068" i="18"/>
  <c r="N1067" i="18"/>
  <c r="N1066" i="18"/>
  <c r="N1065" i="18"/>
  <c r="N1064" i="18"/>
  <c r="N1063" i="18"/>
  <c r="N1062" i="18"/>
  <c r="N1061" i="18"/>
  <c r="N1060" i="18"/>
  <c r="N1059" i="18"/>
  <c r="N1058" i="18"/>
  <c r="N1057" i="18"/>
  <c r="N1056" i="18"/>
  <c r="N1055" i="18"/>
  <c r="N1054" i="18"/>
  <c r="N1053" i="18"/>
  <c r="N1052" i="18"/>
  <c r="N1051" i="18"/>
  <c r="N1050" i="18"/>
  <c r="N1049" i="18"/>
  <c r="N1048" i="18"/>
  <c r="N1047" i="18"/>
  <c r="N1046" i="18"/>
  <c r="N1045" i="18"/>
  <c r="N1044" i="18"/>
  <c r="N1043" i="18"/>
  <c r="N1042" i="18"/>
  <c r="N1041" i="18"/>
  <c r="N1040" i="18"/>
  <c r="N1039" i="18"/>
  <c r="N1038" i="18"/>
  <c r="N1037" i="18"/>
  <c r="N1036" i="18"/>
  <c r="N1035" i="18"/>
  <c r="N1034" i="18"/>
  <c r="N1033" i="18"/>
  <c r="N1032" i="18"/>
  <c r="N1031" i="18"/>
  <c r="N1030" i="18"/>
  <c r="N1029" i="18"/>
  <c r="N1028" i="18"/>
  <c r="N1027" i="18"/>
  <c r="N1026" i="18"/>
  <c r="N1025" i="18"/>
  <c r="N1024" i="18"/>
  <c r="N1023" i="18"/>
  <c r="N1022" i="18"/>
  <c r="N1021" i="18"/>
  <c r="N1020" i="18"/>
  <c r="N1019" i="18"/>
  <c r="N1018" i="18"/>
  <c r="N1017" i="18"/>
  <c r="N1016" i="18"/>
  <c r="N1015" i="18"/>
  <c r="N1014" i="18"/>
  <c r="N1013" i="18"/>
  <c r="N1012" i="18"/>
  <c r="N1011" i="18"/>
  <c r="N1010" i="18"/>
  <c r="N1009" i="18"/>
  <c r="N1008" i="18"/>
  <c r="N1007" i="18"/>
  <c r="N1006" i="18"/>
  <c r="N1005" i="18"/>
  <c r="N1004" i="18"/>
  <c r="N1003" i="18"/>
  <c r="N1002" i="18"/>
  <c r="N1001" i="18"/>
  <c r="N1000" i="18"/>
  <c r="N999" i="18"/>
  <c r="N998" i="18"/>
  <c r="N997" i="18"/>
  <c r="N996" i="18"/>
  <c r="N995" i="18"/>
  <c r="N994" i="18"/>
  <c r="N993" i="18"/>
  <c r="N992" i="18"/>
  <c r="N991" i="18"/>
  <c r="N990" i="18"/>
  <c r="N989" i="18"/>
  <c r="N988" i="18"/>
  <c r="N987" i="18"/>
  <c r="N986" i="18"/>
  <c r="N985" i="18"/>
  <c r="N984" i="18"/>
  <c r="N983" i="18"/>
  <c r="N982" i="18"/>
  <c r="N981" i="18"/>
  <c r="N980" i="18"/>
  <c r="N979" i="18"/>
  <c r="N978" i="18"/>
  <c r="N977" i="18"/>
  <c r="N976" i="18"/>
  <c r="N975" i="18"/>
  <c r="N974" i="18"/>
  <c r="N973" i="18"/>
  <c r="N972" i="18"/>
  <c r="N971" i="18"/>
  <c r="N970" i="18"/>
  <c r="N969" i="18"/>
  <c r="N968" i="18"/>
  <c r="N967" i="18"/>
  <c r="N966" i="18"/>
  <c r="N965" i="18"/>
  <c r="N964" i="18"/>
  <c r="N963" i="18"/>
  <c r="N962" i="18"/>
  <c r="N961" i="18"/>
  <c r="N960" i="18"/>
  <c r="N959" i="18"/>
  <c r="N958" i="18"/>
  <c r="N957" i="18"/>
  <c r="N956" i="18"/>
  <c r="N955" i="18"/>
  <c r="N954" i="18"/>
  <c r="N953" i="18"/>
  <c r="N952" i="18"/>
  <c r="N951" i="18"/>
  <c r="N950" i="18"/>
  <c r="N949" i="18"/>
  <c r="N948" i="18"/>
  <c r="N947" i="18"/>
  <c r="N946" i="18"/>
  <c r="N945" i="18"/>
  <c r="N944" i="18"/>
  <c r="N943" i="18"/>
  <c r="N942" i="18"/>
  <c r="N941" i="18"/>
  <c r="N940" i="18"/>
  <c r="N939" i="18"/>
  <c r="N938" i="18"/>
  <c r="N937" i="18"/>
  <c r="N936" i="18"/>
  <c r="N935" i="18"/>
  <c r="N934" i="18"/>
  <c r="N933" i="18"/>
  <c r="N932" i="18"/>
  <c r="N931" i="18"/>
  <c r="N930" i="18"/>
  <c r="N929" i="18"/>
  <c r="N928" i="18"/>
  <c r="N927" i="18"/>
  <c r="N926" i="18"/>
  <c r="N925" i="18"/>
  <c r="N924" i="18"/>
  <c r="N923" i="18"/>
  <c r="N922" i="18"/>
  <c r="N921" i="18"/>
  <c r="N920" i="18"/>
  <c r="N919" i="18"/>
  <c r="N918" i="18"/>
  <c r="N917" i="18"/>
  <c r="N916" i="18"/>
  <c r="N915" i="18"/>
  <c r="N914" i="18"/>
  <c r="N913" i="18"/>
  <c r="N912" i="18"/>
  <c r="N911" i="18"/>
  <c r="N910" i="18"/>
  <c r="N909" i="18"/>
  <c r="N908" i="18"/>
  <c r="N907" i="18"/>
  <c r="N906" i="18"/>
  <c r="N905" i="18"/>
  <c r="N904" i="18"/>
  <c r="N903" i="18"/>
  <c r="N902" i="18"/>
  <c r="N901" i="18"/>
  <c r="N900" i="18"/>
  <c r="N899" i="18"/>
  <c r="N898" i="18"/>
  <c r="N897" i="18"/>
  <c r="N896" i="18"/>
  <c r="N895" i="18"/>
  <c r="N894" i="18"/>
  <c r="N893" i="18"/>
  <c r="N892" i="18"/>
  <c r="N891" i="18"/>
  <c r="N890" i="18"/>
  <c r="N889" i="18"/>
  <c r="N888" i="18"/>
  <c r="N887" i="18"/>
  <c r="N886" i="18"/>
  <c r="N885" i="18"/>
  <c r="N884" i="18"/>
  <c r="N883" i="18"/>
  <c r="N882" i="18"/>
  <c r="N880" i="18"/>
  <c r="N879" i="18"/>
  <c r="N878" i="18"/>
  <c r="N877" i="18"/>
  <c r="N876" i="18"/>
  <c r="N875" i="18"/>
  <c r="N873" i="18"/>
  <c r="N872" i="18"/>
  <c r="N870" i="18"/>
  <c r="N869" i="18"/>
  <c r="N868" i="18"/>
  <c r="N866" i="18"/>
  <c r="N864" i="18"/>
  <c r="N863" i="18"/>
  <c r="N862" i="18"/>
  <c r="N861" i="18"/>
  <c r="N860" i="18"/>
  <c r="N859" i="18"/>
  <c r="N858" i="18"/>
  <c r="N857" i="18"/>
  <c r="N856" i="18"/>
  <c r="N855" i="18"/>
  <c r="N854" i="18"/>
  <c r="N853" i="18"/>
  <c r="N852" i="18"/>
  <c r="N851" i="18"/>
  <c r="N850" i="18"/>
  <c r="N849" i="18"/>
  <c r="N848" i="18"/>
  <c r="N847" i="18"/>
  <c r="N846" i="18"/>
  <c r="N845" i="18"/>
  <c r="N844" i="18"/>
  <c r="N843" i="18"/>
  <c r="N842" i="18"/>
  <c r="N841" i="18"/>
  <c r="N840" i="18"/>
  <c r="N839" i="18"/>
  <c r="N838" i="18"/>
  <c r="N837" i="18"/>
  <c r="N836" i="18"/>
  <c r="N835" i="18"/>
  <c r="N834" i="18"/>
  <c r="N833" i="18"/>
  <c r="N832" i="18"/>
  <c r="N831" i="18"/>
  <c r="N830" i="18"/>
  <c r="N829" i="18"/>
  <c r="N828" i="18"/>
  <c r="N827" i="18"/>
  <c r="N826" i="18"/>
  <c r="N825" i="18"/>
  <c r="N824" i="18"/>
  <c r="N823" i="18"/>
  <c r="N821" i="18"/>
  <c r="N820" i="18"/>
  <c r="N818" i="18"/>
  <c r="N817" i="18"/>
  <c r="N816" i="18"/>
  <c r="N815" i="18"/>
  <c r="N814" i="18"/>
  <c r="N813" i="18"/>
  <c r="N812" i="18"/>
  <c r="N810" i="18"/>
  <c r="N809" i="18"/>
  <c r="N808" i="18"/>
  <c r="N807" i="18"/>
  <c r="N806" i="18"/>
  <c r="N805" i="18"/>
  <c r="N804" i="18"/>
  <c r="N803" i="18"/>
  <c r="N802" i="18"/>
  <c r="N801" i="18"/>
  <c r="N800" i="18"/>
  <c r="N799" i="18"/>
  <c r="N798" i="18"/>
  <c r="N797" i="18"/>
  <c r="N796" i="18"/>
  <c r="N795" i="18"/>
  <c r="N794" i="18"/>
  <c r="N793" i="18"/>
  <c r="N792" i="18"/>
  <c r="N791" i="18"/>
  <c r="N790" i="18"/>
  <c r="N789" i="18"/>
  <c r="N775" i="18"/>
  <c r="N774" i="18"/>
  <c r="N773" i="18"/>
  <c r="N772" i="18"/>
  <c r="N771" i="18"/>
  <c r="N769" i="18"/>
  <c r="N768" i="18"/>
  <c r="N767" i="18"/>
  <c r="N766" i="18"/>
  <c r="N765" i="18"/>
  <c r="N763" i="18"/>
  <c r="N762" i="18"/>
  <c r="N761" i="18"/>
  <c r="N760" i="18"/>
  <c r="N759" i="18"/>
  <c r="N757" i="18"/>
  <c r="N756" i="18"/>
  <c r="N755" i="18"/>
  <c r="N754" i="18"/>
  <c r="N753" i="18"/>
  <c r="N751" i="18"/>
  <c r="N750" i="18"/>
  <c r="N749" i="18"/>
  <c r="N748" i="18"/>
  <c r="N747" i="18"/>
  <c r="N745" i="18"/>
  <c r="N744" i="18"/>
  <c r="N743" i="18"/>
  <c r="N742" i="18"/>
  <c r="N741" i="18"/>
  <c r="N739" i="18"/>
  <c r="N738" i="18"/>
  <c r="N737" i="18"/>
  <c r="N736" i="18"/>
  <c r="N735" i="18"/>
  <c r="N733" i="18"/>
  <c r="N732" i="18"/>
  <c r="N731" i="18"/>
  <c r="N730" i="18"/>
  <c r="N729" i="18"/>
  <c r="N727" i="18"/>
  <c r="N726" i="18"/>
  <c r="N725" i="18"/>
  <c r="N724" i="18"/>
  <c r="N723" i="18"/>
  <c r="N721" i="18"/>
  <c r="N720" i="18"/>
  <c r="N719" i="18"/>
  <c r="N718" i="18"/>
  <c r="N717" i="18"/>
  <c r="N715" i="18"/>
  <c r="N714" i="18"/>
  <c r="N713" i="18"/>
  <c r="N712" i="18"/>
  <c r="N711" i="18"/>
  <c r="N709" i="18"/>
  <c r="N708" i="18"/>
  <c r="N707" i="18"/>
  <c r="N706" i="18"/>
  <c r="N705" i="18"/>
  <c r="N703" i="18"/>
  <c r="N702" i="18"/>
  <c r="N700" i="18"/>
  <c r="N698" i="18"/>
  <c r="N696" i="18"/>
  <c r="N694" i="18"/>
  <c r="N693" i="18"/>
  <c r="N692" i="18"/>
  <c r="N691" i="18"/>
  <c r="N690" i="18"/>
  <c r="N689" i="18"/>
  <c r="N688" i="18"/>
  <c r="N687" i="18"/>
  <c r="N686" i="18"/>
  <c r="N685" i="18"/>
  <c r="N684" i="18"/>
  <c r="N683" i="18"/>
  <c r="N682" i="18"/>
  <c r="N681" i="18"/>
  <c r="N680" i="18"/>
  <c r="N679" i="18"/>
  <c r="N678" i="18"/>
  <c r="N677" i="18"/>
  <c r="N676" i="18"/>
  <c r="N675" i="18"/>
  <c r="N674" i="18"/>
  <c r="N673" i="18"/>
  <c r="N672" i="18"/>
  <c r="N671" i="18"/>
  <c r="N670" i="18"/>
  <c r="N669" i="18"/>
  <c r="N668" i="18"/>
  <c r="N667" i="18"/>
  <c r="N665" i="18"/>
  <c r="N664" i="18"/>
  <c r="N663" i="18"/>
  <c r="N662" i="18"/>
  <c r="N661" i="18"/>
  <c r="N660" i="18"/>
  <c r="N659" i="18"/>
  <c r="N658" i="18"/>
  <c r="N657" i="18"/>
  <c r="N656" i="18"/>
  <c r="N655" i="18"/>
  <c r="N654" i="18"/>
  <c r="N650" i="18"/>
  <c r="N649" i="18"/>
  <c r="N648" i="18"/>
  <c r="N647" i="18"/>
  <c r="N646" i="18"/>
  <c r="N645" i="18"/>
  <c r="N644" i="18"/>
  <c r="N643" i="18"/>
  <c r="N642" i="18"/>
  <c r="N641" i="18"/>
  <c r="N640" i="18"/>
  <c r="N639" i="18"/>
  <c r="N638" i="18"/>
  <c r="N637" i="18"/>
  <c r="N636" i="18"/>
  <c r="N635" i="18"/>
  <c r="N634" i="18"/>
  <c r="N633" i="18"/>
  <c r="N632" i="18"/>
  <c r="N631" i="18"/>
  <c r="N630" i="18"/>
  <c r="N629" i="18"/>
  <c r="N628" i="18"/>
  <c r="N627" i="18"/>
  <c r="N626" i="18"/>
  <c r="N625" i="18"/>
  <c r="N624" i="18"/>
  <c r="N623" i="18"/>
  <c r="N622" i="18"/>
  <c r="N621" i="18"/>
  <c r="N620" i="18"/>
  <c r="N619" i="18"/>
  <c r="N618" i="18"/>
  <c r="N617" i="18"/>
  <c r="N616" i="18"/>
  <c r="N615" i="18"/>
  <c r="N614" i="18"/>
  <c r="N613" i="18"/>
  <c r="N612" i="18"/>
  <c r="N611" i="18"/>
  <c r="N610" i="18"/>
  <c r="N609" i="18"/>
  <c r="N607" i="18"/>
  <c r="N606" i="18"/>
  <c r="N605" i="18"/>
  <c r="N604" i="18"/>
  <c r="N603" i="18"/>
  <c r="N602" i="18"/>
  <c r="N601" i="18"/>
  <c r="N600" i="18"/>
  <c r="N599" i="18"/>
  <c r="N597" i="18"/>
  <c r="N596" i="18"/>
  <c r="N595" i="18"/>
  <c r="N594" i="18"/>
  <c r="N593" i="18"/>
  <c r="N592" i="18"/>
  <c r="N591" i="18"/>
  <c r="N590" i="18"/>
  <c r="N589" i="18"/>
  <c r="N588" i="18"/>
  <c r="N587" i="18"/>
  <c r="N586" i="18"/>
  <c r="N585" i="18"/>
  <c r="N584" i="18"/>
  <c r="N583" i="18"/>
  <c r="N582" i="18"/>
  <c r="N581" i="18"/>
  <c r="N580" i="18"/>
  <c r="N579" i="18"/>
  <c r="N578" i="18"/>
  <c r="N577" i="18"/>
  <c r="N576" i="18"/>
  <c r="N575" i="18"/>
  <c r="N574" i="18"/>
  <c r="N573" i="18"/>
  <c r="N572" i="18"/>
  <c r="N571" i="18"/>
  <c r="N570" i="18"/>
  <c r="N569" i="18"/>
  <c r="N568" i="18"/>
  <c r="N567" i="18"/>
  <c r="N566" i="18"/>
  <c r="N565" i="18"/>
  <c r="N564" i="18"/>
  <c r="N563" i="18"/>
  <c r="N562" i="18"/>
  <c r="N560" i="18"/>
  <c r="N559" i="18"/>
  <c r="N558" i="18"/>
  <c r="N557" i="18"/>
  <c r="N556" i="18"/>
  <c r="N555" i="18"/>
  <c r="N554" i="18"/>
  <c r="N553" i="18"/>
  <c r="N552" i="18"/>
  <c r="N551" i="18"/>
  <c r="N550" i="18"/>
  <c r="N549" i="18"/>
  <c r="N548" i="18"/>
  <c r="N547" i="18"/>
  <c r="N546" i="18"/>
  <c r="N545" i="18"/>
  <c r="N544" i="18"/>
  <c r="N543" i="18"/>
  <c r="N542" i="18"/>
  <c r="N541" i="18"/>
  <c r="N540" i="18"/>
  <c r="N539" i="18"/>
  <c r="N538" i="18"/>
  <c r="N537" i="18"/>
  <c r="N536" i="18"/>
  <c r="N535" i="18"/>
  <c r="N534" i="18"/>
  <c r="N533" i="18"/>
  <c r="N532" i="18"/>
  <c r="N531" i="18"/>
  <c r="N530" i="18"/>
  <c r="N529" i="18"/>
  <c r="N528" i="18"/>
  <c r="N527" i="18"/>
  <c r="N526" i="18"/>
  <c r="N525" i="18"/>
  <c r="N524" i="18"/>
  <c r="N523" i="18"/>
  <c r="N522" i="18"/>
  <c r="N521" i="18"/>
  <c r="N520" i="18"/>
  <c r="N519" i="18"/>
  <c r="N518" i="18"/>
  <c r="N517" i="18"/>
  <c r="N516" i="18"/>
  <c r="N515" i="18"/>
  <c r="N514" i="18"/>
  <c r="N513" i="18"/>
  <c r="N512" i="18"/>
  <c r="N511" i="18"/>
  <c r="N510" i="18"/>
  <c r="N509" i="18"/>
  <c r="N508" i="18"/>
  <c r="N507" i="18"/>
  <c r="N506" i="18"/>
  <c r="N505" i="18"/>
  <c r="N504" i="18"/>
  <c r="N502" i="18"/>
  <c r="N501" i="18"/>
  <c r="N500" i="18"/>
  <c r="N499" i="18"/>
  <c r="N498" i="18"/>
  <c r="N496" i="18"/>
  <c r="N495" i="18"/>
  <c r="N494" i="18"/>
  <c r="N493" i="18"/>
  <c r="N492" i="18"/>
  <c r="N484" i="18"/>
  <c r="N483" i="18"/>
  <c r="N482" i="18"/>
  <c r="N481" i="18"/>
  <c r="N480" i="18"/>
  <c r="N478" i="18"/>
  <c r="N477" i="18"/>
  <c r="N476" i="18"/>
  <c r="N475" i="18"/>
  <c r="N474" i="18"/>
  <c r="N472" i="18"/>
  <c r="N471" i="18"/>
  <c r="N470" i="18"/>
  <c r="N469" i="18"/>
  <c r="N468" i="18"/>
  <c r="N436" i="18"/>
  <c r="N435" i="18"/>
  <c r="N434" i="18"/>
  <c r="N433" i="18"/>
  <c r="N430" i="18"/>
  <c r="N429" i="18"/>
  <c r="N428" i="18"/>
  <c r="N427" i="18"/>
  <c r="N426" i="18"/>
  <c r="N424" i="18"/>
  <c r="N423" i="18"/>
  <c r="N422" i="18"/>
  <c r="N421" i="18"/>
  <c r="N420" i="18"/>
  <c r="N406" i="18"/>
  <c r="N405" i="18"/>
  <c r="N404" i="18"/>
  <c r="N403" i="18"/>
  <c r="N400" i="18"/>
  <c r="N399" i="18"/>
  <c r="N398" i="18"/>
  <c r="N397" i="18"/>
  <c r="N396" i="18"/>
  <c r="N382" i="18"/>
  <c r="N381" i="18"/>
  <c r="N380" i="18"/>
  <c r="N379" i="18"/>
  <c r="N376" i="18"/>
  <c r="N375" i="18"/>
  <c r="N374" i="18"/>
  <c r="N373" i="18"/>
  <c r="N372" i="18"/>
  <c r="N370" i="18"/>
  <c r="N369" i="18"/>
  <c r="N368" i="18"/>
  <c r="N367" i="18"/>
  <c r="N366" i="18"/>
  <c r="N364" i="18"/>
  <c r="N363" i="18"/>
  <c r="N362" i="18"/>
  <c r="N361" i="18"/>
  <c r="N360" i="18"/>
  <c r="N358" i="18"/>
  <c r="N357" i="18"/>
  <c r="N356" i="18"/>
  <c r="N355" i="18"/>
  <c r="N354" i="18"/>
  <c r="N352" i="18"/>
  <c r="N351" i="18"/>
  <c r="N350" i="18"/>
  <c r="N349" i="18"/>
  <c r="N348" i="18"/>
  <c r="N346" i="18"/>
  <c r="N345" i="18"/>
  <c r="N344" i="18"/>
  <c r="N343" i="18"/>
  <c r="N342" i="18"/>
  <c r="N340" i="18"/>
  <c r="N339" i="18"/>
  <c r="N338" i="18"/>
  <c r="N337" i="18"/>
  <c r="N336" i="18"/>
  <c r="N334" i="18"/>
  <c r="N333" i="18"/>
  <c r="N332" i="18"/>
  <c r="N331" i="18"/>
  <c r="N330" i="18"/>
  <c r="N328" i="18"/>
  <c r="N327" i="18"/>
  <c r="N326" i="18"/>
  <c r="N325" i="18"/>
  <c r="N324" i="18"/>
  <c r="N322" i="18"/>
  <c r="N321" i="18"/>
  <c r="N320" i="18"/>
  <c r="N319" i="18"/>
  <c r="N318" i="18"/>
  <c r="N316" i="18"/>
  <c r="N315" i="18"/>
  <c r="N314" i="18"/>
  <c r="N313" i="18"/>
  <c r="N312" i="18"/>
  <c r="N310" i="18"/>
  <c r="N309" i="18"/>
  <c r="N308" i="18"/>
  <c r="N307" i="18"/>
  <c r="N306" i="18"/>
  <c r="N304" i="18"/>
  <c r="N303" i="18"/>
  <c r="N301" i="18"/>
  <c r="N300" i="18"/>
  <c r="N298" i="18"/>
  <c r="N297" i="18"/>
  <c r="N295" i="18"/>
  <c r="N294" i="18"/>
  <c r="N292" i="18"/>
  <c r="N291" i="18"/>
  <c r="N289" i="18"/>
  <c r="N288" i="18"/>
  <c r="N286" i="18"/>
  <c r="N285" i="18"/>
  <c r="N283" i="18"/>
  <c r="N282" i="18"/>
  <c r="N280" i="18"/>
  <c r="N279" i="18"/>
  <c r="N277" i="18"/>
  <c r="N276" i="18"/>
  <c r="N274" i="18"/>
  <c r="N273" i="18"/>
  <c r="N272" i="18"/>
  <c r="N271" i="18"/>
  <c r="N269" i="18"/>
  <c r="N268" i="18"/>
  <c r="N267" i="18"/>
  <c r="N266" i="18"/>
  <c r="N264" i="18"/>
  <c r="N263" i="18"/>
  <c r="N262" i="18"/>
  <c r="N261" i="18"/>
  <c r="N259" i="18"/>
  <c r="N258" i="18"/>
  <c r="N257" i="18"/>
  <c r="N256" i="18"/>
  <c r="N255" i="18"/>
  <c r="N254" i="18"/>
  <c r="N253" i="18"/>
  <c r="N252" i="18"/>
  <c r="N251" i="18"/>
  <c r="N250" i="18"/>
  <c r="N249" i="18"/>
  <c r="N248" i="18"/>
  <c r="N247" i="18"/>
  <c r="N246" i="18"/>
  <c r="N245" i="18"/>
  <c r="N244" i="18"/>
  <c r="N243" i="18"/>
  <c r="N242" i="18"/>
  <c r="N241" i="18"/>
  <c r="N240" i="18"/>
  <c r="N239" i="18"/>
  <c r="N238" i="18"/>
  <c r="N234" i="18"/>
  <c r="N228" i="18"/>
  <c r="N227" i="18"/>
  <c r="N226" i="18"/>
  <c r="N225" i="18"/>
  <c r="N224" i="18"/>
  <c r="N223" i="18"/>
  <c r="N222" i="18"/>
  <c r="N221" i="18"/>
  <c r="N220" i="18"/>
  <c r="N219" i="18"/>
  <c r="N218" i="18"/>
  <c r="N217" i="18"/>
  <c r="N216" i="18"/>
  <c r="N215" i="18"/>
  <c r="N214" i="18"/>
  <c r="N213" i="18"/>
  <c r="N212" i="18"/>
  <c r="N211" i="18"/>
  <c r="N210" i="18"/>
  <c r="N209" i="18"/>
  <c r="N208" i="18"/>
  <c r="N207" i="18"/>
  <c r="N206" i="18"/>
  <c r="N205" i="18"/>
  <c r="N204" i="18"/>
  <c r="N203" i="18"/>
  <c r="N202" i="18"/>
  <c r="N201" i="18"/>
  <c r="N199" i="18"/>
  <c r="N198" i="18"/>
  <c r="N196" i="18"/>
  <c r="N195" i="18"/>
  <c r="N194" i="18"/>
  <c r="N193" i="18"/>
  <c r="N192" i="18"/>
  <c r="N191" i="18"/>
  <c r="N190" i="18"/>
  <c r="N188" i="18"/>
  <c r="N187" i="18"/>
  <c r="N186" i="18"/>
  <c r="N185" i="18"/>
  <c r="N184" i="18"/>
  <c r="N183" i="18"/>
  <c r="N182" i="18"/>
  <c r="N181" i="18"/>
  <c r="N180" i="18"/>
  <c r="N179" i="18"/>
  <c r="N178" i="18"/>
  <c r="N177" i="18"/>
  <c r="N176" i="18"/>
  <c r="N175" i="18"/>
  <c r="N174" i="18"/>
  <c r="N173" i="18"/>
  <c r="N172" i="18"/>
  <c r="N171" i="18"/>
  <c r="N170" i="18"/>
  <c r="N169" i="18"/>
  <c r="N168" i="18"/>
  <c r="N167" i="18"/>
  <c r="N166" i="18"/>
  <c r="N165" i="18"/>
  <c r="N164" i="18"/>
  <c r="N163" i="18"/>
  <c r="N162" i="18"/>
  <c r="N161" i="18"/>
  <c r="N160" i="18"/>
  <c r="N159" i="18"/>
  <c r="N158" i="18"/>
  <c r="N157" i="18"/>
  <c r="N156" i="18"/>
  <c r="N155" i="18"/>
  <c r="N154" i="18"/>
  <c r="N153" i="18"/>
  <c r="N152" i="18"/>
  <c r="N151" i="18"/>
  <c r="N150" i="18"/>
  <c r="N149" i="18"/>
  <c r="N148" i="18"/>
  <c r="N147" i="18"/>
  <c r="N146" i="18"/>
  <c r="N145" i="18"/>
  <c r="N144" i="18"/>
  <c r="N143" i="18"/>
  <c r="N142" i="18"/>
  <c r="N141" i="18"/>
  <c r="N140" i="18"/>
  <c r="N139" i="18"/>
  <c r="N138" i="18"/>
  <c r="N137" i="18"/>
  <c r="N136" i="18"/>
  <c r="N134" i="18"/>
  <c r="N133" i="18"/>
  <c r="N132" i="18"/>
  <c r="N131" i="18"/>
  <c r="N130" i="18"/>
  <c r="N129" i="18"/>
  <c r="N128" i="18"/>
  <c r="N127" i="18"/>
  <c r="N126" i="18"/>
  <c r="N125" i="18"/>
  <c r="N124" i="18"/>
  <c r="N123" i="18"/>
  <c r="N122" i="18"/>
  <c r="N121" i="18"/>
  <c r="N120" i="18"/>
  <c r="N119" i="18"/>
  <c r="N118" i="18"/>
  <c r="N117" i="18"/>
  <c r="V117" i="1" s="1"/>
  <c r="W117" i="1" s="1"/>
  <c r="N116" i="18"/>
  <c r="N115" i="18"/>
  <c r="N114" i="18"/>
  <c r="N113" i="18"/>
  <c r="N112" i="18"/>
  <c r="N111" i="18"/>
  <c r="N110" i="18"/>
  <c r="N109" i="18"/>
  <c r="N108" i="18"/>
  <c r="N107" i="18"/>
  <c r="N106" i="18"/>
  <c r="N105" i="18"/>
  <c r="N104" i="18"/>
  <c r="N103" i="18"/>
  <c r="N102" i="18"/>
  <c r="N101" i="18"/>
  <c r="N100" i="18"/>
  <c r="N99" i="18"/>
  <c r="N98" i="18"/>
  <c r="N97" i="18"/>
  <c r="N96" i="18"/>
  <c r="N95" i="18"/>
  <c r="N94" i="18"/>
  <c r="N93" i="18"/>
  <c r="N91" i="18"/>
  <c r="N89" i="18"/>
  <c r="N88" i="18"/>
  <c r="N87" i="18"/>
  <c r="N86" i="18"/>
  <c r="N84" i="18"/>
  <c r="N83" i="18"/>
  <c r="N82" i="18"/>
  <c r="N81" i="18"/>
  <c r="N80" i="18"/>
  <c r="N79" i="18"/>
  <c r="N78" i="18"/>
  <c r="N77" i="18"/>
  <c r="N75" i="18"/>
  <c r="N74" i="18"/>
  <c r="N73" i="18"/>
  <c r="N71" i="18"/>
  <c r="N70" i="18"/>
  <c r="N69" i="18"/>
  <c r="N68" i="18"/>
  <c r="N67" i="18"/>
  <c r="N66" i="18"/>
  <c r="N65" i="18"/>
  <c r="N64" i="18"/>
  <c r="N63" i="18"/>
  <c r="N62" i="18"/>
  <c r="N61" i="18"/>
  <c r="N60" i="18"/>
  <c r="N59" i="18"/>
  <c r="N58" i="18"/>
  <c r="N57" i="18"/>
  <c r="N56" i="18"/>
  <c r="N55" i="18"/>
  <c r="N54" i="18"/>
  <c r="N53" i="18"/>
  <c r="N52" i="18"/>
  <c r="N51" i="18"/>
  <c r="N50" i="18"/>
  <c r="N49" i="18"/>
  <c r="N48" i="18"/>
  <c r="N47" i="18"/>
  <c r="N46" i="18"/>
  <c r="N45" i="18"/>
  <c r="N44" i="18"/>
  <c r="N43" i="18"/>
  <c r="N42" i="18"/>
  <c r="N41" i="18"/>
  <c r="N40" i="18"/>
  <c r="N39" i="18"/>
  <c r="N38" i="18"/>
  <c r="N37" i="18"/>
  <c r="N36" i="18"/>
  <c r="N35" i="18"/>
  <c r="N33" i="18"/>
  <c r="N32" i="18"/>
  <c r="N31" i="18"/>
  <c r="N30" i="18"/>
  <c r="N29" i="18"/>
  <c r="N28" i="18"/>
  <c r="N27" i="18"/>
  <c r="N26" i="18"/>
  <c r="N21" i="18"/>
  <c r="N20" i="18"/>
  <c r="N24" i="18"/>
  <c r="M69" i="18"/>
  <c r="M91" i="18"/>
  <c r="M2546" i="18"/>
  <c r="M2545" i="18"/>
  <c r="M2544" i="18"/>
  <c r="M2543" i="18"/>
  <c r="M2542" i="18"/>
  <c r="M2541" i="18"/>
  <c r="M2540" i="18"/>
  <c r="M2539" i="18"/>
  <c r="M2538" i="18"/>
  <c r="M2537" i="18"/>
  <c r="M2536" i="18"/>
  <c r="M2535" i="18"/>
  <c r="M2534" i="18"/>
  <c r="M2533" i="18"/>
  <c r="M2532" i="18"/>
  <c r="M2531" i="18"/>
  <c r="M2530" i="18"/>
  <c r="M2529" i="18"/>
  <c r="M2528" i="18"/>
  <c r="M2527" i="18"/>
  <c r="M2526" i="18"/>
  <c r="M2525" i="18"/>
  <c r="M2524" i="18"/>
  <c r="M2523" i="18"/>
  <c r="M2522" i="18"/>
  <c r="M2521" i="18"/>
  <c r="M2520" i="18"/>
  <c r="M2519" i="18"/>
  <c r="M2518" i="18"/>
  <c r="M2517" i="18"/>
  <c r="M2516" i="18"/>
  <c r="M2515" i="18"/>
  <c r="M2508" i="18"/>
  <c r="M2502" i="18"/>
  <c r="M2500" i="18"/>
  <c r="M1719" i="18"/>
  <c r="M1718" i="18"/>
  <c r="M1717" i="18"/>
  <c r="M1716" i="18"/>
  <c r="M1715" i="18"/>
  <c r="M1714" i="18"/>
  <c r="M1713" i="18"/>
  <c r="M1712" i="18"/>
  <c r="M1711" i="18"/>
  <c r="M1710" i="18"/>
  <c r="M1709" i="18"/>
  <c r="M1708" i="18"/>
  <c r="M1707" i="18"/>
  <c r="M1706" i="18"/>
  <c r="M1705" i="18"/>
  <c r="M1704" i="18"/>
  <c r="M1703" i="18"/>
  <c r="M1702" i="18"/>
  <c r="M1701" i="18"/>
  <c r="M1700" i="18"/>
  <c r="M1699" i="18"/>
  <c r="M1698" i="18"/>
  <c r="M1697" i="18"/>
  <c r="M1696" i="18"/>
  <c r="M1695" i="18"/>
  <c r="M1694" i="18"/>
  <c r="M1693" i="18"/>
  <c r="M1692" i="18"/>
  <c r="M1691" i="18"/>
  <c r="M1690" i="18"/>
  <c r="M1689" i="18"/>
  <c r="M1688" i="18"/>
  <c r="M1624" i="18"/>
  <c r="M1623" i="18"/>
  <c r="M1622" i="18"/>
  <c r="M1621" i="18"/>
  <c r="M1620" i="18"/>
  <c r="M1619" i="18"/>
  <c r="M1618" i="18"/>
  <c r="M1617" i="18"/>
  <c r="M1616" i="18"/>
  <c r="M1615" i="18"/>
  <c r="M1614" i="18"/>
  <c r="M1613" i="18"/>
  <c r="M1612" i="18"/>
  <c r="M1611" i="18"/>
  <c r="M1610" i="18"/>
  <c r="M1609" i="18"/>
  <c r="M1608" i="18"/>
  <c r="M1607" i="18"/>
  <c r="M1606" i="18"/>
  <c r="M1605" i="18"/>
  <c r="M1604" i="18"/>
  <c r="M1603" i="18"/>
  <c r="M1602" i="18"/>
  <c r="M1601" i="18"/>
  <c r="M1600" i="18"/>
  <c r="M1599" i="18"/>
  <c r="M1598" i="18"/>
  <c r="M1597" i="18"/>
  <c r="M1596" i="18"/>
  <c r="M1595" i="18"/>
  <c r="M1594" i="18"/>
  <c r="M1593" i="18"/>
  <c r="M1592" i="18"/>
  <c r="M912" i="18"/>
  <c r="M911" i="18"/>
  <c r="M910" i="18"/>
  <c r="M909" i="18"/>
  <c r="M908" i="18"/>
  <c r="M907" i="18"/>
  <c r="M906" i="18"/>
  <c r="M905" i="18"/>
  <c r="M904" i="18"/>
  <c r="M903" i="18"/>
  <c r="M902" i="18"/>
  <c r="M901" i="18"/>
  <c r="M900" i="18"/>
  <c r="M899" i="18"/>
  <c r="M898" i="18"/>
  <c r="M897" i="18"/>
  <c r="M896" i="18"/>
  <c r="M895" i="18"/>
  <c r="M894" i="18"/>
  <c r="M893" i="18"/>
  <c r="M892" i="18"/>
  <c r="M891" i="18"/>
  <c r="M890" i="18"/>
  <c r="M889" i="18"/>
  <c r="M888" i="18"/>
  <c r="M887" i="18"/>
  <c r="M886" i="18"/>
  <c r="M885" i="18"/>
  <c r="M884" i="18"/>
  <c r="M883" i="18"/>
  <c r="M882" i="18"/>
  <c r="M880" i="18"/>
  <c r="M852" i="18"/>
  <c r="M851" i="18"/>
  <c r="M850" i="18"/>
  <c r="M849" i="18"/>
  <c r="M848" i="18"/>
  <c r="M847" i="18"/>
  <c r="M846" i="18"/>
  <c r="M845" i="18"/>
  <c r="M844" i="18"/>
  <c r="M843" i="18"/>
  <c r="M842" i="18"/>
  <c r="M841" i="18"/>
  <c r="M840" i="18"/>
  <c r="M839" i="18"/>
  <c r="M838" i="18"/>
  <c r="M837" i="18"/>
  <c r="M836" i="18"/>
  <c r="M835" i="18"/>
  <c r="M834" i="18"/>
  <c r="M833" i="18"/>
  <c r="M832" i="18"/>
  <c r="M831" i="18"/>
  <c r="M830" i="18"/>
  <c r="M829" i="18"/>
  <c r="M828" i="18"/>
  <c r="M827" i="18"/>
  <c r="M826" i="18"/>
  <c r="M825" i="18"/>
  <c r="M824" i="18"/>
  <c r="M823" i="18"/>
  <c r="M821" i="18"/>
  <c r="M820" i="18"/>
  <c r="M818" i="18"/>
  <c r="M817" i="18"/>
  <c r="M816" i="18"/>
  <c r="M815" i="18"/>
  <c r="M814" i="18"/>
  <c r="M813" i="18"/>
  <c r="M812" i="18"/>
  <c r="M810" i="18"/>
  <c r="M809" i="18"/>
  <c r="M808" i="18"/>
  <c r="M807" i="18"/>
  <c r="M806" i="18"/>
  <c r="M805" i="18"/>
  <c r="M804" i="18"/>
  <c r="M803" i="18"/>
  <c r="M802" i="18"/>
  <c r="M801" i="18"/>
  <c r="M800" i="18"/>
  <c r="M799" i="18"/>
  <c r="M798" i="18"/>
  <c r="M797" i="18"/>
  <c r="M796" i="18"/>
  <c r="M795" i="18"/>
  <c r="M794" i="18"/>
  <c r="M793" i="18"/>
  <c r="M792" i="18"/>
  <c r="M791" i="18"/>
  <c r="M790" i="18"/>
  <c r="M789" i="18"/>
  <c r="M775" i="18"/>
  <c r="M774" i="18"/>
  <c r="M773" i="18"/>
  <c r="M772" i="18"/>
  <c r="M771" i="18"/>
  <c r="M769" i="18"/>
  <c r="M768" i="18"/>
  <c r="M767" i="18"/>
  <c r="M766" i="18"/>
  <c r="M765" i="18"/>
  <c r="M763" i="18"/>
  <c r="M762" i="18"/>
  <c r="M761" i="18"/>
  <c r="M760" i="18"/>
  <c r="M759" i="18"/>
  <c r="M757" i="18"/>
  <c r="M756" i="18"/>
  <c r="M755" i="18"/>
  <c r="M754" i="18"/>
  <c r="M753" i="18"/>
  <c r="M751" i="18"/>
  <c r="M750" i="18"/>
  <c r="M749" i="18"/>
  <c r="M748" i="18"/>
  <c r="M747" i="18"/>
  <c r="M745" i="18"/>
  <c r="M744" i="18"/>
  <c r="M743" i="18"/>
  <c r="M742" i="18"/>
  <c r="M741" i="18"/>
  <c r="M739" i="18"/>
  <c r="M738" i="18"/>
  <c r="M737" i="18"/>
  <c r="M736" i="18"/>
  <c r="M735" i="18"/>
  <c r="M733" i="18"/>
  <c r="M732" i="18"/>
  <c r="M731" i="18"/>
  <c r="M730" i="18"/>
  <c r="M729" i="18"/>
  <c r="M727" i="18"/>
  <c r="M726" i="18"/>
  <c r="M725" i="18"/>
  <c r="M724" i="18"/>
  <c r="M723" i="18"/>
  <c r="M721" i="18"/>
  <c r="M720" i="18"/>
  <c r="M719" i="18"/>
  <c r="M718" i="18"/>
  <c r="M717" i="18"/>
  <c r="M715" i="18"/>
  <c r="M714" i="18"/>
  <c r="M713" i="18"/>
  <c r="M712" i="18"/>
  <c r="M711" i="18"/>
  <c r="M709" i="18"/>
  <c r="M708" i="18"/>
  <c r="M707" i="18"/>
  <c r="M706" i="18"/>
  <c r="M705" i="18"/>
  <c r="M643" i="18"/>
  <c r="M642" i="18"/>
  <c r="M641" i="18"/>
  <c r="M640" i="18"/>
  <c r="M639" i="18"/>
  <c r="M638" i="18"/>
  <c r="M637" i="18"/>
  <c r="M636" i="18"/>
  <c r="M635" i="18"/>
  <c r="M634" i="18"/>
  <c r="M633" i="18"/>
  <c r="M632" i="18"/>
  <c r="M631" i="18"/>
  <c r="M630" i="18"/>
  <c r="M629" i="18"/>
  <c r="M628" i="18"/>
  <c r="M627" i="18"/>
  <c r="M626" i="18"/>
  <c r="M625" i="18"/>
  <c r="M624" i="18"/>
  <c r="M623" i="18"/>
  <c r="M622" i="18"/>
  <c r="M621" i="18"/>
  <c r="M620" i="18"/>
  <c r="M619" i="18"/>
  <c r="M588" i="18"/>
  <c r="M587" i="18"/>
  <c r="M586" i="18"/>
  <c r="M585" i="18"/>
  <c r="M584" i="18"/>
  <c r="M583" i="18"/>
  <c r="M582" i="18"/>
  <c r="M581" i="18"/>
  <c r="M580" i="18"/>
  <c r="M579" i="18"/>
  <c r="M578" i="18"/>
  <c r="M577" i="18"/>
  <c r="M576" i="18"/>
  <c r="M575" i="18"/>
  <c r="M574" i="18"/>
  <c r="M573" i="18"/>
  <c r="M572" i="18"/>
  <c r="M571" i="18"/>
  <c r="M570" i="18"/>
  <c r="M569" i="18"/>
  <c r="M568" i="18"/>
  <c r="M567" i="18"/>
  <c r="M566" i="18"/>
  <c r="M565" i="18"/>
  <c r="M564" i="18"/>
  <c r="M227" i="18"/>
  <c r="M226" i="18"/>
  <c r="M225" i="18"/>
  <c r="M224" i="18"/>
  <c r="M223" i="18"/>
  <c r="M222" i="18"/>
  <c r="M221" i="18"/>
  <c r="M220" i="18"/>
  <c r="M219" i="18"/>
  <c r="M218" i="18"/>
  <c r="M217" i="18"/>
  <c r="M216" i="18"/>
  <c r="M215" i="18"/>
  <c r="M214" i="18"/>
  <c r="M213" i="18"/>
  <c r="M212" i="18"/>
  <c r="M211" i="18"/>
  <c r="M210" i="18"/>
  <c r="M209" i="18"/>
  <c r="M208" i="18"/>
  <c r="M207" i="18"/>
  <c r="M206" i="18"/>
  <c r="M205" i="18"/>
  <c r="M204" i="18"/>
  <c r="M203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68" i="18"/>
  <c r="M67" i="18"/>
  <c r="M66" i="18"/>
  <c r="M65" i="18"/>
  <c r="M64" i="18"/>
  <c r="M63" i="18"/>
  <c r="M62" i="18"/>
  <c r="M61" i="18"/>
  <c r="M60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V2500" i="1" l="1"/>
  <c r="W2500" i="1" s="1"/>
  <c r="I777" i="18"/>
  <c r="I438" i="18"/>
  <c r="K2546" i="18" l="1"/>
  <c r="E2546" i="18"/>
  <c r="D2546" i="18"/>
  <c r="C2546" i="18"/>
  <c r="B2546" i="18"/>
  <c r="K2545" i="18"/>
  <c r="E2545" i="18"/>
  <c r="D2545" i="18"/>
  <c r="C2545" i="18"/>
  <c r="B2545" i="18"/>
  <c r="K2544" i="18"/>
  <c r="E2544" i="18"/>
  <c r="D2544" i="18"/>
  <c r="C2544" i="18"/>
  <c r="B2544" i="18"/>
  <c r="K2543" i="18"/>
  <c r="E2543" i="18"/>
  <c r="D2543" i="18"/>
  <c r="C2543" i="18"/>
  <c r="B2543" i="18"/>
  <c r="K2542" i="18"/>
  <c r="E2542" i="18"/>
  <c r="D2542" i="18"/>
  <c r="C2542" i="18"/>
  <c r="B2542" i="18"/>
  <c r="K2541" i="18"/>
  <c r="E2541" i="18"/>
  <c r="D2541" i="18"/>
  <c r="C2541" i="18"/>
  <c r="B2541" i="18"/>
  <c r="K2540" i="18"/>
  <c r="E2540" i="18"/>
  <c r="D2540" i="18"/>
  <c r="C2540" i="18"/>
  <c r="B2540" i="18"/>
  <c r="K2539" i="18"/>
  <c r="E2539" i="18"/>
  <c r="D2539" i="18"/>
  <c r="C2539" i="18"/>
  <c r="B2539" i="18"/>
  <c r="K2538" i="18"/>
  <c r="E2538" i="18"/>
  <c r="D2538" i="18"/>
  <c r="C2538" i="18"/>
  <c r="B2538" i="18"/>
  <c r="K2537" i="18"/>
  <c r="E2537" i="18"/>
  <c r="D2537" i="18"/>
  <c r="C2537" i="18"/>
  <c r="B2537" i="18"/>
  <c r="K2536" i="18"/>
  <c r="E2536" i="18"/>
  <c r="D2536" i="18"/>
  <c r="C2536" i="18"/>
  <c r="B2536" i="18"/>
  <c r="K2535" i="18"/>
  <c r="E2535" i="18"/>
  <c r="D2535" i="18"/>
  <c r="C2535" i="18"/>
  <c r="B2535" i="18"/>
  <c r="K2534" i="18"/>
  <c r="E2534" i="18"/>
  <c r="D2534" i="18"/>
  <c r="C2534" i="18"/>
  <c r="B2534" i="18"/>
  <c r="K2533" i="18"/>
  <c r="E2533" i="18"/>
  <c r="D2533" i="18"/>
  <c r="C2533" i="18"/>
  <c r="B2533" i="18"/>
  <c r="K2532" i="18"/>
  <c r="E2532" i="18"/>
  <c r="D2532" i="18"/>
  <c r="C2532" i="18"/>
  <c r="B2532" i="18"/>
  <c r="K2531" i="18"/>
  <c r="E2531" i="18"/>
  <c r="D2531" i="18"/>
  <c r="C2531" i="18"/>
  <c r="B2531" i="18"/>
  <c r="K2530" i="18"/>
  <c r="E2530" i="18"/>
  <c r="D2530" i="18"/>
  <c r="C2530" i="18"/>
  <c r="B2530" i="18"/>
  <c r="K2529" i="18"/>
  <c r="E2529" i="18"/>
  <c r="D2529" i="18"/>
  <c r="C2529" i="18"/>
  <c r="B2529" i="18"/>
  <c r="K2528" i="18"/>
  <c r="E2528" i="18"/>
  <c r="D2528" i="18"/>
  <c r="C2528" i="18"/>
  <c r="B2528" i="18"/>
  <c r="K2527" i="18"/>
  <c r="E2527" i="18"/>
  <c r="D2527" i="18"/>
  <c r="C2527" i="18"/>
  <c r="B2527" i="18"/>
  <c r="K2526" i="18"/>
  <c r="E2526" i="18"/>
  <c r="D2526" i="18"/>
  <c r="C2526" i="18"/>
  <c r="B2526" i="18"/>
  <c r="K2525" i="18"/>
  <c r="E2525" i="18"/>
  <c r="D2525" i="18"/>
  <c r="C2525" i="18"/>
  <c r="B2525" i="18"/>
  <c r="B2523" i="18"/>
  <c r="C2523" i="18"/>
  <c r="K2524" i="18"/>
  <c r="E2524" i="18"/>
  <c r="D2524" i="18"/>
  <c r="C2524" i="18"/>
  <c r="B2524" i="18"/>
  <c r="K2523" i="18"/>
  <c r="E2523" i="18"/>
  <c r="D2523" i="18"/>
  <c r="K2522" i="18"/>
  <c r="E2522" i="18"/>
  <c r="K2521" i="18"/>
  <c r="E2521" i="18"/>
  <c r="K2520" i="18"/>
  <c r="E2520" i="18"/>
  <c r="K2519" i="18"/>
  <c r="E2519" i="18"/>
  <c r="K2518" i="18"/>
  <c r="E2518" i="18"/>
  <c r="K2517" i="18"/>
  <c r="E2517" i="18"/>
  <c r="K2516" i="18"/>
  <c r="E2516" i="18"/>
  <c r="M2498" i="18"/>
  <c r="M2497" i="18"/>
  <c r="M2496" i="18"/>
  <c r="M2495" i="18"/>
  <c r="M2494" i="18"/>
  <c r="M2493" i="18"/>
  <c r="M2492" i="18"/>
  <c r="M2491" i="18"/>
  <c r="M2490" i="18"/>
  <c r="M2489" i="18"/>
  <c r="M2488" i="18"/>
  <c r="M2487" i="18"/>
  <c r="M2486" i="18"/>
  <c r="M2485" i="18"/>
  <c r="M2484" i="18"/>
  <c r="M2483" i="18"/>
  <c r="M2482" i="18"/>
  <c r="M2481" i="18"/>
  <c r="M2480" i="18"/>
  <c r="M2479" i="18"/>
  <c r="M2478" i="18"/>
  <c r="M2477" i="18"/>
  <c r="M2476" i="18"/>
  <c r="M2475" i="18"/>
  <c r="M2473" i="18"/>
  <c r="M2472" i="18"/>
  <c r="K2498" i="18"/>
  <c r="E2498" i="18"/>
  <c r="D2498" i="18"/>
  <c r="C2498" i="18"/>
  <c r="B2498" i="18"/>
  <c r="K2497" i="18"/>
  <c r="E2497" i="18"/>
  <c r="D2497" i="18"/>
  <c r="C2497" i="18"/>
  <c r="B2497" i="18"/>
  <c r="K2496" i="18"/>
  <c r="E2496" i="18"/>
  <c r="D2496" i="18"/>
  <c r="C2496" i="18"/>
  <c r="B2496" i="18"/>
  <c r="K2495" i="18"/>
  <c r="E2495" i="18"/>
  <c r="D2495" i="18"/>
  <c r="C2495" i="18"/>
  <c r="B2495" i="18"/>
  <c r="K2494" i="18"/>
  <c r="E2494" i="18"/>
  <c r="D2494" i="18"/>
  <c r="C2494" i="18"/>
  <c r="B2494" i="18"/>
  <c r="K2493" i="18"/>
  <c r="E2493" i="18"/>
  <c r="D2493" i="18"/>
  <c r="C2493" i="18"/>
  <c r="B2493" i="18"/>
  <c r="K2492" i="18"/>
  <c r="E2492" i="18"/>
  <c r="D2492" i="18"/>
  <c r="C2492" i="18"/>
  <c r="B2492" i="18"/>
  <c r="K2491" i="18"/>
  <c r="E2491" i="18"/>
  <c r="D2491" i="18"/>
  <c r="C2491" i="18"/>
  <c r="B2491" i="18"/>
  <c r="K2490" i="18"/>
  <c r="E2490" i="18"/>
  <c r="D2490" i="18"/>
  <c r="C2490" i="18"/>
  <c r="B2490" i="18"/>
  <c r="K2489" i="18"/>
  <c r="E2489" i="18"/>
  <c r="D2489" i="18"/>
  <c r="C2489" i="18"/>
  <c r="B2489" i="18"/>
  <c r="K2488" i="18"/>
  <c r="E2488" i="18"/>
  <c r="D2488" i="18"/>
  <c r="C2488" i="18"/>
  <c r="B2488" i="18"/>
  <c r="K2487" i="18"/>
  <c r="E2487" i="18"/>
  <c r="D2487" i="18"/>
  <c r="C2487" i="18"/>
  <c r="B2487" i="18"/>
  <c r="K2486" i="18"/>
  <c r="E2486" i="18"/>
  <c r="D2486" i="18"/>
  <c r="C2486" i="18"/>
  <c r="B2486" i="18"/>
  <c r="K2485" i="18"/>
  <c r="E2485" i="18"/>
  <c r="D2485" i="18"/>
  <c r="C2485" i="18"/>
  <c r="B2485" i="18"/>
  <c r="K2484" i="18"/>
  <c r="E2484" i="18"/>
  <c r="D2484" i="18"/>
  <c r="C2484" i="18"/>
  <c r="B2484" i="18"/>
  <c r="K2483" i="18"/>
  <c r="E2483" i="18"/>
  <c r="D2483" i="18"/>
  <c r="C2483" i="18"/>
  <c r="B2483" i="18"/>
  <c r="K2482" i="18"/>
  <c r="E2482" i="18"/>
  <c r="D2482" i="18"/>
  <c r="C2482" i="18"/>
  <c r="B2482" i="18"/>
  <c r="K2481" i="18"/>
  <c r="E2481" i="18"/>
  <c r="D2481" i="18"/>
  <c r="C2481" i="18"/>
  <c r="B2481" i="18"/>
  <c r="K2480" i="18"/>
  <c r="E2480" i="18"/>
  <c r="D2480" i="18"/>
  <c r="C2480" i="18"/>
  <c r="B2480" i="18"/>
  <c r="K2479" i="18"/>
  <c r="E2479" i="18"/>
  <c r="D2479" i="18"/>
  <c r="C2479" i="18"/>
  <c r="B2479" i="18"/>
  <c r="K2478" i="18"/>
  <c r="E2478" i="18"/>
  <c r="D2478" i="18"/>
  <c r="C2478" i="18"/>
  <c r="B2478" i="18"/>
  <c r="K2477" i="18"/>
  <c r="E2477" i="18"/>
  <c r="D2477" i="18"/>
  <c r="C2477" i="18"/>
  <c r="B2477" i="18"/>
  <c r="K2476" i="18"/>
  <c r="E2476" i="18"/>
  <c r="D2476" i="18"/>
  <c r="C2476" i="18"/>
  <c r="B2476" i="18"/>
  <c r="K2475" i="18"/>
  <c r="E2475" i="18"/>
  <c r="D2475" i="18"/>
  <c r="C2475" i="18"/>
  <c r="B2475" i="18"/>
  <c r="K2474" i="18"/>
  <c r="E2474" i="18"/>
  <c r="D2474" i="18"/>
  <c r="C2474" i="18"/>
  <c r="B2474" i="18"/>
  <c r="K2473" i="18"/>
  <c r="E2473" i="18"/>
  <c r="D2473" i="18"/>
  <c r="C2473" i="18"/>
  <c r="B2473" i="18"/>
  <c r="K2472" i="18"/>
  <c r="E2472" i="18"/>
  <c r="D2472" i="18"/>
  <c r="C2472" i="18"/>
  <c r="B2472" i="18"/>
  <c r="K2471" i="18"/>
  <c r="E2471" i="18"/>
  <c r="D2471" i="18"/>
  <c r="C2471" i="18"/>
  <c r="B2471" i="18"/>
  <c r="K2470" i="18"/>
  <c r="E2470" i="18"/>
  <c r="D2470" i="18"/>
  <c r="C2470" i="18"/>
  <c r="B2470" i="18"/>
  <c r="K2469" i="18"/>
  <c r="E2469" i="18"/>
  <c r="D2469" i="18"/>
  <c r="C2469" i="18"/>
  <c r="B2469" i="18"/>
  <c r="K2468" i="18"/>
  <c r="E2468" i="18"/>
  <c r="D2468" i="18"/>
  <c r="C2468" i="18"/>
  <c r="B2468" i="18"/>
  <c r="B1692" i="18"/>
  <c r="C1692" i="18"/>
  <c r="D1692" i="18"/>
  <c r="E1692" i="18"/>
  <c r="K1692" i="18"/>
  <c r="B1693" i="18"/>
  <c r="C1693" i="18"/>
  <c r="D1693" i="18"/>
  <c r="E1693" i="18"/>
  <c r="K1693" i="18"/>
  <c r="B1694" i="18"/>
  <c r="C1694" i="18"/>
  <c r="D1694" i="18"/>
  <c r="E1694" i="18"/>
  <c r="K1694" i="18"/>
  <c r="B1695" i="18"/>
  <c r="C1695" i="18"/>
  <c r="D1695" i="18"/>
  <c r="E1695" i="18"/>
  <c r="K1695" i="18"/>
  <c r="B1696" i="18"/>
  <c r="C1696" i="18"/>
  <c r="D1696" i="18"/>
  <c r="E1696" i="18"/>
  <c r="K1696" i="18"/>
  <c r="B1697" i="18"/>
  <c r="C1697" i="18"/>
  <c r="D1697" i="18"/>
  <c r="E1697" i="18"/>
  <c r="K1697" i="18"/>
  <c r="B1698" i="18"/>
  <c r="C1698" i="18"/>
  <c r="D1698" i="18"/>
  <c r="E1698" i="18"/>
  <c r="K1698" i="18"/>
  <c r="B1699" i="18"/>
  <c r="C1699" i="18"/>
  <c r="D1699" i="18"/>
  <c r="E1699" i="18"/>
  <c r="K1699" i="18"/>
  <c r="B1700" i="18"/>
  <c r="C1700" i="18"/>
  <c r="D1700" i="18"/>
  <c r="E1700" i="18"/>
  <c r="K1700" i="18"/>
  <c r="B1701" i="18"/>
  <c r="C1701" i="18"/>
  <c r="D1701" i="18"/>
  <c r="E1701" i="18"/>
  <c r="K1701" i="18"/>
  <c r="B1702" i="18"/>
  <c r="C1702" i="18"/>
  <c r="D1702" i="18"/>
  <c r="E1702" i="18"/>
  <c r="K1702" i="18"/>
  <c r="B1703" i="18"/>
  <c r="C1703" i="18"/>
  <c r="D1703" i="18"/>
  <c r="E1703" i="18"/>
  <c r="K1703" i="18"/>
  <c r="B1704" i="18"/>
  <c r="C1704" i="18"/>
  <c r="D1704" i="18"/>
  <c r="E1704" i="18"/>
  <c r="K1704" i="18"/>
  <c r="B1705" i="18"/>
  <c r="C1705" i="18"/>
  <c r="D1705" i="18"/>
  <c r="E1705" i="18"/>
  <c r="K1705" i="18"/>
  <c r="B1706" i="18"/>
  <c r="C1706" i="18"/>
  <c r="D1706" i="18"/>
  <c r="E1706" i="18"/>
  <c r="K1706" i="18"/>
  <c r="B1707" i="18"/>
  <c r="C1707" i="18"/>
  <c r="D1707" i="18"/>
  <c r="E1707" i="18"/>
  <c r="K1707" i="18"/>
  <c r="B1708" i="18"/>
  <c r="C1708" i="18"/>
  <c r="D1708" i="18"/>
  <c r="E1708" i="18"/>
  <c r="K1708" i="18"/>
  <c r="B1709" i="18"/>
  <c r="C1709" i="18"/>
  <c r="D1709" i="18"/>
  <c r="E1709" i="18"/>
  <c r="K1709" i="18"/>
  <c r="B1710" i="18"/>
  <c r="C1710" i="18"/>
  <c r="D1710" i="18"/>
  <c r="E1710" i="18"/>
  <c r="K1710" i="18"/>
  <c r="B1711" i="18"/>
  <c r="C1711" i="18"/>
  <c r="D1711" i="18"/>
  <c r="E1711" i="18"/>
  <c r="K1711" i="18"/>
  <c r="B1712" i="18"/>
  <c r="C1712" i="18"/>
  <c r="D1712" i="18"/>
  <c r="E1712" i="18"/>
  <c r="K1712" i="18"/>
  <c r="B1713" i="18"/>
  <c r="C1713" i="18"/>
  <c r="D1713" i="18"/>
  <c r="E1713" i="18"/>
  <c r="K1713" i="18"/>
  <c r="B1714" i="18"/>
  <c r="C1714" i="18"/>
  <c r="D1714" i="18"/>
  <c r="E1714" i="18"/>
  <c r="K1714" i="18"/>
  <c r="B1715" i="18"/>
  <c r="C1715" i="18"/>
  <c r="D1715" i="18"/>
  <c r="E1715" i="18"/>
  <c r="K1715" i="18"/>
  <c r="B1716" i="18"/>
  <c r="C1716" i="18"/>
  <c r="D1716" i="18"/>
  <c r="E1716" i="18"/>
  <c r="K1716" i="18"/>
  <c r="B1717" i="18"/>
  <c r="C1717" i="18"/>
  <c r="D1717" i="18"/>
  <c r="E1717" i="18"/>
  <c r="K1717" i="18"/>
  <c r="B1718" i="18"/>
  <c r="C1718" i="18"/>
  <c r="D1718" i="18"/>
  <c r="E1718" i="18"/>
  <c r="K1718" i="18"/>
  <c r="B1719" i="18"/>
  <c r="C1719" i="18"/>
  <c r="D1719" i="18"/>
  <c r="E1719" i="18"/>
  <c r="K1719" i="18"/>
  <c r="K1691" i="18"/>
  <c r="E1691" i="18"/>
  <c r="D1691" i="18"/>
  <c r="C1691" i="18"/>
  <c r="B1691" i="18"/>
  <c r="K1690" i="18"/>
  <c r="E1690" i="18"/>
  <c r="D1690" i="18"/>
  <c r="C1690" i="18"/>
  <c r="B1690" i="18"/>
  <c r="K1689" i="18"/>
  <c r="E1689" i="18"/>
  <c r="D1689" i="18"/>
  <c r="C1689" i="18"/>
  <c r="B1689" i="18"/>
  <c r="K1688" i="18"/>
  <c r="E1688" i="18"/>
  <c r="D1688" i="18"/>
  <c r="C1688" i="18"/>
  <c r="B1688" i="18"/>
  <c r="B1595" i="18"/>
  <c r="C1595" i="18"/>
  <c r="D1595" i="18"/>
  <c r="E1595" i="18"/>
  <c r="K1595" i="18"/>
  <c r="B1596" i="18"/>
  <c r="C1596" i="18"/>
  <c r="D1596" i="18"/>
  <c r="E1596" i="18"/>
  <c r="K1596" i="18"/>
  <c r="B1597" i="18"/>
  <c r="C1597" i="18"/>
  <c r="D1597" i="18"/>
  <c r="E1597" i="18"/>
  <c r="K1597" i="18"/>
  <c r="B1598" i="18"/>
  <c r="C1598" i="18"/>
  <c r="D1598" i="18"/>
  <c r="E1598" i="18"/>
  <c r="K1598" i="18"/>
  <c r="B1599" i="18"/>
  <c r="C1599" i="18"/>
  <c r="D1599" i="18"/>
  <c r="E1599" i="18"/>
  <c r="K1599" i="18"/>
  <c r="B1600" i="18"/>
  <c r="C1600" i="18"/>
  <c r="D1600" i="18"/>
  <c r="E1600" i="18"/>
  <c r="K1600" i="18"/>
  <c r="B1601" i="18"/>
  <c r="C1601" i="18"/>
  <c r="D1601" i="18"/>
  <c r="E1601" i="18"/>
  <c r="K1601" i="18"/>
  <c r="B1602" i="18"/>
  <c r="C1602" i="18"/>
  <c r="D1602" i="18"/>
  <c r="E1602" i="18"/>
  <c r="K1602" i="18"/>
  <c r="B1603" i="18"/>
  <c r="C1603" i="18"/>
  <c r="D1603" i="18"/>
  <c r="E1603" i="18"/>
  <c r="K1603" i="18"/>
  <c r="B1604" i="18"/>
  <c r="C1604" i="18"/>
  <c r="D1604" i="18"/>
  <c r="E1604" i="18"/>
  <c r="K1604" i="18"/>
  <c r="B1605" i="18"/>
  <c r="C1605" i="18"/>
  <c r="D1605" i="18"/>
  <c r="E1605" i="18"/>
  <c r="K1605" i="18"/>
  <c r="B1606" i="18"/>
  <c r="C1606" i="18"/>
  <c r="D1606" i="18"/>
  <c r="E1606" i="18"/>
  <c r="K1606" i="18"/>
  <c r="B1607" i="18"/>
  <c r="C1607" i="18"/>
  <c r="D1607" i="18"/>
  <c r="E1607" i="18"/>
  <c r="K1607" i="18"/>
  <c r="B1608" i="18"/>
  <c r="C1608" i="18"/>
  <c r="D1608" i="18"/>
  <c r="E1608" i="18"/>
  <c r="K1608" i="18"/>
  <c r="B1609" i="18"/>
  <c r="C1609" i="18"/>
  <c r="D1609" i="18"/>
  <c r="E1609" i="18"/>
  <c r="K1609" i="18"/>
  <c r="B1610" i="18"/>
  <c r="C1610" i="18"/>
  <c r="D1610" i="18"/>
  <c r="E1610" i="18"/>
  <c r="K1610" i="18"/>
  <c r="B1611" i="18"/>
  <c r="C1611" i="18"/>
  <c r="D1611" i="18"/>
  <c r="E1611" i="18"/>
  <c r="K1611" i="18"/>
  <c r="B1612" i="18"/>
  <c r="C1612" i="18"/>
  <c r="D1612" i="18"/>
  <c r="E1612" i="18"/>
  <c r="K1612" i="18"/>
  <c r="B1613" i="18"/>
  <c r="C1613" i="18"/>
  <c r="D1613" i="18"/>
  <c r="E1613" i="18"/>
  <c r="K1613" i="18"/>
  <c r="B1614" i="18"/>
  <c r="C1614" i="18"/>
  <c r="D1614" i="18"/>
  <c r="E1614" i="18"/>
  <c r="K1614" i="18"/>
  <c r="B1615" i="18"/>
  <c r="C1615" i="18"/>
  <c r="D1615" i="18"/>
  <c r="E1615" i="18"/>
  <c r="K1615" i="18"/>
  <c r="B1616" i="18"/>
  <c r="C1616" i="18"/>
  <c r="D1616" i="18"/>
  <c r="E1616" i="18"/>
  <c r="K1616" i="18"/>
  <c r="B1617" i="18"/>
  <c r="C1617" i="18"/>
  <c r="D1617" i="18"/>
  <c r="E1617" i="18"/>
  <c r="K1617" i="18"/>
  <c r="B1618" i="18"/>
  <c r="C1618" i="18"/>
  <c r="D1618" i="18"/>
  <c r="E1618" i="18"/>
  <c r="K1618" i="18"/>
  <c r="B1619" i="18"/>
  <c r="C1619" i="18"/>
  <c r="D1619" i="18"/>
  <c r="E1619" i="18"/>
  <c r="K1619" i="18"/>
  <c r="B1620" i="18"/>
  <c r="C1620" i="18"/>
  <c r="D1620" i="18"/>
  <c r="E1620" i="18"/>
  <c r="K1620" i="18"/>
  <c r="B1621" i="18"/>
  <c r="C1621" i="18"/>
  <c r="D1621" i="18"/>
  <c r="E1621" i="18"/>
  <c r="K1621" i="18"/>
  <c r="B1622" i="18"/>
  <c r="C1622" i="18"/>
  <c r="D1622" i="18"/>
  <c r="E1622" i="18"/>
  <c r="K1622" i="18"/>
  <c r="B1623" i="18"/>
  <c r="C1623" i="18"/>
  <c r="D1623" i="18"/>
  <c r="E1623" i="18"/>
  <c r="K1623" i="18"/>
  <c r="B1624" i="18"/>
  <c r="C1624" i="18"/>
  <c r="D1624" i="18"/>
  <c r="E1624" i="18"/>
  <c r="K1624" i="18"/>
  <c r="K1594" i="18"/>
  <c r="E1594" i="18"/>
  <c r="D1594" i="18"/>
  <c r="C1594" i="18"/>
  <c r="B1594" i="18"/>
  <c r="K1593" i="18"/>
  <c r="E1593" i="18"/>
  <c r="D1593" i="18"/>
  <c r="C1593" i="18"/>
  <c r="B1593" i="18"/>
  <c r="B885" i="18"/>
  <c r="C885" i="18"/>
  <c r="D885" i="18"/>
  <c r="E885" i="18"/>
  <c r="K885" i="18"/>
  <c r="B886" i="18"/>
  <c r="C886" i="18"/>
  <c r="D886" i="18"/>
  <c r="E886" i="18"/>
  <c r="K886" i="18"/>
  <c r="B887" i="18"/>
  <c r="C887" i="18"/>
  <c r="D887" i="18"/>
  <c r="E887" i="18"/>
  <c r="K887" i="18"/>
  <c r="B888" i="18"/>
  <c r="C888" i="18"/>
  <c r="D888" i="18"/>
  <c r="E888" i="18"/>
  <c r="K888" i="18"/>
  <c r="B889" i="18"/>
  <c r="C889" i="18"/>
  <c r="D889" i="18"/>
  <c r="E889" i="18"/>
  <c r="K889" i="18"/>
  <c r="B890" i="18"/>
  <c r="C890" i="18"/>
  <c r="D890" i="18"/>
  <c r="E890" i="18"/>
  <c r="K890" i="18"/>
  <c r="B891" i="18"/>
  <c r="C891" i="18"/>
  <c r="D891" i="18"/>
  <c r="E891" i="18"/>
  <c r="K891" i="18"/>
  <c r="B892" i="18"/>
  <c r="C892" i="18"/>
  <c r="D892" i="18"/>
  <c r="E892" i="18"/>
  <c r="K892" i="18"/>
  <c r="B893" i="18"/>
  <c r="C893" i="18"/>
  <c r="D893" i="18"/>
  <c r="E893" i="18"/>
  <c r="K893" i="18"/>
  <c r="B894" i="18"/>
  <c r="C894" i="18"/>
  <c r="D894" i="18"/>
  <c r="E894" i="18"/>
  <c r="K894" i="18"/>
  <c r="B895" i="18"/>
  <c r="C895" i="18"/>
  <c r="D895" i="18"/>
  <c r="E895" i="18"/>
  <c r="K895" i="18"/>
  <c r="B896" i="18"/>
  <c r="C896" i="18"/>
  <c r="D896" i="18"/>
  <c r="E896" i="18"/>
  <c r="K896" i="18"/>
  <c r="B897" i="18"/>
  <c r="C897" i="18"/>
  <c r="D897" i="18"/>
  <c r="E897" i="18"/>
  <c r="K897" i="18"/>
  <c r="B898" i="18"/>
  <c r="C898" i="18"/>
  <c r="D898" i="18"/>
  <c r="E898" i="18"/>
  <c r="K898" i="18"/>
  <c r="B899" i="18"/>
  <c r="C899" i="18"/>
  <c r="D899" i="18"/>
  <c r="E899" i="18"/>
  <c r="K899" i="18"/>
  <c r="B900" i="18"/>
  <c r="C900" i="18"/>
  <c r="D900" i="18"/>
  <c r="E900" i="18"/>
  <c r="K900" i="18"/>
  <c r="B901" i="18"/>
  <c r="C901" i="18"/>
  <c r="D901" i="18"/>
  <c r="E901" i="18"/>
  <c r="K901" i="18"/>
  <c r="B902" i="18"/>
  <c r="C902" i="18"/>
  <c r="D902" i="18"/>
  <c r="E902" i="18"/>
  <c r="K902" i="18"/>
  <c r="B903" i="18"/>
  <c r="C903" i="18"/>
  <c r="D903" i="18"/>
  <c r="E903" i="18"/>
  <c r="K903" i="18"/>
  <c r="B904" i="18"/>
  <c r="C904" i="18"/>
  <c r="D904" i="18"/>
  <c r="E904" i="18"/>
  <c r="K904" i="18"/>
  <c r="B905" i="18"/>
  <c r="C905" i="18"/>
  <c r="D905" i="18"/>
  <c r="E905" i="18"/>
  <c r="K905" i="18"/>
  <c r="B906" i="18"/>
  <c r="C906" i="18"/>
  <c r="D906" i="18"/>
  <c r="E906" i="18"/>
  <c r="K906" i="18"/>
  <c r="B907" i="18"/>
  <c r="C907" i="18"/>
  <c r="D907" i="18"/>
  <c r="E907" i="18"/>
  <c r="K907" i="18"/>
  <c r="B908" i="18"/>
  <c r="C908" i="18"/>
  <c r="D908" i="18"/>
  <c r="E908" i="18"/>
  <c r="K908" i="18"/>
  <c r="B909" i="18"/>
  <c r="C909" i="18"/>
  <c r="D909" i="18"/>
  <c r="E909" i="18"/>
  <c r="K909" i="18"/>
  <c r="B910" i="18"/>
  <c r="C910" i="18"/>
  <c r="D910" i="18"/>
  <c r="E910" i="18"/>
  <c r="K910" i="18"/>
  <c r="B911" i="18"/>
  <c r="C911" i="18"/>
  <c r="D911" i="18"/>
  <c r="E911" i="18"/>
  <c r="K911" i="18"/>
  <c r="B912" i="18"/>
  <c r="C912" i="18"/>
  <c r="D912" i="18"/>
  <c r="E912" i="18"/>
  <c r="K912" i="18"/>
  <c r="K884" i="18"/>
  <c r="E884" i="18"/>
  <c r="D884" i="18"/>
  <c r="C884" i="18"/>
  <c r="B884" i="18"/>
  <c r="K883" i="18"/>
  <c r="E883" i="18"/>
  <c r="D883" i="18"/>
  <c r="C883" i="18"/>
  <c r="B883" i="18"/>
  <c r="K882" i="18"/>
  <c r="E882" i="18"/>
  <c r="D882" i="18"/>
  <c r="C882" i="18"/>
  <c r="B882" i="18"/>
  <c r="K881" i="18"/>
  <c r="E881" i="18"/>
  <c r="D881" i="18"/>
  <c r="C881" i="18"/>
  <c r="B881" i="18"/>
  <c r="B824" i="18"/>
  <c r="C824" i="18"/>
  <c r="D824" i="18"/>
  <c r="E824" i="18"/>
  <c r="K824" i="18"/>
  <c r="B825" i="18"/>
  <c r="C825" i="18"/>
  <c r="D825" i="18"/>
  <c r="E825" i="18"/>
  <c r="K825" i="18"/>
  <c r="B826" i="18"/>
  <c r="C826" i="18"/>
  <c r="D826" i="18"/>
  <c r="E826" i="18"/>
  <c r="K826" i="18"/>
  <c r="B827" i="18"/>
  <c r="C827" i="18"/>
  <c r="D827" i="18"/>
  <c r="E827" i="18"/>
  <c r="K827" i="18"/>
  <c r="B828" i="18"/>
  <c r="C828" i="18"/>
  <c r="D828" i="18"/>
  <c r="E828" i="18"/>
  <c r="K828" i="18"/>
  <c r="B829" i="18"/>
  <c r="C829" i="18"/>
  <c r="D829" i="18"/>
  <c r="E829" i="18"/>
  <c r="K829" i="18"/>
  <c r="B830" i="18"/>
  <c r="C830" i="18"/>
  <c r="D830" i="18"/>
  <c r="E830" i="18"/>
  <c r="K830" i="18"/>
  <c r="B831" i="18"/>
  <c r="C831" i="18"/>
  <c r="D831" i="18"/>
  <c r="E831" i="18"/>
  <c r="K831" i="18"/>
  <c r="B832" i="18"/>
  <c r="C832" i="18"/>
  <c r="D832" i="18"/>
  <c r="E832" i="18"/>
  <c r="K832" i="18"/>
  <c r="B833" i="18"/>
  <c r="C833" i="18"/>
  <c r="D833" i="18"/>
  <c r="E833" i="18"/>
  <c r="K833" i="18"/>
  <c r="B834" i="18"/>
  <c r="C834" i="18"/>
  <c r="D834" i="18"/>
  <c r="E834" i="18"/>
  <c r="K834" i="18"/>
  <c r="B835" i="18"/>
  <c r="C835" i="18"/>
  <c r="D835" i="18"/>
  <c r="E835" i="18"/>
  <c r="K835" i="18"/>
  <c r="B836" i="18"/>
  <c r="C836" i="18"/>
  <c r="D836" i="18"/>
  <c r="E836" i="18"/>
  <c r="K836" i="18"/>
  <c r="B837" i="18"/>
  <c r="C837" i="18"/>
  <c r="D837" i="18"/>
  <c r="E837" i="18"/>
  <c r="K837" i="18"/>
  <c r="B838" i="18"/>
  <c r="C838" i="18"/>
  <c r="D838" i="18"/>
  <c r="E838" i="18"/>
  <c r="K838" i="18"/>
  <c r="B839" i="18"/>
  <c r="C839" i="18"/>
  <c r="D839" i="18"/>
  <c r="E839" i="18"/>
  <c r="K839" i="18"/>
  <c r="B840" i="18"/>
  <c r="C840" i="18"/>
  <c r="D840" i="18"/>
  <c r="E840" i="18"/>
  <c r="K840" i="18"/>
  <c r="B841" i="18"/>
  <c r="C841" i="18"/>
  <c r="D841" i="18"/>
  <c r="E841" i="18"/>
  <c r="K841" i="18"/>
  <c r="B842" i="18"/>
  <c r="C842" i="18"/>
  <c r="D842" i="18"/>
  <c r="E842" i="18"/>
  <c r="K842" i="18"/>
  <c r="B843" i="18"/>
  <c r="C843" i="18"/>
  <c r="D843" i="18"/>
  <c r="E843" i="18"/>
  <c r="K843" i="18"/>
  <c r="B844" i="18"/>
  <c r="C844" i="18"/>
  <c r="D844" i="18"/>
  <c r="E844" i="18"/>
  <c r="K844" i="18"/>
  <c r="B845" i="18"/>
  <c r="C845" i="18"/>
  <c r="D845" i="18"/>
  <c r="E845" i="18"/>
  <c r="K845" i="18"/>
  <c r="B846" i="18"/>
  <c r="C846" i="18"/>
  <c r="D846" i="18"/>
  <c r="E846" i="18"/>
  <c r="K846" i="18"/>
  <c r="B847" i="18"/>
  <c r="C847" i="18"/>
  <c r="D847" i="18"/>
  <c r="E847" i="18"/>
  <c r="K847" i="18"/>
  <c r="B848" i="18"/>
  <c r="C848" i="18"/>
  <c r="D848" i="18"/>
  <c r="E848" i="18"/>
  <c r="K848" i="18"/>
  <c r="B849" i="18"/>
  <c r="C849" i="18"/>
  <c r="D849" i="18"/>
  <c r="E849" i="18"/>
  <c r="K849" i="18"/>
  <c r="B850" i="18"/>
  <c r="C850" i="18"/>
  <c r="D850" i="18"/>
  <c r="E850" i="18"/>
  <c r="K850" i="18"/>
  <c r="B851" i="18"/>
  <c r="C851" i="18"/>
  <c r="D851" i="18"/>
  <c r="E851" i="18"/>
  <c r="K851" i="18"/>
  <c r="B852" i="18"/>
  <c r="C852" i="18"/>
  <c r="D852" i="18"/>
  <c r="E852" i="18"/>
  <c r="K852" i="18"/>
  <c r="K823" i="18"/>
  <c r="E823" i="18"/>
  <c r="D823" i="18"/>
  <c r="C823" i="18"/>
  <c r="B823" i="18"/>
  <c r="K822" i="18"/>
  <c r="E822" i="18"/>
  <c r="D822" i="18"/>
  <c r="C822" i="18"/>
  <c r="B822" i="18"/>
  <c r="K821" i="18"/>
  <c r="E821" i="18"/>
  <c r="D821" i="18"/>
  <c r="C821" i="18"/>
  <c r="B821" i="18"/>
  <c r="B621" i="18"/>
  <c r="C621" i="18"/>
  <c r="D621" i="18"/>
  <c r="E621" i="18"/>
  <c r="K621" i="18"/>
  <c r="B622" i="18"/>
  <c r="C622" i="18"/>
  <c r="D622" i="18"/>
  <c r="E622" i="18"/>
  <c r="K622" i="18"/>
  <c r="B623" i="18"/>
  <c r="C623" i="18"/>
  <c r="D623" i="18"/>
  <c r="E623" i="18"/>
  <c r="K623" i="18"/>
  <c r="B624" i="18"/>
  <c r="C624" i="18"/>
  <c r="D624" i="18"/>
  <c r="E624" i="18"/>
  <c r="K624" i="18"/>
  <c r="B625" i="18"/>
  <c r="C625" i="18"/>
  <c r="D625" i="18"/>
  <c r="E625" i="18"/>
  <c r="K625" i="18"/>
  <c r="B626" i="18"/>
  <c r="C626" i="18"/>
  <c r="D626" i="18"/>
  <c r="E626" i="18"/>
  <c r="K626" i="18"/>
  <c r="B627" i="18"/>
  <c r="C627" i="18"/>
  <c r="D627" i="18"/>
  <c r="E627" i="18"/>
  <c r="K627" i="18"/>
  <c r="B628" i="18"/>
  <c r="C628" i="18"/>
  <c r="D628" i="18"/>
  <c r="E628" i="18"/>
  <c r="K628" i="18"/>
  <c r="B629" i="18"/>
  <c r="C629" i="18"/>
  <c r="D629" i="18"/>
  <c r="E629" i="18"/>
  <c r="K629" i="18"/>
  <c r="B630" i="18"/>
  <c r="C630" i="18"/>
  <c r="D630" i="18"/>
  <c r="E630" i="18"/>
  <c r="K630" i="18"/>
  <c r="B631" i="18"/>
  <c r="C631" i="18"/>
  <c r="D631" i="18"/>
  <c r="E631" i="18"/>
  <c r="K631" i="18"/>
  <c r="B632" i="18"/>
  <c r="C632" i="18"/>
  <c r="D632" i="18"/>
  <c r="E632" i="18"/>
  <c r="K632" i="18"/>
  <c r="B633" i="18"/>
  <c r="C633" i="18"/>
  <c r="D633" i="18"/>
  <c r="E633" i="18"/>
  <c r="K633" i="18"/>
  <c r="B634" i="18"/>
  <c r="C634" i="18"/>
  <c r="D634" i="18"/>
  <c r="E634" i="18"/>
  <c r="K634" i="18"/>
  <c r="B635" i="18"/>
  <c r="C635" i="18"/>
  <c r="D635" i="18"/>
  <c r="E635" i="18"/>
  <c r="K635" i="18"/>
  <c r="B636" i="18"/>
  <c r="C636" i="18"/>
  <c r="D636" i="18"/>
  <c r="E636" i="18"/>
  <c r="K636" i="18"/>
  <c r="B637" i="18"/>
  <c r="C637" i="18"/>
  <c r="D637" i="18"/>
  <c r="E637" i="18"/>
  <c r="K637" i="18"/>
  <c r="B638" i="18"/>
  <c r="C638" i="18"/>
  <c r="D638" i="18"/>
  <c r="E638" i="18"/>
  <c r="K638" i="18"/>
  <c r="B639" i="18"/>
  <c r="C639" i="18"/>
  <c r="D639" i="18"/>
  <c r="E639" i="18"/>
  <c r="K639" i="18"/>
  <c r="B640" i="18"/>
  <c r="C640" i="18"/>
  <c r="D640" i="18"/>
  <c r="E640" i="18"/>
  <c r="K640" i="18"/>
  <c r="B641" i="18"/>
  <c r="C641" i="18"/>
  <c r="D641" i="18"/>
  <c r="E641" i="18"/>
  <c r="K641" i="18"/>
  <c r="B642" i="18"/>
  <c r="C642" i="18"/>
  <c r="D642" i="18"/>
  <c r="E642" i="18"/>
  <c r="K642" i="18"/>
  <c r="B643" i="18"/>
  <c r="C643" i="18"/>
  <c r="D643" i="18"/>
  <c r="E643" i="18"/>
  <c r="K643" i="18"/>
  <c r="K620" i="18"/>
  <c r="E620" i="18"/>
  <c r="D620" i="18"/>
  <c r="C620" i="18"/>
  <c r="B620" i="18"/>
  <c r="K619" i="18"/>
  <c r="E619" i="18"/>
  <c r="D619" i="18"/>
  <c r="C619" i="18"/>
  <c r="B619" i="18"/>
  <c r="B567" i="18"/>
  <c r="C567" i="18"/>
  <c r="D567" i="18"/>
  <c r="E567" i="18"/>
  <c r="K567" i="18"/>
  <c r="B568" i="18"/>
  <c r="C568" i="18"/>
  <c r="D568" i="18"/>
  <c r="E568" i="18"/>
  <c r="K568" i="18"/>
  <c r="B569" i="18"/>
  <c r="C569" i="18"/>
  <c r="D569" i="18"/>
  <c r="E569" i="18"/>
  <c r="K569" i="18"/>
  <c r="B570" i="18"/>
  <c r="C570" i="18"/>
  <c r="D570" i="18"/>
  <c r="E570" i="18"/>
  <c r="K570" i="18"/>
  <c r="B571" i="18"/>
  <c r="C571" i="18"/>
  <c r="D571" i="18"/>
  <c r="E571" i="18"/>
  <c r="K571" i="18"/>
  <c r="B572" i="18"/>
  <c r="C572" i="18"/>
  <c r="D572" i="18"/>
  <c r="E572" i="18"/>
  <c r="K572" i="18"/>
  <c r="B573" i="18"/>
  <c r="C573" i="18"/>
  <c r="D573" i="18"/>
  <c r="E573" i="18"/>
  <c r="K573" i="18"/>
  <c r="B574" i="18"/>
  <c r="C574" i="18"/>
  <c r="D574" i="18"/>
  <c r="E574" i="18"/>
  <c r="K574" i="18"/>
  <c r="B575" i="18"/>
  <c r="C575" i="18"/>
  <c r="D575" i="18"/>
  <c r="E575" i="18"/>
  <c r="K575" i="18"/>
  <c r="B576" i="18"/>
  <c r="C576" i="18"/>
  <c r="D576" i="18"/>
  <c r="E576" i="18"/>
  <c r="K576" i="18"/>
  <c r="B577" i="18"/>
  <c r="C577" i="18"/>
  <c r="D577" i="18"/>
  <c r="E577" i="18"/>
  <c r="K577" i="18"/>
  <c r="B578" i="18"/>
  <c r="C578" i="18"/>
  <c r="D578" i="18"/>
  <c r="E578" i="18"/>
  <c r="K578" i="18"/>
  <c r="B579" i="18"/>
  <c r="C579" i="18"/>
  <c r="D579" i="18"/>
  <c r="E579" i="18"/>
  <c r="K579" i="18"/>
  <c r="B580" i="18"/>
  <c r="C580" i="18"/>
  <c r="D580" i="18"/>
  <c r="E580" i="18"/>
  <c r="K580" i="18"/>
  <c r="B581" i="18"/>
  <c r="C581" i="18"/>
  <c r="D581" i="18"/>
  <c r="E581" i="18"/>
  <c r="K581" i="18"/>
  <c r="B582" i="18"/>
  <c r="C582" i="18"/>
  <c r="D582" i="18"/>
  <c r="E582" i="18"/>
  <c r="K582" i="18"/>
  <c r="B583" i="18"/>
  <c r="C583" i="18"/>
  <c r="D583" i="18"/>
  <c r="E583" i="18"/>
  <c r="K583" i="18"/>
  <c r="B584" i="18"/>
  <c r="C584" i="18"/>
  <c r="D584" i="18"/>
  <c r="E584" i="18"/>
  <c r="K584" i="18"/>
  <c r="B585" i="18"/>
  <c r="C585" i="18"/>
  <c r="D585" i="18"/>
  <c r="E585" i="18"/>
  <c r="K585" i="18"/>
  <c r="B586" i="18"/>
  <c r="C586" i="18"/>
  <c r="D586" i="18"/>
  <c r="E586" i="18"/>
  <c r="K586" i="18"/>
  <c r="B587" i="18"/>
  <c r="C587" i="18"/>
  <c r="D587" i="18"/>
  <c r="E587" i="18"/>
  <c r="K587" i="18"/>
  <c r="B588" i="18"/>
  <c r="C588" i="18"/>
  <c r="D588" i="18"/>
  <c r="E588" i="18"/>
  <c r="K588" i="18"/>
  <c r="K566" i="18"/>
  <c r="E566" i="18"/>
  <c r="D566" i="18"/>
  <c r="C566" i="18"/>
  <c r="B566" i="18"/>
  <c r="K565" i="18"/>
  <c r="E565" i="18"/>
  <c r="D565" i="18"/>
  <c r="C565" i="18"/>
  <c r="B565" i="18"/>
  <c r="K564" i="18"/>
  <c r="E564" i="18"/>
  <c r="D564" i="18"/>
  <c r="C564" i="18"/>
  <c r="B564" i="18"/>
  <c r="B205" i="18"/>
  <c r="C205" i="18"/>
  <c r="D205" i="18"/>
  <c r="E205" i="18"/>
  <c r="K205" i="18"/>
  <c r="B206" i="18"/>
  <c r="C206" i="18"/>
  <c r="D206" i="18"/>
  <c r="E206" i="18"/>
  <c r="K206" i="18"/>
  <c r="B207" i="18"/>
  <c r="C207" i="18"/>
  <c r="D207" i="18"/>
  <c r="E207" i="18"/>
  <c r="K207" i="18"/>
  <c r="B208" i="18"/>
  <c r="C208" i="18"/>
  <c r="D208" i="18"/>
  <c r="E208" i="18"/>
  <c r="K208" i="18"/>
  <c r="B209" i="18"/>
  <c r="C209" i="18"/>
  <c r="D209" i="18"/>
  <c r="E209" i="18"/>
  <c r="K209" i="18"/>
  <c r="B210" i="18"/>
  <c r="C210" i="18"/>
  <c r="D210" i="18"/>
  <c r="E210" i="18"/>
  <c r="K210" i="18"/>
  <c r="B211" i="18"/>
  <c r="C211" i="18"/>
  <c r="D211" i="18"/>
  <c r="E211" i="18"/>
  <c r="K211" i="18"/>
  <c r="B212" i="18"/>
  <c r="C212" i="18"/>
  <c r="D212" i="18"/>
  <c r="E212" i="18"/>
  <c r="K212" i="18"/>
  <c r="B213" i="18"/>
  <c r="C213" i="18"/>
  <c r="D213" i="18"/>
  <c r="E213" i="18"/>
  <c r="K213" i="18"/>
  <c r="B214" i="18"/>
  <c r="C214" i="18"/>
  <c r="D214" i="18"/>
  <c r="E214" i="18"/>
  <c r="K214" i="18"/>
  <c r="B215" i="18"/>
  <c r="C215" i="18"/>
  <c r="D215" i="18"/>
  <c r="E215" i="18"/>
  <c r="K215" i="18"/>
  <c r="B216" i="18"/>
  <c r="C216" i="18"/>
  <c r="D216" i="18"/>
  <c r="E216" i="18"/>
  <c r="K216" i="18"/>
  <c r="B217" i="18"/>
  <c r="C217" i="18"/>
  <c r="D217" i="18"/>
  <c r="E217" i="18"/>
  <c r="K217" i="18"/>
  <c r="B218" i="18"/>
  <c r="C218" i="18"/>
  <c r="D218" i="18"/>
  <c r="E218" i="18"/>
  <c r="K218" i="18"/>
  <c r="B219" i="18"/>
  <c r="C219" i="18"/>
  <c r="D219" i="18"/>
  <c r="E219" i="18"/>
  <c r="K219" i="18"/>
  <c r="B220" i="18"/>
  <c r="C220" i="18"/>
  <c r="D220" i="18"/>
  <c r="E220" i="18"/>
  <c r="K220" i="18"/>
  <c r="B221" i="18"/>
  <c r="C221" i="18"/>
  <c r="D221" i="18"/>
  <c r="E221" i="18"/>
  <c r="K221" i="18"/>
  <c r="B222" i="18"/>
  <c r="C222" i="18"/>
  <c r="D222" i="18"/>
  <c r="E222" i="18"/>
  <c r="K222" i="18"/>
  <c r="B223" i="18"/>
  <c r="C223" i="18"/>
  <c r="D223" i="18"/>
  <c r="E223" i="18"/>
  <c r="K223" i="18"/>
  <c r="B224" i="18"/>
  <c r="C224" i="18"/>
  <c r="D224" i="18"/>
  <c r="E224" i="18"/>
  <c r="K224" i="18"/>
  <c r="B225" i="18"/>
  <c r="C225" i="18"/>
  <c r="D225" i="18"/>
  <c r="E225" i="18"/>
  <c r="K225" i="18"/>
  <c r="B226" i="18"/>
  <c r="C226" i="18"/>
  <c r="D226" i="18"/>
  <c r="E226" i="18"/>
  <c r="K226" i="18"/>
  <c r="B227" i="18"/>
  <c r="C227" i="18"/>
  <c r="D227" i="18"/>
  <c r="E227" i="18"/>
  <c r="K227" i="18"/>
  <c r="K204" i="18"/>
  <c r="E204" i="18"/>
  <c r="D204" i="18"/>
  <c r="C204" i="18"/>
  <c r="B204" i="18"/>
  <c r="K203" i="18"/>
  <c r="E203" i="18"/>
  <c r="D203" i="18"/>
  <c r="C203" i="18"/>
  <c r="B203" i="18"/>
  <c r="K116" i="18"/>
  <c r="E116" i="18"/>
  <c r="D116" i="18"/>
  <c r="C116" i="18"/>
  <c r="B116" i="18"/>
  <c r="K115" i="18"/>
  <c r="E115" i="18"/>
  <c r="D115" i="18"/>
  <c r="C115" i="18"/>
  <c r="B115" i="18"/>
  <c r="K114" i="18"/>
  <c r="E114" i="18"/>
  <c r="D114" i="18"/>
  <c r="C114" i="18"/>
  <c r="B114" i="18"/>
  <c r="K113" i="18"/>
  <c r="E113" i="18"/>
  <c r="D113" i="18"/>
  <c r="C113" i="18"/>
  <c r="B113" i="18"/>
  <c r="K112" i="18"/>
  <c r="E112" i="18"/>
  <c r="D112" i="18"/>
  <c r="C112" i="18"/>
  <c r="B112" i="18"/>
  <c r="K111" i="18"/>
  <c r="E111" i="18"/>
  <c r="D111" i="18"/>
  <c r="C111" i="18"/>
  <c r="B111" i="18"/>
  <c r="K110" i="18"/>
  <c r="E110" i="18"/>
  <c r="D110" i="18"/>
  <c r="C110" i="18"/>
  <c r="B110" i="18"/>
  <c r="K109" i="18"/>
  <c r="E109" i="18"/>
  <c r="D109" i="18"/>
  <c r="C109" i="18"/>
  <c r="B109" i="18"/>
  <c r="K108" i="18"/>
  <c r="E108" i="18"/>
  <c r="D108" i="18"/>
  <c r="C108" i="18"/>
  <c r="B108" i="18"/>
  <c r="K107" i="18"/>
  <c r="E107" i="18"/>
  <c r="D107" i="18"/>
  <c r="C107" i="18"/>
  <c r="B107" i="18"/>
  <c r="K106" i="18"/>
  <c r="E106" i="18"/>
  <c r="D106" i="18"/>
  <c r="C106" i="18"/>
  <c r="B106" i="18"/>
  <c r="K105" i="18"/>
  <c r="E105" i="18"/>
  <c r="D105" i="18"/>
  <c r="C105" i="18"/>
  <c r="B105" i="18"/>
  <c r="K104" i="18"/>
  <c r="E104" i="18"/>
  <c r="D104" i="18"/>
  <c r="C104" i="18"/>
  <c r="B104" i="18"/>
  <c r="K103" i="18"/>
  <c r="E103" i="18"/>
  <c r="D103" i="18"/>
  <c r="C103" i="18"/>
  <c r="B103" i="18"/>
  <c r="K102" i="18"/>
  <c r="E102" i="18"/>
  <c r="D102" i="18"/>
  <c r="C102" i="18"/>
  <c r="B102" i="18"/>
  <c r="K101" i="18"/>
  <c r="E101" i="18"/>
  <c r="D101" i="18"/>
  <c r="C101" i="18"/>
  <c r="B101" i="18"/>
  <c r="K100" i="18"/>
  <c r="E100" i="18"/>
  <c r="D100" i="18"/>
  <c r="C100" i="18"/>
  <c r="B100" i="18"/>
  <c r="K99" i="18"/>
  <c r="E99" i="18"/>
  <c r="D99" i="18"/>
  <c r="C99" i="18"/>
  <c r="B99" i="18"/>
  <c r="K98" i="18"/>
  <c r="E98" i="18"/>
  <c r="D98" i="18"/>
  <c r="C98" i="18"/>
  <c r="B98" i="18"/>
  <c r="K97" i="18"/>
  <c r="E97" i="18"/>
  <c r="D97" i="18"/>
  <c r="C97" i="18"/>
  <c r="B97" i="18"/>
  <c r="K96" i="18"/>
  <c r="E96" i="18"/>
  <c r="D96" i="18"/>
  <c r="C96" i="18"/>
  <c r="B96" i="18"/>
  <c r="K95" i="18"/>
  <c r="E95" i="18"/>
  <c r="D95" i="18"/>
  <c r="C95" i="18"/>
  <c r="B95" i="18"/>
  <c r="K94" i="18"/>
  <c r="E94" i="18"/>
  <c r="D94" i="18"/>
  <c r="C94" i="18"/>
  <c r="B94" i="18"/>
  <c r="K93" i="18"/>
  <c r="E93" i="18"/>
  <c r="D93" i="18"/>
  <c r="C93" i="18"/>
  <c r="B93" i="18"/>
  <c r="K92" i="18"/>
  <c r="E92" i="18"/>
  <c r="D92" i="18"/>
  <c r="C92" i="18"/>
  <c r="B92" i="18"/>
  <c r="K68" i="18"/>
  <c r="K67" i="18"/>
  <c r="K66" i="18"/>
  <c r="K65" i="18"/>
  <c r="K64" i="18"/>
  <c r="K63" i="18"/>
  <c r="K62" i="18"/>
  <c r="K61" i="18"/>
  <c r="K60" i="18"/>
  <c r="K59" i="18"/>
  <c r="K58" i="18"/>
  <c r="K57" i="18"/>
  <c r="K56" i="18"/>
  <c r="K55" i="18"/>
  <c r="K54" i="18"/>
  <c r="K53" i="18"/>
  <c r="K52" i="18"/>
  <c r="K51" i="18"/>
  <c r="K50" i="18"/>
  <c r="K49" i="18"/>
  <c r="K48" i="18"/>
  <c r="K47" i="18"/>
  <c r="K46" i="18"/>
  <c r="K45" i="18"/>
  <c r="K44" i="18"/>
  <c r="E68" i="18"/>
  <c r="D68" i="18"/>
  <c r="C68" i="18"/>
  <c r="B68" i="18"/>
  <c r="E67" i="18"/>
  <c r="D67" i="18"/>
  <c r="C67" i="18"/>
  <c r="B67" i="18"/>
  <c r="E66" i="18"/>
  <c r="D66" i="18"/>
  <c r="C66" i="18"/>
  <c r="B66" i="18"/>
  <c r="E65" i="18"/>
  <c r="D65" i="18"/>
  <c r="C65" i="18"/>
  <c r="B65" i="18"/>
  <c r="E64" i="18"/>
  <c r="D64" i="18"/>
  <c r="C64" i="18"/>
  <c r="B64" i="18"/>
  <c r="E63" i="18"/>
  <c r="D63" i="18"/>
  <c r="C63" i="18"/>
  <c r="B63" i="18"/>
  <c r="E62" i="18"/>
  <c r="D62" i="18"/>
  <c r="C62" i="18"/>
  <c r="B62" i="18"/>
  <c r="E61" i="18"/>
  <c r="D61" i="18"/>
  <c r="C61" i="18"/>
  <c r="B61" i="18"/>
  <c r="E60" i="18"/>
  <c r="D60" i="18"/>
  <c r="C60" i="18"/>
  <c r="B60" i="18"/>
  <c r="E59" i="18"/>
  <c r="D59" i="18"/>
  <c r="C59" i="18"/>
  <c r="B59" i="18"/>
  <c r="E58" i="18"/>
  <c r="D58" i="18"/>
  <c r="C58" i="18"/>
  <c r="B58" i="18"/>
  <c r="E57" i="18"/>
  <c r="D57" i="18"/>
  <c r="C57" i="18"/>
  <c r="B57" i="18"/>
  <c r="E56" i="18"/>
  <c r="D56" i="18"/>
  <c r="C56" i="18"/>
  <c r="B56" i="18"/>
  <c r="E55" i="18"/>
  <c r="D55" i="18"/>
  <c r="C55" i="18"/>
  <c r="B55" i="18"/>
  <c r="E54" i="18"/>
  <c r="D54" i="18"/>
  <c r="C54" i="18"/>
  <c r="B54" i="18"/>
  <c r="E53" i="18"/>
  <c r="D53" i="18"/>
  <c r="C53" i="18"/>
  <c r="B53" i="18"/>
  <c r="E52" i="18"/>
  <c r="D52" i="18"/>
  <c r="C52" i="18"/>
  <c r="B52" i="18"/>
  <c r="E51" i="18"/>
  <c r="D51" i="18"/>
  <c r="C51" i="18"/>
  <c r="B51" i="18"/>
  <c r="E50" i="18"/>
  <c r="D50" i="18"/>
  <c r="C50" i="18"/>
  <c r="B50" i="18"/>
  <c r="E49" i="18"/>
  <c r="D49" i="18"/>
  <c r="C49" i="18"/>
  <c r="B49" i="18"/>
  <c r="E48" i="18"/>
  <c r="D48" i="18"/>
  <c r="C48" i="18"/>
  <c r="B48" i="18"/>
  <c r="E47" i="18"/>
  <c r="D47" i="18"/>
  <c r="C47" i="18"/>
  <c r="B47" i="18"/>
  <c r="E46" i="18"/>
  <c r="D46" i="18"/>
  <c r="C46" i="18"/>
  <c r="B46" i="18"/>
  <c r="E45" i="18"/>
  <c r="D45" i="18"/>
  <c r="C45" i="18"/>
  <c r="B45" i="18"/>
  <c r="B44" i="18"/>
  <c r="E44" i="18"/>
  <c r="D44" i="18"/>
  <c r="C44" i="18"/>
  <c r="F14" i="1" l="1"/>
  <c r="F13" i="1"/>
  <c r="E24" i="1"/>
  <c r="E2515" i="18"/>
  <c r="E2514" i="18"/>
  <c r="E2513" i="18"/>
  <c r="E2512" i="18"/>
  <c r="E2511" i="18"/>
  <c r="E2510" i="18"/>
  <c r="E2509" i="18"/>
  <c r="E2508" i="18"/>
  <c r="E2507" i="18"/>
  <c r="E2506" i="18"/>
  <c r="E2505" i="18"/>
  <c r="E2504" i="18"/>
  <c r="E2503" i="18"/>
  <c r="E2502" i="18"/>
  <c r="E2501" i="18"/>
  <c r="E2500" i="18"/>
  <c r="E2499" i="18"/>
  <c r="E2467" i="18"/>
  <c r="E2461" i="18"/>
  <c r="E2455" i="18"/>
  <c r="E2449" i="18"/>
  <c r="E2443" i="18"/>
  <c r="E2437" i="18"/>
  <c r="E2431" i="18"/>
  <c r="E2425" i="18"/>
  <c r="E2419" i="18"/>
  <c r="E2413" i="18"/>
  <c r="E2407" i="18"/>
  <c r="E2403" i="18"/>
  <c r="E2399" i="18"/>
  <c r="E2395" i="18"/>
  <c r="E2391" i="18"/>
  <c r="E2387" i="18"/>
  <c r="E2383" i="18"/>
  <c r="E2379" i="18"/>
  <c r="E2375" i="18"/>
  <c r="E2371" i="18"/>
  <c r="E2367" i="18"/>
  <c r="E2363" i="18"/>
  <c r="E2359" i="18"/>
  <c r="E2355" i="18"/>
  <c r="E2351" i="18"/>
  <c r="E2347" i="18"/>
  <c r="E2343" i="18"/>
  <c r="E2339" i="18"/>
  <c r="E2335" i="18"/>
  <c r="E2331" i="18"/>
  <c r="E2327" i="18"/>
  <c r="E2323" i="18"/>
  <c r="E2317" i="18"/>
  <c r="E2311" i="18"/>
  <c r="E2305" i="18"/>
  <c r="E2299" i="18"/>
  <c r="E2293" i="18"/>
  <c r="E2289" i="18"/>
  <c r="E2285" i="18"/>
  <c r="E2281" i="18"/>
  <c r="E2277" i="18"/>
  <c r="E2273" i="18"/>
  <c r="E2269" i="18"/>
  <c r="E2265" i="18"/>
  <c r="E2261" i="18"/>
  <c r="E2257" i="18"/>
  <c r="E2253" i="18"/>
  <c r="E2249" i="18"/>
  <c r="E2245" i="18"/>
  <c r="E2239" i="18"/>
  <c r="E2233" i="18"/>
  <c r="E2227" i="18"/>
  <c r="E2221" i="18"/>
  <c r="E2215" i="18"/>
  <c r="E2211" i="18"/>
  <c r="E2207" i="18"/>
  <c r="E2203" i="18"/>
  <c r="E2199" i="18"/>
  <c r="E2195" i="18"/>
  <c r="E2191" i="18"/>
  <c r="E2187" i="18"/>
  <c r="E2183" i="18"/>
  <c r="E2177" i="18"/>
  <c r="E2171" i="18"/>
  <c r="E2165" i="18"/>
  <c r="E2159" i="18"/>
  <c r="E2155" i="18"/>
  <c r="E2151" i="18"/>
  <c r="E2147" i="18"/>
  <c r="E2143" i="18"/>
  <c r="E2139" i="18"/>
  <c r="E2135" i="18"/>
  <c r="E2131" i="18"/>
  <c r="E2127" i="18"/>
  <c r="E2121" i="18"/>
  <c r="E2115" i="18"/>
  <c r="E2109" i="18"/>
  <c r="E2103" i="18"/>
  <c r="E2098" i="18"/>
  <c r="E2093" i="18"/>
  <c r="E2088" i="18"/>
  <c r="E2083" i="18"/>
  <c r="E2078" i="18"/>
  <c r="E2073" i="18"/>
  <c r="E2068" i="18"/>
  <c r="E2063" i="18"/>
  <c r="E2058" i="18"/>
  <c r="E2053" i="18"/>
  <c r="E2048" i="18"/>
  <c r="E2044" i="18"/>
  <c r="E2040" i="18"/>
  <c r="E2036" i="18"/>
  <c r="E2032" i="18"/>
  <c r="E2028" i="18"/>
  <c r="E2024" i="18"/>
  <c r="E2020" i="18"/>
  <c r="E2016" i="18"/>
  <c r="E2012" i="18"/>
  <c r="E2008" i="18"/>
  <c r="E2004" i="18"/>
  <c r="E2000" i="18"/>
  <c r="E1996" i="18"/>
  <c r="E1992" i="18"/>
  <c r="E1988" i="18"/>
  <c r="E1984" i="18"/>
  <c r="E1980" i="18"/>
  <c r="E1976" i="18"/>
  <c r="E1972" i="18"/>
  <c r="E1968" i="18"/>
  <c r="E1964" i="18"/>
  <c r="E1960" i="18"/>
  <c r="E1956" i="18"/>
  <c r="E1952" i="18"/>
  <c r="E1948" i="18"/>
  <c r="E1944" i="18"/>
  <c r="E1940" i="18"/>
  <c r="E1936" i="18"/>
  <c r="E1932" i="18"/>
  <c r="E1928" i="18"/>
  <c r="E1924" i="18"/>
  <c r="E1920" i="18"/>
  <c r="E1916" i="18"/>
  <c r="E1912" i="18"/>
  <c r="E1908" i="18"/>
  <c r="E1904" i="18"/>
  <c r="E1900" i="18"/>
  <c r="E1896" i="18"/>
  <c r="E1892" i="18"/>
  <c r="E1888" i="18"/>
  <c r="E1884" i="18"/>
  <c r="E1880" i="18"/>
  <c r="E1876" i="18"/>
  <c r="E1872" i="18"/>
  <c r="E1868" i="18"/>
  <c r="E1864" i="18"/>
  <c r="E1860" i="18"/>
  <c r="E1856" i="18"/>
  <c r="E1852" i="18"/>
  <c r="E1848" i="18"/>
  <c r="E1844" i="18"/>
  <c r="E1839" i="18"/>
  <c r="E1835" i="18"/>
  <c r="E1831" i="18"/>
  <c r="E1827" i="18"/>
  <c r="E1823" i="18"/>
  <c r="E1819" i="18"/>
  <c r="E1815" i="18"/>
  <c r="E1811" i="18"/>
  <c r="E1807" i="18"/>
  <c r="E1803" i="18"/>
  <c r="E1799" i="18"/>
  <c r="E1795" i="18"/>
  <c r="E1791" i="18"/>
  <c r="E1788" i="18"/>
  <c r="E1785" i="18"/>
  <c r="E1782" i="18"/>
  <c r="E1781" i="18"/>
  <c r="E1780" i="18"/>
  <c r="E1776" i="18"/>
  <c r="E1768" i="18"/>
  <c r="E1767" i="18"/>
  <c r="E1766" i="18"/>
  <c r="E1765" i="18"/>
  <c r="E1764" i="18"/>
  <c r="E1763" i="18"/>
  <c r="E1762" i="18"/>
  <c r="E1761" i="18"/>
  <c r="E1760" i="18"/>
  <c r="E1759" i="18"/>
  <c r="E1758" i="18"/>
  <c r="E1755" i="18"/>
  <c r="E1752" i="18"/>
  <c r="E1749" i="18"/>
  <c r="E1746" i="18"/>
  <c r="E1743" i="18"/>
  <c r="E1740" i="18"/>
  <c r="E1737" i="18"/>
  <c r="E1736" i="18"/>
  <c r="E1735" i="18"/>
  <c r="E1734" i="18"/>
  <c r="E1733" i="18"/>
  <c r="E1732" i="18"/>
  <c r="E1731" i="18"/>
  <c r="E1730" i="18"/>
  <c r="E1729" i="18"/>
  <c r="E1728" i="18"/>
  <c r="E1727" i="18"/>
  <c r="E1726" i="18"/>
  <c r="E1725" i="18"/>
  <c r="E1724" i="18"/>
  <c r="E1723" i="18"/>
  <c r="E1722" i="18"/>
  <c r="E1721" i="18"/>
  <c r="E1720" i="18"/>
  <c r="E1687" i="18"/>
  <c r="E1686" i="18"/>
  <c r="E1685" i="18"/>
  <c r="E1684" i="18"/>
  <c r="E1682" i="18"/>
  <c r="E1681" i="18"/>
  <c r="E1680" i="18"/>
  <c r="E1679" i="18"/>
  <c r="E1678" i="18"/>
  <c r="E1677" i="18"/>
  <c r="E1676" i="18"/>
  <c r="E1675" i="18"/>
  <c r="E1674" i="18"/>
  <c r="E1671" i="18"/>
  <c r="E1670" i="18"/>
  <c r="E1669" i="18"/>
  <c r="E1668" i="18"/>
  <c r="E1667" i="18"/>
  <c r="E1666" i="18"/>
  <c r="E1665" i="18"/>
  <c r="E1664" i="18"/>
  <c r="E1663" i="18"/>
  <c r="E1662" i="18"/>
  <c r="E1658" i="18"/>
  <c r="E1654" i="18"/>
  <c r="E1650" i="18"/>
  <c r="E1646" i="18"/>
  <c r="E1642" i="18"/>
  <c r="E1634" i="18"/>
  <c r="E1631" i="18"/>
  <c r="E1630" i="18"/>
  <c r="E1629" i="18"/>
  <c r="E1628" i="18"/>
  <c r="E1627" i="18"/>
  <c r="E1625" i="18"/>
  <c r="E1592" i="18"/>
  <c r="E1591" i="18"/>
  <c r="E1590" i="18"/>
  <c r="E1589" i="18"/>
  <c r="E1588" i="18"/>
  <c r="E1587" i="18"/>
  <c r="E1586" i="18"/>
  <c r="E1585" i="18"/>
  <c r="E1584" i="18"/>
  <c r="E1583" i="18"/>
  <c r="E1582" i="18"/>
  <c r="E1581" i="18"/>
  <c r="E1580" i="18"/>
  <c r="E1579" i="18"/>
  <c r="E1578" i="18"/>
  <c r="E1577" i="18"/>
  <c r="E1576" i="18"/>
  <c r="E1575" i="18"/>
  <c r="E1574" i="18"/>
  <c r="E1573" i="18"/>
  <c r="E1572" i="18"/>
  <c r="E1571" i="18"/>
  <c r="E1570" i="18"/>
  <c r="E1569" i="18"/>
  <c r="E1568" i="18"/>
  <c r="E1567" i="18"/>
  <c r="E1566" i="18"/>
  <c r="E1565" i="18"/>
  <c r="E1564" i="18"/>
  <c r="E1563" i="18"/>
  <c r="E1562" i="18"/>
  <c r="E1561" i="18"/>
  <c r="E1560" i="18"/>
  <c r="E1559" i="18"/>
  <c r="E1558" i="18"/>
  <c r="E1557" i="18"/>
  <c r="E1556" i="18"/>
  <c r="E1555" i="18"/>
  <c r="E1554" i="18"/>
  <c r="E1553" i="18"/>
  <c r="E1552" i="18"/>
  <c r="E1551" i="18"/>
  <c r="E1550" i="18"/>
  <c r="E1549" i="18"/>
  <c r="E1548" i="18"/>
  <c r="E1547" i="18"/>
  <c r="E1546" i="18"/>
  <c r="E1545" i="18"/>
  <c r="E1544" i="18"/>
  <c r="E1543" i="18"/>
  <c r="E1542" i="18"/>
  <c r="E1541" i="18"/>
  <c r="E1540" i="18"/>
  <c r="E1539" i="18"/>
  <c r="E1538" i="18"/>
  <c r="E1537" i="18"/>
  <c r="E1536" i="18"/>
  <c r="E1535" i="18"/>
  <c r="E1534" i="18"/>
  <c r="E1533" i="18"/>
  <c r="E1532" i="18"/>
  <c r="E1531" i="18"/>
  <c r="E1530" i="18"/>
  <c r="E1529" i="18"/>
  <c r="E1528" i="18"/>
  <c r="E1527" i="18"/>
  <c r="E1526" i="18"/>
  <c r="E1525" i="18"/>
  <c r="E1524" i="18"/>
  <c r="E1523" i="18"/>
  <c r="E1522" i="18"/>
  <c r="E1521" i="18"/>
  <c r="E1520" i="18"/>
  <c r="E1519" i="18"/>
  <c r="E1518" i="18"/>
  <c r="E1517" i="18"/>
  <c r="E1516" i="18"/>
  <c r="E1515" i="18"/>
  <c r="E1514" i="18"/>
  <c r="E1513" i="18"/>
  <c r="E1512" i="18"/>
  <c r="E1511" i="18"/>
  <c r="E1510" i="18"/>
  <c r="E1509" i="18"/>
  <c r="E1508" i="18"/>
  <c r="E1507" i="18"/>
  <c r="E1506" i="18"/>
  <c r="E1505" i="18"/>
  <c r="E1504" i="18"/>
  <c r="E1503" i="18"/>
  <c r="E1502" i="18"/>
  <c r="E1501" i="18"/>
  <c r="E1500" i="18"/>
  <c r="E1499" i="18"/>
  <c r="E1498" i="18"/>
  <c r="E1497" i="18"/>
  <c r="E1496" i="18"/>
  <c r="E1495" i="18"/>
  <c r="E1494" i="18"/>
  <c r="E1493" i="18"/>
  <c r="E1492" i="18"/>
  <c r="E1491" i="18"/>
  <c r="E1490" i="18"/>
  <c r="E1489" i="18"/>
  <c r="E1488" i="18"/>
  <c r="E1487" i="18"/>
  <c r="E1486" i="18"/>
  <c r="E1485" i="18"/>
  <c r="E1484" i="18"/>
  <c r="E1483" i="18"/>
  <c r="E1482" i="18"/>
  <c r="E1481" i="18"/>
  <c r="E1480" i="18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58" i="18"/>
  <c r="E854" i="18"/>
  <c r="E853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792" i="18"/>
  <c r="E791" i="18"/>
  <c r="E759" i="18"/>
  <c r="E753" i="18"/>
  <c r="E747" i="18"/>
  <c r="E741" i="18"/>
  <c r="E735" i="18"/>
  <c r="E729" i="18"/>
  <c r="E723" i="18"/>
  <c r="E717" i="18"/>
  <c r="E711" i="18"/>
  <c r="E705" i="18"/>
  <c r="E702" i="18"/>
  <c r="E700" i="18"/>
  <c r="E698" i="18"/>
  <c r="E696" i="18"/>
  <c r="E694" i="18"/>
  <c r="E688" i="18"/>
  <c r="E685" i="18"/>
  <c r="E684" i="18"/>
  <c r="E683" i="18"/>
  <c r="E682" i="18"/>
  <c r="E678" i="18"/>
  <c r="E674" i="18"/>
  <c r="E670" i="18"/>
  <c r="E666" i="18"/>
  <c r="E665" i="18"/>
  <c r="E664" i="18"/>
  <c r="E663" i="18"/>
  <c r="E662" i="18"/>
  <c r="E654" i="18"/>
  <c r="E651" i="18"/>
  <c r="E650" i="18"/>
  <c r="E649" i="18"/>
  <c r="E644" i="18"/>
  <c r="E618" i="18"/>
  <c r="E613" i="18"/>
  <c r="E608" i="18"/>
  <c r="E603" i="18"/>
  <c r="E598" i="18"/>
  <c r="E593" i="18"/>
  <c r="E591" i="18"/>
  <c r="E590" i="18"/>
  <c r="E589" i="18"/>
  <c r="E563" i="18"/>
  <c r="E560" i="18"/>
  <c r="E559" i="18"/>
  <c r="E558" i="18"/>
  <c r="E557" i="18"/>
  <c r="E556" i="18"/>
  <c r="E555" i="18"/>
  <c r="E554" i="18"/>
  <c r="E553" i="18"/>
  <c r="E552" i="18"/>
  <c r="E538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4" i="18"/>
  <c r="E509" i="18"/>
  <c r="E504" i="18"/>
  <c r="E498" i="18"/>
  <c r="E492" i="18"/>
  <c r="E480" i="18"/>
  <c r="E474" i="18"/>
  <c r="E468" i="18"/>
  <c r="E432" i="18"/>
  <c r="E402" i="18"/>
  <c r="E396" i="18"/>
  <c r="E372" i="18"/>
  <c r="E366" i="18"/>
  <c r="E360" i="18"/>
  <c r="E354" i="18"/>
  <c r="E348" i="18"/>
  <c r="E342" i="18"/>
  <c r="E336" i="18"/>
  <c r="E330" i="18"/>
  <c r="E324" i="18"/>
  <c r="E318" i="18"/>
  <c r="E312" i="18"/>
  <c r="E306" i="18"/>
  <c r="E303" i="18"/>
  <c r="E300" i="18"/>
  <c r="E297" i="18"/>
  <c r="E294" i="18"/>
  <c r="E291" i="18"/>
  <c r="E288" i="18"/>
  <c r="E285" i="18"/>
  <c r="E282" i="18"/>
  <c r="E279" i="18"/>
  <c r="E276" i="18"/>
  <c r="E271" i="18"/>
  <c r="E266" i="18"/>
  <c r="E261" i="18"/>
  <c r="E256" i="18"/>
  <c r="E241" i="18"/>
  <c r="E240" i="18"/>
  <c r="E236" i="18"/>
  <c r="E234" i="18"/>
  <c r="E232" i="18"/>
  <c r="E230" i="18"/>
  <c r="E229" i="18"/>
  <c r="E228" i="18"/>
  <c r="E202" i="18"/>
  <c r="E197" i="18"/>
  <c r="E194" i="18"/>
  <c r="E192" i="18"/>
  <c r="E190" i="18"/>
  <c r="E180" i="18"/>
  <c r="E176" i="18"/>
  <c r="E172" i="18"/>
  <c r="E168" i="18"/>
  <c r="E164" i="18"/>
  <c r="E160" i="18"/>
  <c r="E157" i="18"/>
  <c r="E154" i="18"/>
  <c r="E151" i="18"/>
  <c r="E148" i="18"/>
  <c r="E145" i="18"/>
  <c r="E142" i="18"/>
  <c r="E141" i="18"/>
  <c r="E140" i="18"/>
  <c r="E139" i="18"/>
  <c r="E138" i="18"/>
  <c r="E137" i="18"/>
  <c r="E136" i="18"/>
  <c r="E135" i="18"/>
  <c r="E132" i="18"/>
  <c r="E124" i="18"/>
  <c r="E121" i="18"/>
  <c r="E120" i="18"/>
  <c r="E119" i="18"/>
  <c r="E118" i="18"/>
  <c r="E117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3" i="18"/>
  <c r="E22" i="18"/>
  <c r="E21" i="18"/>
  <c r="E20" i="18"/>
  <c r="E686" i="1"/>
  <c r="E687" i="1"/>
  <c r="E693" i="1"/>
  <c r="E692" i="1"/>
  <c r="E691" i="1"/>
  <c r="E690" i="1"/>
  <c r="E689" i="1"/>
  <c r="E681" i="1"/>
  <c r="E680" i="1"/>
  <c r="E679" i="1"/>
  <c r="E677" i="1"/>
  <c r="E676" i="1"/>
  <c r="E675" i="1"/>
  <c r="E673" i="1"/>
  <c r="E672" i="1"/>
  <c r="E671" i="1"/>
  <c r="E669" i="1"/>
  <c r="E668" i="1"/>
  <c r="E667" i="1"/>
  <c r="E661" i="1"/>
  <c r="E660" i="1"/>
  <c r="E659" i="1"/>
  <c r="E658" i="1"/>
  <c r="E657" i="1"/>
  <c r="E656" i="1"/>
  <c r="E655" i="1"/>
  <c r="E653" i="1"/>
  <c r="E652" i="1"/>
  <c r="E648" i="1"/>
  <c r="E647" i="1"/>
  <c r="E646" i="1"/>
  <c r="E645" i="1"/>
  <c r="E617" i="1"/>
  <c r="E612" i="1"/>
  <c r="E607" i="1"/>
  <c r="E602" i="1"/>
  <c r="E597" i="1"/>
  <c r="E616" i="1"/>
  <c r="E615" i="1"/>
  <c r="E611" i="1"/>
  <c r="E610" i="1"/>
  <c r="E606" i="1"/>
  <c r="E605" i="1"/>
  <c r="E601" i="1"/>
  <c r="E600" i="1"/>
  <c r="E596" i="1"/>
  <c r="E595" i="1"/>
  <c r="E592" i="1"/>
  <c r="E562" i="1"/>
  <c r="E561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7" i="1"/>
  <c r="E536" i="1"/>
  <c r="E535" i="1"/>
  <c r="E534" i="1"/>
  <c r="E518" i="1"/>
  <c r="E517" i="1"/>
  <c r="E516" i="1"/>
  <c r="E515" i="1"/>
  <c r="E513" i="1"/>
  <c r="E512" i="1"/>
  <c r="E511" i="1"/>
  <c r="E510" i="1"/>
  <c r="E507" i="1"/>
  <c r="E506" i="1"/>
  <c r="E505" i="1"/>
  <c r="E508" i="1"/>
  <c r="E255" i="1"/>
  <c r="E239" i="1"/>
  <c r="E242" i="1"/>
  <c r="E238" i="1"/>
  <c r="E201" i="1"/>
  <c r="E200" i="1"/>
  <c r="E188" i="1"/>
  <c r="E187" i="1"/>
  <c r="E186" i="1"/>
  <c r="E185" i="1"/>
  <c r="E183" i="1"/>
  <c r="E179" i="1"/>
  <c r="E175" i="1"/>
  <c r="E171" i="1"/>
  <c r="E167" i="1"/>
  <c r="E163" i="1"/>
  <c r="E181" i="1"/>
  <c r="E177" i="1"/>
  <c r="E173" i="1"/>
  <c r="E169" i="1"/>
  <c r="E165" i="1"/>
  <c r="E161" i="1"/>
  <c r="E158" i="1"/>
  <c r="E155" i="1"/>
  <c r="E152" i="1"/>
  <c r="E149" i="1"/>
  <c r="E146" i="1"/>
  <c r="E143" i="1"/>
  <c r="E144" i="1"/>
  <c r="E147" i="1"/>
  <c r="E150" i="1"/>
  <c r="E153" i="1"/>
  <c r="E156" i="1"/>
  <c r="E159" i="1"/>
  <c r="E182" i="1"/>
  <c r="E178" i="1"/>
  <c r="E174" i="1"/>
  <c r="E170" i="1"/>
  <c r="E166" i="1"/>
  <c r="E162" i="1"/>
  <c r="E191" i="1"/>
  <c r="E25" i="1"/>
  <c r="E196" i="1"/>
  <c r="E195" i="1"/>
  <c r="E193" i="1"/>
  <c r="E134" i="1"/>
  <c r="E133" i="1"/>
  <c r="E131" i="1"/>
  <c r="E130" i="1"/>
  <c r="E123" i="1"/>
  <c r="E127" i="1"/>
  <c r="E125" i="1"/>
  <c r="E29" i="1"/>
  <c r="E28" i="1"/>
  <c r="E27" i="1"/>
  <c r="E26" i="1"/>
  <c r="E2466" i="1"/>
  <c r="E2465" i="1"/>
  <c r="E2464" i="1"/>
  <c r="E2463" i="1"/>
  <c r="E2462" i="1"/>
  <c r="E2460" i="1"/>
  <c r="E2459" i="1"/>
  <c r="E2458" i="1"/>
  <c r="E2457" i="1"/>
  <c r="E2456" i="1"/>
  <c r="E2454" i="1"/>
  <c r="E2453" i="1"/>
  <c r="E2452" i="1"/>
  <c r="E2451" i="1"/>
  <c r="E2450" i="1"/>
  <c r="E2448" i="1"/>
  <c r="E2447" i="1"/>
  <c r="E2446" i="1"/>
  <c r="E2445" i="1"/>
  <c r="E2444" i="1"/>
  <c r="E2442" i="1"/>
  <c r="E2441" i="1"/>
  <c r="E2440" i="1"/>
  <c r="E2439" i="1"/>
  <c r="E2438" i="1"/>
  <c r="E2436" i="1"/>
  <c r="E2435" i="1"/>
  <c r="E2434" i="1"/>
  <c r="E2433" i="1"/>
  <c r="E2432" i="1"/>
  <c r="E2430" i="1"/>
  <c r="E2429" i="1"/>
  <c r="E2428" i="1"/>
  <c r="E2427" i="1"/>
  <c r="E2426" i="1"/>
  <c r="E2424" i="1"/>
  <c r="E2423" i="1"/>
  <c r="E2422" i="1"/>
  <c r="E2421" i="1"/>
  <c r="E2420" i="1"/>
  <c r="E2418" i="1"/>
  <c r="E2417" i="1"/>
  <c r="E2416" i="1"/>
  <c r="E2415" i="1"/>
  <c r="E2414" i="1"/>
  <c r="E2412" i="1"/>
  <c r="E2411" i="1"/>
  <c r="E2410" i="1"/>
  <c r="E2409" i="1"/>
  <c r="E2408" i="1"/>
  <c r="E2406" i="1"/>
  <c r="E2405" i="1"/>
  <c r="E2404" i="1"/>
  <c r="E2402" i="1"/>
  <c r="E2401" i="1"/>
  <c r="E2400" i="1"/>
  <c r="E2398" i="1"/>
  <c r="E2397" i="1"/>
  <c r="E2396" i="1"/>
  <c r="E2394" i="1"/>
  <c r="E2393" i="1"/>
  <c r="E2392" i="1"/>
  <c r="E2390" i="1"/>
  <c r="E2389" i="1"/>
  <c r="E2388" i="1"/>
  <c r="E2386" i="1"/>
  <c r="E2385" i="1"/>
  <c r="E2384" i="1"/>
  <c r="E2382" i="1"/>
  <c r="E2381" i="1"/>
  <c r="E2380" i="1"/>
  <c r="E2378" i="1"/>
  <c r="E2377" i="1"/>
  <c r="E2376" i="1"/>
  <c r="E2374" i="1"/>
  <c r="E2373" i="1"/>
  <c r="E2372" i="1"/>
  <c r="E2370" i="1"/>
  <c r="E2369" i="1"/>
  <c r="E2368" i="1"/>
  <c r="E2366" i="1"/>
  <c r="E2365" i="1"/>
  <c r="E2364" i="1"/>
  <c r="E2362" i="1"/>
  <c r="E2361" i="1"/>
  <c r="E2360" i="1"/>
  <c r="E2358" i="1"/>
  <c r="E2357" i="1"/>
  <c r="E2356" i="1"/>
  <c r="E2354" i="1"/>
  <c r="E2353" i="1"/>
  <c r="E2352" i="1"/>
  <c r="E2350" i="1"/>
  <c r="E2349" i="1"/>
  <c r="E2348" i="1"/>
  <c r="E2346" i="1"/>
  <c r="E2345" i="1"/>
  <c r="E2344" i="1"/>
  <c r="E2342" i="1"/>
  <c r="E2341" i="1"/>
  <c r="E2340" i="1"/>
  <c r="E2338" i="1"/>
  <c r="E2337" i="1"/>
  <c r="E2336" i="1"/>
  <c r="E2334" i="1"/>
  <c r="E2333" i="1"/>
  <c r="E2332" i="1"/>
  <c r="E2330" i="1"/>
  <c r="E2329" i="1"/>
  <c r="E2328" i="1"/>
  <c r="E2326" i="1"/>
  <c r="E2325" i="1"/>
  <c r="E2324" i="1"/>
  <c r="E2322" i="1"/>
  <c r="E2321" i="1"/>
  <c r="E2320" i="1"/>
  <c r="E2319" i="1"/>
  <c r="E2318" i="1"/>
  <c r="E2316" i="1"/>
  <c r="E2315" i="1"/>
  <c r="E2314" i="1"/>
  <c r="E2313" i="1"/>
  <c r="E2312" i="1"/>
  <c r="E2310" i="1"/>
  <c r="E2309" i="1"/>
  <c r="E2308" i="1"/>
  <c r="E2307" i="1"/>
  <c r="E2306" i="1"/>
  <c r="E2304" i="1"/>
  <c r="E2303" i="1"/>
  <c r="E2302" i="1"/>
  <c r="E2301" i="1"/>
  <c r="E2300" i="1"/>
  <c r="E2298" i="1"/>
  <c r="E2297" i="1"/>
  <c r="E2296" i="1"/>
  <c r="E2295" i="1"/>
  <c r="E2294" i="1"/>
  <c r="E2292" i="1"/>
  <c r="E2291" i="1"/>
  <c r="E2290" i="1"/>
  <c r="E2288" i="1"/>
  <c r="E2287" i="1"/>
  <c r="E2286" i="1"/>
  <c r="E2284" i="1"/>
  <c r="E2283" i="1"/>
  <c r="E2282" i="1"/>
  <c r="E2280" i="1"/>
  <c r="E2279" i="1"/>
  <c r="E2278" i="1"/>
  <c r="E2276" i="1"/>
  <c r="E2275" i="1"/>
  <c r="E2274" i="1"/>
  <c r="E2272" i="1"/>
  <c r="E2271" i="1"/>
  <c r="E2270" i="1"/>
  <c r="E2268" i="1"/>
  <c r="E2267" i="1"/>
  <c r="E2266" i="1"/>
  <c r="E2264" i="1"/>
  <c r="E2263" i="1"/>
  <c r="E2262" i="1"/>
  <c r="E2260" i="1"/>
  <c r="E2259" i="1"/>
  <c r="E2258" i="1"/>
  <c r="E2256" i="1"/>
  <c r="E2255" i="1"/>
  <c r="E2254" i="1"/>
  <c r="E2252" i="1"/>
  <c r="E2251" i="1"/>
  <c r="E2250" i="1"/>
  <c r="E2248" i="1"/>
  <c r="E2247" i="1"/>
  <c r="E2246" i="1"/>
  <c r="E2244" i="1"/>
  <c r="E2243" i="1"/>
  <c r="E2242" i="1"/>
  <c r="E2241" i="1"/>
  <c r="E2240" i="1"/>
  <c r="E2238" i="1"/>
  <c r="E2237" i="1"/>
  <c r="E2236" i="1"/>
  <c r="E2235" i="1"/>
  <c r="E2234" i="1"/>
  <c r="E2232" i="1"/>
  <c r="E2231" i="1"/>
  <c r="E2230" i="1"/>
  <c r="E2229" i="1"/>
  <c r="E2228" i="1"/>
  <c r="E2226" i="1"/>
  <c r="E2225" i="1"/>
  <c r="E2224" i="1"/>
  <c r="E2223" i="1"/>
  <c r="E2222" i="1"/>
  <c r="E2220" i="1"/>
  <c r="E2219" i="1"/>
  <c r="E2218" i="1"/>
  <c r="E2217" i="1"/>
  <c r="E2216" i="1"/>
  <c r="E2214" i="1"/>
  <c r="E2213" i="1"/>
  <c r="E2212" i="1"/>
  <c r="E2210" i="1"/>
  <c r="E2209" i="1"/>
  <c r="E2208" i="1"/>
  <c r="E2206" i="1"/>
  <c r="E2205" i="1"/>
  <c r="E2204" i="1"/>
  <c r="E2202" i="1"/>
  <c r="E2201" i="1"/>
  <c r="E2200" i="1"/>
  <c r="E2198" i="1"/>
  <c r="E2197" i="1"/>
  <c r="E2196" i="1"/>
  <c r="E2194" i="1"/>
  <c r="E2193" i="1"/>
  <c r="E2192" i="1"/>
  <c r="E2190" i="1"/>
  <c r="E2189" i="1"/>
  <c r="E2188" i="1"/>
  <c r="E2186" i="1"/>
  <c r="E2185" i="1"/>
  <c r="E2184" i="1"/>
  <c r="E2182" i="1"/>
  <c r="E2181" i="1"/>
  <c r="E2180" i="1"/>
  <c r="E2179" i="1"/>
  <c r="E2178" i="1"/>
  <c r="E2176" i="1"/>
  <c r="E2175" i="1"/>
  <c r="E2174" i="1"/>
  <c r="E2173" i="1"/>
  <c r="E2172" i="1"/>
  <c r="E2170" i="1"/>
  <c r="E2169" i="1"/>
  <c r="E2168" i="1"/>
  <c r="E2167" i="1"/>
  <c r="E2166" i="1"/>
  <c r="E2164" i="1"/>
  <c r="E2163" i="1"/>
  <c r="E2162" i="1"/>
  <c r="E2161" i="1"/>
  <c r="E2160" i="1"/>
  <c r="E2158" i="1"/>
  <c r="E2157" i="1"/>
  <c r="E2156" i="1"/>
  <c r="E2154" i="1"/>
  <c r="E2153" i="1"/>
  <c r="E2152" i="1"/>
  <c r="E2150" i="1"/>
  <c r="E2149" i="1"/>
  <c r="E2148" i="1"/>
  <c r="E2146" i="1"/>
  <c r="E2145" i="1"/>
  <c r="E2144" i="1"/>
  <c r="E2142" i="1"/>
  <c r="E2141" i="1"/>
  <c r="E2140" i="1"/>
  <c r="E2138" i="1"/>
  <c r="E2137" i="1"/>
  <c r="E2136" i="1"/>
  <c r="E2134" i="1"/>
  <c r="E2133" i="1"/>
  <c r="E2132" i="1"/>
  <c r="E2130" i="1"/>
  <c r="E2129" i="1"/>
  <c r="E2128" i="1"/>
  <c r="E2126" i="1"/>
  <c r="E2125" i="1"/>
  <c r="E2124" i="1"/>
  <c r="E2123" i="1"/>
  <c r="E2122" i="1"/>
  <c r="E2120" i="1"/>
  <c r="E2119" i="1"/>
  <c r="E2118" i="1"/>
  <c r="E2117" i="1"/>
  <c r="E2116" i="1"/>
  <c r="E2114" i="1"/>
  <c r="E2113" i="1"/>
  <c r="E2112" i="1"/>
  <c r="E2111" i="1"/>
  <c r="E2110" i="1"/>
  <c r="E2107" i="1"/>
  <c r="E2104" i="1"/>
  <c r="E2102" i="1"/>
  <c r="E2101" i="1"/>
  <c r="E2100" i="1"/>
  <c r="E2099" i="1"/>
  <c r="E2097" i="1"/>
  <c r="E2096" i="1"/>
  <c r="E2095" i="1"/>
  <c r="E2094" i="1"/>
  <c r="E2092" i="1"/>
  <c r="E2091" i="1"/>
  <c r="E2090" i="1"/>
  <c r="E2089" i="1"/>
  <c r="E2087" i="1"/>
  <c r="E2086" i="1"/>
  <c r="E2085" i="1"/>
  <c r="E2084" i="1"/>
  <c r="E2082" i="1"/>
  <c r="E2081" i="1"/>
  <c r="E2080" i="1"/>
  <c r="E2079" i="1"/>
  <c r="E2077" i="1"/>
  <c r="E2076" i="1"/>
  <c r="E2075" i="1"/>
  <c r="E2074" i="1"/>
  <c r="E2072" i="1"/>
  <c r="E2071" i="1"/>
  <c r="E2070" i="1"/>
  <c r="E2069" i="1"/>
  <c r="E2067" i="1"/>
  <c r="E2066" i="1"/>
  <c r="E2065" i="1"/>
  <c r="E2064" i="1"/>
  <c r="E2062" i="1"/>
  <c r="E2061" i="1"/>
  <c r="E2060" i="1"/>
  <c r="E2059" i="1"/>
  <c r="E2056" i="1"/>
  <c r="E2051" i="1"/>
  <c r="E2057" i="1"/>
  <c r="E2055" i="1"/>
  <c r="E2054" i="1"/>
  <c r="E2052" i="1"/>
  <c r="E2050" i="1"/>
  <c r="E2049" i="1"/>
  <c r="E2047" i="1"/>
  <c r="E2046" i="1"/>
  <c r="E2045" i="1"/>
  <c r="E2043" i="1"/>
  <c r="E2042" i="1"/>
  <c r="E2041" i="1"/>
  <c r="E2039" i="1"/>
  <c r="E2038" i="1"/>
  <c r="E2037" i="1"/>
  <c r="E2035" i="1"/>
  <c r="E2034" i="1"/>
  <c r="E2033" i="1"/>
  <c r="E2031" i="1"/>
  <c r="E2030" i="1"/>
  <c r="E2029" i="1"/>
  <c r="E2027" i="1"/>
  <c r="E2026" i="1"/>
  <c r="E2025" i="1"/>
  <c r="E2023" i="1"/>
  <c r="E2022" i="1"/>
  <c r="E2021" i="1"/>
  <c r="E2019" i="1"/>
  <c r="E2018" i="1"/>
  <c r="E2017" i="1"/>
  <c r="E2015" i="1"/>
  <c r="E2014" i="1"/>
  <c r="E2013" i="1"/>
  <c r="E2011" i="1"/>
  <c r="E2010" i="1"/>
  <c r="E2009" i="1"/>
  <c r="E2007" i="1"/>
  <c r="E2006" i="1"/>
  <c r="E2005" i="1"/>
  <c r="E2003" i="1"/>
  <c r="E2002" i="1"/>
  <c r="E2001" i="1"/>
  <c r="E1999" i="1"/>
  <c r="E1998" i="1"/>
  <c r="E1997" i="1"/>
  <c r="E1995" i="1"/>
  <c r="E1994" i="1"/>
  <c r="E1993" i="1"/>
  <c r="E1991" i="1"/>
  <c r="E1990" i="1"/>
  <c r="E1989" i="1"/>
  <c r="E1983" i="1"/>
  <c r="E1982" i="1"/>
  <c r="E1981" i="1"/>
  <c r="E1975" i="1"/>
  <c r="E1974" i="1"/>
  <c r="E1973" i="1"/>
  <c r="E1971" i="1"/>
  <c r="E1970" i="1"/>
  <c r="E1969" i="1"/>
  <c r="E1967" i="1"/>
  <c r="E1966" i="1"/>
  <c r="E1965" i="1"/>
  <c r="E1959" i="1"/>
  <c r="E1958" i="1"/>
  <c r="E1957" i="1"/>
  <c r="E1955" i="1"/>
  <c r="E1954" i="1"/>
  <c r="E1953" i="1"/>
  <c r="E1951" i="1"/>
  <c r="E1950" i="1"/>
  <c r="E1949" i="1"/>
  <c r="E1947" i="1"/>
  <c r="E1946" i="1"/>
  <c r="E1945" i="1"/>
  <c r="E1943" i="1"/>
  <c r="E1942" i="1"/>
  <c r="E1941" i="1"/>
  <c r="E1939" i="1"/>
  <c r="E1938" i="1"/>
  <c r="E1937" i="1"/>
  <c r="E1934" i="1"/>
  <c r="E1933" i="1"/>
  <c r="E1935" i="1"/>
  <c r="E789" i="1"/>
  <c r="E790" i="1"/>
  <c r="E806" i="1"/>
  <c r="E793" i="1"/>
  <c r="E1790" i="1"/>
  <c r="E1931" i="1"/>
  <c r="E1930" i="1"/>
  <c r="E1929" i="1"/>
  <c r="E1927" i="1"/>
  <c r="E1926" i="1"/>
  <c r="E1925" i="1"/>
  <c r="E1923" i="1"/>
  <c r="E1922" i="1"/>
  <c r="E1921" i="1"/>
  <c r="E1918" i="1"/>
  <c r="E1917" i="1"/>
  <c r="E1913" i="1"/>
  <c r="E1911" i="1"/>
  <c r="E1910" i="1"/>
  <c r="E1909" i="1"/>
  <c r="E1907" i="1"/>
  <c r="E1906" i="1"/>
  <c r="E1905" i="1"/>
  <c r="E1903" i="1"/>
  <c r="E1902" i="1"/>
  <c r="E1901" i="1"/>
  <c r="E1899" i="1"/>
  <c r="E1898" i="1"/>
  <c r="E1897" i="1"/>
  <c r="E1893" i="1"/>
  <c r="E1891" i="1"/>
  <c r="E1890" i="1"/>
  <c r="E1889" i="1"/>
  <c r="E1887" i="1"/>
  <c r="E1886" i="1"/>
  <c r="E1885" i="1"/>
  <c r="E1883" i="1"/>
  <c r="E1882" i="1"/>
  <c r="E1881" i="1"/>
  <c r="E1879" i="1"/>
  <c r="E1878" i="1"/>
  <c r="E1877" i="1"/>
  <c r="E1875" i="1"/>
  <c r="E1874" i="1"/>
  <c r="E1873" i="1"/>
  <c r="E1871" i="1"/>
  <c r="E1870" i="1"/>
  <c r="E1869" i="1"/>
  <c r="E1867" i="1"/>
  <c r="E1866" i="1"/>
  <c r="E1865" i="1"/>
  <c r="E1863" i="1"/>
  <c r="E1862" i="1"/>
  <c r="E1861" i="1"/>
  <c r="E1859" i="1"/>
  <c r="E1858" i="1"/>
  <c r="E1857" i="1"/>
  <c r="E1855" i="1"/>
  <c r="E1854" i="1"/>
  <c r="E1853" i="1"/>
  <c r="E1851" i="1"/>
  <c r="E1850" i="1"/>
  <c r="E1849" i="1"/>
  <c r="E1847" i="1"/>
  <c r="E1846" i="1"/>
  <c r="E1845" i="1"/>
  <c r="E1843" i="1"/>
  <c r="E1842" i="1"/>
  <c r="E1841" i="1"/>
  <c r="E1840" i="1"/>
  <c r="E1838" i="1"/>
  <c r="E1837" i="1"/>
  <c r="E1836" i="1"/>
  <c r="E1834" i="1"/>
  <c r="E1833" i="1"/>
  <c r="E1832" i="1"/>
  <c r="E1830" i="1"/>
  <c r="E1829" i="1"/>
  <c r="E1828" i="1"/>
  <c r="E1826" i="1"/>
  <c r="E1825" i="1"/>
  <c r="E1824" i="1"/>
  <c r="E1822" i="1"/>
  <c r="E1821" i="1"/>
  <c r="E1820" i="1"/>
  <c r="E1818" i="1"/>
  <c r="E1817" i="1"/>
  <c r="E1816" i="1"/>
  <c r="E1814" i="1"/>
  <c r="E1813" i="1"/>
  <c r="E1812" i="1"/>
  <c r="E1810" i="1"/>
  <c r="E1809" i="1"/>
  <c r="E1808" i="1"/>
  <c r="E1806" i="1"/>
  <c r="E1805" i="1"/>
  <c r="E1804" i="1"/>
  <c r="E1802" i="1"/>
  <c r="E1801" i="1"/>
  <c r="E1800" i="1"/>
  <c r="E1798" i="1"/>
  <c r="E1797" i="1"/>
  <c r="E1796" i="1"/>
  <c r="E1794" i="1"/>
  <c r="E1779" i="1"/>
  <c r="E1793" i="1"/>
  <c r="E1792" i="1"/>
  <c r="E1789" i="1"/>
  <c r="E1787" i="1"/>
  <c r="E1786" i="1"/>
  <c r="E1784" i="1"/>
  <c r="E1783" i="1"/>
  <c r="E1778" i="1"/>
  <c r="E1777" i="1"/>
  <c r="E1775" i="1"/>
  <c r="E1774" i="1"/>
  <c r="E1773" i="1"/>
  <c r="E1772" i="1"/>
  <c r="E1771" i="1"/>
  <c r="E1770" i="1"/>
  <c r="E1769" i="1"/>
  <c r="E1757" i="1"/>
  <c r="E1756" i="1"/>
  <c r="E1754" i="1"/>
  <c r="E1753" i="1"/>
  <c r="E1751" i="1"/>
  <c r="E1750" i="1"/>
  <c r="E1748" i="1"/>
  <c r="E1747" i="1"/>
  <c r="E1745" i="1"/>
  <c r="E1744" i="1"/>
  <c r="E1742" i="1"/>
  <c r="E1741" i="1"/>
  <c r="E1739" i="1"/>
  <c r="E1738" i="1"/>
  <c r="E1683" i="1"/>
  <c r="E1673" i="1"/>
  <c r="E1672" i="1"/>
  <c r="E1649" i="1"/>
  <c r="E1641" i="1"/>
  <c r="E1640" i="1"/>
  <c r="E1656" i="1"/>
  <c r="E1661" i="1"/>
  <c r="E1657" i="1"/>
  <c r="E1653" i="1"/>
  <c r="E1645" i="1"/>
  <c r="E1659" i="1"/>
  <c r="E1655" i="1"/>
  <c r="E1651" i="1"/>
  <c r="E1647" i="1"/>
  <c r="E1643" i="1"/>
  <c r="E1660" i="1"/>
  <c r="E1652" i="1"/>
  <c r="E1648" i="1"/>
  <c r="E1644" i="1"/>
  <c r="E1639" i="1"/>
  <c r="E1638" i="1"/>
  <c r="E1637" i="1"/>
  <c r="E1636" i="1"/>
  <c r="E1635" i="1"/>
  <c r="E1633" i="1"/>
  <c r="E1632" i="1"/>
  <c r="E1626" i="1"/>
  <c r="E861" i="1"/>
  <c r="E860" i="1"/>
  <c r="E859" i="1"/>
  <c r="E857" i="1"/>
  <c r="E856" i="1"/>
  <c r="E855" i="1"/>
  <c r="E805" i="1"/>
  <c r="E804" i="1"/>
  <c r="E803" i="1"/>
  <c r="E802" i="1"/>
  <c r="E800" i="1"/>
  <c r="E799" i="1"/>
  <c r="E798" i="1"/>
  <c r="E797" i="1"/>
  <c r="E796" i="1"/>
  <c r="E795" i="1"/>
  <c r="E794" i="1"/>
  <c r="E704" i="1"/>
  <c r="E703" i="1"/>
  <c r="E701" i="1"/>
  <c r="E699" i="1"/>
  <c r="E697" i="1"/>
  <c r="E695" i="1"/>
  <c r="E752" i="1"/>
  <c r="E751" i="1"/>
  <c r="E750" i="1"/>
  <c r="E749" i="1"/>
  <c r="E748" i="1"/>
  <c r="E746" i="1"/>
  <c r="E745" i="1"/>
  <c r="E744" i="1"/>
  <c r="E743" i="1"/>
  <c r="E742" i="1"/>
  <c r="E740" i="1"/>
  <c r="E739" i="1"/>
  <c r="E738" i="1"/>
  <c r="E737" i="1"/>
  <c r="E736" i="1"/>
  <c r="E734" i="1"/>
  <c r="E733" i="1"/>
  <c r="E732" i="1"/>
  <c r="E731" i="1"/>
  <c r="E730" i="1"/>
  <c r="E728" i="1"/>
  <c r="E727" i="1"/>
  <c r="E726" i="1"/>
  <c r="E725" i="1"/>
  <c r="E724" i="1"/>
  <c r="E722" i="1"/>
  <c r="E721" i="1"/>
  <c r="E720" i="1"/>
  <c r="E719" i="1"/>
  <c r="E718" i="1"/>
  <c r="E716" i="1"/>
  <c r="E715" i="1"/>
  <c r="E714" i="1"/>
  <c r="E713" i="1"/>
  <c r="E712" i="1"/>
  <c r="E710" i="1"/>
  <c r="E709" i="1"/>
  <c r="E708" i="1"/>
  <c r="E707" i="1"/>
  <c r="E706" i="1"/>
  <c r="E758" i="1"/>
  <c r="E757" i="1"/>
  <c r="E756" i="1"/>
  <c r="E755" i="1"/>
  <c r="E754" i="1"/>
  <c r="E764" i="1"/>
  <c r="E763" i="1"/>
  <c r="E762" i="1"/>
  <c r="E761" i="1"/>
  <c r="E760" i="1"/>
  <c r="E770" i="1"/>
  <c r="E769" i="1"/>
  <c r="E768" i="1"/>
  <c r="E767" i="1"/>
  <c r="E766" i="1"/>
  <c r="E776" i="1"/>
  <c r="E775" i="1"/>
  <c r="E774" i="1"/>
  <c r="E773" i="1"/>
  <c r="E772" i="1"/>
  <c r="E503" i="1"/>
  <c r="E502" i="1"/>
  <c r="E501" i="1"/>
  <c r="E500" i="1"/>
  <c r="E499" i="1"/>
  <c r="E497" i="1"/>
  <c r="E496" i="1"/>
  <c r="E495" i="1"/>
  <c r="E494" i="1"/>
  <c r="E493" i="1"/>
  <c r="E485" i="1"/>
  <c r="E484" i="1"/>
  <c r="E483" i="1"/>
  <c r="E482" i="1"/>
  <c r="E481" i="1"/>
  <c r="E479" i="1"/>
  <c r="E478" i="1"/>
  <c r="E477" i="1"/>
  <c r="E476" i="1"/>
  <c r="E475" i="1"/>
  <c r="E473" i="1"/>
  <c r="E472" i="1"/>
  <c r="E471" i="1"/>
  <c r="E470" i="1"/>
  <c r="E469" i="1"/>
  <c r="E437" i="1"/>
  <c r="E435" i="1"/>
  <c r="E431" i="1"/>
  <c r="E430" i="1"/>
  <c r="E429" i="1"/>
  <c r="E428" i="1"/>
  <c r="E427" i="1"/>
  <c r="E425" i="1"/>
  <c r="E424" i="1"/>
  <c r="E423" i="1"/>
  <c r="E422" i="1"/>
  <c r="E421" i="1"/>
  <c r="E407" i="1"/>
  <c r="E406" i="1"/>
  <c r="E405" i="1"/>
  <c r="E404" i="1"/>
  <c r="E403" i="1"/>
  <c r="E401" i="1"/>
  <c r="E400" i="1"/>
  <c r="E399" i="1"/>
  <c r="E398" i="1"/>
  <c r="E397" i="1"/>
  <c r="E383" i="1"/>
  <c r="E377" i="1"/>
  <c r="E376" i="1"/>
  <c r="E375" i="1"/>
  <c r="E374" i="1"/>
  <c r="E373" i="1"/>
  <c r="E371" i="1"/>
  <c r="E370" i="1"/>
  <c r="E369" i="1"/>
  <c r="E368" i="1"/>
  <c r="E367" i="1"/>
  <c r="E365" i="1"/>
  <c r="E364" i="1"/>
  <c r="E363" i="1"/>
  <c r="E362" i="1"/>
  <c r="E361" i="1"/>
  <c r="E358" i="1"/>
  <c r="E359" i="1"/>
  <c r="E357" i="1"/>
  <c r="E355" i="1"/>
  <c r="E356" i="1"/>
  <c r="E353" i="1"/>
  <c r="E352" i="1"/>
  <c r="E351" i="1"/>
  <c r="E350" i="1"/>
  <c r="E349" i="1"/>
  <c r="E347" i="1"/>
  <c r="E346" i="1"/>
  <c r="E345" i="1"/>
  <c r="E344" i="1"/>
  <c r="E343" i="1"/>
  <c r="E341" i="1"/>
  <c r="E340" i="1"/>
  <c r="E339" i="1"/>
  <c r="E338" i="1"/>
  <c r="E337" i="1"/>
  <c r="E335" i="1"/>
  <c r="E334" i="1"/>
  <c r="E333" i="1"/>
  <c r="E332" i="1"/>
  <c r="E331" i="1"/>
  <c r="E329" i="1"/>
  <c r="E328" i="1"/>
  <c r="E327" i="1"/>
  <c r="E326" i="1"/>
  <c r="E325" i="1"/>
  <c r="E323" i="1"/>
  <c r="E322" i="1"/>
  <c r="E321" i="1"/>
  <c r="E320" i="1"/>
  <c r="E319" i="1"/>
  <c r="E317" i="1"/>
  <c r="E316" i="1"/>
  <c r="E315" i="1"/>
  <c r="E314" i="1"/>
  <c r="E313" i="1"/>
  <c r="E308" i="1"/>
  <c r="E309" i="1"/>
  <c r="E310" i="1"/>
  <c r="E311" i="1"/>
  <c r="E307" i="1"/>
  <c r="E302" i="1"/>
  <c r="E305" i="1"/>
  <c r="E304" i="1"/>
  <c r="E301" i="1"/>
  <c r="E299" i="1"/>
  <c r="E298" i="1"/>
  <c r="E296" i="1"/>
  <c r="E295" i="1"/>
  <c r="E293" i="1"/>
  <c r="E292" i="1"/>
  <c r="E290" i="1"/>
  <c r="E289" i="1"/>
  <c r="E287" i="1"/>
  <c r="E286" i="1"/>
  <c r="E284" i="1"/>
  <c r="E283" i="1"/>
  <c r="E281" i="1"/>
  <c r="E280" i="1"/>
  <c r="E278" i="1"/>
  <c r="E277" i="1"/>
  <c r="E275" i="1"/>
  <c r="E274" i="1"/>
  <c r="E273" i="1"/>
  <c r="E272" i="1"/>
  <c r="E270" i="1"/>
  <c r="E269" i="1"/>
  <c r="E268" i="1"/>
  <c r="E267" i="1"/>
  <c r="E265" i="1"/>
  <c r="E264" i="1"/>
  <c r="E263" i="1"/>
  <c r="E262" i="1"/>
  <c r="E257" i="1"/>
  <c r="E260" i="1"/>
  <c r="E259" i="1"/>
  <c r="E258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35" i="1"/>
  <c r="E233" i="1"/>
  <c r="E237" i="1"/>
  <c r="E231" i="1"/>
  <c r="E129" i="1"/>
  <c r="E128" i="1"/>
  <c r="E126" i="1"/>
  <c r="E122" i="1"/>
  <c r="E70" i="1"/>
  <c r="G3" i="22"/>
  <c r="G2" i="22"/>
  <c r="B3" i="22"/>
  <c r="B4" i="22"/>
  <c r="B2" i="22"/>
  <c r="F19" i="7"/>
  <c r="E774" i="18" l="1"/>
  <c r="E775" i="18"/>
  <c r="E776" i="18"/>
  <c r="E766" i="18"/>
  <c r="E767" i="18"/>
  <c r="E768" i="18"/>
  <c r="E772" i="18"/>
  <c r="E769" i="18"/>
  <c r="E773" i="18"/>
  <c r="E770" i="18"/>
  <c r="E424" i="18"/>
  <c r="E425" i="18"/>
  <c r="E427" i="18"/>
  <c r="E428" i="18"/>
  <c r="E429" i="18"/>
  <c r="E421" i="18"/>
  <c r="E430" i="18"/>
  <c r="E422" i="18"/>
  <c r="E431" i="18"/>
  <c r="E423" i="18"/>
  <c r="Y2500" i="18"/>
  <c r="E260" i="18"/>
  <c r="E269" i="18"/>
  <c r="E280" i="18"/>
  <c r="E292" i="18"/>
  <c r="E305" i="18"/>
  <c r="E314" i="18"/>
  <c r="E323" i="18"/>
  <c r="E333" i="18"/>
  <c r="E343" i="18"/>
  <c r="E352" i="18"/>
  <c r="E362" i="18"/>
  <c r="E371" i="18"/>
  <c r="E381" i="18"/>
  <c r="E403" i="18"/>
  <c r="E434" i="18"/>
  <c r="E473" i="18"/>
  <c r="E483" i="18"/>
  <c r="E499" i="18"/>
  <c r="E761" i="18"/>
  <c r="E758" i="18"/>
  <c r="E714" i="18"/>
  <c r="E724" i="18"/>
  <c r="E733" i="18"/>
  <c r="E743" i="18"/>
  <c r="E752" i="18"/>
  <c r="E795" i="18"/>
  <c r="E803" i="18"/>
  <c r="E861" i="18"/>
  <c r="E1639" i="18"/>
  <c r="E1655" i="18"/>
  <c r="E1641" i="18"/>
  <c r="E1742" i="18"/>
  <c r="E1754" i="18"/>
  <c r="E1774" i="18"/>
  <c r="E1789" i="18"/>
  <c r="E1800" i="18"/>
  <c r="E1810" i="18"/>
  <c r="E1821" i="18"/>
  <c r="E1832" i="18"/>
  <c r="E1842" i="18"/>
  <c r="E1853" i="18"/>
  <c r="E1863" i="18"/>
  <c r="E1874" i="18"/>
  <c r="E1885" i="18"/>
  <c r="E1895" i="18"/>
  <c r="E1906" i="18"/>
  <c r="E1917" i="18"/>
  <c r="E1927" i="18"/>
  <c r="E789" i="18"/>
  <c r="E1942" i="18"/>
  <c r="E1953" i="18"/>
  <c r="E1963" i="18"/>
  <c r="E1974" i="18"/>
  <c r="E1985" i="18"/>
  <c r="E1995" i="18"/>
  <c r="E2006" i="18"/>
  <c r="E2017" i="18"/>
  <c r="E2027" i="18"/>
  <c r="E2038" i="18"/>
  <c r="E2049" i="18"/>
  <c r="E2059" i="18"/>
  <c r="E2069" i="18"/>
  <c r="E2079" i="18"/>
  <c r="E2089" i="18"/>
  <c r="E2099" i="18"/>
  <c r="E2108" i="18"/>
  <c r="E2118" i="18"/>
  <c r="E2128" i="18"/>
  <c r="E2138" i="18"/>
  <c r="E2149" i="18"/>
  <c r="E2160" i="18"/>
  <c r="E2169" i="18"/>
  <c r="E2179" i="18"/>
  <c r="E2189" i="18"/>
  <c r="E2200" i="18"/>
  <c r="E2210" i="18"/>
  <c r="E2220" i="18"/>
  <c r="E2230" i="18"/>
  <c r="E2240" i="18"/>
  <c r="E2250" i="18"/>
  <c r="E2260" i="18"/>
  <c r="E2271" i="18"/>
  <c r="E2282" i="18"/>
  <c r="E2292" i="18"/>
  <c r="E2302" i="18"/>
  <c r="E2312" i="18"/>
  <c r="E2321" i="18"/>
  <c r="E2332" i="18"/>
  <c r="E2342" i="18"/>
  <c r="E2353" i="18"/>
  <c r="E2364" i="18"/>
  <c r="E2374" i="18"/>
  <c r="E2385" i="18"/>
  <c r="E2396" i="18"/>
  <c r="E2406" i="18"/>
  <c r="E2416" i="18"/>
  <c r="E2426" i="18"/>
  <c r="E2435" i="18"/>
  <c r="E2445" i="18"/>
  <c r="E2454" i="18"/>
  <c r="E2464" i="18"/>
  <c r="E127" i="18"/>
  <c r="E196" i="18"/>
  <c r="E178" i="18"/>
  <c r="E143" i="18"/>
  <c r="E169" i="18"/>
  <c r="E179" i="18"/>
  <c r="E198" i="18"/>
  <c r="E508" i="18"/>
  <c r="E515" i="18"/>
  <c r="E539" i="18"/>
  <c r="E547" i="18"/>
  <c r="E594" i="18"/>
  <c r="E606" i="18"/>
  <c r="E602" i="18"/>
  <c r="E652" i="18"/>
  <c r="E661" i="18"/>
  <c r="E676" i="18"/>
  <c r="E692" i="18"/>
  <c r="E70" i="18"/>
  <c r="E235" i="18"/>
  <c r="E250" i="18"/>
  <c r="E257" i="18"/>
  <c r="E270" i="18"/>
  <c r="E281" i="18"/>
  <c r="E293" i="18"/>
  <c r="E302" i="18"/>
  <c r="E315" i="18"/>
  <c r="E325" i="18"/>
  <c r="E334" i="18"/>
  <c r="E344" i="18"/>
  <c r="E353" i="18"/>
  <c r="E363" i="18"/>
  <c r="E373" i="18"/>
  <c r="E382" i="18"/>
  <c r="E404" i="18"/>
  <c r="E435" i="18"/>
  <c r="E475" i="18"/>
  <c r="E484" i="18"/>
  <c r="E500" i="18"/>
  <c r="E762" i="18"/>
  <c r="E706" i="18"/>
  <c r="E715" i="18"/>
  <c r="E725" i="18"/>
  <c r="E734" i="18"/>
  <c r="E744" i="18"/>
  <c r="E695" i="18"/>
  <c r="E796" i="18"/>
  <c r="E804" i="18"/>
  <c r="E1626" i="18"/>
  <c r="E1644" i="18"/>
  <c r="E1659" i="18"/>
  <c r="E1649" i="18"/>
  <c r="E1744" i="18"/>
  <c r="E1756" i="18"/>
  <c r="E1775" i="18"/>
  <c r="E1792" i="18"/>
  <c r="E1801" i="18"/>
  <c r="E1812" i="18"/>
  <c r="E1822" i="18"/>
  <c r="E1833" i="18"/>
  <c r="E1843" i="18"/>
  <c r="E1854" i="18"/>
  <c r="E1865" i="18"/>
  <c r="E1875" i="18"/>
  <c r="E1886" i="18"/>
  <c r="E1897" i="18"/>
  <c r="E1907" i="18"/>
  <c r="E1918" i="18"/>
  <c r="E1929" i="18"/>
  <c r="E1935" i="18"/>
  <c r="E1943" i="18"/>
  <c r="E1954" i="18"/>
  <c r="E1965" i="18"/>
  <c r="E1975" i="18"/>
  <c r="E1986" i="18"/>
  <c r="E1997" i="18"/>
  <c r="E2007" i="18"/>
  <c r="E2018" i="18"/>
  <c r="E2029" i="18"/>
  <c r="E2039" i="18"/>
  <c r="E2050" i="18"/>
  <c r="E2060" i="18"/>
  <c r="E2070" i="18"/>
  <c r="E2080" i="18"/>
  <c r="E2090" i="18"/>
  <c r="E2100" i="18"/>
  <c r="E2110" i="18"/>
  <c r="E2119" i="18"/>
  <c r="E2129" i="18"/>
  <c r="E2140" i="18"/>
  <c r="E2150" i="18"/>
  <c r="E2161" i="18"/>
  <c r="E2170" i="18"/>
  <c r="E2180" i="18"/>
  <c r="E2190" i="18"/>
  <c r="E2201" i="18"/>
  <c r="E2212" i="18"/>
  <c r="E2222" i="18"/>
  <c r="E2231" i="18"/>
  <c r="E2241" i="18"/>
  <c r="E2251" i="18"/>
  <c r="E2262" i="18"/>
  <c r="E2272" i="18"/>
  <c r="E2283" i="18"/>
  <c r="E2294" i="18"/>
  <c r="E2303" i="18"/>
  <c r="E2313" i="18"/>
  <c r="E2322" i="18"/>
  <c r="E2333" i="18"/>
  <c r="E2344" i="18"/>
  <c r="E2354" i="18"/>
  <c r="E2365" i="18"/>
  <c r="E2376" i="18"/>
  <c r="E2386" i="18"/>
  <c r="E2397" i="18"/>
  <c r="E2408" i="18"/>
  <c r="E2417" i="18"/>
  <c r="E2427" i="18"/>
  <c r="E2436" i="18"/>
  <c r="E2446" i="18"/>
  <c r="E2456" i="18"/>
  <c r="E2465" i="18"/>
  <c r="E123" i="18"/>
  <c r="E24" i="18"/>
  <c r="E182" i="18"/>
  <c r="E146" i="18"/>
  <c r="E173" i="18"/>
  <c r="E183" i="18"/>
  <c r="E199" i="18"/>
  <c r="E505" i="18"/>
  <c r="E516" i="18"/>
  <c r="E540" i="18"/>
  <c r="E548" i="18"/>
  <c r="E595" i="18"/>
  <c r="E609" i="18"/>
  <c r="E607" i="18"/>
  <c r="E653" i="18"/>
  <c r="E667" i="18"/>
  <c r="E677" i="18"/>
  <c r="E693" i="18"/>
  <c r="E249" i="18"/>
  <c r="E122" i="18"/>
  <c r="E243" i="18"/>
  <c r="E251" i="18"/>
  <c r="E262" i="18"/>
  <c r="E272" i="18"/>
  <c r="E283" i="18"/>
  <c r="E295" i="18"/>
  <c r="E307" i="18"/>
  <c r="E316" i="18"/>
  <c r="E326" i="18"/>
  <c r="E335" i="18"/>
  <c r="E345" i="18"/>
  <c r="E356" i="18"/>
  <c r="E364" i="18"/>
  <c r="E374" i="18"/>
  <c r="E383" i="18"/>
  <c r="E405" i="18"/>
  <c r="E436" i="18"/>
  <c r="E476" i="18"/>
  <c r="E485" i="18"/>
  <c r="E501" i="18"/>
  <c r="E763" i="18"/>
  <c r="E707" i="18"/>
  <c r="E716" i="18"/>
  <c r="E726" i="18"/>
  <c r="E736" i="18"/>
  <c r="E745" i="18"/>
  <c r="E697" i="18"/>
  <c r="E797" i="18"/>
  <c r="E805" i="18"/>
  <c r="E1632" i="18"/>
  <c r="E1648" i="18"/>
  <c r="E1645" i="18"/>
  <c r="E1672" i="18"/>
  <c r="E1745" i="18"/>
  <c r="E1757" i="18"/>
  <c r="E1777" i="18"/>
  <c r="E1793" i="18"/>
  <c r="E1802" i="18"/>
  <c r="E1813" i="18"/>
  <c r="E1824" i="18"/>
  <c r="E1834" i="18"/>
  <c r="E1845" i="18"/>
  <c r="E1855" i="18"/>
  <c r="E1866" i="18"/>
  <c r="E1877" i="18"/>
  <c r="E1887" i="18"/>
  <c r="E1898" i="18"/>
  <c r="E1909" i="18"/>
  <c r="E1919" i="18"/>
  <c r="E1930" i="18"/>
  <c r="E1933" i="18"/>
  <c r="E1945" i="18"/>
  <c r="E1955" i="18"/>
  <c r="E1966" i="18"/>
  <c r="E1977" i="18"/>
  <c r="E1987" i="18"/>
  <c r="E1998" i="18"/>
  <c r="E2009" i="18"/>
  <c r="E2019" i="18"/>
  <c r="E2030" i="18"/>
  <c r="E2041" i="18"/>
  <c r="E2052" i="18"/>
  <c r="E2061" i="18"/>
  <c r="E2071" i="18"/>
  <c r="E2081" i="18"/>
  <c r="E2091" i="18"/>
  <c r="E2101" i="18"/>
  <c r="E2111" i="18"/>
  <c r="E2120" i="18"/>
  <c r="E2130" i="18"/>
  <c r="E2141" i="18"/>
  <c r="E2152" i="18"/>
  <c r="E2162" i="18"/>
  <c r="E2172" i="18"/>
  <c r="E2181" i="18"/>
  <c r="E2192" i="18"/>
  <c r="E2202" i="18"/>
  <c r="E2213" i="18"/>
  <c r="E2223" i="18"/>
  <c r="E2232" i="18"/>
  <c r="E2242" i="18"/>
  <c r="E2252" i="18"/>
  <c r="E2263" i="18"/>
  <c r="E2274" i="18"/>
  <c r="E2284" i="18"/>
  <c r="E2295" i="18"/>
  <c r="E2304" i="18"/>
  <c r="E2314" i="18"/>
  <c r="E2324" i="18"/>
  <c r="E2334" i="18"/>
  <c r="E2345" i="18"/>
  <c r="E2356" i="18"/>
  <c r="E2366" i="18"/>
  <c r="E2377" i="18"/>
  <c r="E2388" i="18"/>
  <c r="E2398" i="18"/>
  <c r="E2409" i="18"/>
  <c r="E2418" i="18"/>
  <c r="E2428" i="18"/>
  <c r="E2438" i="18"/>
  <c r="E2447" i="18"/>
  <c r="E2457" i="18"/>
  <c r="E2466" i="18"/>
  <c r="E130" i="18"/>
  <c r="E25" i="18"/>
  <c r="E159" i="18"/>
  <c r="E149" i="18"/>
  <c r="E177" i="18"/>
  <c r="E184" i="18"/>
  <c r="E200" i="18"/>
  <c r="E506" i="18"/>
  <c r="E517" i="18"/>
  <c r="E541" i="18"/>
  <c r="E549" i="18"/>
  <c r="E596" i="18"/>
  <c r="E610" i="18"/>
  <c r="E612" i="18"/>
  <c r="E655" i="18"/>
  <c r="E668" i="18"/>
  <c r="E679" i="18"/>
  <c r="E687" i="18"/>
  <c r="E233" i="18"/>
  <c r="E126" i="18"/>
  <c r="E263" i="18"/>
  <c r="E284" i="18"/>
  <c r="E317" i="18"/>
  <c r="E346" i="18"/>
  <c r="E375" i="18"/>
  <c r="E406" i="18"/>
  <c r="E493" i="18"/>
  <c r="E718" i="18"/>
  <c r="E737" i="18"/>
  <c r="E798" i="18"/>
  <c r="E1652" i="18"/>
  <c r="E1747" i="18"/>
  <c r="E1778" i="18"/>
  <c r="E1814" i="18"/>
  <c r="E1846" i="18"/>
  <c r="E1878" i="18"/>
  <c r="E1921" i="18"/>
  <c r="E1957" i="18"/>
  <c r="E1989" i="18"/>
  <c r="E2021" i="18"/>
  <c r="E2054" i="18"/>
  <c r="E2082" i="18"/>
  <c r="E2102" i="18"/>
  <c r="E2142" i="18"/>
  <c r="E2182" i="18"/>
  <c r="E2224" i="18"/>
  <c r="E2264" i="18"/>
  <c r="E2286" i="18"/>
  <c r="E2315" i="18"/>
  <c r="E2346" i="18"/>
  <c r="E2368" i="18"/>
  <c r="E2400" i="18"/>
  <c r="E2429" i="18"/>
  <c r="E26" i="18"/>
  <c r="E191" i="18"/>
  <c r="E181" i="18"/>
  <c r="E507" i="18"/>
  <c r="E542" i="18"/>
  <c r="E611" i="18"/>
  <c r="E680" i="18"/>
  <c r="E128" i="18"/>
  <c r="E245" i="18"/>
  <c r="E253" i="18"/>
  <c r="E264" i="18"/>
  <c r="E274" i="18"/>
  <c r="E286" i="18"/>
  <c r="E298" i="18"/>
  <c r="E310" i="18"/>
  <c r="E319" i="18"/>
  <c r="E328" i="18"/>
  <c r="E338" i="18"/>
  <c r="E347" i="18"/>
  <c r="E357" i="18"/>
  <c r="E367" i="18"/>
  <c r="E376" i="18"/>
  <c r="E398" i="18"/>
  <c r="E407" i="18"/>
  <c r="E469" i="18"/>
  <c r="E478" i="18"/>
  <c r="E494" i="18"/>
  <c r="E503" i="18"/>
  <c r="E754" i="18"/>
  <c r="E709" i="18"/>
  <c r="E719" i="18"/>
  <c r="E728" i="18"/>
  <c r="E738" i="18"/>
  <c r="E748" i="18"/>
  <c r="E701" i="18"/>
  <c r="E799" i="18"/>
  <c r="E856" i="18"/>
  <c r="E1635" i="18"/>
  <c r="E1660" i="18"/>
  <c r="E1657" i="18"/>
  <c r="E1683" i="18"/>
  <c r="E1748" i="18"/>
  <c r="E1770" i="18"/>
  <c r="E1783" i="18"/>
  <c r="E1794" i="18"/>
  <c r="E1805" i="18"/>
  <c r="E1816" i="18"/>
  <c r="E1826" i="18"/>
  <c r="E1837" i="18"/>
  <c r="E1847" i="18"/>
  <c r="E1858" i="18"/>
  <c r="E1869" i="18"/>
  <c r="E1879" i="18"/>
  <c r="E1890" i="18"/>
  <c r="E1901" i="18"/>
  <c r="E1911" i="18"/>
  <c r="E1922" i="18"/>
  <c r="E1790" i="18"/>
  <c r="E1937" i="18"/>
  <c r="E1947" i="18"/>
  <c r="E1958" i="18"/>
  <c r="E1969" i="18"/>
  <c r="E1979" i="18"/>
  <c r="E1990" i="18"/>
  <c r="E2001" i="18"/>
  <c r="E2011" i="18"/>
  <c r="E2022" i="18"/>
  <c r="E2033" i="18"/>
  <c r="E2043" i="18"/>
  <c r="E2055" i="18"/>
  <c r="E2064" i="18"/>
  <c r="E2074" i="18"/>
  <c r="E2084" i="18"/>
  <c r="E2094" i="18"/>
  <c r="E2104" i="18"/>
  <c r="E2113" i="18"/>
  <c r="E2123" i="18"/>
  <c r="E2133" i="18"/>
  <c r="E2144" i="18"/>
  <c r="E2154" i="18"/>
  <c r="E2164" i="18"/>
  <c r="E2174" i="18"/>
  <c r="E2184" i="18"/>
  <c r="E2194" i="18"/>
  <c r="E2205" i="18"/>
  <c r="E2216" i="18"/>
  <c r="E2225" i="18"/>
  <c r="E2235" i="18"/>
  <c r="E2244" i="18"/>
  <c r="E2255" i="18"/>
  <c r="E2266" i="18"/>
  <c r="E2276" i="18"/>
  <c r="E2287" i="18"/>
  <c r="E2297" i="18"/>
  <c r="E2307" i="18"/>
  <c r="E2316" i="18"/>
  <c r="E2326" i="18"/>
  <c r="E2337" i="18"/>
  <c r="E2348" i="18"/>
  <c r="E2358" i="18"/>
  <c r="E273" i="18"/>
  <c r="E327" i="18"/>
  <c r="E365" i="18"/>
  <c r="E502" i="18"/>
  <c r="E727" i="18"/>
  <c r="E855" i="18"/>
  <c r="E1673" i="18"/>
  <c r="E1779" i="18"/>
  <c r="E1836" i="18"/>
  <c r="E1889" i="18"/>
  <c r="E1931" i="18"/>
  <c r="E1967" i="18"/>
  <c r="E1999" i="18"/>
  <c r="E2042" i="18"/>
  <c r="E2092" i="18"/>
  <c r="E2132" i="18"/>
  <c r="E2163" i="18"/>
  <c r="E2204" i="18"/>
  <c r="E2243" i="18"/>
  <c r="E2296" i="18"/>
  <c r="E2336" i="18"/>
  <c r="E2389" i="18"/>
  <c r="E2448" i="18"/>
  <c r="E152" i="18"/>
  <c r="E518" i="18"/>
  <c r="E617" i="18"/>
  <c r="E686" i="18"/>
  <c r="E320" i="18"/>
  <c r="E470" i="18"/>
  <c r="E730" i="18"/>
  <c r="E1643" i="18"/>
  <c r="E1771" i="18"/>
  <c r="E1806" i="18"/>
  <c r="E1828" i="18"/>
  <c r="E1838" i="18"/>
  <c r="E1859" i="18"/>
  <c r="E1870" i="18"/>
  <c r="E1881" i="18"/>
  <c r="E1891" i="18"/>
  <c r="E1902" i="18"/>
  <c r="E1913" i="18"/>
  <c r="E1923" i="18"/>
  <c r="E793" i="18"/>
  <c r="E1938" i="18"/>
  <c r="E1949" i="18"/>
  <c r="E1959" i="18"/>
  <c r="E1970" i="18"/>
  <c r="E1981" i="18"/>
  <c r="E1991" i="18"/>
  <c r="E2002" i="18"/>
  <c r="E2013" i="18"/>
  <c r="E2034" i="18"/>
  <c r="E2045" i="18"/>
  <c r="E2065" i="18"/>
  <c r="E2075" i="18"/>
  <c r="E2085" i="18"/>
  <c r="E2095" i="18"/>
  <c r="E2105" i="18"/>
  <c r="E2114" i="18"/>
  <c r="E2124" i="18"/>
  <c r="E2134" i="18"/>
  <c r="E2145" i="18"/>
  <c r="E2156" i="18"/>
  <c r="E2166" i="18"/>
  <c r="E2175" i="18"/>
  <c r="E2185" i="18"/>
  <c r="E2196" i="18"/>
  <c r="E2206" i="18"/>
  <c r="E2217" i="18"/>
  <c r="E2226" i="18"/>
  <c r="E2236" i="18"/>
  <c r="E2246" i="18"/>
  <c r="E2256" i="18"/>
  <c r="E2267" i="18"/>
  <c r="E2278" i="18"/>
  <c r="E2288" i="18"/>
  <c r="E2298" i="18"/>
  <c r="E2308" i="18"/>
  <c r="E2318" i="18"/>
  <c r="E2328" i="18"/>
  <c r="E2338" i="18"/>
  <c r="E2349" i="18"/>
  <c r="E2360" i="18"/>
  <c r="E2370" i="18"/>
  <c r="E2381" i="18"/>
  <c r="E2392" i="18"/>
  <c r="E2402" i="18"/>
  <c r="E2412" i="18"/>
  <c r="E2422" i="18"/>
  <c r="E2432" i="18"/>
  <c r="E2441" i="18"/>
  <c r="E2451" i="18"/>
  <c r="E2460" i="18"/>
  <c r="E28" i="18"/>
  <c r="E134" i="18"/>
  <c r="E166" i="18"/>
  <c r="E150" i="18"/>
  <c r="E158" i="18"/>
  <c r="E167" i="18"/>
  <c r="E187" i="18"/>
  <c r="E242" i="18"/>
  <c r="E511" i="18"/>
  <c r="E535" i="18"/>
  <c r="E544" i="18"/>
  <c r="E561" i="18"/>
  <c r="E601" i="18"/>
  <c r="E615" i="18"/>
  <c r="E646" i="18"/>
  <c r="E658" i="18"/>
  <c r="E672" i="18"/>
  <c r="E689" i="18"/>
  <c r="E252" i="18"/>
  <c r="E311" i="18"/>
  <c r="E355" i="18"/>
  <c r="E437" i="18"/>
  <c r="E764" i="18"/>
  <c r="E699" i="18"/>
  <c r="E1653" i="18"/>
  <c r="E1804" i="18"/>
  <c r="E1857" i="18"/>
  <c r="E1910" i="18"/>
  <c r="E1946" i="18"/>
  <c r="E2010" i="18"/>
  <c r="E2062" i="18"/>
  <c r="E2122" i="18"/>
  <c r="E2173" i="18"/>
  <c r="E2214" i="18"/>
  <c r="E2254" i="18"/>
  <c r="E2306" i="18"/>
  <c r="E2357" i="18"/>
  <c r="E2410" i="18"/>
  <c r="E2458" i="18"/>
  <c r="E156" i="18"/>
  <c r="E201" i="18"/>
  <c r="E599" i="18"/>
  <c r="E669" i="18"/>
  <c r="E129" i="18"/>
  <c r="E254" i="18"/>
  <c r="E275" i="18"/>
  <c r="E309" i="18"/>
  <c r="E339" i="18"/>
  <c r="E359" i="18"/>
  <c r="E399" i="18"/>
  <c r="E495" i="18"/>
  <c r="E710" i="18"/>
  <c r="E720" i="18"/>
  <c r="E749" i="18"/>
  <c r="E703" i="18"/>
  <c r="E800" i="18"/>
  <c r="E1636" i="18"/>
  <c r="E1661" i="18"/>
  <c r="E1738" i="18"/>
  <c r="E1750" i="18"/>
  <c r="E1784" i="18"/>
  <c r="E1817" i="18"/>
  <c r="E1849" i="18"/>
  <c r="E2023" i="18"/>
  <c r="E231" i="18"/>
  <c r="E247" i="18"/>
  <c r="E258" i="18"/>
  <c r="E267" i="18"/>
  <c r="E277" i="18"/>
  <c r="E289" i="18"/>
  <c r="E301" i="18"/>
  <c r="E308" i="18"/>
  <c r="E321" i="18"/>
  <c r="E331" i="18"/>
  <c r="E340" i="18"/>
  <c r="E350" i="18"/>
  <c r="E358" i="18"/>
  <c r="E369" i="18"/>
  <c r="E379" i="18"/>
  <c r="E400" i="18"/>
  <c r="E471" i="18"/>
  <c r="E481" i="18"/>
  <c r="E496" i="18"/>
  <c r="E756" i="18"/>
  <c r="E712" i="18"/>
  <c r="E721" i="18"/>
  <c r="E731" i="18"/>
  <c r="E740" i="18"/>
  <c r="E750" i="18"/>
  <c r="E704" i="18"/>
  <c r="E801" i="18"/>
  <c r="E859" i="18"/>
  <c r="E1637" i="18"/>
  <c r="E1647" i="18"/>
  <c r="E1656" i="18"/>
  <c r="E1739" i="18"/>
  <c r="E1751" i="18"/>
  <c r="E1772" i="18"/>
  <c r="E1786" i="18"/>
  <c r="E1797" i="18"/>
  <c r="E1808" i="18"/>
  <c r="E1818" i="18"/>
  <c r="E1829" i="18"/>
  <c r="E1840" i="18"/>
  <c r="E1850" i="18"/>
  <c r="E1861" i="18"/>
  <c r="E1871" i="18"/>
  <c r="E1882" i="18"/>
  <c r="E1893" i="18"/>
  <c r="E1903" i="18"/>
  <c r="E1914" i="18"/>
  <c r="E1925" i="18"/>
  <c r="E806" i="18"/>
  <c r="E1939" i="18"/>
  <c r="E1950" i="18"/>
  <c r="E1961" i="18"/>
  <c r="E1971" i="18"/>
  <c r="E1982" i="18"/>
  <c r="E1993" i="18"/>
  <c r="E2003" i="18"/>
  <c r="E2014" i="18"/>
  <c r="E2025" i="18"/>
  <c r="E2035" i="18"/>
  <c r="E2046" i="18"/>
  <c r="E2051" i="18"/>
  <c r="E2066" i="18"/>
  <c r="E2076" i="18"/>
  <c r="E2086" i="18"/>
  <c r="E2096" i="18"/>
  <c r="E2106" i="18"/>
  <c r="E2116" i="18"/>
  <c r="E2125" i="18"/>
  <c r="E2136" i="18"/>
  <c r="E2146" i="18"/>
  <c r="E2157" i="18"/>
  <c r="E2167" i="18"/>
  <c r="E2176" i="18"/>
  <c r="E2186" i="18"/>
  <c r="E2197" i="18"/>
  <c r="E2208" i="18"/>
  <c r="E2218" i="18"/>
  <c r="E2228" i="18"/>
  <c r="E2237" i="18"/>
  <c r="E2247" i="18"/>
  <c r="E2258" i="18"/>
  <c r="E2268" i="18"/>
  <c r="E2279" i="18"/>
  <c r="E2290" i="18"/>
  <c r="E2300" i="18"/>
  <c r="E2309" i="18"/>
  <c r="E2319" i="18"/>
  <c r="E2329" i="18"/>
  <c r="E2340" i="18"/>
  <c r="E2350" i="18"/>
  <c r="E2361" i="18"/>
  <c r="E2372" i="18"/>
  <c r="E2382" i="18"/>
  <c r="E2393" i="18"/>
  <c r="E2404" i="18"/>
  <c r="E2414" i="18"/>
  <c r="E2423" i="18"/>
  <c r="E2433" i="18"/>
  <c r="E2442" i="18"/>
  <c r="E2452" i="18"/>
  <c r="E2462" i="18"/>
  <c r="E29" i="18"/>
  <c r="E193" i="18"/>
  <c r="E170" i="18"/>
  <c r="E147" i="18"/>
  <c r="E161" i="18"/>
  <c r="E171" i="18"/>
  <c r="E188" i="18"/>
  <c r="E239" i="18"/>
  <c r="E512" i="18"/>
  <c r="E536" i="18"/>
  <c r="E545" i="18"/>
  <c r="E562" i="18"/>
  <c r="E604" i="18"/>
  <c r="E616" i="18"/>
  <c r="E647" i="18"/>
  <c r="E659" i="18"/>
  <c r="E673" i="18"/>
  <c r="E690" i="18"/>
  <c r="E244" i="18"/>
  <c r="E296" i="18"/>
  <c r="E337" i="18"/>
  <c r="E397" i="18"/>
  <c r="E477" i="18"/>
  <c r="E708" i="18"/>
  <c r="E746" i="18"/>
  <c r="E1633" i="18"/>
  <c r="E1769" i="18"/>
  <c r="E1825" i="18"/>
  <c r="E1867" i="18"/>
  <c r="E1899" i="18"/>
  <c r="E1934" i="18"/>
  <c r="E1978" i="18"/>
  <c r="E2031" i="18"/>
  <c r="E2072" i="18"/>
  <c r="E2112" i="18"/>
  <c r="E2153" i="18"/>
  <c r="E2193" i="18"/>
  <c r="E2234" i="18"/>
  <c r="E2275" i="18"/>
  <c r="E2325" i="18"/>
  <c r="E2378" i="18"/>
  <c r="E2420" i="18"/>
  <c r="E2439" i="18"/>
  <c r="E131" i="18"/>
  <c r="E185" i="18"/>
  <c r="E550" i="18"/>
  <c r="E656" i="18"/>
  <c r="E246" i="18"/>
  <c r="E265" i="18"/>
  <c r="E287" i="18"/>
  <c r="E299" i="18"/>
  <c r="E329" i="18"/>
  <c r="E349" i="18"/>
  <c r="E368" i="18"/>
  <c r="E377" i="18"/>
  <c r="E479" i="18"/>
  <c r="E755" i="18"/>
  <c r="E739" i="18"/>
  <c r="E857" i="18"/>
  <c r="E1796" i="18"/>
  <c r="E2057" i="18"/>
  <c r="E237" i="18"/>
  <c r="E248" i="18"/>
  <c r="E259" i="18"/>
  <c r="E268" i="18"/>
  <c r="E278" i="18"/>
  <c r="E290" i="18"/>
  <c r="E304" i="18"/>
  <c r="E313" i="18"/>
  <c r="E322" i="18"/>
  <c r="E332" i="18"/>
  <c r="E341" i="18"/>
  <c r="E351" i="18"/>
  <c r="E361" i="18"/>
  <c r="E370" i="18"/>
  <c r="E380" i="18"/>
  <c r="E401" i="18"/>
  <c r="E433" i="18"/>
  <c r="E472" i="18"/>
  <c r="E482" i="18"/>
  <c r="E497" i="18"/>
  <c r="E760" i="18"/>
  <c r="E757" i="18"/>
  <c r="E713" i="18"/>
  <c r="E722" i="18"/>
  <c r="E732" i="18"/>
  <c r="E742" i="18"/>
  <c r="E751" i="18"/>
  <c r="E794" i="18"/>
  <c r="E802" i="18"/>
  <c r="E860" i="18"/>
  <c r="E1638" i="18"/>
  <c r="E1651" i="18"/>
  <c r="E1640" i="18"/>
  <c r="E1741" i="18"/>
  <c r="E1753" i="18"/>
  <c r="E1773" i="18"/>
  <c r="E1787" i="18"/>
  <c r="E1798" i="18"/>
  <c r="E1809" i="18"/>
  <c r="E1820" i="18"/>
  <c r="E1830" i="18"/>
  <c r="E1841" i="18"/>
  <c r="E1851" i="18"/>
  <c r="E1862" i="18"/>
  <c r="E1873" i="18"/>
  <c r="E1883" i="18"/>
  <c r="E1894" i="18"/>
  <c r="E1905" i="18"/>
  <c r="E1915" i="18"/>
  <c r="E1926" i="18"/>
  <c r="E790" i="18"/>
  <c r="E1941" i="18"/>
  <c r="E1951" i="18"/>
  <c r="E1962" i="18"/>
  <c r="E1973" i="18"/>
  <c r="E1983" i="18"/>
  <c r="E1994" i="18"/>
  <c r="E2005" i="18"/>
  <c r="E2015" i="18"/>
  <c r="E2026" i="18"/>
  <c r="E2037" i="18"/>
  <c r="E2047" i="18"/>
  <c r="E2056" i="18"/>
  <c r="E2067" i="18"/>
  <c r="E2077" i="18"/>
  <c r="E2087" i="18"/>
  <c r="E2097" i="18"/>
  <c r="E2107" i="18"/>
  <c r="E2117" i="18"/>
  <c r="E2126" i="18"/>
  <c r="E2137" i="18"/>
  <c r="E2148" i="18"/>
  <c r="E2158" i="18"/>
  <c r="E2168" i="18"/>
  <c r="E2178" i="18"/>
  <c r="E2188" i="18"/>
  <c r="E2198" i="18"/>
  <c r="E2209" i="18"/>
  <c r="E2219" i="18"/>
  <c r="E2229" i="18"/>
  <c r="E2238" i="18"/>
  <c r="E2248" i="18"/>
  <c r="E2259" i="18"/>
  <c r="E2270" i="18"/>
  <c r="E2280" i="18"/>
  <c r="E2291" i="18"/>
  <c r="E2301" i="18"/>
  <c r="E2310" i="18"/>
  <c r="E2320" i="18"/>
  <c r="E2330" i="18"/>
  <c r="E2341" i="18"/>
  <c r="E2352" i="18"/>
  <c r="E2362" i="18"/>
  <c r="E2373" i="18"/>
  <c r="E2384" i="18"/>
  <c r="E2394" i="18"/>
  <c r="E2405" i="18"/>
  <c r="E2415" i="18"/>
  <c r="E2424" i="18"/>
  <c r="E2434" i="18"/>
  <c r="E2444" i="18"/>
  <c r="E2453" i="18"/>
  <c r="E2463" i="18"/>
  <c r="E125" i="18"/>
  <c r="E195" i="18"/>
  <c r="E174" i="18"/>
  <c r="E144" i="18"/>
  <c r="E165" i="18"/>
  <c r="E175" i="18"/>
  <c r="E189" i="18"/>
  <c r="E255" i="18"/>
  <c r="E513" i="18"/>
  <c r="E537" i="18"/>
  <c r="E546" i="18"/>
  <c r="E592" i="18"/>
  <c r="E605" i="18"/>
  <c r="E597" i="18"/>
  <c r="E648" i="18"/>
  <c r="E660" i="18"/>
  <c r="E675" i="18"/>
  <c r="E691" i="18"/>
  <c r="E2369" i="18"/>
  <c r="E2380" i="18"/>
  <c r="E2401" i="18"/>
  <c r="E2411" i="18"/>
  <c r="E2421" i="18"/>
  <c r="E2430" i="18"/>
  <c r="E2440" i="18"/>
  <c r="E2450" i="18"/>
  <c r="E2459" i="18"/>
  <c r="E27" i="18"/>
  <c r="E133" i="18"/>
  <c r="E162" i="18"/>
  <c r="E153" i="18"/>
  <c r="E155" i="18"/>
  <c r="E163" i="18"/>
  <c r="E186" i="18"/>
  <c r="E238" i="18"/>
  <c r="E510" i="18"/>
  <c r="E534" i="18"/>
  <c r="E543" i="18"/>
  <c r="E551" i="18"/>
  <c r="E600" i="18"/>
  <c r="E614" i="18"/>
  <c r="E645" i="18"/>
  <c r="E657" i="18"/>
  <c r="E671" i="18"/>
  <c r="E681" i="18"/>
  <c r="E2390" i="18"/>
  <c r="S2547" i="18"/>
  <c r="R2547" i="18"/>
  <c r="Q2547" i="18"/>
  <c r="S2547" i="1"/>
  <c r="R2547" i="1"/>
  <c r="Q2547" i="1"/>
  <c r="T2547" i="18" l="1"/>
  <c r="I2546" i="1" l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66" i="1"/>
  <c r="J2465" i="1"/>
  <c r="J2464" i="1"/>
  <c r="J2463" i="1"/>
  <c r="J2462" i="1"/>
  <c r="J2460" i="1"/>
  <c r="J2459" i="1"/>
  <c r="J2458" i="1"/>
  <c r="J2457" i="1"/>
  <c r="J2456" i="1"/>
  <c r="J2454" i="1"/>
  <c r="J2453" i="1"/>
  <c r="J2452" i="1"/>
  <c r="J2451" i="1"/>
  <c r="J2450" i="1"/>
  <c r="J2448" i="1"/>
  <c r="J2447" i="1"/>
  <c r="J2446" i="1"/>
  <c r="J2445" i="1"/>
  <c r="J2444" i="1"/>
  <c r="J2442" i="1"/>
  <c r="J2441" i="1"/>
  <c r="J2440" i="1"/>
  <c r="J2439" i="1"/>
  <c r="J2438" i="1"/>
  <c r="J2436" i="1"/>
  <c r="J2435" i="1"/>
  <c r="J2434" i="1"/>
  <c r="J2433" i="1"/>
  <c r="J2432" i="1"/>
  <c r="J2430" i="1"/>
  <c r="J2429" i="1"/>
  <c r="J2428" i="1"/>
  <c r="J2427" i="1"/>
  <c r="J2426" i="1"/>
  <c r="J2424" i="1"/>
  <c r="J2423" i="1"/>
  <c r="J2422" i="1"/>
  <c r="J2421" i="1"/>
  <c r="J2420" i="1"/>
  <c r="J2418" i="1"/>
  <c r="J2417" i="1"/>
  <c r="J2416" i="1"/>
  <c r="J2415" i="1"/>
  <c r="J2414" i="1"/>
  <c r="J2412" i="1"/>
  <c r="J2411" i="1"/>
  <c r="J2410" i="1"/>
  <c r="J2409" i="1"/>
  <c r="J2408" i="1"/>
  <c r="J2406" i="1"/>
  <c r="J2405" i="1"/>
  <c r="J2404" i="1"/>
  <c r="J2402" i="1"/>
  <c r="J2401" i="1"/>
  <c r="J2400" i="1"/>
  <c r="J2398" i="1"/>
  <c r="J2397" i="1"/>
  <c r="J2396" i="1"/>
  <c r="J2394" i="1"/>
  <c r="J2393" i="1"/>
  <c r="J2392" i="1"/>
  <c r="J2390" i="1"/>
  <c r="J2389" i="1"/>
  <c r="J2388" i="1"/>
  <c r="J2386" i="1"/>
  <c r="J2385" i="1"/>
  <c r="J2384" i="1"/>
  <c r="J2382" i="1"/>
  <c r="J2381" i="1"/>
  <c r="J2380" i="1"/>
  <c r="J2378" i="1"/>
  <c r="J2377" i="1"/>
  <c r="J2376" i="1"/>
  <c r="J2374" i="1"/>
  <c r="J2373" i="1"/>
  <c r="J2372" i="1"/>
  <c r="J2370" i="1"/>
  <c r="J2369" i="1"/>
  <c r="J2368" i="1"/>
  <c r="J2366" i="1"/>
  <c r="J2365" i="1"/>
  <c r="J2364" i="1"/>
  <c r="J2362" i="1"/>
  <c r="J2361" i="1"/>
  <c r="J2360" i="1"/>
  <c r="J2358" i="1"/>
  <c r="J2357" i="1"/>
  <c r="J2356" i="1"/>
  <c r="J2354" i="1"/>
  <c r="J2353" i="1"/>
  <c r="J2352" i="1"/>
  <c r="J2350" i="1"/>
  <c r="J2349" i="1"/>
  <c r="J2348" i="1"/>
  <c r="J2346" i="1"/>
  <c r="J2345" i="1"/>
  <c r="J2344" i="1"/>
  <c r="J2342" i="1"/>
  <c r="J2341" i="1"/>
  <c r="J2340" i="1"/>
  <c r="J2338" i="1"/>
  <c r="J2337" i="1"/>
  <c r="J2336" i="1"/>
  <c r="J2334" i="1"/>
  <c r="J2333" i="1"/>
  <c r="J2332" i="1"/>
  <c r="J2330" i="1"/>
  <c r="J2329" i="1"/>
  <c r="J2328" i="1"/>
  <c r="J2326" i="1"/>
  <c r="J2325" i="1"/>
  <c r="J2324" i="1"/>
  <c r="J2322" i="1"/>
  <c r="J2321" i="1"/>
  <c r="J2320" i="1"/>
  <c r="J2319" i="1"/>
  <c r="J2318" i="1"/>
  <c r="J2316" i="1"/>
  <c r="J2315" i="1"/>
  <c r="J2314" i="1"/>
  <c r="J2313" i="1"/>
  <c r="J2312" i="1"/>
  <c r="J2310" i="1"/>
  <c r="J2309" i="1"/>
  <c r="J2308" i="1"/>
  <c r="J2307" i="1"/>
  <c r="J2306" i="1"/>
  <c r="J2304" i="1"/>
  <c r="J2303" i="1"/>
  <c r="J2302" i="1"/>
  <c r="J2301" i="1"/>
  <c r="J2300" i="1"/>
  <c r="J2298" i="1"/>
  <c r="J2297" i="1"/>
  <c r="J2296" i="1"/>
  <c r="J2295" i="1"/>
  <c r="J2294" i="1"/>
  <c r="J2292" i="1"/>
  <c r="J2291" i="1"/>
  <c r="J2290" i="1"/>
  <c r="J2288" i="1"/>
  <c r="J2287" i="1"/>
  <c r="J2286" i="1"/>
  <c r="J2284" i="1"/>
  <c r="J2283" i="1"/>
  <c r="J2282" i="1"/>
  <c r="J2280" i="1"/>
  <c r="J2279" i="1"/>
  <c r="J2278" i="1"/>
  <c r="J2276" i="1"/>
  <c r="J2275" i="1"/>
  <c r="J2274" i="1"/>
  <c r="J2272" i="1"/>
  <c r="J2271" i="1"/>
  <c r="J2270" i="1"/>
  <c r="J2268" i="1"/>
  <c r="J2267" i="1"/>
  <c r="J2266" i="1"/>
  <c r="J2264" i="1"/>
  <c r="J2263" i="1"/>
  <c r="J2262" i="1"/>
  <c r="J2260" i="1"/>
  <c r="J2259" i="1"/>
  <c r="J2258" i="1"/>
  <c r="J2256" i="1"/>
  <c r="J2255" i="1"/>
  <c r="J2254" i="1"/>
  <c r="J2252" i="1"/>
  <c r="J2251" i="1"/>
  <c r="J2250" i="1"/>
  <c r="J2248" i="1"/>
  <c r="J2247" i="1"/>
  <c r="J2246" i="1"/>
  <c r="J2244" i="1"/>
  <c r="J2243" i="1"/>
  <c r="J2242" i="1"/>
  <c r="J2241" i="1"/>
  <c r="J2240" i="1"/>
  <c r="J2238" i="1"/>
  <c r="J2237" i="1"/>
  <c r="J2236" i="1"/>
  <c r="J2235" i="1"/>
  <c r="J2234" i="1"/>
  <c r="J2232" i="1"/>
  <c r="J2231" i="1"/>
  <c r="J2230" i="1"/>
  <c r="J2229" i="1"/>
  <c r="J2228" i="1"/>
  <c r="J2226" i="1"/>
  <c r="J2225" i="1"/>
  <c r="J2224" i="1"/>
  <c r="J2223" i="1"/>
  <c r="J2222" i="1"/>
  <c r="J2220" i="1"/>
  <c r="J2219" i="1"/>
  <c r="J2218" i="1"/>
  <c r="J2217" i="1"/>
  <c r="J2216" i="1"/>
  <c r="J2214" i="1"/>
  <c r="J2213" i="1"/>
  <c r="J2212" i="1"/>
  <c r="J2210" i="1"/>
  <c r="J2209" i="1"/>
  <c r="J2208" i="1"/>
  <c r="J2206" i="1"/>
  <c r="J2205" i="1"/>
  <c r="J2204" i="1"/>
  <c r="J2202" i="1"/>
  <c r="J2201" i="1"/>
  <c r="J2200" i="1"/>
  <c r="J2198" i="1"/>
  <c r="J2197" i="1"/>
  <c r="J2196" i="1"/>
  <c r="J2194" i="1"/>
  <c r="J2193" i="1"/>
  <c r="J2192" i="1"/>
  <c r="J2190" i="1"/>
  <c r="J2189" i="1"/>
  <c r="J2188" i="1"/>
  <c r="J2186" i="1"/>
  <c r="J2185" i="1"/>
  <c r="J2184" i="1"/>
  <c r="J2182" i="1"/>
  <c r="J2181" i="1"/>
  <c r="J2180" i="1"/>
  <c r="J2179" i="1"/>
  <c r="J2178" i="1"/>
  <c r="J2176" i="1"/>
  <c r="J2175" i="1"/>
  <c r="J2174" i="1"/>
  <c r="J2173" i="1"/>
  <c r="J2172" i="1"/>
  <c r="J2170" i="1"/>
  <c r="J2169" i="1"/>
  <c r="J2168" i="1"/>
  <c r="J2167" i="1"/>
  <c r="J2166" i="1"/>
  <c r="J2164" i="1"/>
  <c r="J2163" i="1"/>
  <c r="J2162" i="1"/>
  <c r="J2161" i="1"/>
  <c r="J2160" i="1"/>
  <c r="J2158" i="1"/>
  <c r="J2157" i="1"/>
  <c r="J2156" i="1"/>
  <c r="J2154" i="1"/>
  <c r="J2153" i="1"/>
  <c r="J2152" i="1"/>
  <c r="J2150" i="1"/>
  <c r="J2149" i="1"/>
  <c r="J2148" i="1"/>
  <c r="J2146" i="1"/>
  <c r="J2145" i="1"/>
  <c r="J2144" i="1"/>
  <c r="J2142" i="1"/>
  <c r="J2141" i="1"/>
  <c r="J2140" i="1"/>
  <c r="J2138" i="1"/>
  <c r="J2137" i="1"/>
  <c r="J2136" i="1"/>
  <c r="J2134" i="1"/>
  <c r="J2133" i="1"/>
  <c r="J2132" i="1"/>
  <c r="J2130" i="1"/>
  <c r="J2129" i="1"/>
  <c r="J2128" i="1"/>
  <c r="J2126" i="1"/>
  <c r="J2125" i="1"/>
  <c r="J2124" i="1"/>
  <c r="J2123" i="1"/>
  <c r="J2122" i="1"/>
  <c r="J2120" i="1"/>
  <c r="J2119" i="1"/>
  <c r="J2118" i="1"/>
  <c r="J2117" i="1"/>
  <c r="J2116" i="1"/>
  <c r="J2114" i="1"/>
  <c r="J2113" i="1"/>
  <c r="J2112" i="1"/>
  <c r="J2111" i="1"/>
  <c r="J2110" i="1"/>
  <c r="J2108" i="1"/>
  <c r="J2107" i="1"/>
  <c r="J2106" i="1"/>
  <c r="J2105" i="1"/>
  <c r="J2104" i="1"/>
  <c r="J2102" i="1"/>
  <c r="J2101" i="1"/>
  <c r="J2100" i="1"/>
  <c r="J2099" i="1"/>
  <c r="J2097" i="1"/>
  <c r="J2096" i="1"/>
  <c r="J2095" i="1"/>
  <c r="J2094" i="1"/>
  <c r="J2092" i="1"/>
  <c r="J2091" i="1"/>
  <c r="J2090" i="1"/>
  <c r="J2089" i="1"/>
  <c r="J2087" i="1"/>
  <c r="J2086" i="1"/>
  <c r="J2085" i="1"/>
  <c r="J2084" i="1"/>
  <c r="J2082" i="1"/>
  <c r="J2081" i="1"/>
  <c r="J2080" i="1"/>
  <c r="J2079" i="1"/>
  <c r="J2077" i="1"/>
  <c r="J2076" i="1"/>
  <c r="J2075" i="1"/>
  <c r="J2074" i="1"/>
  <c r="J2072" i="1"/>
  <c r="J2071" i="1"/>
  <c r="J2070" i="1"/>
  <c r="J2069" i="1"/>
  <c r="J2067" i="1"/>
  <c r="J2066" i="1"/>
  <c r="J2065" i="1"/>
  <c r="J2064" i="1"/>
  <c r="J2062" i="1"/>
  <c r="J2061" i="1"/>
  <c r="J2060" i="1"/>
  <c r="J2059" i="1"/>
  <c r="J2057" i="1"/>
  <c r="J2056" i="1"/>
  <c r="J2055" i="1"/>
  <c r="J2054" i="1"/>
  <c r="J2052" i="1"/>
  <c r="J2051" i="1"/>
  <c r="J2050" i="1"/>
  <c r="J2049" i="1"/>
  <c r="J2047" i="1"/>
  <c r="J2046" i="1"/>
  <c r="J2045" i="1"/>
  <c r="J2043" i="1"/>
  <c r="J2042" i="1"/>
  <c r="J2041" i="1"/>
  <c r="J2039" i="1"/>
  <c r="J2038" i="1"/>
  <c r="J2037" i="1"/>
  <c r="J2035" i="1"/>
  <c r="J2034" i="1"/>
  <c r="J2033" i="1"/>
  <c r="J2031" i="1"/>
  <c r="J2030" i="1"/>
  <c r="J2029" i="1"/>
  <c r="J2027" i="1"/>
  <c r="J2026" i="1"/>
  <c r="J2025" i="1"/>
  <c r="J2023" i="1"/>
  <c r="J2022" i="1"/>
  <c r="J2021" i="1"/>
  <c r="J2019" i="1"/>
  <c r="J2018" i="1"/>
  <c r="J2017" i="1"/>
  <c r="J2015" i="1"/>
  <c r="J2014" i="1"/>
  <c r="J2013" i="1"/>
  <c r="J2011" i="1"/>
  <c r="J2010" i="1"/>
  <c r="J2009" i="1"/>
  <c r="J2007" i="1"/>
  <c r="J2006" i="1"/>
  <c r="J2005" i="1"/>
  <c r="J2003" i="1"/>
  <c r="J2002" i="1"/>
  <c r="J2001" i="1"/>
  <c r="J1999" i="1"/>
  <c r="J1998" i="1"/>
  <c r="J1997" i="1"/>
  <c r="J1995" i="1"/>
  <c r="J1994" i="1"/>
  <c r="J1993" i="1"/>
  <c r="J1991" i="1"/>
  <c r="J1990" i="1"/>
  <c r="J1989" i="1"/>
  <c r="J1987" i="1"/>
  <c r="J1986" i="1"/>
  <c r="J1985" i="1"/>
  <c r="J1983" i="1"/>
  <c r="J1982" i="1"/>
  <c r="J1981" i="1"/>
  <c r="J1979" i="1"/>
  <c r="J1978" i="1"/>
  <c r="J1977" i="1"/>
  <c r="J1975" i="1"/>
  <c r="J1974" i="1"/>
  <c r="J1973" i="1"/>
  <c r="J1971" i="1"/>
  <c r="J1970" i="1"/>
  <c r="J1969" i="1"/>
  <c r="J1967" i="1"/>
  <c r="J1966" i="1"/>
  <c r="J1965" i="1"/>
  <c r="J1963" i="1"/>
  <c r="J1962" i="1"/>
  <c r="J1959" i="1"/>
  <c r="J1958" i="1"/>
  <c r="J1957" i="1"/>
  <c r="J1955" i="1"/>
  <c r="J1954" i="1"/>
  <c r="J1953" i="1"/>
  <c r="J1951" i="1"/>
  <c r="J1950" i="1"/>
  <c r="J1949" i="1"/>
  <c r="J1947" i="1"/>
  <c r="J1946" i="1"/>
  <c r="J1945" i="1"/>
  <c r="J1943" i="1"/>
  <c r="J1942" i="1"/>
  <c r="J1939" i="1"/>
  <c r="J1938" i="1"/>
  <c r="J1937" i="1"/>
  <c r="J1935" i="1"/>
  <c r="J1934" i="1"/>
  <c r="J1933" i="1"/>
  <c r="J1931" i="1"/>
  <c r="J1930" i="1"/>
  <c r="J1929" i="1"/>
  <c r="J1810" i="1"/>
  <c r="J1809" i="1"/>
  <c r="J1808" i="1"/>
  <c r="J1806" i="1"/>
  <c r="J1805" i="1"/>
  <c r="J1804" i="1"/>
  <c r="J1802" i="1"/>
  <c r="J1801" i="1"/>
  <c r="J1800" i="1"/>
  <c r="J1798" i="1"/>
  <c r="J1797" i="1"/>
  <c r="J1796" i="1"/>
  <c r="J1794" i="1"/>
  <c r="J1793" i="1"/>
  <c r="J1792" i="1"/>
  <c r="J1790" i="1"/>
  <c r="J1789" i="1"/>
  <c r="J1787" i="1"/>
  <c r="J1786" i="1"/>
  <c r="J1784" i="1"/>
  <c r="J1783" i="1"/>
  <c r="J1771" i="1"/>
  <c r="J1770" i="1"/>
  <c r="J1769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564" i="1"/>
  <c r="J564" i="1" s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L275" i="18"/>
  <c r="M271" i="18"/>
  <c r="L776" i="18"/>
  <c r="L770" i="18"/>
  <c r="L764" i="18"/>
  <c r="L758" i="18"/>
  <c r="L752" i="18"/>
  <c r="L746" i="18"/>
  <c r="L740" i="18"/>
  <c r="L734" i="18"/>
  <c r="L728" i="18"/>
  <c r="L722" i="18"/>
  <c r="L716" i="18"/>
  <c r="L710" i="18"/>
  <c r="L704" i="18"/>
  <c r="L701" i="18"/>
  <c r="L699" i="18"/>
  <c r="L697" i="18"/>
  <c r="L503" i="18"/>
  <c r="L497" i="18"/>
  <c r="L485" i="18"/>
  <c r="L479" i="18"/>
  <c r="L473" i="18"/>
  <c r="L437" i="18"/>
  <c r="L431" i="18"/>
  <c r="L425" i="18"/>
  <c r="L407" i="18"/>
  <c r="L401" i="18"/>
  <c r="L383" i="18"/>
  <c r="L377" i="18"/>
  <c r="L371" i="18"/>
  <c r="L365" i="18"/>
  <c r="L359" i="18"/>
  <c r="L353" i="18"/>
  <c r="L347" i="18"/>
  <c r="L341" i="18"/>
  <c r="L335" i="18"/>
  <c r="L329" i="18"/>
  <c r="L323" i="18"/>
  <c r="L317" i="18"/>
  <c r="L311" i="18"/>
  <c r="L305" i="18"/>
  <c r="L302" i="18"/>
  <c r="L299" i="18"/>
  <c r="L296" i="18"/>
  <c r="L293" i="18"/>
  <c r="L290" i="18"/>
  <c r="L287" i="18"/>
  <c r="L284" i="18"/>
  <c r="L281" i="18"/>
  <c r="L278" i="18"/>
  <c r="L270" i="18"/>
  <c r="L265" i="18"/>
  <c r="L260" i="18"/>
  <c r="L237" i="18"/>
  <c r="L235" i="18"/>
  <c r="L233" i="18"/>
  <c r="L231" i="18"/>
  <c r="M703" i="18"/>
  <c r="M702" i="18"/>
  <c r="M700" i="18"/>
  <c r="M698" i="18"/>
  <c r="M696" i="18"/>
  <c r="M502" i="18"/>
  <c r="M501" i="18"/>
  <c r="M500" i="18"/>
  <c r="M499" i="18"/>
  <c r="M498" i="18"/>
  <c r="M496" i="18"/>
  <c r="M495" i="18"/>
  <c r="M494" i="18"/>
  <c r="M493" i="18"/>
  <c r="M492" i="18"/>
  <c r="M484" i="18"/>
  <c r="M483" i="18"/>
  <c r="M482" i="18"/>
  <c r="M481" i="18"/>
  <c r="M480" i="18"/>
  <c r="M478" i="18"/>
  <c r="M477" i="18"/>
  <c r="M476" i="18"/>
  <c r="M475" i="18"/>
  <c r="M474" i="18"/>
  <c r="M472" i="18"/>
  <c r="M471" i="18"/>
  <c r="M470" i="18"/>
  <c r="M469" i="18"/>
  <c r="M468" i="18"/>
  <c r="M436" i="18"/>
  <c r="M435" i="18"/>
  <c r="M434" i="18"/>
  <c r="M433" i="18"/>
  <c r="M430" i="18"/>
  <c r="M429" i="18"/>
  <c r="M428" i="18"/>
  <c r="M427" i="18"/>
  <c r="M426" i="18"/>
  <c r="M424" i="18"/>
  <c r="M423" i="18"/>
  <c r="M422" i="18"/>
  <c r="M421" i="18"/>
  <c r="M406" i="18"/>
  <c r="M405" i="18"/>
  <c r="M404" i="18"/>
  <c r="M403" i="18"/>
  <c r="M400" i="18"/>
  <c r="M399" i="18"/>
  <c r="M398" i="18"/>
  <c r="M397" i="18"/>
  <c r="M396" i="18"/>
  <c r="M382" i="18"/>
  <c r="M381" i="18"/>
  <c r="M380" i="18"/>
  <c r="M379" i="18"/>
  <c r="M376" i="18"/>
  <c r="M375" i="18"/>
  <c r="M374" i="18"/>
  <c r="M373" i="18"/>
  <c r="M372" i="18"/>
  <c r="M370" i="18"/>
  <c r="M369" i="18"/>
  <c r="M368" i="18"/>
  <c r="M367" i="18"/>
  <c r="M366" i="18"/>
  <c r="M364" i="18"/>
  <c r="M363" i="18"/>
  <c r="M362" i="18"/>
  <c r="M361" i="18"/>
  <c r="M360" i="18"/>
  <c r="M358" i="18"/>
  <c r="M357" i="18"/>
  <c r="M356" i="18"/>
  <c r="M355" i="18"/>
  <c r="M354" i="18"/>
  <c r="M352" i="18"/>
  <c r="M351" i="18"/>
  <c r="M350" i="18"/>
  <c r="M349" i="18"/>
  <c r="M348" i="18"/>
  <c r="M346" i="18"/>
  <c r="M345" i="18"/>
  <c r="M344" i="18"/>
  <c r="M343" i="18"/>
  <c r="M342" i="18"/>
  <c r="M340" i="18"/>
  <c r="M339" i="18"/>
  <c r="M338" i="18"/>
  <c r="M337" i="18"/>
  <c r="M336" i="18"/>
  <c r="M334" i="18"/>
  <c r="M333" i="18"/>
  <c r="M332" i="18"/>
  <c r="M331" i="18"/>
  <c r="M330" i="18"/>
  <c r="M328" i="18"/>
  <c r="M327" i="18"/>
  <c r="M326" i="18"/>
  <c r="M325" i="18"/>
  <c r="M324" i="18"/>
  <c r="M322" i="18"/>
  <c r="M321" i="18"/>
  <c r="M320" i="18"/>
  <c r="M319" i="18"/>
  <c r="M318" i="18"/>
  <c r="M316" i="18"/>
  <c r="M315" i="18"/>
  <c r="M314" i="18"/>
  <c r="M313" i="18"/>
  <c r="M312" i="18"/>
  <c r="M310" i="18"/>
  <c r="M309" i="18"/>
  <c r="M308" i="18"/>
  <c r="M307" i="18"/>
  <c r="M306" i="18"/>
  <c r="M304" i="18"/>
  <c r="M303" i="18"/>
  <c r="M301" i="18"/>
  <c r="M300" i="18"/>
  <c r="M298" i="18"/>
  <c r="M297" i="18"/>
  <c r="M295" i="18"/>
  <c r="M294" i="18"/>
  <c r="M292" i="18"/>
  <c r="M291" i="18"/>
  <c r="M289" i="18"/>
  <c r="M288" i="18"/>
  <c r="M286" i="18"/>
  <c r="M285" i="18"/>
  <c r="M283" i="18"/>
  <c r="M282" i="18"/>
  <c r="M280" i="18"/>
  <c r="M279" i="18"/>
  <c r="M277" i="18"/>
  <c r="M276" i="18"/>
  <c r="M274" i="18"/>
  <c r="M273" i="18"/>
  <c r="M272" i="18"/>
  <c r="M269" i="18"/>
  <c r="M268" i="18"/>
  <c r="M267" i="18"/>
  <c r="M266" i="18"/>
  <c r="M264" i="18"/>
  <c r="M263" i="18"/>
  <c r="M262" i="18"/>
  <c r="M261" i="18"/>
  <c r="M259" i="18"/>
  <c r="M258" i="18"/>
  <c r="M257" i="18"/>
  <c r="M256" i="18"/>
  <c r="M255" i="18"/>
  <c r="M254" i="18"/>
  <c r="M253" i="18"/>
  <c r="M252" i="18"/>
  <c r="M251" i="18"/>
  <c r="M250" i="18"/>
  <c r="M249" i="18"/>
  <c r="M248" i="18"/>
  <c r="M247" i="18"/>
  <c r="M246" i="18"/>
  <c r="M245" i="18"/>
  <c r="M244" i="18"/>
  <c r="M243" i="18"/>
  <c r="M242" i="18"/>
  <c r="M241" i="18"/>
  <c r="M240" i="18"/>
  <c r="M239" i="18"/>
  <c r="M238" i="18"/>
  <c r="M234" i="18"/>
  <c r="M230" i="18"/>
  <c r="N230" i="18" s="1"/>
  <c r="M201" i="18"/>
  <c r="M200" i="18"/>
  <c r="N200" i="18" s="1"/>
  <c r="M199" i="18"/>
  <c r="M198" i="18"/>
  <c r="M196" i="18"/>
  <c r="M195" i="18"/>
  <c r="M194" i="18"/>
  <c r="M193" i="18"/>
  <c r="M192" i="18"/>
  <c r="M191" i="18"/>
  <c r="M190" i="18"/>
  <c r="M188" i="18"/>
  <c r="M187" i="18"/>
  <c r="M186" i="18"/>
  <c r="M185" i="18"/>
  <c r="M184" i="18"/>
  <c r="M183" i="18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4" i="18"/>
  <c r="M163" i="18"/>
  <c r="M162" i="18"/>
  <c r="M161" i="18"/>
  <c r="M160" i="18"/>
  <c r="M159" i="18"/>
  <c r="M158" i="18"/>
  <c r="M157" i="18"/>
  <c r="M156" i="18"/>
  <c r="M155" i="18"/>
  <c r="M154" i="18"/>
  <c r="M153" i="18"/>
  <c r="M152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89" i="18"/>
  <c r="M88" i="18"/>
  <c r="M87" i="18"/>
  <c r="M86" i="18"/>
  <c r="M84" i="18"/>
  <c r="M83" i="18"/>
  <c r="M82" i="18"/>
  <c r="M81" i="18"/>
  <c r="M80" i="18"/>
  <c r="M79" i="18"/>
  <c r="M78" i="18"/>
  <c r="M76" i="18"/>
  <c r="N76" i="18" s="1"/>
  <c r="M75" i="18"/>
  <c r="M74" i="18"/>
  <c r="M73" i="18"/>
  <c r="M72" i="18"/>
  <c r="N72" i="18" s="1"/>
  <c r="M71" i="18"/>
  <c r="M70" i="18"/>
  <c r="M42" i="18"/>
  <c r="M41" i="18"/>
  <c r="M40" i="18"/>
  <c r="M39" i="18"/>
  <c r="M38" i="18"/>
  <c r="M37" i="18"/>
  <c r="M36" i="18"/>
  <c r="M35" i="18"/>
  <c r="M33" i="18"/>
  <c r="M32" i="18"/>
  <c r="M31" i="18"/>
  <c r="M30" i="18"/>
  <c r="M29" i="18"/>
  <c r="M28" i="18"/>
  <c r="M27" i="18"/>
  <c r="M26" i="18"/>
  <c r="M24" i="18"/>
  <c r="M23" i="18"/>
  <c r="N23" i="18" s="1"/>
  <c r="M22" i="18"/>
  <c r="N22" i="18" s="1"/>
  <c r="M21" i="18"/>
  <c r="M20" i="18"/>
  <c r="I217" i="18" l="1"/>
  <c r="I585" i="18"/>
  <c r="I1718" i="18"/>
  <c r="J1998" i="18"/>
  <c r="J2120" i="18"/>
  <c r="J2252" i="18"/>
  <c r="I47" i="18"/>
  <c r="I51" i="18"/>
  <c r="I55" i="18"/>
  <c r="I59" i="18"/>
  <c r="I63" i="18"/>
  <c r="I67" i="18"/>
  <c r="I94" i="18"/>
  <c r="I98" i="18"/>
  <c r="I102" i="18"/>
  <c r="I106" i="18"/>
  <c r="I110" i="18"/>
  <c r="I114" i="18"/>
  <c r="I619" i="18"/>
  <c r="I627" i="18"/>
  <c r="I635" i="18"/>
  <c r="I643" i="18"/>
  <c r="I827" i="18"/>
  <c r="I835" i="18"/>
  <c r="I843" i="18"/>
  <c r="I851" i="18"/>
  <c r="I884" i="18"/>
  <c r="I888" i="18"/>
  <c r="I892" i="18"/>
  <c r="I896" i="18"/>
  <c r="I900" i="18"/>
  <c r="I904" i="18"/>
  <c r="I908" i="18"/>
  <c r="I912" i="18"/>
  <c r="J1783" i="18"/>
  <c r="J1794" i="18"/>
  <c r="J1805" i="18"/>
  <c r="J1933" i="18"/>
  <c r="J1945" i="18"/>
  <c r="J1955" i="18"/>
  <c r="J1967" i="18"/>
  <c r="J1978" i="18"/>
  <c r="J1989" i="18"/>
  <c r="J1999" i="18"/>
  <c r="J2010" i="18"/>
  <c r="J2021" i="18"/>
  <c r="J2031" i="18"/>
  <c r="J2042" i="18"/>
  <c r="J2052" i="18"/>
  <c r="J2062" i="18"/>
  <c r="J2072" i="18"/>
  <c r="J2082" i="18"/>
  <c r="J2092" i="18"/>
  <c r="J2102" i="18"/>
  <c r="J2112" i="18"/>
  <c r="J2122" i="18"/>
  <c r="J2132" i="18"/>
  <c r="J2142" i="18"/>
  <c r="J2153" i="18"/>
  <c r="J2163" i="18"/>
  <c r="J2173" i="18"/>
  <c r="J2182" i="18"/>
  <c r="J2193" i="18"/>
  <c r="J2204" i="18"/>
  <c r="J2214" i="18"/>
  <c r="J2224" i="18"/>
  <c r="J2234" i="18"/>
  <c r="J2243" i="18"/>
  <c r="J2254" i="18"/>
  <c r="J2264" i="18"/>
  <c r="J2275" i="18"/>
  <c r="J2286" i="18"/>
  <c r="J2296" i="18"/>
  <c r="J2306" i="18"/>
  <c r="J2315" i="18"/>
  <c r="J2325" i="18"/>
  <c r="J2336" i="18"/>
  <c r="J2346" i="18"/>
  <c r="J2357" i="18"/>
  <c r="J2368" i="18"/>
  <c r="J2378" i="18"/>
  <c r="J2389" i="18"/>
  <c r="J2400" i="18"/>
  <c r="J2476" i="18"/>
  <c r="J2484" i="18"/>
  <c r="J2492" i="18"/>
  <c r="J2520" i="18"/>
  <c r="J2528" i="18"/>
  <c r="J2536" i="18"/>
  <c r="J2544" i="18"/>
  <c r="I2508" i="18"/>
  <c r="I2517" i="18"/>
  <c r="I2525" i="18"/>
  <c r="I2533" i="18"/>
  <c r="I2541" i="18"/>
  <c r="I221" i="18"/>
  <c r="I581" i="18"/>
  <c r="I634" i="18"/>
  <c r="I842" i="18"/>
  <c r="I1702" i="18"/>
  <c r="J1804" i="18"/>
  <c r="J2009" i="18"/>
  <c r="J2091" i="18"/>
  <c r="J2172" i="18"/>
  <c r="J2232" i="18"/>
  <c r="J2304" i="18"/>
  <c r="J2345" i="18"/>
  <c r="I2516" i="18"/>
  <c r="I206" i="18"/>
  <c r="I210" i="18"/>
  <c r="I214" i="18"/>
  <c r="I218" i="18"/>
  <c r="I222" i="18"/>
  <c r="I226" i="18"/>
  <c r="I566" i="18"/>
  <c r="I570" i="18"/>
  <c r="I574" i="18"/>
  <c r="I578" i="18"/>
  <c r="I582" i="18"/>
  <c r="I586" i="18"/>
  <c r="I620" i="18"/>
  <c r="I628" i="18"/>
  <c r="I636" i="18"/>
  <c r="I828" i="18"/>
  <c r="I836" i="18"/>
  <c r="I844" i="18"/>
  <c r="I852" i="18"/>
  <c r="I1691" i="18"/>
  <c r="I1695" i="18"/>
  <c r="I1699" i="18"/>
  <c r="I1703" i="18"/>
  <c r="I1707" i="18"/>
  <c r="I1711" i="18"/>
  <c r="I1715" i="18"/>
  <c r="I1719" i="18"/>
  <c r="J1784" i="18"/>
  <c r="J1796" i="18"/>
  <c r="J1806" i="18"/>
  <c r="J1934" i="18"/>
  <c r="J1946" i="18"/>
  <c r="J1957" i="18"/>
  <c r="J1969" i="18"/>
  <c r="J1979" i="18"/>
  <c r="J1990" i="18"/>
  <c r="J2001" i="18"/>
  <c r="J2011" i="18"/>
  <c r="J2022" i="18"/>
  <c r="J2033" i="18"/>
  <c r="J2043" i="18"/>
  <c r="J2054" i="18"/>
  <c r="J2064" i="18"/>
  <c r="J2074" i="18"/>
  <c r="J2084" i="18"/>
  <c r="J2094" i="18"/>
  <c r="J2104" i="18"/>
  <c r="J2113" i="18"/>
  <c r="J2123" i="18"/>
  <c r="J2133" i="18"/>
  <c r="J2144" i="18"/>
  <c r="J2154" i="18"/>
  <c r="J2164" i="18"/>
  <c r="J2174" i="18"/>
  <c r="J2184" i="18"/>
  <c r="J2194" i="18"/>
  <c r="J2205" i="18"/>
  <c r="J2216" i="18"/>
  <c r="J2225" i="18"/>
  <c r="J2235" i="18"/>
  <c r="J2244" i="18"/>
  <c r="J2255" i="18"/>
  <c r="J2266" i="18"/>
  <c r="J2276" i="18"/>
  <c r="J2287" i="18"/>
  <c r="J2297" i="18"/>
  <c r="J2307" i="18"/>
  <c r="J2316" i="18"/>
  <c r="J2326" i="18"/>
  <c r="J2337" i="18"/>
  <c r="J2348" i="18"/>
  <c r="J2358" i="18"/>
  <c r="J2369" i="18"/>
  <c r="J2380" i="18"/>
  <c r="J2390" i="18"/>
  <c r="J2401" i="18"/>
  <c r="J2477" i="18"/>
  <c r="J2485" i="18"/>
  <c r="J2493" i="18"/>
  <c r="J2521" i="18"/>
  <c r="J2529" i="18"/>
  <c r="J2537" i="18"/>
  <c r="J2545" i="18"/>
  <c r="I2509" i="18"/>
  <c r="I2518" i="18"/>
  <c r="I2526" i="18"/>
  <c r="I2534" i="18"/>
  <c r="I2542" i="18"/>
  <c r="I565" i="18"/>
  <c r="I626" i="18"/>
  <c r="I834" i="18"/>
  <c r="I1710" i="18"/>
  <c r="J1931" i="18"/>
  <c r="J1966" i="18"/>
  <c r="J2019" i="18"/>
  <c r="J2071" i="18"/>
  <c r="J2162" i="18"/>
  <c r="J2223" i="18"/>
  <c r="J2295" i="18"/>
  <c r="J2356" i="18"/>
  <c r="J2483" i="18"/>
  <c r="J2535" i="18"/>
  <c r="I2540" i="18"/>
  <c r="I48" i="18"/>
  <c r="I52" i="18"/>
  <c r="I56" i="18"/>
  <c r="I60" i="18"/>
  <c r="I64" i="18"/>
  <c r="I68" i="18"/>
  <c r="I95" i="18"/>
  <c r="I99" i="18"/>
  <c r="I103" i="18"/>
  <c r="I107" i="18"/>
  <c r="I111" i="18"/>
  <c r="I115" i="18"/>
  <c r="I621" i="18"/>
  <c r="I629" i="18"/>
  <c r="I637" i="18"/>
  <c r="I829" i="18"/>
  <c r="I837" i="18"/>
  <c r="I845" i="18"/>
  <c r="I881" i="18"/>
  <c r="I885" i="18"/>
  <c r="I889" i="18"/>
  <c r="I893" i="18"/>
  <c r="I897" i="18"/>
  <c r="I901" i="18"/>
  <c r="I905" i="18"/>
  <c r="I909" i="18"/>
  <c r="J1786" i="18"/>
  <c r="J1797" i="18"/>
  <c r="J1808" i="18"/>
  <c r="J1935" i="18"/>
  <c r="J1947" i="18"/>
  <c r="J1958" i="18"/>
  <c r="J1970" i="18"/>
  <c r="J1981" i="18"/>
  <c r="J1991" i="18"/>
  <c r="J2002" i="18"/>
  <c r="J2013" i="18"/>
  <c r="J2023" i="18"/>
  <c r="J2034" i="18"/>
  <c r="J2045" i="18"/>
  <c r="J2055" i="18"/>
  <c r="J2065" i="18"/>
  <c r="J2075" i="18"/>
  <c r="J2085" i="18"/>
  <c r="J2095" i="18"/>
  <c r="J2105" i="18"/>
  <c r="J2114" i="18"/>
  <c r="J2124" i="18"/>
  <c r="J2134" i="18"/>
  <c r="J2145" i="18"/>
  <c r="J2156" i="18"/>
  <c r="J2166" i="18"/>
  <c r="J2175" i="18"/>
  <c r="J2185" i="18"/>
  <c r="J2196" i="18"/>
  <c r="J2206" i="18"/>
  <c r="J2217" i="18"/>
  <c r="J2226" i="18"/>
  <c r="J2236" i="18"/>
  <c r="J2246" i="18"/>
  <c r="J2256" i="18"/>
  <c r="J2267" i="18"/>
  <c r="J2278" i="18"/>
  <c r="J2288" i="18"/>
  <c r="J2298" i="18"/>
  <c r="J2308" i="18"/>
  <c r="J2318" i="18"/>
  <c r="J2328" i="18"/>
  <c r="J2338" i="18"/>
  <c r="J2349" i="18"/>
  <c r="J2360" i="18"/>
  <c r="J2370" i="18"/>
  <c r="J2381" i="18"/>
  <c r="J2392" i="18"/>
  <c r="J2402" i="18"/>
  <c r="J2478" i="18"/>
  <c r="J2486" i="18"/>
  <c r="J2494" i="18"/>
  <c r="J2522" i="18"/>
  <c r="J2530" i="18"/>
  <c r="J2538" i="18"/>
  <c r="J2546" i="18"/>
  <c r="I2510" i="18"/>
  <c r="I2519" i="18"/>
  <c r="I2527" i="18"/>
  <c r="I2535" i="18"/>
  <c r="I2543" i="18"/>
  <c r="I209" i="18"/>
  <c r="I577" i="18"/>
  <c r="I642" i="18"/>
  <c r="I1706" i="18"/>
  <c r="J1793" i="18"/>
  <c r="J1977" i="18"/>
  <c r="J2051" i="18"/>
  <c r="J2081" i="18"/>
  <c r="J2141" i="18"/>
  <c r="J2202" i="18"/>
  <c r="J2274" i="18"/>
  <c r="J2334" i="18"/>
  <c r="J2398" i="18"/>
  <c r="J2491" i="18"/>
  <c r="J2543" i="18"/>
  <c r="I2532" i="18"/>
  <c r="I44" i="18"/>
  <c r="I203" i="18"/>
  <c r="I207" i="18"/>
  <c r="I211" i="18"/>
  <c r="I215" i="18"/>
  <c r="I219" i="18"/>
  <c r="I223" i="18"/>
  <c r="I227" i="18"/>
  <c r="I567" i="18"/>
  <c r="I571" i="18"/>
  <c r="I575" i="18"/>
  <c r="I579" i="18"/>
  <c r="I583" i="18"/>
  <c r="I587" i="18"/>
  <c r="I622" i="18"/>
  <c r="I630" i="18"/>
  <c r="I638" i="18"/>
  <c r="I830" i="18"/>
  <c r="I838" i="18"/>
  <c r="I846" i="18"/>
  <c r="I1688" i="18"/>
  <c r="I1692" i="18"/>
  <c r="I1696" i="18"/>
  <c r="I1700" i="18"/>
  <c r="I1704" i="18"/>
  <c r="I1708" i="18"/>
  <c r="I1712" i="18"/>
  <c r="I1716" i="18"/>
  <c r="J1787" i="18"/>
  <c r="J1798" i="18"/>
  <c r="J1809" i="18"/>
  <c r="J1937" i="18"/>
  <c r="J1949" i="18"/>
  <c r="J1959" i="18"/>
  <c r="J1971" i="18"/>
  <c r="J1982" i="18"/>
  <c r="J1993" i="18"/>
  <c r="J2003" i="18"/>
  <c r="J2014" i="18"/>
  <c r="J2025" i="18"/>
  <c r="J2035" i="18"/>
  <c r="J2046" i="18"/>
  <c r="J2056" i="18"/>
  <c r="J2066" i="18"/>
  <c r="J2076" i="18"/>
  <c r="J2086" i="18"/>
  <c r="J2096" i="18"/>
  <c r="J2106" i="18"/>
  <c r="J2116" i="18"/>
  <c r="J2125" i="18"/>
  <c r="J2136" i="18"/>
  <c r="J2146" i="18"/>
  <c r="J2157" i="18"/>
  <c r="J2167" i="18"/>
  <c r="J2176" i="18"/>
  <c r="J2186" i="18"/>
  <c r="J2197" i="18"/>
  <c r="J2208" i="18"/>
  <c r="J2218" i="18"/>
  <c r="J2228" i="18"/>
  <c r="J2237" i="18"/>
  <c r="J2247" i="18"/>
  <c r="J2258" i="18"/>
  <c r="J2268" i="18"/>
  <c r="J2279" i="18"/>
  <c r="J2290" i="18"/>
  <c r="J2300" i="18"/>
  <c r="J2309" i="18"/>
  <c r="J2319" i="18"/>
  <c r="J2329" i="18"/>
  <c r="J2340" i="18"/>
  <c r="J2350" i="18"/>
  <c r="J2361" i="18"/>
  <c r="J2372" i="18"/>
  <c r="J2382" i="18"/>
  <c r="J2393" i="18"/>
  <c r="J2404" i="18"/>
  <c r="J2479" i="18"/>
  <c r="J2487" i="18"/>
  <c r="J2495" i="18"/>
  <c r="J2523" i="18"/>
  <c r="J2531" i="18"/>
  <c r="J2539" i="18"/>
  <c r="I2503" i="18"/>
  <c r="I2511" i="18"/>
  <c r="I2520" i="18"/>
  <c r="I2528" i="18"/>
  <c r="I2536" i="18"/>
  <c r="I2544" i="18"/>
  <c r="I213" i="18"/>
  <c r="I573" i="18"/>
  <c r="I1698" i="18"/>
  <c r="J1943" i="18"/>
  <c r="J2030" i="18"/>
  <c r="J2111" i="18"/>
  <c r="J2181" i="18"/>
  <c r="J2242" i="18"/>
  <c r="J2314" i="18"/>
  <c r="J2366" i="18"/>
  <c r="J2519" i="18"/>
  <c r="I2524" i="18"/>
  <c r="I45" i="18"/>
  <c r="I49" i="18"/>
  <c r="I53" i="18"/>
  <c r="I57" i="18"/>
  <c r="I61" i="18"/>
  <c r="I65" i="18"/>
  <c r="I92" i="18"/>
  <c r="I96" i="18"/>
  <c r="I100" i="18"/>
  <c r="I104" i="18"/>
  <c r="I108" i="18"/>
  <c r="I112" i="18"/>
  <c r="I116" i="18"/>
  <c r="I623" i="18"/>
  <c r="I631" i="18"/>
  <c r="I639" i="18"/>
  <c r="I831" i="18"/>
  <c r="I839" i="18"/>
  <c r="I847" i="18"/>
  <c r="I882" i="18"/>
  <c r="I886" i="18"/>
  <c r="I890" i="18"/>
  <c r="I894" i="18"/>
  <c r="I898" i="18"/>
  <c r="I902" i="18"/>
  <c r="I906" i="18"/>
  <c r="I910" i="18"/>
  <c r="J1789" i="18"/>
  <c r="J1800" i="18"/>
  <c r="J1810" i="18"/>
  <c r="J1938" i="18"/>
  <c r="J1950" i="18"/>
  <c r="J1962" i="18"/>
  <c r="J1973" i="18"/>
  <c r="J1983" i="18"/>
  <c r="J1994" i="18"/>
  <c r="J2005" i="18"/>
  <c r="J2015" i="18"/>
  <c r="J2026" i="18"/>
  <c r="J2047" i="18"/>
  <c r="J2057" i="18"/>
  <c r="J2067" i="18"/>
  <c r="J2077" i="18"/>
  <c r="J2087" i="18"/>
  <c r="J2097" i="18"/>
  <c r="J2107" i="18"/>
  <c r="J2117" i="18"/>
  <c r="J2126" i="18"/>
  <c r="J2137" i="18"/>
  <c r="J2148" i="18"/>
  <c r="J2158" i="18"/>
  <c r="J2168" i="18"/>
  <c r="J2178" i="18"/>
  <c r="J2188" i="18"/>
  <c r="J2198" i="18"/>
  <c r="J2209" i="18"/>
  <c r="J2219" i="18"/>
  <c r="J2229" i="18"/>
  <c r="J2238" i="18"/>
  <c r="J2248" i="18"/>
  <c r="J2259" i="18"/>
  <c r="J2270" i="18"/>
  <c r="J2280" i="18"/>
  <c r="J2291" i="18"/>
  <c r="J2301" i="18"/>
  <c r="J2310" i="18"/>
  <c r="J2320" i="18"/>
  <c r="J2330" i="18"/>
  <c r="J2341" i="18"/>
  <c r="J2352" i="18"/>
  <c r="J2362" i="18"/>
  <c r="J2373" i="18"/>
  <c r="J2384" i="18"/>
  <c r="J2394" i="18"/>
  <c r="J2405" i="18"/>
  <c r="J2480" i="18"/>
  <c r="J2488" i="18"/>
  <c r="J2496" i="18"/>
  <c r="J2524" i="18"/>
  <c r="J2532" i="18"/>
  <c r="J2540" i="18"/>
  <c r="I2504" i="18"/>
  <c r="I2512" i="18"/>
  <c r="I2521" i="18"/>
  <c r="I2529" i="18"/>
  <c r="I2537" i="18"/>
  <c r="I2545" i="18"/>
  <c r="I225" i="18"/>
  <c r="I850" i="18"/>
  <c r="I1690" i="18"/>
  <c r="J1771" i="18"/>
  <c r="J1987" i="18"/>
  <c r="J2061" i="18"/>
  <c r="J2101" i="18"/>
  <c r="J2152" i="18"/>
  <c r="J2192" i="18"/>
  <c r="J2263" i="18"/>
  <c r="J2324" i="18"/>
  <c r="J2377" i="18"/>
  <c r="J2527" i="18"/>
  <c r="I204" i="18"/>
  <c r="I208" i="18"/>
  <c r="I212" i="18"/>
  <c r="I216" i="18"/>
  <c r="I220" i="18"/>
  <c r="I224" i="18"/>
  <c r="I564" i="18"/>
  <c r="I568" i="18"/>
  <c r="I572" i="18"/>
  <c r="I576" i="18"/>
  <c r="I580" i="18"/>
  <c r="I584" i="18"/>
  <c r="I588" i="18"/>
  <c r="I624" i="18"/>
  <c r="I632" i="18"/>
  <c r="I640" i="18"/>
  <c r="I832" i="18"/>
  <c r="I840" i="18"/>
  <c r="I848" i="18"/>
  <c r="I1689" i="18"/>
  <c r="I1693" i="18"/>
  <c r="I1697" i="18"/>
  <c r="I1701" i="18"/>
  <c r="I1705" i="18"/>
  <c r="I1709" i="18"/>
  <c r="I1713" i="18"/>
  <c r="I1717" i="18"/>
  <c r="J1769" i="18"/>
  <c r="J1790" i="18"/>
  <c r="J1801" i="18"/>
  <c r="J1929" i="18"/>
  <c r="J1939" i="18"/>
  <c r="J1951" i="18"/>
  <c r="J1963" i="18"/>
  <c r="J1974" i="18"/>
  <c r="J1985" i="18"/>
  <c r="J1995" i="18"/>
  <c r="J2006" i="18"/>
  <c r="J2017" i="18"/>
  <c r="J2027" i="18"/>
  <c r="J2049" i="18"/>
  <c r="J2059" i="18"/>
  <c r="J2069" i="18"/>
  <c r="J2079" i="18"/>
  <c r="J2089" i="18"/>
  <c r="J2099" i="18"/>
  <c r="J2108" i="18"/>
  <c r="J2118" i="18"/>
  <c r="J2128" i="18"/>
  <c r="J2138" i="18"/>
  <c r="J2149" i="18"/>
  <c r="J2160" i="18"/>
  <c r="J2169" i="18"/>
  <c r="J2179" i="18"/>
  <c r="J2189" i="18"/>
  <c r="J2200" i="18"/>
  <c r="J2210" i="18"/>
  <c r="J2220" i="18"/>
  <c r="J2230" i="18"/>
  <c r="J2240" i="18"/>
  <c r="J2250" i="18"/>
  <c r="J2260" i="18"/>
  <c r="J2271" i="18"/>
  <c r="J2282" i="18"/>
  <c r="J2292" i="18"/>
  <c r="J2302" i="18"/>
  <c r="J2312" i="18"/>
  <c r="J2321" i="18"/>
  <c r="J2332" i="18"/>
  <c r="J2342" i="18"/>
  <c r="J2353" i="18"/>
  <c r="J2364" i="18"/>
  <c r="J2374" i="18"/>
  <c r="J2385" i="18"/>
  <c r="J2396" i="18"/>
  <c r="J2406" i="18"/>
  <c r="J2481" i="18"/>
  <c r="J2489" i="18"/>
  <c r="J2497" i="18"/>
  <c r="J2525" i="18"/>
  <c r="J2533" i="18"/>
  <c r="J2541" i="18"/>
  <c r="I2505" i="18"/>
  <c r="I2513" i="18"/>
  <c r="I2522" i="18"/>
  <c r="I2530" i="18"/>
  <c r="I2538" i="18"/>
  <c r="I2546" i="18"/>
  <c r="I205" i="18"/>
  <c r="I569" i="18"/>
  <c r="I826" i="18"/>
  <c r="I1694" i="18"/>
  <c r="I1714" i="18"/>
  <c r="J1954" i="18"/>
  <c r="J2041" i="18"/>
  <c r="J2130" i="18"/>
  <c r="J2213" i="18"/>
  <c r="J2284" i="18"/>
  <c r="J2388" i="18"/>
  <c r="J2475" i="18"/>
  <c r="I2507" i="18"/>
  <c r="I46" i="18"/>
  <c r="I50" i="18"/>
  <c r="I54" i="18"/>
  <c r="I58" i="18"/>
  <c r="I62" i="18"/>
  <c r="I66" i="18"/>
  <c r="I93" i="18"/>
  <c r="I97" i="18"/>
  <c r="I101" i="18"/>
  <c r="I105" i="18"/>
  <c r="I109" i="18"/>
  <c r="I113" i="18"/>
  <c r="I625" i="18"/>
  <c r="I633" i="18"/>
  <c r="I641" i="18"/>
  <c r="I825" i="18"/>
  <c r="I833" i="18"/>
  <c r="I841" i="18"/>
  <c r="I849" i="18"/>
  <c r="I883" i="18"/>
  <c r="I887" i="18"/>
  <c r="I891" i="18"/>
  <c r="I895" i="18"/>
  <c r="I899" i="18"/>
  <c r="I903" i="18"/>
  <c r="I907" i="18"/>
  <c r="I911" i="18"/>
  <c r="J1770" i="18"/>
  <c r="J1792" i="18"/>
  <c r="J1802" i="18"/>
  <c r="J1930" i="18"/>
  <c r="J1942" i="18"/>
  <c r="J1953" i="18"/>
  <c r="J1965" i="18"/>
  <c r="J1975" i="18"/>
  <c r="J1986" i="18"/>
  <c r="J1997" i="18"/>
  <c r="J2007" i="18"/>
  <c r="J2018" i="18"/>
  <c r="J2029" i="18"/>
  <c r="J2050" i="18"/>
  <c r="J2060" i="18"/>
  <c r="J2070" i="18"/>
  <c r="J2080" i="18"/>
  <c r="J2090" i="18"/>
  <c r="J2100" i="18"/>
  <c r="J2110" i="18"/>
  <c r="J2119" i="18"/>
  <c r="J2129" i="18"/>
  <c r="J2140" i="18"/>
  <c r="J2150" i="18"/>
  <c r="J2161" i="18"/>
  <c r="J2170" i="18"/>
  <c r="J2180" i="18"/>
  <c r="J2190" i="18"/>
  <c r="J2201" i="18"/>
  <c r="J2212" i="18"/>
  <c r="J2222" i="18"/>
  <c r="J2231" i="18"/>
  <c r="J2241" i="18"/>
  <c r="J2251" i="18"/>
  <c r="J2262" i="18"/>
  <c r="J2272" i="18"/>
  <c r="J2283" i="18"/>
  <c r="J2294" i="18"/>
  <c r="J2303" i="18"/>
  <c r="J2313" i="18"/>
  <c r="J2322" i="18"/>
  <c r="J2333" i="18"/>
  <c r="J2344" i="18"/>
  <c r="J2354" i="18"/>
  <c r="J2365" i="18"/>
  <c r="J2376" i="18"/>
  <c r="J2386" i="18"/>
  <c r="J2397" i="18"/>
  <c r="J2482" i="18"/>
  <c r="J2490" i="18"/>
  <c r="J2498" i="18"/>
  <c r="J2526" i="18"/>
  <c r="J2534" i="18"/>
  <c r="J2542" i="18"/>
  <c r="I2506" i="18"/>
  <c r="I2514" i="18"/>
  <c r="I2523" i="18"/>
  <c r="I2531" i="18"/>
  <c r="I2539" i="18"/>
  <c r="J2409" i="18"/>
  <c r="J2418" i="18"/>
  <c r="J2428" i="18"/>
  <c r="J2438" i="18"/>
  <c r="J2447" i="18"/>
  <c r="J2457" i="18"/>
  <c r="J2466" i="18"/>
  <c r="J2410" i="18"/>
  <c r="J2420" i="18"/>
  <c r="J2429" i="18"/>
  <c r="J2439" i="18"/>
  <c r="J2448" i="18"/>
  <c r="J2458" i="18"/>
  <c r="J2411" i="18"/>
  <c r="J2421" i="18"/>
  <c r="J2430" i="18"/>
  <c r="J2440" i="18"/>
  <c r="J2450" i="18"/>
  <c r="J2459" i="18"/>
  <c r="J2412" i="18"/>
  <c r="J2422" i="18"/>
  <c r="J2432" i="18"/>
  <c r="J2441" i="18"/>
  <c r="J2451" i="18"/>
  <c r="J2460" i="18"/>
  <c r="J2414" i="18"/>
  <c r="J2423" i="18"/>
  <c r="J2433" i="18"/>
  <c r="J2442" i="18"/>
  <c r="J2452" i="18"/>
  <c r="J2462" i="18"/>
  <c r="J2037" i="18"/>
  <c r="J2415" i="18"/>
  <c r="J2424" i="18"/>
  <c r="J2434" i="18"/>
  <c r="J2444" i="18"/>
  <c r="J2453" i="18"/>
  <c r="J2463" i="18"/>
  <c r="J2038" i="18"/>
  <c r="J2416" i="18"/>
  <c r="J2426" i="18"/>
  <c r="J2435" i="18"/>
  <c r="J2445" i="18"/>
  <c r="J2454" i="18"/>
  <c r="J2464" i="18"/>
  <c r="J2039" i="18"/>
  <c r="J2408" i="18"/>
  <c r="J2417" i="18"/>
  <c r="J2427" i="18"/>
  <c r="J2436" i="18"/>
  <c r="J2446" i="18"/>
  <c r="J2456" i="18"/>
  <c r="J2465" i="18"/>
  <c r="M704" i="18"/>
  <c r="N704" i="18" s="1"/>
  <c r="M752" i="18"/>
  <c r="N752" i="18" s="1"/>
  <c r="M710" i="18"/>
  <c r="N710" i="18" s="1"/>
  <c r="M758" i="18"/>
  <c r="N758" i="18" s="1"/>
  <c r="M716" i="18"/>
  <c r="N716" i="18" s="1"/>
  <c r="M764" i="18"/>
  <c r="N764" i="18" s="1"/>
  <c r="M722" i="18"/>
  <c r="N722" i="18" s="1"/>
  <c r="M728" i="18"/>
  <c r="N728" i="18" s="1"/>
  <c r="M776" i="18"/>
  <c r="N776" i="18" s="1"/>
  <c r="M734" i="18"/>
  <c r="N734" i="18" s="1"/>
  <c r="M740" i="18"/>
  <c r="N740" i="18" s="1"/>
  <c r="M746" i="18"/>
  <c r="N746" i="18" s="1"/>
  <c r="M275" i="18"/>
  <c r="N275" i="18" s="1"/>
  <c r="M770" i="18"/>
  <c r="N770" i="18" s="1"/>
  <c r="P273" i="18"/>
  <c r="P272" i="18"/>
  <c r="P275" i="18"/>
  <c r="S271" i="18"/>
  <c r="P274" i="18"/>
  <c r="R271" i="18"/>
  <c r="Q271" i="18"/>
  <c r="F3" i="7"/>
  <c r="F2" i="7"/>
  <c r="B3" i="7"/>
  <c r="B2" i="7"/>
  <c r="C14" i="18"/>
  <c r="C13" i="18"/>
  <c r="F14" i="18"/>
  <c r="F13" i="18"/>
  <c r="O14" i="18"/>
  <c r="O13" i="18"/>
  <c r="M2460" i="18"/>
  <c r="M2448" i="18"/>
  <c r="M2444" i="18"/>
  <c r="M2440" i="18"/>
  <c r="M2432" i="18"/>
  <c r="M2400" i="18"/>
  <c r="M2398" i="18"/>
  <c r="M2392" i="18"/>
  <c r="M2390" i="18"/>
  <c r="M2372" i="18"/>
  <c r="M2362" i="18"/>
  <c r="M2356" i="18"/>
  <c r="M2350" i="18"/>
  <c r="M2342" i="18"/>
  <c r="M2338" i="18"/>
  <c r="M2328" i="18"/>
  <c r="M2310" i="18"/>
  <c r="M2302" i="18"/>
  <c r="M2294" i="18"/>
  <c r="M2292" i="18"/>
  <c r="M2286" i="18"/>
  <c r="M2262" i="18"/>
  <c r="M2242" i="18"/>
  <c r="M2238" i="18"/>
  <c r="M2234" i="18"/>
  <c r="M2230" i="18"/>
  <c r="M2218" i="18"/>
  <c r="M2210" i="18"/>
  <c r="M2204" i="18"/>
  <c r="M2188" i="18"/>
  <c r="M2178" i="18"/>
  <c r="M2162" i="18"/>
  <c r="M2122" i="18"/>
  <c r="M2114" i="18"/>
  <c r="M2074" i="18"/>
  <c r="M873" i="18"/>
  <c r="I2556" i="18"/>
  <c r="I2555" i="18"/>
  <c r="I2554" i="18"/>
  <c r="I2553" i="18"/>
  <c r="I2552" i="18"/>
  <c r="I2551" i="18"/>
  <c r="D2461" i="18"/>
  <c r="D2455" i="18"/>
  <c r="D2449" i="18"/>
  <c r="D2443" i="18"/>
  <c r="D2437" i="18"/>
  <c r="D2431" i="18"/>
  <c r="D2425" i="18"/>
  <c r="D2419" i="18"/>
  <c r="D2413" i="18"/>
  <c r="D2407" i="18"/>
  <c r="S55" i="18" l="1"/>
  <c r="R55" i="18"/>
  <c r="Q55" i="18"/>
  <c r="S276" i="18"/>
  <c r="R276" i="18"/>
  <c r="Q276" i="18"/>
  <c r="P278" i="18"/>
  <c r="P277" i="18"/>
  <c r="Q119" i="18"/>
  <c r="S119" i="18"/>
  <c r="R119" i="18"/>
  <c r="S131" i="18"/>
  <c r="R131" i="18"/>
  <c r="Q131" i="18"/>
  <c r="P169" i="18"/>
  <c r="S168" i="18"/>
  <c r="R168" i="18"/>
  <c r="Q168" i="18"/>
  <c r="P170" i="18"/>
  <c r="P178" i="18"/>
  <c r="P177" i="18"/>
  <c r="S176" i="18"/>
  <c r="R176" i="18"/>
  <c r="Q176" i="18"/>
  <c r="Q224" i="18"/>
  <c r="S224" i="18"/>
  <c r="R224" i="18"/>
  <c r="P761" i="18"/>
  <c r="P764" i="18"/>
  <c r="P760" i="18"/>
  <c r="P763" i="18"/>
  <c r="S759" i="18"/>
  <c r="P762" i="18"/>
  <c r="R759" i="18"/>
  <c r="Q759" i="18"/>
  <c r="P398" i="18"/>
  <c r="P401" i="18"/>
  <c r="P397" i="18"/>
  <c r="S396" i="18"/>
  <c r="P400" i="18"/>
  <c r="R396" i="18"/>
  <c r="Q396" i="18"/>
  <c r="P399" i="18"/>
  <c r="Q272" i="18"/>
  <c r="S272" i="18"/>
  <c r="R272" i="18"/>
  <c r="S21" i="18"/>
  <c r="R21" i="18"/>
  <c r="Q21" i="18"/>
  <c r="S187" i="18"/>
  <c r="R187" i="18"/>
  <c r="Q187" i="18"/>
  <c r="S40" i="18"/>
  <c r="R40" i="18"/>
  <c r="Q40" i="18"/>
  <c r="S83" i="18"/>
  <c r="R83" i="18"/>
  <c r="Q83" i="18"/>
  <c r="S120" i="18"/>
  <c r="R120" i="18"/>
  <c r="Q120" i="18"/>
  <c r="S139" i="18"/>
  <c r="R139" i="18"/>
  <c r="Q139" i="18"/>
  <c r="S188" i="18"/>
  <c r="R188" i="18"/>
  <c r="Q188" i="18"/>
  <c r="S211" i="18"/>
  <c r="R211" i="18"/>
  <c r="Q211" i="18"/>
  <c r="Q336" i="18"/>
  <c r="P339" i="18"/>
  <c r="P338" i="18"/>
  <c r="P341" i="18"/>
  <c r="P337" i="18"/>
  <c r="S336" i="18"/>
  <c r="P340" i="18"/>
  <c r="R336" i="18"/>
  <c r="S112" i="18"/>
  <c r="R112" i="18"/>
  <c r="Q112" i="18"/>
  <c r="S273" i="18"/>
  <c r="R273" i="18"/>
  <c r="Q273" i="18"/>
  <c r="Q216" i="18"/>
  <c r="S216" i="18"/>
  <c r="R216" i="18"/>
  <c r="S80" i="18"/>
  <c r="R80" i="18"/>
  <c r="Q80" i="18"/>
  <c r="R57" i="18"/>
  <c r="Q57" i="18"/>
  <c r="S57" i="18"/>
  <c r="S59" i="18"/>
  <c r="R59" i="18"/>
  <c r="Q59" i="18"/>
  <c r="Q60" i="18"/>
  <c r="S60" i="18"/>
  <c r="R60" i="18"/>
  <c r="S79" i="18"/>
  <c r="R79" i="18"/>
  <c r="Q79" i="18"/>
  <c r="R164" i="18"/>
  <c r="Q164" i="18"/>
  <c r="P166" i="18"/>
  <c r="P165" i="18"/>
  <c r="S164" i="18"/>
  <c r="S200" i="18"/>
  <c r="R200" i="18"/>
  <c r="Q200" i="18"/>
  <c r="Q253" i="18"/>
  <c r="S253" i="18"/>
  <c r="R253" i="18"/>
  <c r="P311" i="18"/>
  <c r="Q306" i="18"/>
  <c r="P308" i="18"/>
  <c r="P310" i="18"/>
  <c r="P307" i="18"/>
  <c r="P309" i="18"/>
  <c r="S306" i="18"/>
  <c r="R306" i="18"/>
  <c r="S76" i="18"/>
  <c r="R76" i="18"/>
  <c r="Q76" i="18"/>
  <c r="S29" i="18"/>
  <c r="R29" i="18"/>
  <c r="Q29" i="18"/>
  <c r="S97" i="18"/>
  <c r="R97" i="18"/>
  <c r="Q97" i="18"/>
  <c r="S41" i="18"/>
  <c r="R41" i="18"/>
  <c r="Q41" i="18"/>
  <c r="Q73" i="18"/>
  <c r="S73" i="18"/>
  <c r="R73" i="18"/>
  <c r="S84" i="18"/>
  <c r="R84" i="18"/>
  <c r="Q84" i="18"/>
  <c r="P181" i="18"/>
  <c r="S180" i="18"/>
  <c r="R180" i="18"/>
  <c r="Q180" i="18"/>
  <c r="P182" i="18"/>
  <c r="S37" i="18"/>
  <c r="R37" i="18"/>
  <c r="Q37" i="18"/>
  <c r="S61" i="18"/>
  <c r="R61" i="18"/>
  <c r="Q61" i="18"/>
  <c r="S93" i="18"/>
  <c r="R93" i="18"/>
  <c r="Q93" i="18"/>
  <c r="S123" i="18"/>
  <c r="R123" i="18"/>
  <c r="Q123" i="18"/>
  <c r="S140" i="18"/>
  <c r="R140" i="18"/>
  <c r="Q140" i="18"/>
  <c r="S244" i="18"/>
  <c r="R244" i="18"/>
  <c r="Q244" i="18"/>
  <c r="Q297" i="18"/>
  <c r="P299" i="18"/>
  <c r="P298" i="18"/>
  <c r="S297" i="18"/>
  <c r="R297" i="18"/>
  <c r="P352" i="18"/>
  <c r="P349" i="18"/>
  <c r="S348" i="18"/>
  <c r="P351" i="18"/>
  <c r="R348" i="18"/>
  <c r="Q348" i="18"/>
  <c r="P353" i="18"/>
  <c r="P350" i="18"/>
  <c r="P743" i="18"/>
  <c r="P745" i="18"/>
  <c r="P742" i="18"/>
  <c r="S741" i="18"/>
  <c r="P744" i="18"/>
  <c r="R741" i="18"/>
  <c r="Q741" i="18"/>
  <c r="P746" i="18"/>
  <c r="S241" i="18"/>
  <c r="R241" i="18"/>
  <c r="Q241" i="18"/>
  <c r="R474" i="18"/>
  <c r="Q474" i="18"/>
  <c r="P477" i="18"/>
  <c r="P476" i="18"/>
  <c r="P479" i="18"/>
  <c r="P475" i="18"/>
  <c r="P478" i="18"/>
  <c r="S474" i="18"/>
  <c r="P740" i="18"/>
  <c r="P737" i="18"/>
  <c r="P739" i="18"/>
  <c r="P736" i="18"/>
  <c r="S735" i="18"/>
  <c r="P738" i="18"/>
  <c r="R735" i="18"/>
  <c r="Q735" i="18"/>
  <c r="P755" i="18"/>
  <c r="P758" i="18"/>
  <c r="P754" i="18"/>
  <c r="P757" i="18"/>
  <c r="S753" i="18"/>
  <c r="R753" i="18"/>
  <c r="Q753" i="18"/>
  <c r="P756" i="18"/>
  <c r="R108" i="18"/>
  <c r="Q108" i="18"/>
  <c r="S108" i="18"/>
  <c r="S240" i="18"/>
  <c r="R240" i="18"/>
  <c r="Q240" i="18"/>
  <c r="S32" i="18"/>
  <c r="R32" i="18"/>
  <c r="Q32" i="18"/>
  <c r="R20" i="18"/>
  <c r="Q20" i="18"/>
  <c r="S20" i="18"/>
  <c r="S51" i="18"/>
  <c r="R51" i="18"/>
  <c r="Q51" i="18"/>
  <c r="S67" i="18"/>
  <c r="R67" i="18"/>
  <c r="Q67" i="18"/>
  <c r="S75" i="18"/>
  <c r="R75" i="18"/>
  <c r="Q75" i="18"/>
  <c r="Q81" i="18"/>
  <c r="S81" i="18"/>
  <c r="R81" i="18"/>
  <c r="S136" i="18"/>
  <c r="R136" i="18"/>
  <c r="Q136" i="18"/>
  <c r="P162" i="18"/>
  <c r="P161" i="18"/>
  <c r="S160" i="18"/>
  <c r="R160" i="18"/>
  <c r="Q160" i="18"/>
  <c r="S203" i="18"/>
  <c r="R203" i="18"/>
  <c r="Q203" i="18"/>
  <c r="Q285" i="18"/>
  <c r="P287" i="18"/>
  <c r="P286" i="18"/>
  <c r="S285" i="18"/>
  <c r="R285" i="18"/>
  <c r="S300" i="18"/>
  <c r="R300" i="18"/>
  <c r="Q300" i="18"/>
  <c r="P302" i="18"/>
  <c r="P301" i="18"/>
  <c r="P708" i="18"/>
  <c r="P707" i="18"/>
  <c r="P710" i="18"/>
  <c r="P706" i="18"/>
  <c r="P709" i="18"/>
  <c r="S705" i="18"/>
  <c r="R705" i="18"/>
  <c r="Q705" i="18"/>
  <c r="S137" i="18"/>
  <c r="R137" i="18"/>
  <c r="Q137" i="18"/>
  <c r="S204" i="18"/>
  <c r="R204" i="18"/>
  <c r="Q204" i="18"/>
  <c r="S63" i="18"/>
  <c r="R63" i="18"/>
  <c r="Q63" i="18"/>
  <c r="R100" i="18"/>
  <c r="Q100" i="18"/>
  <c r="S100" i="18"/>
  <c r="Q208" i="18"/>
  <c r="S208" i="18"/>
  <c r="R208" i="18"/>
  <c r="S227" i="18"/>
  <c r="R227" i="18"/>
  <c r="Q227" i="18"/>
  <c r="S33" i="18"/>
  <c r="R33" i="18"/>
  <c r="Q33" i="18"/>
  <c r="Q39" i="18"/>
  <c r="S39" i="18"/>
  <c r="R39" i="18"/>
  <c r="S53" i="18"/>
  <c r="R53" i="18"/>
  <c r="Q53" i="18"/>
  <c r="Q184" i="18"/>
  <c r="S184" i="18"/>
  <c r="R184" i="18"/>
  <c r="S209" i="18"/>
  <c r="R209" i="18"/>
  <c r="Q209" i="18"/>
  <c r="S288" i="18"/>
  <c r="R288" i="18"/>
  <c r="Q288" i="18"/>
  <c r="P290" i="18"/>
  <c r="P289" i="18"/>
  <c r="Q729" i="18"/>
  <c r="P734" i="18"/>
  <c r="P731" i="18"/>
  <c r="P733" i="18"/>
  <c r="P730" i="18"/>
  <c r="S729" i="18"/>
  <c r="P732" i="18"/>
  <c r="R729" i="18"/>
  <c r="R116" i="18"/>
  <c r="Q116" i="18"/>
  <c r="S116" i="18"/>
  <c r="C2" i="11"/>
  <c r="C3" i="11"/>
  <c r="G3" i="11"/>
  <c r="M504" i="18"/>
  <c r="M512" i="18"/>
  <c r="M520" i="18"/>
  <c r="M528" i="18"/>
  <c r="M536" i="18"/>
  <c r="M544" i="18"/>
  <c r="M552" i="18"/>
  <c r="M560" i="18"/>
  <c r="M592" i="18"/>
  <c r="M600" i="18"/>
  <c r="M608" i="18"/>
  <c r="N608" i="18" s="1"/>
  <c r="M615" i="18"/>
  <c r="M647" i="18"/>
  <c r="M655" i="18"/>
  <c r="M660" i="18"/>
  <c r="M667" i="18"/>
  <c r="M673" i="18"/>
  <c r="M687" i="18"/>
  <c r="L695" i="18"/>
  <c r="M860" i="18"/>
  <c r="M872" i="18"/>
  <c r="M919" i="18"/>
  <c r="M925" i="18"/>
  <c r="M938" i="18"/>
  <c r="M944" i="18"/>
  <c r="M951" i="18"/>
  <c r="M957" i="18"/>
  <c r="M971" i="18"/>
  <c r="M979" i="18"/>
  <c r="M986" i="18"/>
  <c r="M993" i="18"/>
  <c r="M1001" i="18"/>
  <c r="M1008" i="18"/>
  <c r="M1016" i="18"/>
  <c r="M1023" i="18"/>
  <c r="M1031" i="18"/>
  <c r="M1039" i="18"/>
  <c r="M1046" i="18"/>
  <c r="M1053" i="18"/>
  <c r="M1060" i="18"/>
  <c r="M1075" i="18"/>
  <c r="M1082" i="18"/>
  <c r="M1089" i="18"/>
  <c r="M1096" i="18"/>
  <c r="M1103" i="18"/>
  <c r="M1110" i="18"/>
  <c r="M1117" i="18"/>
  <c r="M1124" i="18"/>
  <c r="M1139" i="18"/>
  <c r="M1146" i="18"/>
  <c r="M1152" i="18"/>
  <c r="M1159" i="18"/>
  <c r="M1165" i="18"/>
  <c r="M1178" i="18"/>
  <c r="M1184" i="18"/>
  <c r="M1191" i="18"/>
  <c r="M1197" i="18"/>
  <c r="M1210" i="18"/>
  <c r="M1216" i="18"/>
  <c r="M1223" i="18"/>
  <c r="M1229" i="18"/>
  <c r="M1242" i="18"/>
  <c r="M1248" i="18"/>
  <c r="M1255" i="18"/>
  <c r="M1261" i="18"/>
  <c r="M1274" i="18"/>
  <c r="M1280" i="18"/>
  <c r="M1287" i="18"/>
  <c r="M1293" i="18"/>
  <c r="M1306" i="18"/>
  <c r="M1312" i="18"/>
  <c r="M1327" i="18"/>
  <c r="M1335" i="18"/>
  <c r="M1341" i="18"/>
  <c r="M1348" i="18"/>
  <c r="M1363" i="18"/>
  <c r="M1370" i="18"/>
  <c r="M1376" i="18"/>
  <c r="M1383" i="18"/>
  <c r="M1389" i="18"/>
  <c r="M1402" i="18"/>
  <c r="M1408" i="18"/>
  <c r="M1415" i="18"/>
  <c r="M1421" i="18"/>
  <c r="M1434" i="18"/>
  <c r="M1440" i="18"/>
  <c r="M1447" i="18"/>
  <c r="M1453" i="18"/>
  <c r="M1466" i="18"/>
  <c r="M1472" i="18"/>
  <c r="M1479" i="18"/>
  <c r="M1487" i="18"/>
  <c r="M1494" i="18"/>
  <c r="M1502" i="18"/>
  <c r="M1510" i="18"/>
  <c r="M1517" i="18"/>
  <c r="M1524" i="18"/>
  <c r="M1531" i="18"/>
  <c r="M1538" i="18"/>
  <c r="M1545" i="18"/>
  <c r="M1552" i="18"/>
  <c r="M1559" i="18"/>
  <c r="M1567" i="18"/>
  <c r="M1574" i="18"/>
  <c r="M1581" i="18"/>
  <c r="M1588" i="18"/>
  <c r="M1628" i="18"/>
  <c r="M1643" i="18"/>
  <c r="M1651" i="18"/>
  <c r="M1659" i="18"/>
  <c r="M1667" i="18"/>
  <c r="M1675" i="18"/>
  <c r="M1683" i="18"/>
  <c r="M1723" i="18"/>
  <c r="M1731" i="18"/>
  <c r="M1739" i="18"/>
  <c r="M1747" i="18"/>
  <c r="M1755" i="18"/>
  <c r="M1763" i="18"/>
  <c r="M1771" i="18"/>
  <c r="M1779" i="18"/>
  <c r="M1787" i="18"/>
  <c r="M1795" i="18"/>
  <c r="M1803" i="18"/>
  <c r="M1811" i="18"/>
  <c r="M1819" i="18"/>
  <c r="M1827" i="18"/>
  <c r="M1835" i="18"/>
  <c r="M1843" i="18"/>
  <c r="M1851" i="18"/>
  <c r="M1859" i="18"/>
  <c r="M1867" i="18"/>
  <c r="M1875" i="18"/>
  <c r="M1883" i="18"/>
  <c r="M1891" i="18"/>
  <c r="M1899" i="18"/>
  <c r="M1907" i="18"/>
  <c r="M1915" i="18"/>
  <c r="M1923" i="18"/>
  <c r="M1931" i="18"/>
  <c r="M1939" i="18"/>
  <c r="M1947" i="18"/>
  <c r="M1955" i="18"/>
  <c r="M1963" i="18"/>
  <c r="M1971" i="18"/>
  <c r="M1979" i="18"/>
  <c r="M1987" i="18"/>
  <c r="M1995" i="18"/>
  <c r="M2003" i="18"/>
  <c r="M2011" i="18"/>
  <c r="M2019" i="18"/>
  <c r="M2027" i="18"/>
  <c r="M2035" i="18"/>
  <c r="M2043" i="18"/>
  <c r="M2051" i="18"/>
  <c r="M2059" i="18"/>
  <c r="M2067" i="18"/>
  <c r="M2075" i="18"/>
  <c r="M2091" i="18"/>
  <c r="M2099" i="18"/>
  <c r="M2107" i="18"/>
  <c r="M2115" i="18"/>
  <c r="M2123" i="18"/>
  <c r="M2135" i="18"/>
  <c r="M2141" i="18"/>
  <c r="M2151" i="18"/>
  <c r="M2157" i="18"/>
  <c r="M2163" i="18"/>
  <c r="M2171" i="18"/>
  <c r="M2179" i="18"/>
  <c r="M2191" i="18"/>
  <c r="M2197" i="18"/>
  <c r="M2202" i="18"/>
  <c r="M2212" i="18"/>
  <c r="M2226" i="18"/>
  <c r="M2254" i="18"/>
  <c r="M2260" i="18"/>
  <c r="M2270" i="18"/>
  <c r="M2276" i="18"/>
  <c r="M2298" i="18"/>
  <c r="M2306" i="18"/>
  <c r="M2314" i="18"/>
  <c r="M2322" i="18"/>
  <c r="M2334" i="18"/>
  <c r="M2344" i="18"/>
  <c r="M2349" i="18"/>
  <c r="M2359" i="18"/>
  <c r="M2365" i="18"/>
  <c r="M2375" i="18"/>
  <c r="M2381" i="18"/>
  <c r="M2391" i="18"/>
  <c r="M2397" i="18"/>
  <c r="M2407" i="18"/>
  <c r="M2415" i="18"/>
  <c r="M2423" i="18"/>
  <c r="M2431" i="18"/>
  <c r="M2439" i="18"/>
  <c r="M2447" i="18"/>
  <c r="M2455" i="18"/>
  <c r="M2463" i="18"/>
  <c r="M505" i="18"/>
  <c r="M513" i="18"/>
  <c r="M521" i="18"/>
  <c r="M529" i="18"/>
  <c r="M537" i="18"/>
  <c r="M545" i="18"/>
  <c r="M553" i="18"/>
  <c r="M593" i="18"/>
  <c r="M601" i="18"/>
  <c r="M609" i="18"/>
  <c r="M616" i="18"/>
  <c r="M648" i="18"/>
  <c r="M661" i="18"/>
  <c r="M674" i="18"/>
  <c r="M680" i="18"/>
  <c r="M854" i="18"/>
  <c r="M866" i="18"/>
  <c r="M926" i="18"/>
  <c r="M932" i="18"/>
  <c r="M939" i="18"/>
  <c r="M945" i="18"/>
  <c r="M958" i="18"/>
  <c r="M964" i="18"/>
  <c r="M972" i="18"/>
  <c r="M987" i="18"/>
  <c r="M994" i="18"/>
  <c r="M1002" i="18"/>
  <c r="M1009" i="18"/>
  <c r="M1017" i="18"/>
  <c r="M1024" i="18"/>
  <c r="M1032" i="18"/>
  <c r="M1040" i="18"/>
  <c r="M1047" i="18"/>
  <c r="M1054" i="18"/>
  <c r="M1061" i="18"/>
  <c r="M1068" i="18"/>
  <c r="M1083" i="18"/>
  <c r="M1090" i="18"/>
  <c r="M1097" i="18"/>
  <c r="M1104" i="18"/>
  <c r="M1111" i="18"/>
  <c r="M1118" i="18"/>
  <c r="M1125" i="18"/>
  <c r="M1132" i="18"/>
  <c r="M1147" i="18"/>
  <c r="M1153" i="18"/>
  <c r="M1166" i="18"/>
  <c r="M1172" i="18"/>
  <c r="M1179" i="18"/>
  <c r="M1185" i="18"/>
  <c r="M1198" i="18"/>
  <c r="M1204" i="18"/>
  <c r="M1211" i="18"/>
  <c r="M1217" i="18"/>
  <c r="M1230" i="18"/>
  <c r="M1236" i="18"/>
  <c r="M1243" i="18"/>
  <c r="M1249" i="18"/>
  <c r="M1262" i="18"/>
  <c r="M1268" i="18"/>
  <c r="M1275" i="18"/>
  <c r="M1281" i="18"/>
  <c r="M1294" i="18"/>
  <c r="M1300" i="18"/>
  <c r="M1307" i="18"/>
  <c r="M1313" i="18"/>
  <c r="M1320" i="18"/>
  <c r="M1328" i="18"/>
  <c r="M1342" i="18"/>
  <c r="M1349" i="18"/>
  <c r="M1356" i="18"/>
  <c r="M1364" i="18"/>
  <c r="M1371" i="18"/>
  <c r="M1377" i="18"/>
  <c r="M1390" i="18"/>
  <c r="M1396" i="18"/>
  <c r="M1403" i="18"/>
  <c r="M1409" i="18"/>
  <c r="M1422" i="18"/>
  <c r="M1428" i="18"/>
  <c r="M1435" i="18"/>
  <c r="M1441" i="18"/>
  <c r="M1454" i="18"/>
  <c r="M1460" i="18"/>
  <c r="M1467" i="18"/>
  <c r="M1473" i="18"/>
  <c r="M1480" i="18"/>
  <c r="M1488" i="18"/>
  <c r="M1495" i="18"/>
  <c r="M1503" i="18"/>
  <c r="M1511" i="18"/>
  <c r="M1518" i="18"/>
  <c r="M1525" i="18"/>
  <c r="M1532" i="18"/>
  <c r="M1539" i="18"/>
  <c r="M1546" i="18"/>
  <c r="M1553" i="18"/>
  <c r="M1560" i="18"/>
  <c r="M1575" i="18"/>
  <c r="M1582" i="18"/>
  <c r="M1589" i="18"/>
  <c r="M1629" i="18"/>
  <c r="M1636" i="18"/>
  <c r="M1644" i="18"/>
  <c r="M1652" i="18"/>
  <c r="M1660" i="18"/>
  <c r="M1668" i="18"/>
  <c r="M1676" i="18"/>
  <c r="M1684" i="18"/>
  <c r="M1724" i="18"/>
  <c r="M1732" i="18"/>
  <c r="M1740" i="18"/>
  <c r="M1748" i="18"/>
  <c r="M1756" i="18"/>
  <c r="M1764" i="18"/>
  <c r="M1772" i="18"/>
  <c r="M1780" i="18"/>
  <c r="M1796" i="18"/>
  <c r="M1804" i="18"/>
  <c r="M1812" i="18"/>
  <c r="M1820" i="18"/>
  <c r="M1828" i="18"/>
  <c r="M1836" i="18"/>
  <c r="M1844" i="18"/>
  <c r="M1852" i="18"/>
  <c r="M1860" i="18"/>
  <c r="M1868" i="18"/>
  <c r="M1876" i="18"/>
  <c r="M1884" i="18"/>
  <c r="M1900" i="18"/>
  <c r="M1924" i="18"/>
  <c r="M1932" i="18"/>
  <c r="M1956" i="18"/>
  <c r="M1964" i="18"/>
  <c r="M1972" i="18"/>
  <c r="M1980" i="18"/>
  <c r="M1988" i="18"/>
  <c r="M1996" i="18"/>
  <c r="M2004" i="18"/>
  <c r="M2012" i="18"/>
  <c r="M2020" i="18"/>
  <c r="M2028" i="18"/>
  <c r="M2036" i="18"/>
  <c r="M2044" i="18"/>
  <c r="M2052" i="18"/>
  <c r="M2060" i="18"/>
  <c r="M2068" i="18"/>
  <c r="M2076" i="18"/>
  <c r="M2084" i="18"/>
  <c r="M2092" i="18"/>
  <c r="M2100" i="18"/>
  <c r="M2108" i="18"/>
  <c r="M2116" i="18"/>
  <c r="M2124" i="18"/>
  <c r="M2136" i="18"/>
  <c r="M2142" i="18"/>
  <c r="M2152" i="18"/>
  <c r="M2158" i="18"/>
  <c r="M2164" i="18"/>
  <c r="M2172" i="18"/>
  <c r="M2180" i="18"/>
  <c r="M2192" i="18"/>
  <c r="M2198" i="18"/>
  <c r="M2207" i="18"/>
  <c r="M2213" i="18"/>
  <c r="M2219" i="18"/>
  <c r="M2227" i="18"/>
  <c r="M2235" i="18"/>
  <c r="M2243" i="18"/>
  <c r="M2249" i="18"/>
  <c r="M2255" i="18"/>
  <c r="M2265" i="18"/>
  <c r="M2271" i="18"/>
  <c r="M2281" i="18"/>
  <c r="M2287" i="18"/>
  <c r="M2299" i="18"/>
  <c r="M2307" i="18"/>
  <c r="M2315" i="18"/>
  <c r="M2323" i="18"/>
  <c r="M2329" i="18"/>
  <c r="M2339" i="18"/>
  <c r="M2345" i="18"/>
  <c r="M2360" i="18"/>
  <c r="M2366" i="18"/>
  <c r="M2376" i="18"/>
  <c r="M2382" i="18"/>
  <c r="M2408" i="18"/>
  <c r="M2416" i="18"/>
  <c r="M2424" i="18"/>
  <c r="M2456" i="18"/>
  <c r="M2464" i="18"/>
  <c r="M506" i="18"/>
  <c r="M514" i="18"/>
  <c r="M522" i="18"/>
  <c r="M530" i="18"/>
  <c r="M538" i="18"/>
  <c r="M546" i="18"/>
  <c r="M554" i="18"/>
  <c r="M562" i="18"/>
  <c r="M594" i="18"/>
  <c r="M610" i="18"/>
  <c r="M617" i="18"/>
  <c r="M649" i="18"/>
  <c r="M656" i="18"/>
  <c r="M662" i="18"/>
  <c r="M668" i="18"/>
  <c r="M675" i="18"/>
  <c r="M681" i="18"/>
  <c r="M688" i="18"/>
  <c r="M855" i="18"/>
  <c r="M861" i="18"/>
  <c r="M914" i="18"/>
  <c r="M920" i="18"/>
  <c r="M927" i="18"/>
  <c r="M933" i="18"/>
  <c r="M946" i="18"/>
  <c r="M952" i="18"/>
  <c r="M959" i="18"/>
  <c r="M965" i="18"/>
  <c r="M973" i="18"/>
  <c r="M980" i="18"/>
  <c r="M995" i="18"/>
  <c r="M1003" i="18"/>
  <c r="M1010" i="18"/>
  <c r="M1018" i="18"/>
  <c r="M1025" i="18"/>
  <c r="M1033" i="18"/>
  <c r="M1041" i="18"/>
  <c r="M1048" i="18"/>
  <c r="M1055" i="18"/>
  <c r="M1062" i="18"/>
  <c r="M1069" i="18"/>
  <c r="M1076" i="18"/>
  <c r="M1091" i="18"/>
  <c r="M1098" i="18"/>
  <c r="M1105" i="18"/>
  <c r="M1112" i="18"/>
  <c r="M1119" i="18"/>
  <c r="M1126" i="18"/>
  <c r="M1133" i="18"/>
  <c r="M1140" i="18"/>
  <c r="M1154" i="18"/>
  <c r="M1160" i="18"/>
  <c r="M1167" i="18"/>
  <c r="M1173" i="18"/>
  <c r="M1186" i="18"/>
  <c r="M1192" i="18"/>
  <c r="M1199" i="18"/>
  <c r="M1205" i="18"/>
  <c r="M1218" i="18"/>
  <c r="M1224" i="18"/>
  <c r="M1231" i="18"/>
  <c r="M1237" i="18"/>
  <c r="M1250" i="18"/>
  <c r="M1256" i="18"/>
  <c r="M1263" i="18"/>
  <c r="M1269" i="18"/>
  <c r="M1282" i="18"/>
  <c r="M1288" i="18"/>
  <c r="M1295" i="18"/>
  <c r="M1301" i="18"/>
  <c r="M1314" i="18"/>
  <c r="M1321" i="18"/>
  <c r="M1329" i="18"/>
  <c r="M1336" i="18"/>
  <c r="M1343" i="18"/>
  <c r="M1350" i="18"/>
  <c r="M1357" i="18"/>
  <c r="M1365" i="18"/>
  <c r="M1378" i="18"/>
  <c r="M1384" i="18"/>
  <c r="M1391" i="18"/>
  <c r="M1397" i="18"/>
  <c r="M1410" i="18"/>
  <c r="M1416" i="18"/>
  <c r="M1423" i="18"/>
  <c r="M1429" i="18"/>
  <c r="M1442" i="18"/>
  <c r="M1448" i="18"/>
  <c r="M1455" i="18"/>
  <c r="M1461" i="18"/>
  <c r="M1474" i="18"/>
  <c r="M1481" i="18"/>
  <c r="M1489" i="18"/>
  <c r="M1496" i="18"/>
  <c r="M1504" i="18"/>
  <c r="M1519" i="18"/>
  <c r="M1526" i="18"/>
  <c r="M1533" i="18"/>
  <c r="M1540" i="18"/>
  <c r="M1547" i="18"/>
  <c r="M1554" i="18"/>
  <c r="M1561" i="18"/>
  <c r="M1568" i="18"/>
  <c r="M1583" i="18"/>
  <c r="M1590" i="18"/>
  <c r="M1630" i="18"/>
  <c r="M1637" i="18"/>
  <c r="M1645" i="18"/>
  <c r="M1653" i="18"/>
  <c r="M1661" i="18"/>
  <c r="M1669" i="18"/>
  <c r="M1677" i="18"/>
  <c r="M1685" i="18"/>
  <c r="M1725" i="18"/>
  <c r="M1733" i="18"/>
  <c r="M1741" i="18"/>
  <c r="M1749" i="18"/>
  <c r="M1757" i="18"/>
  <c r="M1765" i="18"/>
  <c r="M1773" i="18"/>
  <c r="M1781" i="18"/>
  <c r="M1789" i="18"/>
  <c r="M1797" i="18"/>
  <c r="M1805" i="18"/>
  <c r="M1813" i="18"/>
  <c r="M1821" i="18"/>
  <c r="M1829" i="18"/>
  <c r="M1837" i="18"/>
  <c r="M1845" i="18"/>
  <c r="M1853" i="18"/>
  <c r="M1861" i="18"/>
  <c r="M1869" i="18"/>
  <c r="M1877" i="18"/>
  <c r="M1885" i="18"/>
  <c r="M1893" i="18"/>
  <c r="M1901" i="18"/>
  <c r="M1909" i="18"/>
  <c r="M1917" i="18"/>
  <c r="M1925" i="18"/>
  <c r="M1933" i="18"/>
  <c r="M1941" i="18"/>
  <c r="M1949" i="18"/>
  <c r="M1957" i="18"/>
  <c r="M1965" i="18"/>
  <c r="M1973" i="18"/>
  <c r="M1981" i="18"/>
  <c r="M1989" i="18"/>
  <c r="M1997" i="18"/>
  <c r="M2005" i="18"/>
  <c r="M2013" i="18"/>
  <c r="M2021" i="18"/>
  <c r="M2029" i="18"/>
  <c r="M2037" i="18"/>
  <c r="M2045" i="18"/>
  <c r="M2053" i="18"/>
  <c r="M2061" i="18"/>
  <c r="M2069" i="18"/>
  <c r="M2077" i="18"/>
  <c r="M2085" i="18"/>
  <c r="M2093" i="18"/>
  <c r="M2101" i="18"/>
  <c r="M2109" i="18"/>
  <c r="M2117" i="18"/>
  <c r="M2125" i="18"/>
  <c r="M2131" i="18"/>
  <c r="M2137" i="18"/>
  <c r="M2147" i="18"/>
  <c r="M2153" i="18"/>
  <c r="M2165" i="18"/>
  <c r="M2173" i="18"/>
  <c r="M2181" i="18"/>
  <c r="M2187" i="18"/>
  <c r="M2193" i="18"/>
  <c r="M2208" i="18"/>
  <c r="M2214" i="18"/>
  <c r="M2220" i="18"/>
  <c r="M2228" i="18"/>
  <c r="M2236" i="18"/>
  <c r="M2244" i="18"/>
  <c r="M2250" i="18"/>
  <c r="M2256" i="18"/>
  <c r="M2266" i="18"/>
  <c r="M2272" i="18"/>
  <c r="M2282" i="18"/>
  <c r="M2288" i="18"/>
  <c r="M2300" i="18"/>
  <c r="M2308" i="18"/>
  <c r="M2316" i="18"/>
  <c r="M2324" i="18"/>
  <c r="M2330" i="18"/>
  <c r="M2340" i="18"/>
  <c r="M2346" i="18"/>
  <c r="M2355" i="18"/>
  <c r="M2361" i="18"/>
  <c r="M2371" i="18"/>
  <c r="M2377" i="18"/>
  <c r="M2387" i="18"/>
  <c r="M2393" i="18"/>
  <c r="M2403" i="18"/>
  <c r="M2409" i="18"/>
  <c r="M2417" i="18"/>
  <c r="M2425" i="18"/>
  <c r="M2433" i="18"/>
  <c r="M2441" i="18"/>
  <c r="M2449" i="18"/>
  <c r="M2457" i="18"/>
  <c r="M2465" i="18"/>
  <c r="M507" i="18"/>
  <c r="M515" i="18"/>
  <c r="M523" i="18"/>
  <c r="M531" i="18"/>
  <c r="M539" i="18"/>
  <c r="M547" i="18"/>
  <c r="M555" i="18"/>
  <c r="M595" i="18"/>
  <c r="M603" i="18"/>
  <c r="M611" i="18"/>
  <c r="M650" i="18"/>
  <c r="M663" i="18"/>
  <c r="M669" i="18"/>
  <c r="M682" i="18"/>
  <c r="M689" i="18"/>
  <c r="M856" i="18"/>
  <c r="M868" i="18"/>
  <c r="M875" i="18"/>
  <c r="M915" i="18"/>
  <c r="M921" i="18"/>
  <c r="M934" i="18"/>
  <c r="M940" i="18"/>
  <c r="M947" i="18"/>
  <c r="M953" i="18"/>
  <c r="M966" i="18"/>
  <c r="M974" i="18"/>
  <c r="M981" i="18"/>
  <c r="M988" i="18"/>
  <c r="M996" i="18"/>
  <c r="M1011" i="18"/>
  <c r="M1019" i="18"/>
  <c r="M1026" i="18"/>
  <c r="M1034" i="18"/>
  <c r="M1042" i="18"/>
  <c r="M1049" i="18"/>
  <c r="M1056" i="18"/>
  <c r="M1063" i="18"/>
  <c r="M1070" i="18"/>
  <c r="M1077" i="18"/>
  <c r="M1084" i="18"/>
  <c r="M1099" i="18"/>
  <c r="M1106" i="18"/>
  <c r="M1113" i="18"/>
  <c r="M1120" i="18"/>
  <c r="M1127" i="18"/>
  <c r="M1134" i="18"/>
  <c r="M1141" i="18"/>
  <c r="M1148" i="18"/>
  <c r="M1155" i="18"/>
  <c r="M1161" i="18"/>
  <c r="M1174" i="18"/>
  <c r="M1180" i="18"/>
  <c r="M1187" i="18"/>
  <c r="M1193" i="18"/>
  <c r="M1206" i="18"/>
  <c r="M1212" i="18"/>
  <c r="M1219" i="18"/>
  <c r="M1225" i="18"/>
  <c r="M1238" i="18"/>
  <c r="M1244" i="18"/>
  <c r="M1251" i="18"/>
  <c r="M1257" i="18"/>
  <c r="M1270" i="18"/>
  <c r="M1276" i="18"/>
  <c r="M1283" i="18"/>
  <c r="M1289" i="18"/>
  <c r="M1302" i="18"/>
  <c r="M1308" i="18"/>
  <c r="M1315" i="18"/>
  <c r="M1322" i="18"/>
  <c r="M1330" i="18"/>
  <c r="M1337" i="18"/>
  <c r="M1351" i="18"/>
  <c r="M1358" i="18"/>
  <c r="M1366" i="18"/>
  <c r="M1372" i="18"/>
  <c r="M1379" i="18"/>
  <c r="M1385" i="18"/>
  <c r="M1398" i="18"/>
  <c r="M1404" i="18"/>
  <c r="M1411" i="18"/>
  <c r="M1417" i="18"/>
  <c r="M1430" i="18"/>
  <c r="M1436" i="18"/>
  <c r="M1443" i="18"/>
  <c r="M1449" i="18"/>
  <c r="M1462" i="18"/>
  <c r="M1468" i="18"/>
  <c r="M1475" i="18"/>
  <c r="M1482" i="18"/>
  <c r="M1490" i="18"/>
  <c r="M1497" i="18"/>
  <c r="M1505" i="18"/>
  <c r="M1512" i="18"/>
  <c r="M1527" i="18"/>
  <c r="M1534" i="18"/>
  <c r="M1541" i="18"/>
  <c r="M1555" i="18"/>
  <c r="M1562" i="18"/>
  <c r="M1569" i="18"/>
  <c r="M1576" i="18"/>
  <c r="M1631" i="18"/>
  <c r="M1638" i="18"/>
  <c r="M1646" i="18"/>
  <c r="M1654" i="18"/>
  <c r="M1662" i="18"/>
  <c r="M1670" i="18"/>
  <c r="M1678" i="18"/>
  <c r="M1686" i="18"/>
  <c r="M1726" i="18"/>
  <c r="M1734" i="18"/>
  <c r="M1742" i="18"/>
  <c r="M1750" i="18"/>
  <c r="M1766" i="18"/>
  <c r="M1774" i="18"/>
  <c r="M1782" i="18"/>
  <c r="M1790" i="18"/>
  <c r="M1798" i="18"/>
  <c r="M1806" i="18"/>
  <c r="M1814" i="18"/>
  <c r="M1822" i="18"/>
  <c r="M1830" i="18"/>
  <c r="M1838" i="18"/>
  <c r="M1846" i="18"/>
  <c r="M1854" i="18"/>
  <c r="M1862" i="18"/>
  <c r="M1870" i="18"/>
  <c r="M1878" i="18"/>
  <c r="M1886" i="18"/>
  <c r="M1894" i="18"/>
  <c r="M1902" i="18"/>
  <c r="M1910" i="18"/>
  <c r="M1918" i="18"/>
  <c r="M1926" i="18"/>
  <c r="M1934" i="18"/>
  <c r="M1942" i="18"/>
  <c r="M1950" i="18"/>
  <c r="M1958" i="18"/>
  <c r="M1966" i="18"/>
  <c r="M1974" i="18"/>
  <c r="M1982" i="18"/>
  <c r="M1990" i="18"/>
  <c r="M1998" i="18"/>
  <c r="M2006" i="18"/>
  <c r="M2014" i="18"/>
  <c r="M2022" i="18"/>
  <c r="M2030" i="18"/>
  <c r="M2038" i="18"/>
  <c r="M2046" i="18"/>
  <c r="M2054" i="18"/>
  <c r="M2062" i="18"/>
  <c r="M2070" i="18"/>
  <c r="M2086" i="18"/>
  <c r="M2094" i="18"/>
  <c r="M2102" i="18"/>
  <c r="M2110" i="18"/>
  <c r="M2118" i="18"/>
  <c r="M2126" i="18"/>
  <c r="M2132" i="18"/>
  <c r="M2138" i="18"/>
  <c r="M2148" i="18"/>
  <c r="M2154" i="18"/>
  <c r="M2166" i="18"/>
  <c r="M2174" i="18"/>
  <c r="M2182" i="18"/>
  <c r="M2194" i="18"/>
  <c r="M2203" i="18"/>
  <c r="M2209" i="18"/>
  <c r="M2229" i="18"/>
  <c r="M2237" i="18"/>
  <c r="M2245" i="18"/>
  <c r="M2251" i="18"/>
  <c r="M2261" i="18"/>
  <c r="M2267" i="18"/>
  <c r="M2277" i="18"/>
  <c r="M2283" i="18"/>
  <c r="M2293" i="18"/>
  <c r="M2301" i="18"/>
  <c r="M2309" i="18"/>
  <c r="M2317" i="18"/>
  <c r="M2325" i="18"/>
  <c r="M2335" i="18"/>
  <c r="M2341" i="18"/>
  <c r="M2378" i="18"/>
  <c r="M2388" i="18"/>
  <c r="M2394" i="18"/>
  <c r="M2404" i="18"/>
  <c r="M2410" i="18"/>
  <c r="M2418" i="18"/>
  <c r="M2426" i="18"/>
  <c r="M2434" i="18"/>
  <c r="M2442" i="18"/>
  <c r="M2450" i="18"/>
  <c r="M2458" i="18"/>
  <c r="M2466" i="18"/>
  <c r="M508" i="18"/>
  <c r="M516" i="18"/>
  <c r="M524" i="18"/>
  <c r="M532" i="18"/>
  <c r="M540" i="18"/>
  <c r="M548" i="18"/>
  <c r="M556" i="18"/>
  <c r="M596" i="18"/>
  <c r="M604" i="18"/>
  <c r="M612" i="18"/>
  <c r="M657" i="18"/>
  <c r="M670" i="18"/>
  <c r="M676" i="18"/>
  <c r="M683" i="18"/>
  <c r="M690" i="18"/>
  <c r="M862" i="18"/>
  <c r="M876" i="18"/>
  <c r="M922" i="18"/>
  <c r="M928" i="18"/>
  <c r="M935" i="18"/>
  <c r="M941" i="18"/>
  <c r="M954" i="18"/>
  <c r="M960" i="18"/>
  <c r="M967" i="18"/>
  <c r="M975" i="18"/>
  <c r="M982" i="18"/>
  <c r="M989" i="18"/>
  <c r="M997" i="18"/>
  <c r="M1004" i="18"/>
  <c r="M1012" i="18"/>
  <c r="M1027" i="18"/>
  <c r="M1035" i="18"/>
  <c r="M1043" i="18"/>
  <c r="M1050" i="18"/>
  <c r="M1057" i="18"/>
  <c r="M1064" i="18"/>
  <c r="M1071" i="18"/>
  <c r="M1078" i="18"/>
  <c r="M1085" i="18"/>
  <c r="M1092" i="18"/>
  <c r="M1107" i="18"/>
  <c r="M1114" i="18"/>
  <c r="M1121" i="18"/>
  <c r="M1128" i="18"/>
  <c r="M1135" i="18"/>
  <c r="M1142" i="18"/>
  <c r="M1149" i="18"/>
  <c r="M1162" i="18"/>
  <c r="M1168" i="18"/>
  <c r="M1175" i="18"/>
  <c r="M1181" i="18"/>
  <c r="M1194" i="18"/>
  <c r="M1200" i="18"/>
  <c r="M1207" i="18"/>
  <c r="M1213" i="18"/>
  <c r="M1226" i="18"/>
  <c r="M1232" i="18"/>
  <c r="M1239" i="18"/>
  <c r="M1245" i="18"/>
  <c r="M1258" i="18"/>
  <c r="M1264" i="18"/>
  <c r="M1271" i="18"/>
  <c r="M1277" i="18"/>
  <c r="M1290" i="18"/>
  <c r="M1296" i="18"/>
  <c r="M1303" i="18"/>
  <c r="M1309" i="18"/>
  <c r="M1316" i="18"/>
  <c r="M1323" i="18"/>
  <c r="M1331" i="18"/>
  <c r="M1338" i="18"/>
  <c r="M1344" i="18"/>
  <c r="M1352" i="18"/>
  <c r="M1359" i="18"/>
  <c r="M1367" i="18"/>
  <c r="M1373" i="18"/>
  <c r="M1386" i="18"/>
  <c r="M1392" i="18"/>
  <c r="M1399" i="18"/>
  <c r="M1405" i="18"/>
  <c r="M1418" i="18"/>
  <c r="M1424" i="18"/>
  <c r="M1431" i="18"/>
  <c r="M1437" i="18"/>
  <c r="M1450" i="18"/>
  <c r="M1456" i="18"/>
  <c r="M1463" i="18"/>
  <c r="M1469" i="18"/>
  <c r="M1483" i="18"/>
  <c r="M1491" i="18"/>
  <c r="M1498" i="18"/>
  <c r="M1506" i="18"/>
  <c r="M1513" i="18"/>
  <c r="M1520" i="18"/>
  <c r="M1535" i="18"/>
  <c r="M1542" i="18"/>
  <c r="M1548" i="18"/>
  <c r="M1563" i="18"/>
  <c r="M1570" i="18"/>
  <c r="M1577" i="18"/>
  <c r="M1584" i="18"/>
  <c r="M1632" i="18"/>
  <c r="M1639" i="18"/>
  <c r="M1647" i="18"/>
  <c r="M1655" i="18"/>
  <c r="M1663" i="18"/>
  <c r="M1679" i="18"/>
  <c r="M1687" i="18"/>
  <c r="M1727" i="18"/>
  <c r="M1735" i="18"/>
  <c r="M1743" i="18"/>
  <c r="M1751" i="18"/>
  <c r="M1759" i="18"/>
  <c r="M1767" i="18"/>
  <c r="M1775" i="18"/>
  <c r="M1783" i="18"/>
  <c r="M1791" i="18"/>
  <c r="M1799" i="18"/>
  <c r="M1807" i="18"/>
  <c r="M1815" i="18"/>
  <c r="M1823" i="18"/>
  <c r="M1831" i="18"/>
  <c r="M1839" i="18"/>
  <c r="M1847" i="18"/>
  <c r="M1855" i="18"/>
  <c r="M1863" i="18"/>
  <c r="M1871" i="18"/>
  <c r="M1879" i="18"/>
  <c r="M1887" i="18"/>
  <c r="M1895" i="18"/>
  <c r="M1903" i="18"/>
  <c r="M1911" i="18"/>
  <c r="M1919" i="18"/>
  <c r="M1927" i="18"/>
  <c r="M1935" i="18"/>
  <c r="M1943" i="18"/>
  <c r="M1951" i="18"/>
  <c r="M1959" i="18"/>
  <c r="M1967" i="18"/>
  <c r="M1975" i="18"/>
  <c r="M1983" i="18"/>
  <c r="M1991" i="18"/>
  <c r="M1999" i="18"/>
  <c r="M2007" i="18"/>
  <c r="M2015" i="18"/>
  <c r="M2023" i="18"/>
  <c r="M2031" i="18"/>
  <c r="M2039" i="18"/>
  <c r="M2047" i="18"/>
  <c r="M2055" i="18"/>
  <c r="M2063" i="18"/>
  <c r="M2071" i="18"/>
  <c r="M2079" i="18"/>
  <c r="M2087" i="18"/>
  <c r="M2095" i="18"/>
  <c r="M2111" i="18"/>
  <c r="M2119" i="18"/>
  <c r="M2127" i="18"/>
  <c r="M2133" i="18"/>
  <c r="M2143" i="18"/>
  <c r="M2149" i="18"/>
  <c r="M2159" i="18"/>
  <c r="M2167" i="18"/>
  <c r="M2175" i="18"/>
  <c r="M2183" i="18"/>
  <c r="M2189" i="18"/>
  <c r="M2222" i="18"/>
  <c r="M2246" i="18"/>
  <c r="M2252" i="18"/>
  <c r="M2268" i="18"/>
  <c r="M2278" i="18"/>
  <c r="M2284" i="18"/>
  <c r="M2318" i="18"/>
  <c r="M2326" i="18"/>
  <c r="M2336" i="18"/>
  <c r="M2351" i="18"/>
  <c r="M2357" i="18"/>
  <c r="M2367" i="18"/>
  <c r="M2373" i="18"/>
  <c r="M2383" i="18"/>
  <c r="M2389" i="18"/>
  <c r="M2399" i="18"/>
  <c r="M2405" i="18"/>
  <c r="M2411" i="18"/>
  <c r="M2419" i="18"/>
  <c r="M2427" i="18"/>
  <c r="M2435" i="18"/>
  <c r="M2443" i="18"/>
  <c r="M2451" i="18"/>
  <c r="M2459" i="18"/>
  <c r="M2467" i="18"/>
  <c r="M2499" i="18"/>
  <c r="M509" i="18"/>
  <c r="M517" i="18"/>
  <c r="M525" i="18"/>
  <c r="M533" i="18"/>
  <c r="M541" i="18"/>
  <c r="M549" i="18"/>
  <c r="M557" i="18"/>
  <c r="M597" i="18"/>
  <c r="M605" i="18"/>
  <c r="M652" i="18"/>
  <c r="N652" i="18" s="1"/>
  <c r="M658" i="18"/>
  <c r="M664" i="18"/>
  <c r="M671" i="18"/>
  <c r="M677" i="18"/>
  <c r="M684" i="18"/>
  <c r="M691" i="18"/>
  <c r="M857" i="18"/>
  <c r="M863" i="18"/>
  <c r="M869" i="18"/>
  <c r="M877" i="18"/>
  <c r="M916" i="18"/>
  <c r="M923" i="18"/>
  <c r="M929" i="18"/>
  <c r="M942" i="18"/>
  <c r="M948" i="18"/>
  <c r="M955" i="18"/>
  <c r="M961" i="18"/>
  <c r="M968" i="18"/>
  <c r="M976" i="18"/>
  <c r="M983" i="18"/>
  <c r="M990" i="18"/>
  <c r="M998" i="18"/>
  <c r="M1005" i="18"/>
  <c r="M1013" i="18"/>
  <c r="M1020" i="18"/>
  <c r="M1028" i="18"/>
  <c r="M1036" i="18"/>
  <c r="M1051" i="18"/>
  <c r="M1058" i="18"/>
  <c r="M1065" i="18"/>
  <c r="M1072" i="18"/>
  <c r="M1079" i="18"/>
  <c r="M1086" i="18"/>
  <c r="M1093" i="18"/>
  <c r="M1100" i="18"/>
  <c r="M1115" i="18"/>
  <c r="M1122" i="18"/>
  <c r="M1129" i="18"/>
  <c r="M1136" i="18"/>
  <c r="M1143" i="18"/>
  <c r="M1150" i="18"/>
  <c r="M1156" i="18"/>
  <c r="M1163" i="18"/>
  <c r="M1169" i="18"/>
  <c r="M1182" i="18"/>
  <c r="M1188" i="18"/>
  <c r="M1195" i="18"/>
  <c r="M1201" i="18"/>
  <c r="M1214" i="18"/>
  <c r="M1220" i="18"/>
  <c r="M1227" i="18"/>
  <c r="M1233" i="18"/>
  <c r="M1246" i="18"/>
  <c r="M1252" i="18"/>
  <c r="M1259" i="18"/>
  <c r="M1265" i="18"/>
  <c r="M1278" i="18"/>
  <c r="M1284" i="18"/>
  <c r="M1291" i="18"/>
  <c r="M1297" i="18"/>
  <c r="M1310" i="18"/>
  <c r="M1317" i="18"/>
  <c r="M1324" i="18"/>
  <c r="M1332" i="18"/>
  <c r="M1339" i="18"/>
  <c r="M1345" i="18"/>
  <c r="M1353" i="18"/>
  <c r="M1360" i="18"/>
  <c r="M1374" i="18"/>
  <c r="M1380" i="18"/>
  <c r="M1387" i="18"/>
  <c r="M1393" i="18"/>
  <c r="M1406" i="18"/>
  <c r="M1412" i="18"/>
  <c r="M1419" i="18"/>
  <c r="M1425" i="18"/>
  <c r="M1438" i="18"/>
  <c r="M1444" i="18"/>
  <c r="M1451" i="18"/>
  <c r="M1457" i="18"/>
  <c r="M1470" i="18"/>
  <c r="M1476" i="18"/>
  <c r="M1484" i="18"/>
  <c r="M1499" i="18"/>
  <c r="M1507" i="18"/>
  <c r="M1514" i="18"/>
  <c r="M1521" i="18"/>
  <c r="M1528" i="18"/>
  <c r="M1543" i="18"/>
  <c r="M1549" i="18"/>
  <c r="M1556" i="18"/>
  <c r="M1564" i="18"/>
  <c r="M1571" i="18"/>
  <c r="M1578" i="18"/>
  <c r="M1585" i="18"/>
  <c r="M1625" i="18"/>
  <c r="M1633" i="18"/>
  <c r="M1640" i="18"/>
  <c r="M1648" i="18"/>
  <c r="M1656" i="18"/>
  <c r="M1664" i="18"/>
  <c r="M1672" i="18"/>
  <c r="M1680" i="18"/>
  <c r="M1720" i="18"/>
  <c r="M1728" i="18"/>
  <c r="M1736" i="18"/>
  <c r="M1744" i="18"/>
  <c r="M1752" i="18"/>
  <c r="M1760" i="18"/>
  <c r="M1768" i="18"/>
  <c r="M1776" i="18"/>
  <c r="M1784" i="18"/>
  <c r="M1792" i="18"/>
  <c r="M1800" i="18"/>
  <c r="M1808" i="18"/>
  <c r="M1816" i="18"/>
  <c r="M1824" i="18"/>
  <c r="M1832" i="18"/>
  <c r="M1840" i="18"/>
  <c r="M1848" i="18"/>
  <c r="M1864" i="18"/>
  <c r="M1872" i="18"/>
  <c r="M1880" i="18"/>
  <c r="M1888" i="18"/>
  <c r="M1896" i="18"/>
  <c r="M1904" i="18"/>
  <c r="M1920" i="18"/>
  <c r="M1928" i="18"/>
  <c r="M1936" i="18"/>
  <c r="M1944" i="18"/>
  <c r="M1952" i="18"/>
  <c r="M1992" i="18"/>
  <c r="M2000" i="18"/>
  <c r="M2008" i="18"/>
  <c r="M2016" i="18"/>
  <c r="M2024" i="18"/>
  <c r="M2032" i="18"/>
  <c r="M2040" i="18"/>
  <c r="M2048" i="18"/>
  <c r="M2056" i="18"/>
  <c r="M2064" i="18"/>
  <c r="M2072" i="18"/>
  <c r="M2080" i="18"/>
  <c r="M2088" i="18"/>
  <c r="M2096" i="18"/>
  <c r="M2104" i="18"/>
  <c r="M2112" i="18"/>
  <c r="M2120" i="18"/>
  <c r="M2128" i="18"/>
  <c r="M2134" i="18"/>
  <c r="M2144" i="18"/>
  <c r="M2150" i="18"/>
  <c r="M2160" i="18"/>
  <c r="M2168" i="18"/>
  <c r="M2176" i="18"/>
  <c r="M2184" i="18"/>
  <c r="M2190" i="18"/>
  <c r="M2199" i="18"/>
  <c r="M2205" i="18"/>
  <c r="M2215" i="18"/>
  <c r="M2223" i="18"/>
  <c r="M2231" i="18"/>
  <c r="M2239" i="18"/>
  <c r="M2247" i="18"/>
  <c r="M2257" i="18"/>
  <c r="M2263" i="18"/>
  <c r="M2273" i="18"/>
  <c r="M2279" i="18"/>
  <c r="M2289" i="18"/>
  <c r="M2295" i="18"/>
  <c r="M2303" i="18"/>
  <c r="M2311" i="18"/>
  <c r="M2319" i="18"/>
  <c r="M2331" i="18"/>
  <c r="M2337" i="18"/>
  <c r="M2352" i="18"/>
  <c r="M2358" i="18"/>
  <c r="M2368" i="18"/>
  <c r="M2374" i="18"/>
  <c r="M2384" i="18"/>
  <c r="M2406" i="18"/>
  <c r="M2412" i="18"/>
  <c r="M2420" i="18"/>
  <c r="M2428" i="18"/>
  <c r="M2436" i="18"/>
  <c r="M2452" i="18"/>
  <c r="M510" i="18"/>
  <c r="M518" i="18"/>
  <c r="M526" i="18"/>
  <c r="M534" i="18"/>
  <c r="M542" i="18"/>
  <c r="M550" i="18"/>
  <c r="M558" i="18"/>
  <c r="M590" i="18"/>
  <c r="M606" i="18"/>
  <c r="M613" i="18"/>
  <c r="M645" i="18"/>
  <c r="M659" i="18"/>
  <c r="M665" i="18"/>
  <c r="M678" i="18"/>
  <c r="M685" i="18"/>
  <c r="M692" i="18"/>
  <c r="M858" i="18"/>
  <c r="M864" i="18"/>
  <c r="M870" i="18"/>
  <c r="M878" i="18"/>
  <c r="M917" i="18"/>
  <c r="M930" i="18"/>
  <c r="M936" i="18"/>
  <c r="M943" i="18"/>
  <c r="M949" i="18"/>
  <c r="M962" i="18"/>
  <c r="M969" i="18"/>
  <c r="M977" i="18"/>
  <c r="M984" i="18"/>
  <c r="M991" i="18"/>
  <c r="M999" i="18"/>
  <c r="M1006" i="18"/>
  <c r="M1014" i="18"/>
  <c r="M1021" i="18"/>
  <c r="M1029" i="18"/>
  <c r="M1037" i="18"/>
  <c r="M1044" i="18"/>
  <c r="M1059" i="18"/>
  <c r="M1066" i="18"/>
  <c r="M1073" i="18"/>
  <c r="M1080" i="18"/>
  <c r="M1087" i="18"/>
  <c r="M1094" i="18"/>
  <c r="M1101" i="18"/>
  <c r="M1108" i="18"/>
  <c r="M1123" i="18"/>
  <c r="M1130" i="18"/>
  <c r="M1137" i="18"/>
  <c r="M1144" i="18"/>
  <c r="M1151" i="18"/>
  <c r="M1157" i="18"/>
  <c r="M1170" i="18"/>
  <c r="M1176" i="18"/>
  <c r="M1183" i="18"/>
  <c r="M1189" i="18"/>
  <c r="M1202" i="18"/>
  <c r="M1208" i="18"/>
  <c r="M1215" i="18"/>
  <c r="M1221" i="18"/>
  <c r="M1234" i="18"/>
  <c r="M1240" i="18"/>
  <c r="M1247" i="18"/>
  <c r="M1253" i="18"/>
  <c r="M1266" i="18"/>
  <c r="M1272" i="18"/>
  <c r="M1279" i="18"/>
  <c r="M1285" i="18"/>
  <c r="M1298" i="18"/>
  <c r="M1304" i="18"/>
  <c r="M1311" i="18"/>
  <c r="M1318" i="18"/>
  <c r="M1325" i="18"/>
  <c r="M1333" i="18"/>
  <c r="M1346" i="18"/>
  <c r="M1354" i="18"/>
  <c r="M1361" i="18"/>
  <c r="M1368" i="18"/>
  <c r="M1375" i="18"/>
  <c r="M1381" i="18"/>
  <c r="M1394" i="18"/>
  <c r="M1400" i="18"/>
  <c r="M1407" i="18"/>
  <c r="M1413" i="18"/>
  <c r="M1426" i="18"/>
  <c r="M1432" i="18"/>
  <c r="M1439" i="18"/>
  <c r="M1445" i="18"/>
  <c r="M1458" i="18"/>
  <c r="M1464" i="18"/>
  <c r="M1471" i="18"/>
  <c r="M1477" i="18"/>
  <c r="M1485" i="18"/>
  <c r="M1492" i="18"/>
  <c r="M1500" i="18"/>
  <c r="M1508" i="18"/>
  <c r="M1515" i="18"/>
  <c r="M1522" i="18"/>
  <c r="M1529" i="18"/>
  <c r="M1536" i="18"/>
  <c r="M1550" i="18"/>
  <c r="M1557" i="18"/>
  <c r="M1565" i="18"/>
  <c r="M1572" i="18"/>
  <c r="M1579" i="18"/>
  <c r="M1586" i="18"/>
  <c r="M1634" i="18"/>
  <c r="M1641" i="18"/>
  <c r="M1649" i="18"/>
  <c r="M1657" i="18"/>
  <c r="M1665" i="18"/>
  <c r="M1673" i="18"/>
  <c r="M1681" i="18"/>
  <c r="M1729" i="18"/>
  <c r="M1737" i="18"/>
  <c r="M1745" i="18"/>
  <c r="M1753" i="18"/>
  <c r="M1761" i="18"/>
  <c r="M1769" i="18"/>
  <c r="M1777" i="18"/>
  <c r="M1785" i="18"/>
  <c r="M1793" i="18"/>
  <c r="M1801" i="18"/>
  <c r="M1809" i="18"/>
  <c r="M1817" i="18"/>
  <c r="M1825" i="18"/>
  <c r="M1833" i="18"/>
  <c r="M1841" i="18"/>
  <c r="M1849" i="18"/>
  <c r="M1857" i="18"/>
  <c r="M1865" i="18"/>
  <c r="M1873" i="18"/>
  <c r="M1881" i="18"/>
  <c r="M1889" i="18"/>
  <c r="M1897" i="18"/>
  <c r="M1905" i="18"/>
  <c r="M1913" i="18"/>
  <c r="M1921" i="18"/>
  <c r="M1929" i="18"/>
  <c r="M1937" i="18"/>
  <c r="M1945" i="18"/>
  <c r="M1953" i="18"/>
  <c r="M1961" i="18"/>
  <c r="M1969" i="18"/>
  <c r="M1977" i="18"/>
  <c r="M1985" i="18"/>
  <c r="M1993" i="18"/>
  <c r="M2001" i="18"/>
  <c r="M2009" i="18"/>
  <c r="M2017" i="18"/>
  <c r="M2025" i="18"/>
  <c r="M2033" i="18"/>
  <c r="M2041" i="18"/>
  <c r="M2049" i="18"/>
  <c r="M2057" i="18"/>
  <c r="M2065" i="18"/>
  <c r="M2073" i="18"/>
  <c r="M2081" i="18"/>
  <c r="M2089" i="18"/>
  <c r="M2097" i="18"/>
  <c r="M2105" i="18"/>
  <c r="M2113" i="18"/>
  <c r="M2121" i="18"/>
  <c r="M2129" i="18"/>
  <c r="M2139" i="18"/>
  <c r="M2145" i="18"/>
  <c r="M2155" i="18"/>
  <c r="M2161" i="18"/>
  <c r="M2169" i="18"/>
  <c r="M2177" i="18"/>
  <c r="M2185" i="18"/>
  <c r="M2195" i="18"/>
  <c r="M2200" i="18"/>
  <c r="M2206" i="18"/>
  <c r="M2216" i="18"/>
  <c r="M2224" i="18"/>
  <c r="M2232" i="18"/>
  <c r="M2240" i="18"/>
  <c r="M2248" i="18"/>
  <c r="M2258" i="18"/>
  <c r="M2264" i="18"/>
  <c r="M2274" i="18"/>
  <c r="M2280" i="18"/>
  <c r="M2290" i="18"/>
  <c r="M2296" i="18"/>
  <c r="M2304" i="18"/>
  <c r="M2312" i="18"/>
  <c r="M2320" i="18"/>
  <c r="M2332" i="18"/>
  <c r="M2347" i="18"/>
  <c r="M2353" i="18"/>
  <c r="M2363" i="18"/>
  <c r="M2369" i="18"/>
  <c r="M2379" i="18"/>
  <c r="M2385" i="18"/>
  <c r="M2395" i="18"/>
  <c r="M2401" i="18"/>
  <c r="M2413" i="18"/>
  <c r="M2421" i="18"/>
  <c r="M2429" i="18"/>
  <c r="M2437" i="18"/>
  <c r="M2445" i="18"/>
  <c r="M2453" i="18"/>
  <c r="M2461" i="18"/>
  <c r="M511" i="18"/>
  <c r="M519" i="18"/>
  <c r="M527" i="18"/>
  <c r="M535" i="18"/>
  <c r="M543" i="18"/>
  <c r="M551" i="18"/>
  <c r="M559" i="18"/>
  <c r="M591" i="18"/>
  <c r="M599" i="18"/>
  <c r="M607" i="18"/>
  <c r="M614" i="18"/>
  <c r="M646" i="18"/>
  <c r="M654" i="18"/>
  <c r="M672" i="18"/>
  <c r="M679" i="18"/>
  <c r="M686" i="18"/>
  <c r="M693" i="18"/>
  <c r="M859" i="18"/>
  <c r="M879" i="18"/>
  <c r="M918" i="18"/>
  <c r="M924" i="18"/>
  <c r="M931" i="18"/>
  <c r="M937" i="18"/>
  <c r="M950" i="18"/>
  <c r="M956" i="18"/>
  <c r="M963" i="18"/>
  <c r="M970" i="18"/>
  <c r="M978" i="18"/>
  <c r="M985" i="18"/>
  <c r="M992" i="18"/>
  <c r="M1000" i="18"/>
  <c r="M1007" i="18"/>
  <c r="M1015" i="18"/>
  <c r="M1022" i="18"/>
  <c r="M1030" i="18"/>
  <c r="M1038" i="18"/>
  <c r="M1045" i="18"/>
  <c r="M1052" i="18"/>
  <c r="M1067" i="18"/>
  <c r="M1074" i="18"/>
  <c r="M1081" i="18"/>
  <c r="M1088" i="18"/>
  <c r="M1095" i="18"/>
  <c r="M1102" i="18"/>
  <c r="M1109" i="18"/>
  <c r="M1116" i="18"/>
  <c r="M1131" i="18"/>
  <c r="M1138" i="18"/>
  <c r="M1145" i="18"/>
  <c r="M1158" i="18"/>
  <c r="M1164" i="18"/>
  <c r="M1171" i="18"/>
  <c r="M1177" i="18"/>
  <c r="M1190" i="18"/>
  <c r="M1196" i="18"/>
  <c r="M1203" i="18"/>
  <c r="M1209" i="18"/>
  <c r="M1222" i="18"/>
  <c r="M1228" i="18"/>
  <c r="M1235" i="18"/>
  <c r="M1241" i="18"/>
  <c r="M1254" i="18"/>
  <c r="M1260" i="18"/>
  <c r="M1267" i="18"/>
  <c r="M1273" i="18"/>
  <c r="M1286" i="18"/>
  <c r="M1292" i="18"/>
  <c r="M1299" i="18"/>
  <c r="M1305" i="18"/>
  <c r="M1319" i="18"/>
  <c r="M1326" i="18"/>
  <c r="M1334" i="18"/>
  <c r="M1340" i="18"/>
  <c r="M1347" i="18"/>
  <c r="M1355" i="18"/>
  <c r="M1362" i="18"/>
  <c r="M1369" i="18"/>
  <c r="M1382" i="18"/>
  <c r="M1388" i="18"/>
  <c r="M1395" i="18"/>
  <c r="M1401" i="18"/>
  <c r="M1414" i="18"/>
  <c r="M1420" i="18"/>
  <c r="M1427" i="18"/>
  <c r="M1433" i="18"/>
  <c r="M1446" i="18"/>
  <c r="M1452" i="18"/>
  <c r="M1459" i="18"/>
  <c r="M1465" i="18"/>
  <c r="M1478" i="18"/>
  <c r="M1486" i="18"/>
  <c r="M1493" i="18"/>
  <c r="M1501" i="18"/>
  <c r="M1509" i="18"/>
  <c r="M1516" i="18"/>
  <c r="M1523" i="18"/>
  <c r="M1530" i="18"/>
  <c r="M1537" i="18"/>
  <c r="M1544" i="18"/>
  <c r="M1551" i="18"/>
  <c r="M1558" i="18"/>
  <c r="M1566" i="18"/>
  <c r="M1573" i="18"/>
  <c r="M1580" i="18"/>
  <c r="M1587" i="18"/>
  <c r="M1627" i="18"/>
  <c r="M1635" i="18"/>
  <c r="M1642" i="18"/>
  <c r="M1650" i="18"/>
  <c r="M1658" i="18"/>
  <c r="M1666" i="18"/>
  <c r="M1674" i="18"/>
  <c r="M1682" i="18"/>
  <c r="M1730" i="18"/>
  <c r="M1738" i="18"/>
  <c r="M1746" i="18"/>
  <c r="M1754" i="18"/>
  <c r="M1762" i="18"/>
  <c r="M1770" i="18"/>
  <c r="M1778" i="18"/>
  <c r="M1786" i="18"/>
  <c r="M1794" i="18"/>
  <c r="M1802" i="18"/>
  <c r="M1810" i="18"/>
  <c r="M1818" i="18"/>
  <c r="M1826" i="18"/>
  <c r="M1834" i="18"/>
  <c r="M1842" i="18"/>
  <c r="M1850" i="18"/>
  <c r="M1858" i="18"/>
  <c r="M1866" i="18"/>
  <c r="M1874" i="18"/>
  <c r="M1882" i="18"/>
  <c r="M1890" i="18"/>
  <c r="M1898" i="18"/>
  <c r="M1906" i="18"/>
  <c r="M1914" i="18"/>
  <c r="M1922" i="18"/>
  <c r="M1930" i="18"/>
  <c r="M1938" i="18"/>
  <c r="M1946" i="18"/>
  <c r="M1954" i="18"/>
  <c r="M1962" i="18"/>
  <c r="M1970" i="18"/>
  <c r="M1978" i="18"/>
  <c r="M1986" i="18"/>
  <c r="M1994" i="18"/>
  <c r="M2002" i="18"/>
  <c r="M2010" i="18"/>
  <c r="M2018" i="18"/>
  <c r="M2026" i="18"/>
  <c r="M2034" i="18"/>
  <c r="M2042" i="18"/>
  <c r="M2050" i="18"/>
  <c r="M2066" i="18"/>
  <c r="M2082" i="18"/>
  <c r="M2090" i="18"/>
  <c r="M2098" i="18"/>
  <c r="M2106" i="18"/>
  <c r="M2130" i="18"/>
  <c r="M2140" i="18"/>
  <c r="M2146" i="18"/>
  <c r="M2156" i="18"/>
  <c r="M2170" i="18"/>
  <c r="M2186" i="18"/>
  <c r="M2196" i="18"/>
  <c r="M2201" i="18"/>
  <c r="M2211" i="18"/>
  <c r="M2217" i="18"/>
  <c r="M2225" i="18"/>
  <c r="M2233" i="18"/>
  <c r="M2241" i="18"/>
  <c r="M2253" i="18"/>
  <c r="M2259" i="18"/>
  <c r="M2269" i="18"/>
  <c r="M2275" i="18"/>
  <c r="M2285" i="18"/>
  <c r="M2291" i="18"/>
  <c r="M2297" i="18"/>
  <c r="M2305" i="18"/>
  <c r="M2313" i="18"/>
  <c r="M2321" i="18"/>
  <c r="M2327" i="18"/>
  <c r="M2333" i="18"/>
  <c r="M2343" i="18"/>
  <c r="M2348" i="18"/>
  <c r="M2354" i="18"/>
  <c r="M2364" i="18"/>
  <c r="M2370" i="18"/>
  <c r="M2380" i="18"/>
  <c r="M2386" i="18"/>
  <c r="M2396" i="18"/>
  <c r="M2402" i="18"/>
  <c r="M2414" i="18"/>
  <c r="M2422" i="18"/>
  <c r="M2430" i="18"/>
  <c r="M2438" i="18"/>
  <c r="M2446" i="18"/>
  <c r="M2454" i="18"/>
  <c r="M2462" i="18"/>
  <c r="M287" i="18"/>
  <c r="N287" i="18" s="1"/>
  <c r="M270" i="18"/>
  <c r="N270" i="18" s="1"/>
  <c r="M311" i="18"/>
  <c r="N311" i="18" s="1"/>
  <c r="M317" i="18"/>
  <c r="N317" i="18" s="1"/>
  <c r="M299" i="18"/>
  <c r="N299" i="18" s="1"/>
  <c r="M235" i="18"/>
  <c r="N235" i="18" s="1"/>
  <c r="M335" i="18"/>
  <c r="N335" i="18" s="1"/>
  <c r="M265" i="18"/>
  <c r="N265" i="18" s="1"/>
  <c r="M293" i="18"/>
  <c r="N293" i="18" s="1"/>
  <c r="M341" i="18"/>
  <c r="N341" i="18" s="1"/>
  <c r="M290" i="18"/>
  <c r="N290" i="18" s="1"/>
  <c r="M302" i="18"/>
  <c r="N302" i="18" s="1"/>
  <c r="M479" i="18"/>
  <c r="N479" i="18" s="1"/>
  <c r="Y117" i="18" l="1"/>
  <c r="L2559" i="18"/>
  <c r="R274" i="18"/>
  <c r="P541" i="18"/>
  <c r="S541" i="18" s="1"/>
  <c r="S274" i="18"/>
  <c r="Q2476" i="18"/>
  <c r="S2476" i="18"/>
  <c r="R2476" i="18"/>
  <c r="S2233" i="18"/>
  <c r="P2236" i="18"/>
  <c r="R2233" i="18"/>
  <c r="Q2233" i="18"/>
  <c r="P2235" i="18"/>
  <c r="P2238" i="18"/>
  <c r="P2237" i="18"/>
  <c r="P2234" i="18"/>
  <c r="S1695" i="18"/>
  <c r="R1695" i="18"/>
  <c r="Q1695" i="18"/>
  <c r="R1194" i="18"/>
  <c r="Q1194" i="18"/>
  <c r="S1194" i="18"/>
  <c r="Q2540" i="18"/>
  <c r="S2540" i="18"/>
  <c r="R2540" i="18"/>
  <c r="R1386" i="18"/>
  <c r="Q1386" i="18"/>
  <c r="S1386" i="18"/>
  <c r="R1450" i="18"/>
  <c r="Q1450" i="18"/>
  <c r="S1450" i="18"/>
  <c r="S1228" i="18"/>
  <c r="R1228" i="18"/>
  <c r="Q1228" i="18"/>
  <c r="R812" i="18"/>
  <c r="Q812" i="18"/>
  <c r="S812" i="18"/>
  <c r="S1156" i="18"/>
  <c r="R1156" i="18"/>
  <c r="Q1156" i="18"/>
  <c r="P150" i="18"/>
  <c r="P149" i="18"/>
  <c r="S148" i="18"/>
  <c r="R148" i="18"/>
  <c r="Q148" i="18"/>
  <c r="S249" i="18"/>
  <c r="R249" i="18"/>
  <c r="Q249" i="18"/>
  <c r="S1773" i="18"/>
  <c r="R1773" i="18"/>
  <c r="Q1773" i="18"/>
  <c r="P1990" i="18"/>
  <c r="P1989" i="18"/>
  <c r="S1988" i="18"/>
  <c r="R1988" i="18"/>
  <c r="P1991" i="18"/>
  <c r="Q1988" i="18"/>
  <c r="S1060" i="18"/>
  <c r="R1060" i="18"/>
  <c r="Q1060" i="18"/>
  <c r="S1464" i="18"/>
  <c r="R1464" i="18"/>
  <c r="Q1464" i="18"/>
  <c r="P2259" i="18"/>
  <c r="P2258" i="18"/>
  <c r="S2257" i="18"/>
  <c r="R2257" i="18"/>
  <c r="P2260" i="18"/>
  <c r="Q2257" i="18"/>
  <c r="S2530" i="18"/>
  <c r="R2530" i="18"/>
  <c r="Q2530" i="18"/>
  <c r="S1439" i="18"/>
  <c r="R1439" i="18"/>
  <c r="Q1439" i="18"/>
  <c r="S1235" i="18"/>
  <c r="R1235" i="18"/>
  <c r="Q1235" i="18"/>
  <c r="S1297" i="18"/>
  <c r="R1297" i="18"/>
  <c r="Q1297" i="18"/>
  <c r="S1201" i="18"/>
  <c r="R1201" i="18"/>
  <c r="Q1201" i="18"/>
  <c r="S990" i="18"/>
  <c r="R990" i="18"/>
  <c r="Q990" i="18"/>
  <c r="S1475" i="18"/>
  <c r="R1475" i="18"/>
  <c r="Q1475" i="18"/>
  <c r="S1155" i="18"/>
  <c r="R1155" i="18"/>
  <c r="Q1155" i="18"/>
  <c r="R892" i="18"/>
  <c r="Q892" i="18"/>
  <c r="S892" i="18"/>
  <c r="S1329" i="18"/>
  <c r="R1329" i="18"/>
  <c r="Q1329" i="18"/>
  <c r="S529" i="18"/>
  <c r="R529" i="18"/>
  <c r="Q529" i="18"/>
  <c r="S1046" i="18"/>
  <c r="R1046" i="18"/>
  <c r="Q1046" i="18"/>
  <c r="S738" i="18"/>
  <c r="R738" i="18"/>
  <c r="Q738" i="18"/>
  <c r="Q277" i="18"/>
  <c r="S277" i="18"/>
  <c r="R277" i="18"/>
  <c r="P2071" i="18"/>
  <c r="P2069" i="18"/>
  <c r="S2068" i="18"/>
  <c r="R2068" i="18"/>
  <c r="Q2068" i="18"/>
  <c r="P2070" i="18"/>
  <c r="P2072" i="18"/>
  <c r="P1882" i="18"/>
  <c r="P1881" i="18"/>
  <c r="S1880" i="18"/>
  <c r="R1880" i="18"/>
  <c r="P1883" i="18"/>
  <c r="Q1880" i="18"/>
  <c r="Q1864" i="18"/>
  <c r="P1867" i="18"/>
  <c r="P1866" i="18"/>
  <c r="P1865" i="18"/>
  <c r="S1864" i="18"/>
  <c r="R1864" i="18"/>
  <c r="S1663" i="18"/>
  <c r="R1663" i="18"/>
  <c r="Q1663" i="18"/>
  <c r="P1653" i="18"/>
  <c r="R1650" i="18"/>
  <c r="Q1650" i="18"/>
  <c r="P1652" i="18"/>
  <c r="P1651" i="18"/>
  <c r="S1650" i="18"/>
  <c r="S1673" i="18"/>
  <c r="R1673" i="18"/>
  <c r="Q1673" i="18"/>
  <c r="S1631" i="18"/>
  <c r="R1631" i="18"/>
  <c r="Q1631" i="18"/>
  <c r="S1446" i="18"/>
  <c r="R1446" i="18"/>
  <c r="Q1446" i="18"/>
  <c r="R1562" i="18"/>
  <c r="Q1562" i="18"/>
  <c r="S1562" i="18"/>
  <c r="S1398" i="18"/>
  <c r="R1398" i="18"/>
  <c r="Q1398" i="18"/>
  <c r="R1162" i="18"/>
  <c r="Q1162" i="18"/>
  <c r="S1162" i="18"/>
  <c r="R1298" i="18"/>
  <c r="Q1298" i="18"/>
  <c r="S1298" i="18"/>
  <c r="S1004" i="18"/>
  <c r="R1004" i="18"/>
  <c r="Q1004" i="18"/>
  <c r="S1135" i="18"/>
  <c r="R1135" i="18"/>
  <c r="Q1135" i="18"/>
  <c r="S1127" i="18"/>
  <c r="R1127" i="18"/>
  <c r="Q1127" i="18"/>
  <c r="S999" i="18"/>
  <c r="R999" i="18"/>
  <c r="Q999" i="18"/>
  <c r="S907" i="18"/>
  <c r="R907" i="18"/>
  <c r="Q907" i="18"/>
  <c r="S942" i="18"/>
  <c r="R942" i="18"/>
  <c r="Q942" i="18"/>
  <c r="S926" i="18"/>
  <c r="R926" i="18"/>
  <c r="Q926" i="18"/>
  <c r="S690" i="18"/>
  <c r="R690" i="18"/>
  <c r="Q690" i="18"/>
  <c r="S834" i="18"/>
  <c r="R834" i="18"/>
  <c r="Q834" i="18"/>
  <c r="S582" i="18"/>
  <c r="R582" i="18"/>
  <c r="Q582" i="18"/>
  <c r="Q643" i="18"/>
  <c r="S643" i="18"/>
  <c r="R643" i="18"/>
  <c r="S548" i="18"/>
  <c r="R548" i="18"/>
  <c r="Q548" i="18"/>
  <c r="R242" i="18"/>
  <c r="Q242" i="18"/>
  <c r="S242" i="18"/>
  <c r="Q627" i="18"/>
  <c r="S627" i="18"/>
  <c r="R627" i="18"/>
  <c r="R2177" i="18"/>
  <c r="P2180" i="18"/>
  <c r="Q2177" i="18"/>
  <c r="P2182" i="18"/>
  <c r="P2179" i="18"/>
  <c r="P2181" i="18"/>
  <c r="P2178" i="18"/>
  <c r="S2177" i="18"/>
  <c r="P2189" i="18"/>
  <c r="P2188" i="18"/>
  <c r="P2190" i="18"/>
  <c r="S2187" i="18"/>
  <c r="R2187" i="18"/>
  <c r="Q2187" i="18"/>
  <c r="Q1726" i="18"/>
  <c r="S1726" i="18"/>
  <c r="R1726" i="18"/>
  <c r="S1516" i="18"/>
  <c r="R1516" i="18"/>
  <c r="Q1516" i="18"/>
  <c r="Q1573" i="18"/>
  <c r="S1573" i="18"/>
  <c r="R1573" i="18"/>
  <c r="R1696" i="18"/>
  <c r="Q1696" i="18"/>
  <c r="S1696" i="18"/>
  <c r="S1618" i="18"/>
  <c r="R1618" i="18"/>
  <c r="Q1618" i="18"/>
  <c r="S1733" i="18"/>
  <c r="R1733" i="18"/>
  <c r="Q1733" i="18"/>
  <c r="S1709" i="18"/>
  <c r="R1709" i="18"/>
  <c r="Q1709" i="18"/>
  <c r="S1571" i="18"/>
  <c r="R1571" i="18"/>
  <c r="Q1571" i="18"/>
  <c r="S1520" i="18"/>
  <c r="R1520" i="18"/>
  <c r="Q1520" i="18"/>
  <c r="S1694" i="18"/>
  <c r="R1694" i="18"/>
  <c r="Q1694" i="18"/>
  <c r="S1515" i="18"/>
  <c r="R1515" i="18"/>
  <c r="Q1515" i="18"/>
  <c r="S1377" i="18"/>
  <c r="R1377" i="18"/>
  <c r="Q1377" i="18"/>
  <c r="S1337" i="18"/>
  <c r="R1337" i="18"/>
  <c r="Q1337" i="18"/>
  <c r="S1436" i="18"/>
  <c r="R1436" i="18"/>
  <c r="Q1436" i="18"/>
  <c r="S1496" i="18"/>
  <c r="R1496" i="18"/>
  <c r="Q1496" i="18"/>
  <c r="S1356" i="18"/>
  <c r="R1356" i="18"/>
  <c r="Q1356" i="18"/>
  <c r="S1284" i="18"/>
  <c r="R1284" i="18"/>
  <c r="Q1284" i="18"/>
  <c r="S1444" i="18"/>
  <c r="R1444" i="18"/>
  <c r="Q1444" i="18"/>
  <c r="S1292" i="18"/>
  <c r="R1292" i="18"/>
  <c r="Q1292" i="18"/>
  <c r="S1472" i="18"/>
  <c r="R1472" i="18"/>
  <c r="Q1472" i="18"/>
  <c r="S1300" i="18"/>
  <c r="R1300" i="18"/>
  <c r="Q1300" i="18"/>
  <c r="S1073" i="18"/>
  <c r="R1073" i="18"/>
  <c r="Q1073" i="18"/>
  <c r="S1008" i="18"/>
  <c r="R1008" i="18"/>
  <c r="Q1008" i="18"/>
  <c r="S1212" i="18"/>
  <c r="R1212" i="18"/>
  <c r="Q1212" i="18"/>
  <c r="Q965" i="18"/>
  <c r="S965" i="18"/>
  <c r="R965" i="18"/>
  <c r="R1370" i="18"/>
  <c r="Q1370" i="18"/>
  <c r="S1370" i="18"/>
  <c r="S1033" i="18"/>
  <c r="R1033" i="18"/>
  <c r="Q1033" i="18"/>
  <c r="S1224" i="18"/>
  <c r="R1224" i="18"/>
  <c r="Q1224" i="18"/>
  <c r="S1148" i="18"/>
  <c r="R1148" i="18"/>
  <c r="Q1148" i="18"/>
  <c r="S985" i="18"/>
  <c r="R985" i="18"/>
  <c r="Q985" i="18"/>
  <c r="S1361" i="18"/>
  <c r="R1361" i="18"/>
  <c r="Q1361" i="18"/>
  <c r="S809" i="18"/>
  <c r="R809" i="18"/>
  <c r="Q809" i="18"/>
  <c r="S571" i="18"/>
  <c r="R571" i="18"/>
  <c r="Q571" i="18"/>
  <c r="Q1013" i="18"/>
  <c r="S1013" i="18"/>
  <c r="R1013" i="18"/>
  <c r="Q791" i="18"/>
  <c r="S791" i="18"/>
  <c r="R791" i="18"/>
  <c r="S587" i="18"/>
  <c r="R587" i="18"/>
  <c r="Q587" i="18"/>
  <c r="Q1053" i="18"/>
  <c r="S1053" i="18"/>
  <c r="R1053" i="18"/>
  <c r="S1204" i="18"/>
  <c r="R1204" i="18"/>
  <c r="Q1204" i="18"/>
  <c r="S642" i="18"/>
  <c r="R642" i="18"/>
  <c r="Q642" i="18"/>
  <c r="Q844" i="18"/>
  <c r="S844" i="18"/>
  <c r="R844" i="18"/>
  <c r="S579" i="18"/>
  <c r="R579" i="18"/>
  <c r="Q579" i="18"/>
  <c r="S829" i="18"/>
  <c r="R829" i="18"/>
  <c r="Q829" i="18"/>
  <c r="S104" i="18"/>
  <c r="R104" i="18"/>
  <c r="Q104" i="18"/>
  <c r="S252" i="18"/>
  <c r="R252" i="18"/>
  <c r="Q252" i="18"/>
  <c r="S122" i="18"/>
  <c r="R122" i="18"/>
  <c r="Q122" i="18"/>
  <c r="S96" i="18"/>
  <c r="R96" i="18"/>
  <c r="Q96" i="18"/>
  <c r="S115" i="18"/>
  <c r="R115" i="18"/>
  <c r="Q115" i="18"/>
  <c r="Q111" i="18"/>
  <c r="S111" i="18"/>
  <c r="R111" i="18"/>
  <c r="S207" i="18"/>
  <c r="R207" i="18"/>
  <c r="Q207" i="18"/>
  <c r="P2353" i="18"/>
  <c r="P2352" i="18"/>
  <c r="S2351" i="18"/>
  <c r="R2351" i="18"/>
  <c r="P2354" i="18"/>
  <c r="Q2351" i="18"/>
  <c r="S1765" i="18"/>
  <c r="R1765" i="18"/>
  <c r="Q1765" i="18"/>
  <c r="Q1469" i="18"/>
  <c r="S1469" i="18"/>
  <c r="R1469" i="18"/>
  <c r="Q1397" i="18"/>
  <c r="S1397" i="18"/>
  <c r="R1397" i="18"/>
  <c r="Q1333" i="18"/>
  <c r="S1333" i="18"/>
  <c r="R1333" i="18"/>
  <c r="Q1253" i="18"/>
  <c r="S1253" i="18"/>
  <c r="R1253" i="18"/>
  <c r="Q1189" i="18"/>
  <c r="S1189" i="18"/>
  <c r="R1189" i="18"/>
  <c r="Q895" i="18"/>
  <c r="S895" i="18"/>
  <c r="R895" i="18"/>
  <c r="S99" i="18"/>
  <c r="R99" i="18"/>
  <c r="Q99" i="18"/>
  <c r="S2482" i="18"/>
  <c r="R2482" i="18"/>
  <c r="Q2482" i="18"/>
  <c r="P1975" i="18"/>
  <c r="P1974" i="18"/>
  <c r="P1973" i="18"/>
  <c r="S1972" i="18"/>
  <c r="R1972" i="18"/>
  <c r="Q1972" i="18"/>
  <c r="R1860" i="18"/>
  <c r="Q1860" i="18"/>
  <c r="P1863" i="18"/>
  <c r="P1862" i="18"/>
  <c r="P1861" i="18"/>
  <c r="S1860" i="18"/>
  <c r="S1612" i="18"/>
  <c r="R1612" i="18"/>
  <c r="Q1612" i="18"/>
  <c r="S1116" i="18"/>
  <c r="R1116" i="18"/>
  <c r="Q1116" i="18"/>
  <c r="S1052" i="18"/>
  <c r="R1052" i="18"/>
  <c r="Q1052" i="18"/>
  <c r="S870" i="18"/>
  <c r="R870" i="18"/>
  <c r="Q870" i="18"/>
  <c r="Q546" i="18"/>
  <c r="S546" i="18"/>
  <c r="R546" i="18"/>
  <c r="S110" i="18"/>
  <c r="R110" i="18"/>
  <c r="Q110" i="18"/>
  <c r="S638" i="18"/>
  <c r="R638" i="18"/>
  <c r="Q638" i="18"/>
  <c r="S106" i="18"/>
  <c r="R106" i="18"/>
  <c r="Q106" i="18"/>
  <c r="S114" i="18"/>
  <c r="R114" i="18"/>
  <c r="Q114" i="18"/>
  <c r="P1778" i="18"/>
  <c r="P1777" i="18"/>
  <c r="S1776" i="18"/>
  <c r="R1776" i="18"/>
  <c r="Q1776" i="18"/>
  <c r="P1779" i="18"/>
  <c r="S1560" i="18"/>
  <c r="R1560" i="18"/>
  <c r="Q1560" i="18"/>
  <c r="S1456" i="18"/>
  <c r="R1456" i="18"/>
  <c r="Q1456" i="18"/>
  <c r="S1304" i="18"/>
  <c r="R1304" i="18"/>
  <c r="Q1304" i="18"/>
  <c r="S1192" i="18"/>
  <c r="R1192" i="18"/>
  <c r="Q1192" i="18"/>
  <c r="S1120" i="18"/>
  <c r="R1120" i="18"/>
  <c r="Q1120" i="18"/>
  <c r="S1056" i="18"/>
  <c r="R1056" i="18"/>
  <c r="Q1056" i="18"/>
  <c r="S936" i="18"/>
  <c r="R936" i="18"/>
  <c r="Q936" i="18"/>
  <c r="S890" i="18"/>
  <c r="R890" i="18"/>
  <c r="Q890" i="18"/>
  <c r="R250" i="18"/>
  <c r="Q250" i="18"/>
  <c r="S250" i="18"/>
  <c r="S82" i="18"/>
  <c r="R82" i="18"/>
  <c r="Q82" i="18"/>
  <c r="R2529" i="18"/>
  <c r="Q2529" i="18"/>
  <c r="S2529" i="18"/>
  <c r="R2481" i="18"/>
  <c r="Q2481" i="18"/>
  <c r="S2481" i="18"/>
  <c r="P2388" i="18"/>
  <c r="S2387" i="18"/>
  <c r="P2390" i="18"/>
  <c r="R2387" i="18"/>
  <c r="Q2387" i="18"/>
  <c r="P2389" i="18"/>
  <c r="P2326" i="18"/>
  <c r="R2323" i="18"/>
  <c r="Q2323" i="18"/>
  <c r="P2325" i="18"/>
  <c r="P2324" i="18"/>
  <c r="S2323" i="18"/>
  <c r="P2291" i="18"/>
  <c r="P2290" i="18"/>
  <c r="S2289" i="18"/>
  <c r="R2289" i="18"/>
  <c r="P2292" i="18"/>
  <c r="Q2289" i="18"/>
  <c r="P1796" i="18"/>
  <c r="S1795" i="18"/>
  <c r="R1795" i="18"/>
  <c r="Q1795" i="18"/>
  <c r="P1798" i="18"/>
  <c r="P1797" i="18"/>
  <c r="S2526" i="18"/>
  <c r="R2526" i="18"/>
  <c r="Q2526" i="18"/>
  <c r="S885" i="18"/>
  <c r="R885" i="18"/>
  <c r="Q885" i="18"/>
  <c r="S905" i="18"/>
  <c r="R905" i="18"/>
  <c r="Q905" i="18"/>
  <c r="S889" i="18"/>
  <c r="R889" i="18"/>
  <c r="Q889" i="18"/>
  <c r="S897" i="18"/>
  <c r="R897" i="18"/>
  <c r="Q897" i="18"/>
  <c r="S235" i="18"/>
  <c r="R235" i="18"/>
  <c r="Q235" i="18"/>
  <c r="S1607" i="18"/>
  <c r="R1607" i="18"/>
  <c r="Q1607" i="18"/>
  <c r="S1433" i="18"/>
  <c r="R1433" i="18"/>
  <c r="Q1433" i="18"/>
  <c r="S1407" i="18"/>
  <c r="R1407" i="18"/>
  <c r="Q1407" i="18"/>
  <c r="S1319" i="18"/>
  <c r="R1319" i="18"/>
  <c r="Q1319" i="18"/>
  <c r="S1203" i="18"/>
  <c r="R1203" i="18"/>
  <c r="Q1203" i="18"/>
  <c r="Q879" i="18"/>
  <c r="S879" i="18"/>
  <c r="R879" i="18"/>
  <c r="S591" i="18"/>
  <c r="R591" i="18"/>
  <c r="Q591" i="18"/>
  <c r="R2395" i="18"/>
  <c r="Q2395" i="18"/>
  <c r="P2397" i="18"/>
  <c r="P2398" i="18"/>
  <c r="P2396" i="18"/>
  <c r="S2395" i="18"/>
  <c r="P2197" i="18"/>
  <c r="P2196" i="18"/>
  <c r="S2195" i="18"/>
  <c r="R2195" i="18"/>
  <c r="Q2195" i="18"/>
  <c r="P2198" i="18"/>
  <c r="P2125" i="18"/>
  <c r="P2122" i="18"/>
  <c r="P2124" i="18"/>
  <c r="S2121" i="18"/>
  <c r="R2121" i="18"/>
  <c r="P2126" i="18"/>
  <c r="Q2121" i="18"/>
  <c r="P2123" i="18"/>
  <c r="P1739" i="18"/>
  <c r="P1738" i="18"/>
  <c r="S1737" i="18"/>
  <c r="R1737" i="18"/>
  <c r="Q1737" i="18"/>
  <c r="S1606" i="18"/>
  <c r="R1606" i="18"/>
  <c r="Q1606" i="18"/>
  <c r="S1014" i="18"/>
  <c r="R1014" i="18"/>
  <c r="Q1014" i="18"/>
  <c r="S864" i="18"/>
  <c r="R864" i="18"/>
  <c r="Q864" i="18"/>
  <c r="S1353" i="18"/>
  <c r="R1353" i="18"/>
  <c r="Q1353" i="18"/>
  <c r="S1169" i="18"/>
  <c r="R1169" i="18"/>
  <c r="Q1169" i="18"/>
  <c r="S1115" i="18"/>
  <c r="R1115" i="18"/>
  <c r="Q1115" i="18"/>
  <c r="S929" i="18"/>
  <c r="R929" i="18"/>
  <c r="Q929" i="18"/>
  <c r="R833" i="18"/>
  <c r="Q833" i="18"/>
  <c r="S833" i="18"/>
  <c r="S525" i="18"/>
  <c r="R525" i="18"/>
  <c r="Q525" i="18"/>
  <c r="P1825" i="18"/>
  <c r="P1824" i="18"/>
  <c r="S1823" i="18"/>
  <c r="R1823" i="18"/>
  <c r="Q1823" i="18"/>
  <c r="P1826" i="18"/>
  <c r="P1793" i="18"/>
  <c r="P1792" i="18"/>
  <c r="S1791" i="18"/>
  <c r="R1791" i="18"/>
  <c r="Q1791" i="18"/>
  <c r="P1794" i="18"/>
  <c r="S1727" i="18"/>
  <c r="R1727" i="18"/>
  <c r="Q1727" i="18"/>
  <c r="S1379" i="18"/>
  <c r="R1379" i="18"/>
  <c r="Q1379" i="18"/>
  <c r="S1207" i="18"/>
  <c r="R1207" i="18"/>
  <c r="Q1207" i="18"/>
  <c r="R572" i="18"/>
  <c r="Q572" i="18"/>
  <c r="S572" i="18"/>
  <c r="R1034" i="18"/>
  <c r="Q1034" i="18"/>
  <c r="S1034" i="18"/>
  <c r="S966" i="18"/>
  <c r="R966" i="18"/>
  <c r="Q966" i="18"/>
  <c r="S1561" i="18"/>
  <c r="R1561" i="18"/>
  <c r="Q1561" i="18"/>
  <c r="R1442" i="18"/>
  <c r="Q1442" i="18"/>
  <c r="S1442" i="18"/>
  <c r="S1211" i="18"/>
  <c r="R1211" i="18"/>
  <c r="Q1211" i="18"/>
  <c r="R1154" i="18"/>
  <c r="Q1154" i="18"/>
  <c r="S1154" i="18"/>
  <c r="S1062" i="18"/>
  <c r="R1062" i="18"/>
  <c r="Q1062" i="18"/>
  <c r="S1003" i="18"/>
  <c r="R1003" i="18"/>
  <c r="Q1003" i="18"/>
  <c r="R914" i="18"/>
  <c r="Q914" i="18"/>
  <c r="S914" i="18"/>
  <c r="R2207" i="18"/>
  <c r="Q2207" i="18"/>
  <c r="P2210" i="18"/>
  <c r="P2209" i="18"/>
  <c r="P2208" i="18"/>
  <c r="S2207" i="18"/>
  <c r="S1567" i="18"/>
  <c r="R1567" i="18"/>
  <c r="Q1567" i="18"/>
  <c r="S1294" i="18"/>
  <c r="R1294" i="18"/>
  <c r="Q1294" i="18"/>
  <c r="S1262" i="18"/>
  <c r="R1262" i="18"/>
  <c r="Q1262" i="18"/>
  <c r="S1230" i="18"/>
  <c r="R1230" i="18"/>
  <c r="Q1230" i="18"/>
  <c r="S1198" i="18"/>
  <c r="R1198" i="18"/>
  <c r="Q1198" i="18"/>
  <c r="R1002" i="18"/>
  <c r="Q1002" i="18"/>
  <c r="S1002" i="18"/>
  <c r="R161" i="18"/>
  <c r="S161" i="18"/>
  <c r="Q161" i="18"/>
  <c r="S350" i="18"/>
  <c r="R350" i="18"/>
  <c r="Q350" i="18"/>
  <c r="S309" i="18"/>
  <c r="Q309" i="18"/>
  <c r="R309" i="18"/>
  <c r="S398" i="18"/>
  <c r="R398" i="18"/>
  <c r="Q398" i="18"/>
  <c r="S2496" i="18"/>
  <c r="R2496" i="18"/>
  <c r="Q2496" i="18"/>
  <c r="S1992" i="18"/>
  <c r="R1992" i="18"/>
  <c r="P1995" i="18"/>
  <c r="Q1992" i="18"/>
  <c r="P1994" i="18"/>
  <c r="P1993" i="18"/>
  <c r="S1342" i="18"/>
  <c r="R1342" i="18"/>
  <c r="Q1342" i="18"/>
  <c r="Q911" i="18"/>
  <c r="S911" i="18"/>
  <c r="R911" i="18"/>
  <c r="P358" i="18"/>
  <c r="P355" i="18"/>
  <c r="S354" i="18"/>
  <c r="R354" i="18"/>
  <c r="P357" i="18"/>
  <c r="Q354" i="18"/>
  <c r="P356" i="18"/>
  <c r="P359" i="18"/>
  <c r="S1531" i="18"/>
  <c r="R1531" i="18"/>
  <c r="Q1531" i="18"/>
  <c r="S1523" i="18"/>
  <c r="R1523" i="18"/>
  <c r="Q1523" i="18"/>
  <c r="S1316" i="18"/>
  <c r="R1316" i="18"/>
  <c r="Q1316" i="18"/>
  <c r="S1264" i="18"/>
  <c r="R1264" i="18"/>
  <c r="Q1264" i="18"/>
  <c r="S932" i="18"/>
  <c r="R932" i="18"/>
  <c r="Q932" i="18"/>
  <c r="S585" i="18"/>
  <c r="R585" i="18"/>
  <c r="Q585" i="18"/>
  <c r="Q1341" i="18"/>
  <c r="S1341" i="18"/>
  <c r="R1341" i="18"/>
  <c r="S1320" i="18"/>
  <c r="R1320" i="18"/>
  <c r="Q1320" i="18"/>
  <c r="Q44" i="18"/>
  <c r="P43" i="18"/>
  <c r="S44" i="18"/>
  <c r="R44" i="18"/>
  <c r="S1465" i="18"/>
  <c r="R1465" i="18"/>
  <c r="Q1465" i="18"/>
  <c r="S961" i="18"/>
  <c r="R961" i="18"/>
  <c r="Q961" i="18"/>
  <c r="S628" i="18"/>
  <c r="R628" i="18"/>
  <c r="Q628" i="18"/>
  <c r="S2528" i="18"/>
  <c r="R2528" i="18"/>
  <c r="Q2528" i="18"/>
  <c r="S899" i="18"/>
  <c r="R899" i="18"/>
  <c r="Q899" i="18"/>
  <c r="R1098" i="18"/>
  <c r="Q1098" i="18"/>
  <c r="S1098" i="18"/>
  <c r="R946" i="18"/>
  <c r="Q946" i="18"/>
  <c r="S946" i="18"/>
  <c r="Q836" i="18"/>
  <c r="S836" i="18"/>
  <c r="R836" i="18"/>
  <c r="P2136" i="18"/>
  <c r="S2135" i="18"/>
  <c r="R2135" i="18"/>
  <c r="Q2135" i="18"/>
  <c r="P2138" i="18"/>
  <c r="P2137" i="18"/>
  <c r="R1082" i="18"/>
  <c r="Q1082" i="18"/>
  <c r="S1082" i="18"/>
  <c r="Q762" i="18"/>
  <c r="R762" i="18"/>
  <c r="S762" i="18"/>
  <c r="S2495" i="18"/>
  <c r="R2495" i="18"/>
  <c r="Q2495" i="18"/>
  <c r="S2491" i="18"/>
  <c r="R2491" i="18"/>
  <c r="Q2491" i="18"/>
  <c r="S2531" i="18"/>
  <c r="R2531" i="18"/>
  <c r="Q2531" i="18"/>
  <c r="Q2484" i="18"/>
  <c r="S2484" i="18"/>
  <c r="R2484" i="18"/>
  <c r="S2480" i="18"/>
  <c r="R2480" i="18"/>
  <c r="Q2480" i="18"/>
  <c r="S2535" i="18"/>
  <c r="R2535" i="18"/>
  <c r="Q2535" i="18"/>
  <c r="S2183" i="18"/>
  <c r="R2183" i="18"/>
  <c r="Q2183" i="18"/>
  <c r="P2185" i="18"/>
  <c r="P2186" i="18"/>
  <c r="P2184" i="18"/>
  <c r="P2133" i="18"/>
  <c r="P2132" i="18"/>
  <c r="S2131" i="18"/>
  <c r="P2134" i="18"/>
  <c r="R2131" i="18"/>
  <c r="Q2131" i="18"/>
  <c r="P1981" i="18"/>
  <c r="S1980" i="18"/>
  <c r="P1983" i="18"/>
  <c r="R1980" i="18"/>
  <c r="Q1980" i="18"/>
  <c r="P1982" i="18"/>
  <c r="Q1699" i="18"/>
  <c r="S1699" i="18"/>
  <c r="R1699" i="18"/>
  <c r="Q1715" i="18"/>
  <c r="S1715" i="18"/>
  <c r="R1715" i="18"/>
  <c r="R1578" i="18"/>
  <c r="Q1578" i="18"/>
  <c r="S1578" i="18"/>
  <c r="R1554" i="18"/>
  <c r="Q1554" i="18"/>
  <c r="S1554" i="18"/>
  <c r="S1363" i="18"/>
  <c r="R1363" i="18"/>
  <c r="Q1363" i="18"/>
  <c r="S1462" i="18"/>
  <c r="R1462" i="18"/>
  <c r="Q1462" i="18"/>
  <c r="R1274" i="18"/>
  <c r="Q1274" i="18"/>
  <c r="S1274" i="18"/>
  <c r="R1250" i="18"/>
  <c r="Q1250" i="18"/>
  <c r="S1250" i="18"/>
  <c r="R1234" i="18"/>
  <c r="Q1234" i="18"/>
  <c r="S1234" i="18"/>
  <c r="S964" i="18"/>
  <c r="R964" i="18"/>
  <c r="Q964" i="18"/>
  <c r="S1071" i="18"/>
  <c r="R1071" i="18"/>
  <c r="Q1071" i="18"/>
  <c r="S1031" i="18"/>
  <c r="R1031" i="18"/>
  <c r="Q1031" i="18"/>
  <c r="S1103" i="18"/>
  <c r="R1103" i="18"/>
  <c r="Q1103" i="18"/>
  <c r="S1095" i="18"/>
  <c r="R1095" i="18"/>
  <c r="Q1095" i="18"/>
  <c r="S684" i="18"/>
  <c r="R684" i="18"/>
  <c r="Q684" i="18"/>
  <c r="P773" i="18"/>
  <c r="P772" i="18"/>
  <c r="P776" i="18"/>
  <c r="S771" i="18"/>
  <c r="R771" i="18"/>
  <c r="P775" i="18"/>
  <c r="Q771" i="18"/>
  <c r="P774" i="18"/>
  <c r="S838" i="18"/>
  <c r="R838" i="18"/>
  <c r="Q838" i="18"/>
  <c r="S586" i="18"/>
  <c r="R586" i="18"/>
  <c r="Q586" i="18"/>
  <c r="Q807" i="18"/>
  <c r="S807" i="18"/>
  <c r="R807" i="18"/>
  <c r="Q815" i="18"/>
  <c r="S815" i="18"/>
  <c r="R815" i="18"/>
  <c r="P505" i="18"/>
  <c r="S504" i="18"/>
  <c r="P508" i="18"/>
  <c r="R504" i="18"/>
  <c r="Q504" i="18"/>
  <c r="P507" i="18"/>
  <c r="P506" i="18"/>
  <c r="R2399" i="18"/>
  <c r="P2402" i="18"/>
  <c r="Q2399" i="18"/>
  <c r="P2401" i="18"/>
  <c r="P2400" i="18"/>
  <c r="S2399" i="18"/>
  <c r="P2160" i="18"/>
  <c r="S2159" i="18"/>
  <c r="P2163" i="18"/>
  <c r="R2159" i="18"/>
  <c r="Q2159" i="18"/>
  <c r="P2162" i="18"/>
  <c r="P2164" i="18"/>
  <c r="P2161" i="18"/>
  <c r="S1714" i="18"/>
  <c r="R1714" i="18"/>
  <c r="Q1714" i="18"/>
  <c r="S1510" i="18"/>
  <c r="R1510" i="18"/>
  <c r="Q1510" i="18"/>
  <c r="S1556" i="18"/>
  <c r="R1556" i="18"/>
  <c r="Q1556" i="18"/>
  <c r="S1693" i="18"/>
  <c r="R1693" i="18"/>
  <c r="Q1693" i="18"/>
  <c r="S1588" i="18"/>
  <c r="R1588" i="18"/>
  <c r="Q1588" i="18"/>
  <c r="S1548" i="18"/>
  <c r="R1548" i="18"/>
  <c r="Q1548" i="18"/>
  <c r="S1706" i="18"/>
  <c r="R1706" i="18"/>
  <c r="Q1706" i="18"/>
  <c r="S1564" i="18"/>
  <c r="R1564" i="18"/>
  <c r="Q1564" i="18"/>
  <c r="P1877" i="18"/>
  <c r="P1879" i="18"/>
  <c r="S1876" i="18"/>
  <c r="R1876" i="18"/>
  <c r="Q1876" i="18"/>
  <c r="P1878" i="18"/>
  <c r="R1682" i="18"/>
  <c r="Q1682" i="18"/>
  <c r="S1682" i="18"/>
  <c r="Q1509" i="18"/>
  <c r="S1509" i="18"/>
  <c r="R1509" i="18"/>
  <c r="S1683" i="18"/>
  <c r="R1683" i="18"/>
  <c r="Q1683" i="18"/>
  <c r="S1331" i="18"/>
  <c r="R1331" i="18"/>
  <c r="Q1331" i="18"/>
  <c r="S1380" i="18"/>
  <c r="R1380" i="18"/>
  <c r="Q1380" i="18"/>
  <c r="Q1493" i="18"/>
  <c r="S1493" i="18"/>
  <c r="R1493" i="18"/>
  <c r="S1328" i="18"/>
  <c r="R1328" i="18"/>
  <c r="Q1328" i="18"/>
  <c r="S1244" i="18"/>
  <c r="R1244" i="18"/>
  <c r="Q1244" i="18"/>
  <c r="S1416" i="18"/>
  <c r="R1416" i="18"/>
  <c r="Q1416" i="18"/>
  <c r="S1288" i="18"/>
  <c r="R1288" i="18"/>
  <c r="Q1288" i="18"/>
  <c r="R1466" i="18"/>
  <c r="Q1466" i="18"/>
  <c r="S1466" i="18"/>
  <c r="S1252" i="18"/>
  <c r="R1252" i="18"/>
  <c r="Q1252" i="18"/>
  <c r="Q1069" i="18"/>
  <c r="S1069" i="18"/>
  <c r="R1069" i="18"/>
  <c r="S977" i="18"/>
  <c r="R977" i="18"/>
  <c r="Q977" i="18"/>
  <c r="Q1173" i="18"/>
  <c r="S1173" i="18"/>
  <c r="R1173" i="18"/>
  <c r="S952" i="18"/>
  <c r="R952" i="18"/>
  <c r="Q952" i="18"/>
  <c r="S1220" i="18"/>
  <c r="R1220" i="18"/>
  <c r="Q1220" i="18"/>
  <c r="Q1021" i="18"/>
  <c r="S1021" i="18"/>
  <c r="R1021" i="18"/>
  <c r="S1129" i="18"/>
  <c r="R1129" i="18"/>
  <c r="Q1129" i="18"/>
  <c r="S1137" i="18"/>
  <c r="R1137" i="18"/>
  <c r="Q1137" i="18"/>
  <c r="S928" i="18"/>
  <c r="R928" i="18"/>
  <c r="Q928" i="18"/>
  <c r="S1196" i="18"/>
  <c r="R1196" i="18"/>
  <c r="Q1196" i="18"/>
  <c r="S711" i="18"/>
  <c r="P715" i="18"/>
  <c r="R711" i="18"/>
  <c r="P714" i="18"/>
  <c r="Q711" i="18"/>
  <c r="P713" i="18"/>
  <c r="P716" i="18"/>
  <c r="P712" i="18"/>
  <c r="S520" i="18"/>
  <c r="R520" i="18"/>
  <c r="Q520" i="18"/>
  <c r="R685" i="18"/>
  <c r="Q685" i="18"/>
  <c r="S685" i="18"/>
  <c r="R908" i="18"/>
  <c r="Q908" i="18"/>
  <c r="S908" i="18"/>
  <c r="S565" i="18"/>
  <c r="R565" i="18"/>
  <c r="Q565" i="18"/>
  <c r="S940" i="18"/>
  <c r="R940" i="18"/>
  <c r="Q940" i="18"/>
  <c r="R588" i="18"/>
  <c r="Q588" i="18"/>
  <c r="S588" i="18"/>
  <c r="P540" i="18"/>
  <c r="P539" i="18"/>
  <c r="S538" i="18"/>
  <c r="P542" i="18"/>
  <c r="R538" i="18"/>
  <c r="Q538" i="18"/>
  <c r="S798" i="18"/>
  <c r="R798" i="18"/>
  <c r="Q798" i="18"/>
  <c r="Q95" i="18"/>
  <c r="S95" i="18"/>
  <c r="R95" i="18"/>
  <c r="S222" i="18"/>
  <c r="R222" i="18"/>
  <c r="Q222" i="18"/>
  <c r="S113" i="18"/>
  <c r="R113" i="18"/>
  <c r="Q113" i="18"/>
  <c r="Q89" i="18"/>
  <c r="S89" i="18"/>
  <c r="R89" i="18"/>
  <c r="S105" i="18"/>
  <c r="R105" i="18"/>
  <c r="Q105" i="18"/>
  <c r="S101" i="18"/>
  <c r="R101" i="18"/>
  <c r="Q101" i="18"/>
  <c r="P183" i="18"/>
  <c r="P175" i="18"/>
  <c r="P193" i="18"/>
  <c r="P179" i="18"/>
  <c r="P167" i="18"/>
  <c r="P144" i="18"/>
  <c r="P143" i="18"/>
  <c r="S142" i="18"/>
  <c r="R142" i="18"/>
  <c r="P171" i="18"/>
  <c r="P163" i="18"/>
  <c r="Q142" i="18"/>
  <c r="Q2335" i="18"/>
  <c r="P2337" i="18"/>
  <c r="P2336" i="18"/>
  <c r="S2335" i="18"/>
  <c r="P2338" i="18"/>
  <c r="R2335" i="18"/>
  <c r="Q1685" i="18"/>
  <c r="S1685" i="18"/>
  <c r="R1685" i="18"/>
  <c r="Q1461" i="18"/>
  <c r="S1461" i="18"/>
  <c r="R1461" i="18"/>
  <c r="Q1389" i="18"/>
  <c r="S1389" i="18"/>
  <c r="R1389" i="18"/>
  <c r="Q1325" i="18"/>
  <c r="S1325" i="18"/>
  <c r="R1325" i="18"/>
  <c r="Q1245" i="18"/>
  <c r="S1245" i="18"/>
  <c r="R1245" i="18"/>
  <c r="Q997" i="18"/>
  <c r="S997" i="18"/>
  <c r="R997" i="18"/>
  <c r="Q887" i="18"/>
  <c r="S887" i="18"/>
  <c r="R887" i="18"/>
  <c r="S88" i="18"/>
  <c r="R88" i="18"/>
  <c r="Q88" i="18"/>
  <c r="P1959" i="18"/>
  <c r="R1956" i="18"/>
  <c r="Q1956" i="18"/>
  <c r="P1958" i="18"/>
  <c r="P1957" i="18"/>
  <c r="S1956" i="18"/>
  <c r="P1854" i="18"/>
  <c r="P1853" i="18"/>
  <c r="S1852" i="18"/>
  <c r="R1852" i="18"/>
  <c r="P1855" i="18"/>
  <c r="Q1852" i="18"/>
  <c r="S1604" i="18"/>
  <c r="R1604" i="18"/>
  <c r="Q1604" i="18"/>
  <c r="S1108" i="18"/>
  <c r="R1108" i="18"/>
  <c r="Q1108" i="18"/>
  <c r="S1044" i="18"/>
  <c r="R1044" i="18"/>
  <c r="Q1044" i="18"/>
  <c r="S862" i="18"/>
  <c r="R862" i="18"/>
  <c r="Q862" i="18"/>
  <c r="P503" i="18"/>
  <c r="S498" i="18"/>
  <c r="R498" i="18"/>
  <c r="P502" i="18"/>
  <c r="Q498" i="18"/>
  <c r="P501" i="18"/>
  <c r="P500" i="18"/>
  <c r="P499" i="18"/>
  <c r="S102" i="18"/>
  <c r="R102" i="18"/>
  <c r="Q102" i="18"/>
  <c r="S2494" i="18"/>
  <c r="R2494" i="18"/>
  <c r="Q2494" i="18"/>
  <c r="S882" i="18"/>
  <c r="R882" i="18"/>
  <c r="Q882" i="18"/>
  <c r="P1954" i="18"/>
  <c r="P1955" i="18"/>
  <c r="P1953" i="18"/>
  <c r="S1952" i="18"/>
  <c r="R1952" i="18"/>
  <c r="Q1952" i="18"/>
  <c r="S1768" i="18"/>
  <c r="R1768" i="18"/>
  <c r="Q1768" i="18"/>
  <c r="P1771" i="18"/>
  <c r="P1770" i="18"/>
  <c r="P1769" i="18"/>
  <c r="S1552" i="18"/>
  <c r="R1552" i="18"/>
  <c r="Q1552" i="18"/>
  <c r="S1448" i="18"/>
  <c r="R1448" i="18"/>
  <c r="Q1448" i="18"/>
  <c r="S1296" i="18"/>
  <c r="R1296" i="18"/>
  <c r="Q1296" i="18"/>
  <c r="S1184" i="18"/>
  <c r="R1184" i="18"/>
  <c r="Q1184" i="18"/>
  <c r="S1112" i="18"/>
  <c r="R1112" i="18"/>
  <c r="Q1112" i="18"/>
  <c r="S1048" i="18"/>
  <c r="R1048" i="18"/>
  <c r="Q1048" i="18"/>
  <c r="S866" i="18"/>
  <c r="R866" i="18"/>
  <c r="Q866" i="18"/>
  <c r="S226" i="18"/>
  <c r="R226" i="18"/>
  <c r="Q226" i="18"/>
  <c r="S58" i="18"/>
  <c r="R58" i="18"/>
  <c r="Q58" i="18"/>
  <c r="R2521" i="18"/>
  <c r="Q2521" i="18"/>
  <c r="S2521" i="18"/>
  <c r="S664" i="18"/>
  <c r="R664" i="18"/>
  <c r="Q664" i="18"/>
  <c r="R279" i="18"/>
  <c r="Q279" i="18"/>
  <c r="P281" i="18"/>
  <c r="P280" i="18"/>
  <c r="S279" i="18"/>
  <c r="S2477" i="18"/>
  <c r="R2477" i="18"/>
  <c r="Q2477" i="18"/>
  <c r="P2429" i="18"/>
  <c r="P2426" i="18"/>
  <c r="S2425" i="18"/>
  <c r="P2430" i="18"/>
  <c r="P2428" i="18"/>
  <c r="R2425" i="18"/>
  <c r="Q2425" i="18"/>
  <c r="P2427" i="18"/>
  <c r="R213" i="18"/>
  <c r="Q213" i="18"/>
  <c r="S213" i="18"/>
  <c r="Q68" i="18"/>
  <c r="S68" i="18"/>
  <c r="R68" i="18"/>
  <c r="S225" i="18"/>
  <c r="R225" i="18"/>
  <c r="Q225" i="18"/>
  <c r="P2345" i="18"/>
  <c r="P2344" i="18"/>
  <c r="S2343" i="18"/>
  <c r="R2343" i="18"/>
  <c r="Q2343" i="18"/>
  <c r="P2346" i="18"/>
  <c r="S1762" i="18"/>
  <c r="R1762" i="18"/>
  <c r="Q1762" i="18"/>
  <c r="S1730" i="18"/>
  <c r="R1730" i="18"/>
  <c r="Q1730" i="18"/>
  <c r="S1698" i="18"/>
  <c r="R1698" i="18"/>
  <c r="Q1698" i="18"/>
  <c r="S1459" i="18"/>
  <c r="R1459" i="18"/>
  <c r="Q1459" i="18"/>
  <c r="S1401" i="18"/>
  <c r="R1401" i="18"/>
  <c r="Q1401" i="18"/>
  <c r="S1375" i="18"/>
  <c r="R1375" i="18"/>
  <c r="Q1375" i="18"/>
  <c r="S1286" i="18"/>
  <c r="R1286" i="18"/>
  <c r="Q1286" i="18"/>
  <c r="S1171" i="18"/>
  <c r="R1171" i="18"/>
  <c r="Q1171" i="18"/>
  <c r="R1138" i="18"/>
  <c r="Q1138" i="18"/>
  <c r="S1138" i="18"/>
  <c r="P1635" i="18"/>
  <c r="S1634" i="18"/>
  <c r="R1634" i="18"/>
  <c r="P1637" i="18"/>
  <c r="Q1634" i="18"/>
  <c r="P1636" i="18"/>
  <c r="Q1445" i="18"/>
  <c r="S1445" i="18"/>
  <c r="R1445" i="18"/>
  <c r="S1259" i="18"/>
  <c r="R1259" i="18"/>
  <c r="Q1259" i="18"/>
  <c r="S621" i="18"/>
  <c r="R621" i="18"/>
  <c r="Q621" i="18"/>
  <c r="Q2331" i="18"/>
  <c r="P2333" i="18"/>
  <c r="P2332" i="18"/>
  <c r="P2334" i="18"/>
  <c r="S2331" i="18"/>
  <c r="R2331" i="18"/>
  <c r="S1535" i="18"/>
  <c r="R1535" i="18"/>
  <c r="Q1535" i="18"/>
  <c r="S1291" i="18"/>
  <c r="R1291" i="18"/>
  <c r="Q1291" i="18"/>
  <c r="S1195" i="18"/>
  <c r="R1195" i="18"/>
  <c r="Q1195" i="18"/>
  <c r="S955" i="18"/>
  <c r="R955" i="18"/>
  <c r="Q955" i="18"/>
  <c r="R884" i="18"/>
  <c r="Q884" i="18"/>
  <c r="S884" i="18"/>
  <c r="R849" i="18"/>
  <c r="Q849" i="18"/>
  <c r="S849" i="18"/>
  <c r="S1710" i="18"/>
  <c r="R1710" i="18"/>
  <c r="Q1710" i="18"/>
  <c r="P1647" i="18"/>
  <c r="S1646" i="18"/>
  <c r="R1646" i="18"/>
  <c r="P1649" i="18"/>
  <c r="Q1646" i="18"/>
  <c r="P1648" i="18"/>
  <c r="S1583" i="18"/>
  <c r="R1583" i="18"/>
  <c r="Q1583" i="18"/>
  <c r="S1519" i="18"/>
  <c r="R1519" i="18"/>
  <c r="Q1519" i="18"/>
  <c r="S891" i="18"/>
  <c r="R891" i="18"/>
  <c r="Q891" i="18"/>
  <c r="S805" i="18"/>
  <c r="R805" i="18"/>
  <c r="Q805" i="18"/>
  <c r="S1622" i="18"/>
  <c r="R1622" i="18"/>
  <c r="Q1622" i="18"/>
  <c r="S1467" i="18"/>
  <c r="R1467" i="18"/>
  <c r="Q1467" i="18"/>
  <c r="R1410" i="18"/>
  <c r="Q1410" i="18"/>
  <c r="S1410" i="18"/>
  <c r="S1321" i="18"/>
  <c r="R1321" i="18"/>
  <c r="Q1321" i="18"/>
  <c r="S1179" i="18"/>
  <c r="R1179" i="18"/>
  <c r="Q1179" i="18"/>
  <c r="S1091" i="18"/>
  <c r="R1091" i="18"/>
  <c r="Q1091" i="18"/>
  <c r="S939" i="18"/>
  <c r="R939" i="18"/>
  <c r="Q939" i="18"/>
  <c r="S617" i="18"/>
  <c r="R617" i="18"/>
  <c r="Q617" i="18"/>
  <c r="Q1595" i="18"/>
  <c r="S1595" i="18"/>
  <c r="R1595" i="18"/>
  <c r="S1473" i="18"/>
  <c r="R1473" i="18"/>
  <c r="Q1473" i="18"/>
  <c r="S1441" i="18"/>
  <c r="R1441" i="18"/>
  <c r="Q1441" i="18"/>
  <c r="S1409" i="18"/>
  <c r="R1409" i="18"/>
  <c r="Q1409" i="18"/>
  <c r="S521" i="18"/>
  <c r="R521" i="18"/>
  <c r="Q521" i="18"/>
  <c r="P2408" i="18"/>
  <c r="P2411" i="18"/>
  <c r="S2407" i="18"/>
  <c r="R2407" i="18"/>
  <c r="Q2407" i="18"/>
  <c r="P2410" i="18"/>
  <c r="P2412" i="18"/>
  <c r="P2409" i="18"/>
  <c r="P1812" i="18"/>
  <c r="S1811" i="18"/>
  <c r="R1811" i="18"/>
  <c r="P1814" i="18"/>
  <c r="Q1811" i="18"/>
  <c r="P1813" i="18"/>
  <c r="S1614" i="18"/>
  <c r="R1614" i="18"/>
  <c r="Q1614" i="18"/>
  <c r="S1494" i="18"/>
  <c r="R1494" i="18"/>
  <c r="Q1494" i="18"/>
  <c r="R1434" i="18"/>
  <c r="Q1434" i="18"/>
  <c r="S1434" i="18"/>
  <c r="R1402" i="18"/>
  <c r="Q1402" i="18"/>
  <c r="S1402" i="18"/>
  <c r="S1139" i="18"/>
  <c r="R1139" i="18"/>
  <c r="Q1139" i="18"/>
  <c r="S1075" i="18"/>
  <c r="R1075" i="18"/>
  <c r="Q1075" i="18"/>
  <c r="S904" i="18"/>
  <c r="R904" i="18"/>
  <c r="Q904" i="18"/>
  <c r="S872" i="18"/>
  <c r="R872" i="18"/>
  <c r="Q872" i="18"/>
  <c r="S817" i="18"/>
  <c r="R817" i="18"/>
  <c r="Q817" i="18"/>
  <c r="S568" i="18"/>
  <c r="R568" i="18"/>
  <c r="Q568" i="18"/>
  <c r="S709" i="18"/>
  <c r="R709" i="18"/>
  <c r="Q709" i="18"/>
  <c r="Q162" i="18"/>
  <c r="S162" i="18"/>
  <c r="R162" i="18"/>
  <c r="R757" i="18"/>
  <c r="Q757" i="18"/>
  <c r="S757" i="18"/>
  <c r="S736" i="18"/>
  <c r="R736" i="18"/>
  <c r="Q736" i="18"/>
  <c r="Q476" i="18"/>
  <c r="R476" i="18"/>
  <c r="S476" i="18"/>
  <c r="Q307" i="18"/>
  <c r="S307" i="18"/>
  <c r="R307" i="18"/>
  <c r="R399" i="18"/>
  <c r="S399" i="18"/>
  <c r="Q399" i="18"/>
  <c r="R763" i="18"/>
  <c r="S763" i="18"/>
  <c r="Q763" i="18"/>
  <c r="R169" i="18"/>
  <c r="S169" i="18"/>
  <c r="Q169" i="18"/>
  <c r="S2527" i="18"/>
  <c r="R2527" i="18"/>
  <c r="Q2527" i="18"/>
  <c r="S1326" i="18"/>
  <c r="R1326" i="18"/>
  <c r="Q1326" i="18"/>
  <c r="S1039" i="18"/>
  <c r="R1039" i="18"/>
  <c r="Q1039" i="18"/>
  <c r="S206" i="18"/>
  <c r="R206" i="18"/>
  <c r="Q206" i="18"/>
  <c r="S1702" i="18"/>
  <c r="R1702" i="18"/>
  <c r="Q1702" i="18"/>
  <c r="S1568" i="18"/>
  <c r="R1568" i="18"/>
  <c r="Q1568" i="18"/>
  <c r="S1572" i="18"/>
  <c r="R1572" i="18"/>
  <c r="Q1572" i="18"/>
  <c r="S916" i="18"/>
  <c r="R916" i="18"/>
  <c r="Q916" i="18"/>
  <c r="S577" i="18"/>
  <c r="R577" i="18"/>
  <c r="Q577" i="18"/>
  <c r="Q1029" i="18"/>
  <c r="S1029" i="18"/>
  <c r="R1029" i="18"/>
  <c r="Q1405" i="18"/>
  <c r="S1405" i="18"/>
  <c r="R1405" i="18"/>
  <c r="S238" i="18"/>
  <c r="R238" i="18"/>
  <c r="Q238" i="18"/>
  <c r="Q1807" i="18"/>
  <c r="P1809" i="18"/>
  <c r="P1808" i="18"/>
  <c r="S1807" i="18"/>
  <c r="P1810" i="18"/>
  <c r="R1807" i="18"/>
  <c r="S629" i="18"/>
  <c r="R629" i="18"/>
  <c r="Q629" i="18"/>
  <c r="S1175" i="18"/>
  <c r="R1175" i="18"/>
  <c r="Q1175" i="18"/>
  <c r="S1718" i="18"/>
  <c r="R1718" i="18"/>
  <c r="Q1718" i="18"/>
  <c r="S1527" i="18"/>
  <c r="R1527" i="18"/>
  <c r="Q1527" i="18"/>
  <c r="S661" i="18"/>
  <c r="R661" i="18"/>
  <c r="Q661" i="18"/>
  <c r="S544" i="18"/>
  <c r="R544" i="18"/>
  <c r="Q544" i="18"/>
  <c r="S2479" i="18"/>
  <c r="R2479" i="18"/>
  <c r="Q2479" i="18"/>
  <c r="P2286" i="18"/>
  <c r="S2285" i="18"/>
  <c r="R2285" i="18"/>
  <c r="P2288" i="18"/>
  <c r="Q2285" i="18"/>
  <c r="P2287" i="18"/>
  <c r="P2153" i="18"/>
  <c r="P2152" i="18"/>
  <c r="S2151" i="18"/>
  <c r="R2151" i="18"/>
  <c r="P2154" i="18"/>
  <c r="Q2151" i="18"/>
  <c r="P2052" i="18"/>
  <c r="P2049" i="18"/>
  <c r="S2048" i="18"/>
  <c r="P2051" i="18"/>
  <c r="R2048" i="18"/>
  <c r="Q2048" i="18"/>
  <c r="P2050" i="18"/>
  <c r="Q1996" i="18"/>
  <c r="P1999" i="18"/>
  <c r="P1998" i="18"/>
  <c r="P1997" i="18"/>
  <c r="S1996" i="18"/>
  <c r="R1996" i="18"/>
  <c r="P1965" i="18"/>
  <c r="S1964" i="18"/>
  <c r="P1967" i="18"/>
  <c r="R1964" i="18"/>
  <c r="Q1964" i="18"/>
  <c r="P1966" i="18"/>
  <c r="S1759" i="18"/>
  <c r="R1759" i="18"/>
  <c r="Q1759" i="18"/>
  <c r="S1633" i="18"/>
  <c r="R1633" i="18"/>
  <c r="Q1633" i="18"/>
  <c r="R1530" i="18"/>
  <c r="Q1530" i="18"/>
  <c r="S1530" i="18"/>
  <c r="R1514" i="18"/>
  <c r="Q1514" i="18"/>
  <c r="S1514" i="18"/>
  <c r="S1318" i="18"/>
  <c r="R1318" i="18"/>
  <c r="Q1318" i="18"/>
  <c r="S1430" i="18"/>
  <c r="R1430" i="18"/>
  <c r="Q1430" i="18"/>
  <c r="R1210" i="18"/>
  <c r="Q1210" i="18"/>
  <c r="S1210" i="18"/>
  <c r="R1186" i="18"/>
  <c r="Q1186" i="18"/>
  <c r="S1186" i="18"/>
  <c r="S1414" i="18"/>
  <c r="R1414" i="18"/>
  <c r="Q1414" i="18"/>
  <c r="S1143" i="18"/>
  <c r="R1143" i="18"/>
  <c r="Q1143" i="18"/>
  <c r="S1023" i="18"/>
  <c r="R1023" i="18"/>
  <c r="Q1023" i="18"/>
  <c r="S1020" i="18"/>
  <c r="R1020" i="18"/>
  <c r="Q1020" i="18"/>
  <c r="S958" i="18"/>
  <c r="R958" i="18"/>
  <c r="Q958" i="18"/>
  <c r="S1047" i="18"/>
  <c r="R1047" i="18"/>
  <c r="Q1047" i="18"/>
  <c r="S918" i="18"/>
  <c r="R918" i="18"/>
  <c r="Q918" i="18"/>
  <c r="S658" i="18"/>
  <c r="R658" i="18"/>
  <c r="Q658" i="18"/>
  <c r="S797" i="18"/>
  <c r="R797" i="18"/>
  <c r="Q797" i="18"/>
  <c r="Q863" i="18"/>
  <c r="S863" i="18"/>
  <c r="R863" i="18"/>
  <c r="S794" i="18"/>
  <c r="R794" i="18"/>
  <c r="Q794" i="18"/>
  <c r="P262" i="18"/>
  <c r="S261" i="18"/>
  <c r="P265" i="18"/>
  <c r="R261" i="18"/>
  <c r="P264" i="18"/>
  <c r="Q261" i="18"/>
  <c r="P263" i="18"/>
  <c r="S218" i="18"/>
  <c r="R218" i="18"/>
  <c r="Q218" i="18"/>
  <c r="S2536" i="18"/>
  <c r="R2536" i="18"/>
  <c r="Q2536" i="18"/>
  <c r="S2363" i="18"/>
  <c r="R2363" i="18"/>
  <c r="Q2363" i="18"/>
  <c r="P2365" i="18"/>
  <c r="P2366" i="18"/>
  <c r="P2364" i="18"/>
  <c r="Q2155" i="18"/>
  <c r="P2158" i="18"/>
  <c r="P2157" i="18"/>
  <c r="P2156" i="18"/>
  <c r="S2155" i="18"/>
  <c r="R2155" i="18"/>
  <c r="S1692" i="18"/>
  <c r="R1692" i="18"/>
  <c r="Q1692" i="18"/>
  <c r="S1507" i="18"/>
  <c r="R1507" i="18"/>
  <c r="Q1507" i="18"/>
  <c r="Q1525" i="18"/>
  <c r="S1525" i="18"/>
  <c r="R1525" i="18"/>
  <c r="S1684" i="18"/>
  <c r="R1684" i="18"/>
  <c r="Q1684" i="18"/>
  <c r="S1582" i="18"/>
  <c r="R1582" i="18"/>
  <c r="Q1582" i="18"/>
  <c r="P2385" i="18"/>
  <c r="P2384" i="18"/>
  <c r="S2383" i="18"/>
  <c r="R2383" i="18"/>
  <c r="P2386" i="18"/>
  <c r="Q2383" i="18"/>
  <c r="S1700" i="18"/>
  <c r="R1700" i="18"/>
  <c r="Q1700" i="18"/>
  <c r="Q1557" i="18"/>
  <c r="S1557" i="18"/>
  <c r="R1557" i="18"/>
  <c r="R1772" i="18"/>
  <c r="Q1772" i="18"/>
  <c r="S1772" i="18"/>
  <c r="S1679" i="18"/>
  <c r="R1679" i="18"/>
  <c r="Q1679" i="18"/>
  <c r="S1503" i="18"/>
  <c r="R1503" i="18"/>
  <c r="Q1503" i="18"/>
  <c r="S1665" i="18"/>
  <c r="R1665" i="18"/>
  <c r="Q1665" i="18"/>
  <c r="S1327" i="18"/>
  <c r="R1327" i="18"/>
  <c r="Q1327" i="18"/>
  <c r="P1742" i="18"/>
  <c r="P1741" i="18"/>
  <c r="S1740" i="18"/>
  <c r="R1740" i="18"/>
  <c r="Q1740" i="18"/>
  <c r="S1487" i="18"/>
  <c r="R1487" i="18"/>
  <c r="Q1487" i="18"/>
  <c r="S1276" i="18"/>
  <c r="R1276" i="18"/>
  <c r="Q1276" i="18"/>
  <c r="R1704" i="18"/>
  <c r="Q1704" i="18"/>
  <c r="S1704" i="18"/>
  <c r="S1372" i="18"/>
  <c r="R1372" i="18"/>
  <c r="Q1372" i="18"/>
  <c r="R1394" i="18"/>
  <c r="Q1394" i="18"/>
  <c r="S1394" i="18"/>
  <c r="P1897" i="18"/>
  <c r="S1896" i="18"/>
  <c r="R1896" i="18"/>
  <c r="Q1896" i="18"/>
  <c r="P1899" i="18"/>
  <c r="P1898" i="18"/>
  <c r="R1066" i="18"/>
  <c r="Q1066" i="18"/>
  <c r="S1066" i="18"/>
  <c r="S971" i="18"/>
  <c r="R971" i="18"/>
  <c r="Q971" i="18"/>
  <c r="S1150" i="18"/>
  <c r="R1150" i="18"/>
  <c r="Q1150" i="18"/>
  <c r="S1216" i="18"/>
  <c r="R1216" i="18"/>
  <c r="Q1216" i="18"/>
  <c r="S1009" i="18"/>
  <c r="R1009" i="18"/>
  <c r="Q1009" i="18"/>
  <c r="S1089" i="18"/>
  <c r="R1089" i="18"/>
  <c r="Q1089" i="18"/>
  <c r="Q1133" i="18"/>
  <c r="S1133" i="18"/>
  <c r="R1133" i="18"/>
  <c r="Q1165" i="18"/>
  <c r="S1165" i="18"/>
  <c r="R1165" i="18"/>
  <c r="S652" i="18"/>
  <c r="R652" i="18"/>
  <c r="Q652" i="18"/>
  <c r="S514" i="18"/>
  <c r="P518" i="18"/>
  <c r="R514" i="18"/>
  <c r="Q514" i="18"/>
  <c r="P517" i="18"/>
  <c r="P516" i="18"/>
  <c r="P515" i="18"/>
  <c r="S553" i="18"/>
  <c r="R553" i="18"/>
  <c r="Q553" i="18"/>
  <c r="P855" i="18"/>
  <c r="S854" i="18"/>
  <c r="R854" i="18"/>
  <c r="Q854" i="18"/>
  <c r="P857" i="18"/>
  <c r="P856" i="18"/>
  <c r="P431" i="18"/>
  <c r="P428" i="18"/>
  <c r="P430" i="18"/>
  <c r="P427" i="18"/>
  <c r="S426" i="18"/>
  <c r="P429" i="18"/>
  <c r="R426" i="18"/>
  <c r="Q426" i="18"/>
  <c r="S557" i="18"/>
  <c r="R557" i="18"/>
  <c r="Q557" i="18"/>
  <c r="S808" i="18"/>
  <c r="R808" i="18"/>
  <c r="Q808" i="18"/>
  <c r="S522" i="18"/>
  <c r="R522" i="18"/>
  <c r="Q522" i="18"/>
  <c r="S555" i="18"/>
  <c r="R555" i="18"/>
  <c r="Q555" i="18"/>
  <c r="R65" i="18"/>
  <c r="Q65" i="18"/>
  <c r="S65" i="18"/>
  <c r="S212" i="18"/>
  <c r="R212" i="18"/>
  <c r="Q212" i="18"/>
  <c r="Q1109" i="18"/>
  <c r="S1109" i="18"/>
  <c r="R1109" i="18"/>
  <c r="S48" i="18"/>
  <c r="R48" i="18"/>
  <c r="Q48" i="18"/>
  <c r="S66" i="18"/>
  <c r="R66" i="18"/>
  <c r="Q66" i="18"/>
  <c r="S62" i="18"/>
  <c r="R62" i="18"/>
  <c r="Q62" i="18"/>
  <c r="R124" i="18"/>
  <c r="P127" i="18"/>
  <c r="Q124" i="18"/>
  <c r="P126" i="18"/>
  <c r="P125" i="18"/>
  <c r="S124" i="18"/>
  <c r="Q2293" i="18"/>
  <c r="P2295" i="18"/>
  <c r="P2298" i="18"/>
  <c r="P2297" i="18"/>
  <c r="P2294" i="18"/>
  <c r="P2296" i="18"/>
  <c r="S2293" i="18"/>
  <c r="R2293" i="18"/>
  <c r="S1621" i="18"/>
  <c r="R1621" i="18"/>
  <c r="Q1621" i="18"/>
  <c r="Q1453" i="18"/>
  <c r="S1453" i="18"/>
  <c r="R1453" i="18"/>
  <c r="Q1381" i="18"/>
  <c r="S1381" i="18"/>
  <c r="R1381" i="18"/>
  <c r="Q1317" i="18"/>
  <c r="S1317" i="18"/>
  <c r="R1317" i="18"/>
  <c r="Q1237" i="18"/>
  <c r="S1237" i="18"/>
  <c r="R1237" i="18"/>
  <c r="Q957" i="18"/>
  <c r="S957" i="18"/>
  <c r="R957" i="18"/>
  <c r="S38" i="18"/>
  <c r="R38" i="18"/>
  <c r="Q38" i="18"/>
  <c r="P2045" i="18"/>
  <c r="S2044" i="18"/>
  <c r="R2044" i="18"/>
  <c r="P2047" i="18"/>
  <c r="Q2044" i="18"/>
  <c r="P2046" i="18"/>
  <c r="P1846" i="18"/>
  <c r="P1845" i="18"/>
  <c r="P1847" i="18"/>
  <c r="S1844" i="18"/>
  <c r="R1844" i="18"/>
  <c r="Q1844" i="18"/>
  <c r="S1596" i="18"/>
  <c r="R1596" i="18"/>
  <c r="Q1596" i="18"/>
  <c r="S1100" i="18"/>
  <c r="R1100" i="18"/>
  <c r="Q1100" i="18"/>
  <c r="S1036" i="18"/>
  <c r="R1036" i="18"/>
  <c r="Q1036" i="18"/>
  <c r="S814" i="18"/>
  <c r="R814" i="18"/>
  <c r="Q814" i="18"/>
  <c r="P470" i="18"/>
  <c r="P473" i="18"/>
  <c r="P469" i="18"/>
  <c r="S468" i="18"/>
  <c r="P472" i="18"/>
  <c r="R468" i="18"/>
  <c r="Q468" i="18"/>
  <c r="P471" i="18"/>
  <c r="S94" i="18"/>
  <c r="R94" i="18"/>
  <c r="Q94" i="18"/>
  <c r="S2486" i="18"/>
  <c r="R2486" i="18"/>
  <c r="Q2486" i="18"/>
  <c r="P1938" i="18"/>
  <c r="P1937" i="18"/>
  <c r="P1939" i="18"/>
  <c r="S1936" i="18"/>
  <c r="R1936" i="18"/>
  <c r="Q1936" i="18"/>
  <c r="S1728" i="18"/>
  <c r="R1728" i="18"/>
  <c r="Q1728" i="18"/>
  <c r="S1544" i="18"/>
  <c r="R1544" i="18"/>
  <c r="Q1544" i="18"/>
  <c r="S1440" i="18"/>
  <c r="R1440" i="18"/>
  <c r="Q1440" i="18"/>
  <c r="S1280" i="18"/>
  <c r="R1280" i="18"/>
  <c r="Q1280" i="18"/>
  <c r="S1176" i="18"/>
  <c r="R1176" i="18"/>
  <c r="Q1176" i="18"/>
  <c r="S1104" i="18"/>
  <c r="R1104" i="18"/>
  <c r="Q1104" i="18"/>
  <c r="S1032" i="18"/>
  <c r="R1032" i="18"/>
  <c r="Q1032" i="18"/>
  <c r="S810" i="18"/>
  <c r="R810" i="18"/>
  <c r="Q810" i="18"/>
  <c r="S50" i="18"/>
  <c r="R50" i="18"/>
  <c r="Q50" i="18"/>
  <c r="S2517" i="18"/>
  <c r="R2517" i="18"/>
  <c r="Q2517" i="18"/>
  <c r="R804" i="18"/>
  <c r="Q804" i="18"/>
  <c r="S804" i="18"/>
  <c r="S660" i="18"/>
  <c r="R660" i="18"/>
  <c r="Q660" i="18"/>
  <c r="S243" i="18"/>
  <c r="R243" i="18"/>
  <c r="Q243" i="18"/>
  <c r="R2473" i="18"/>
  <c r="Q2473" i="18"/>
  <c r="S2473" i="18"/>
  <c r="R2239" i="18"/>
  <c r="Q2239" i="18"/>
  <c r="P2244" i="18"/>
  <c r="P2243" i="18"/>
  <c r="P2241" i="18"/>
  <c r="P2240" i="18"/>
  <c r="P2242" i="18"/>
  <c r="S2239" i="18"/>
  <c r="R221" i="18"/>
  <c r="Q221" i="18"/>
  <c r="S221" i="18"/>
  <c r="S201" i="18"/>
  <c r="R201" i="18"/>
  <c r="Q201" i="18"/>
  <c r="S607" i="18"/>
  <c r="R607" i="18"/>
  <c r="Q607" i="18"/>
  <c r="S217" i="18"/>
  <c r="R217" i="18"/>
  <c r="Q217" i="18"/>
  <c r="S1486" i="18"/>
  <c r="R1486" i="18"/>
  <c r="Q1486" i="18"/>
  <c r="S1427" i="18"/>
  <c r="R1427" i="18"/>
  <c r="Q1427" i="18"/>
  <c r="S1311" i="18"/>
  <c r="R1311" i="18"/>
  <c r="Q1311" i="18"/>
  <c r="S1254" i="18"/>
  <c r="R1254" i="18"/>
  <c r="Q1254" i="18"/>
  <c r="S1102" i="18"/>
  <c r="R1102" i="18"/>
  <c r="Q1102" i="18"/>
  <c r="R1074" i="18"/>
  <c r="Q1074" i="18"/>
  <c r="S1074" i="18"/>
  <c r="S1038" i="18"/>
  <c r="R1038" i="18"/>
  <c r="Q1038" i="18"/>
  <c r="R978" i="18"/>
  <c r="Q978" i="18"/>
  <c r="S978" i="18"/>
  <c r="S840" i="18"/>
  <c r="R840" i="18"/>
  <c r="Q840" i="18"/>
  <c r="Q583" i="18"/>
  <c r="S583" i="18"/>
  <c r="R583" i="18"/>
  <c r="S519" i="18"/>
  <c r="R519" i="18"/>
  <c r="Q519" i="18"/>
  <c r="P2414" i="18"/>
  <c r="S2413" i="18"/>
  <c r="R2413" i="18"/>
  <c r="P2416" i="18"/>
  <c r="Q2413" i="18"/>
  <c r="P2418" i="18"/>
  <c r="P2415" i="18"/>
  <c r="P2417" i="18"/>
  <c r="P2350" i="18"/>
  <c r="P2349" i="18"/>
  <c r="P2348" i="18"/>
  <c r="S2347" i="18"/>
  <c r="R2347" i="18"/>
  <c r="Q2347" i="18"/>
  <c r="P2141" i="18"/>
  <c r="P2140" i="18"/>
  <c r="S2139" i="18"/>
  <c r="R2139" i="18"/>
  <c r="P2142" i="18"/>
  <c r="Q2139" i="18"/>
  <c r="S1599" i="18"/>
  <c r="R1599" i="18"/>
  <c r="Q1599" i="18"/>
  <c r="S1227" i="18"/>
  <c r="R1227" i="18"/>
  <c r="Q1227" i="18"/>
  <c r="S1006" i="18"/>
  <c r="R1006" i="18"/>
  <c r="Q1006" i="18"/>
  <c r="S943" i="18"/>
  <c r="R943" i="18"/>
  <c r="Q943" i="18"/>
  <c r="S1345" i="18"/>
  <c r="R1345" i="18"/>
  <c r="Q1345" i="18"/>
  <c r="S1163" i="18"/>
  <c r="R1163" i="18"/>
  <c r="Q1163" i="18"/>
  <c r="S1043" i="18"/>
  <c r="R1043" i="18"/>
  <c r="Q1043" i="18"/>
  <c r="S923" i="18"/>
  <c r="R923" i="18"/>
  <c r="Q923" i="18"/>
  <c r="S877" i="18"/>
  <c r="R877" i="18"/>
  <c r="Q877" i="18"/>
  <c r="S581" i="18"/>
  <c r="R581" i="18"/>
  <c r="Q581" i="18"/>
  <c r="S549" i="18"/>
  <c r="R549" i="18"/>
  <c r="Q549" i="18"/>
  <c r="R1815" i="18"/>
  <c r="P1818" i="18"/>
  <c r="Q1815" i="18"/>
  <c r="P1817" i="18"/>
  <c r="P1816" i="18"/>
  <c r="S1815" i="18"/>
  <c r="S1598" i="18"/>
  <c r="R1598" i="18"/>
  <c r="Q1598" i="18"/>
  <c r="S1463" i="18"/>
  <c r="R1463" i="18"/>
  <c r="Q1463" i="18"/>
  <c r="S1142" i="18"/>
  <c r="R1142" i="18"/>
  <c r="Q1142" i="18"/>
  <c r="R1114" i="18"/>
  <c r="Q1114" i="18"/>
  <c r="S1114" i="18"/>
  <c r="S843" i="18"/>
  <c r="R843" i="18"/>
  <c r="Q843" i="18"/>
  <c r="R564" i="18"/>
  <c r="Q564" i="18"/>
  <c r="P563" i="18"/>
  <c r="S564" i="18"/>
  <c r="S532" i="18"/>
  <c r="R532" i="18"/>
  <c r="Q532" i="18"/>
  <c r="S1547" i="18"/>
  <c r="R1547" i="18"/>
  <c r="Q1547" i="18"/>
  <c r="S1455" i="18"/>
  <c r="R1455" i="18"/>
  <c r="Q1455" i="18"/>
  <c r="R1330" i="18"/>
  <c r="Q1330" i="18"/>
  <c r="S1330" i="18"/>
  <c r="S1302" i="18"/>
  <c r="R1302" i="18"/>
  <c r="Q1302" i="18"/>
  <c r="R1026" i="18"/>
  <c r="Q1026" i="18"/>
  <c r="S1026" i="18"/>
  <c r="S959" i="18"/>
  <c r="R959" i="18"/>
  <c r="Q959" i="18"/>
  <c r="S1590" i="18"/>
  <c r="R1590" i="18"/>
  <c r="Q1590" i="18"/>
  <c r="S1435" i="18"/>
  <c r="R1435" i="18"/>
  <c r="Q1435" i="18"/>
  <c r="R1378" i="18"/>
  <c r="Q1378" i="18"/>
  <c r="S1378" i="18"/>
  <c r="S1231" i="18"/>
  <c r="R1231" i="18"/>
  <c r="Q1231" i="18"/>
  <c r="S1147" i="18"/>
  <c r="R1147" i="18"/>
  <c r="Q1147" i="18"/>
  <c r="S1025" i="18"/>
  <c r="R1025" i="18"/>
  <c r="Q1025" i="18"/>
  <c r="S824" i="18"/>
  <c r="R824" i="18"/>
  <c r="Q824" i="18"/>
  <c r="P2229" i="18"/>
  <c r="P2232" i="18"/>
  <c r="P2231" i="18"/>
  <c r="P2228" i="18"/>
  <c r="S2227" i="18"/>
  <c r="R2227" i="18"/>
  <c r="P2230" i="18"/>
  <c r="Q2227" i="18"/>
  <c r="S1281" i="18"/>
  <c r="R1281" i="18"/>
  <c r="Q1281" i="18"/>
  <c r="S1249" i="18"/>
  <c r="R1249" i="18"/>
  <c r="Q1249" i="18"/>
  <c r="S1217" i="18"/>
  <c r="R1217" i="18"/>
  <c r="Q1217" i="18"/>
  <c r="S1185" i="18"/>
  <c r="R1185" i="18"/>
  <c r="Q1185" i="18"/>
  <c r="S1153" i="18"/>
  <c r="R1153" i="18"/>
  <c r="Q1153" i="18"/>
  <c r="S1118" i="18"/>
  <c r="R1118" i="18"/>
  <c r="Q1118" i="18"/>
  <c r="R1090" i="18"/>
  <c r="Q1090" i="18"/>
  <c r="S1090" i="18"/>
  <c r="S1054" i="18"/>
  <c r="R1054" i="18"/>
  <c r="Q1054" i="18"/>
  <c r="R994" i="18"/>
  <c r="Q994" i="18"/>
  <c r="S994" i="18"/>
  <c r="S2525" i="18"/>
  <c r="R2525" i="18"/>
  <c r="Q2525" i="18"/>
  <c r="S732" i="18"/>
  <c r="Q732" i="18"/>
  <c r="R732" i="18"/>
  <c r="Q289" i="18"/>
  <c r="S289" i="18"/>
  <c r="R289" i="18"/>
  <c r="S706" i="18"/>
  <c r="R706" i="18"/>
  <c r="Q706" i="18"/>
  <c r="S754" i="18"/>
  <c r="Q754" i="18"/>
  <c r="R754" i="18"/>
  <c r="S739" i="18"/>
  <c r="R739" i="18"/>
  <c r="Q739" i="18"/>
  <c r="Q477" i="18"/>
  <c r="S477" i="18"/>
  <c r="R477" i="18"/>
  <c r="S744" i="18"/>
  <c r="R744" i="18"/>
  <c r="Q744" i="18"/>
  <c r="S298" i="18"/>
  <c r="R298" i="18"/>
  <c r="Q298" i="18"/>
  <c r="R182" i="18"/>
  <c r="S182" i="18"/>
  <c r="Q182" i="18"/>
  <c r="S310" i="18"/>
  <c r="R310" i="18"/>
  <c r="Q310" i="18"/>
  <c r="Q340" i="18"/>
  <c r="S340" i="18"/>
  <c r="R340" i="18"/>
  <c r="S760" i="18"/>
  <c r="R760" i="18"/>
  <c r="Q760" i="18"/>
  <c r="P2321" i="18"/>
  <c r="P2318" i="18"/>
  <c r="P2320" i="18"/>
  <c r="S2317" i="18"/>
  <c r="R2317" i="18"/>
  <c r="Q2317" i="18"/>
  <c r="P2322" i="18"/>
  <c r="P2319" i="18"/>
  <c r="R1506" i="18"/>
  <c r="Q1506" i="18"/>
  <c r="S1506" i="18"/>
  <c r="R1282" i="18"/>
  <c r="Q1282" i="18"/>
  <c r="S1282" i="18"/>
  <c r="S850" i="18"/>
  <c r="R850" i="18"/>
  <c r="Q850" i="18"/>
  <c r="S1708" i="18"/>
  <c r="R1708" i="18"/>
  <c r="Q1708" i="18"/>
  <c r="S1697" i="18"/>
  <c r="R1697" i="18"/>
  <c r="Q1697" i="18"/>
  <c r="S1359" i="18"/>
  <c r="R1359" i="18"/>
  <c r="Q1359" i="18"/>
  <c r="Q1117" i="18"/>
  <c r="S1117" i="18"/>
  <c r="R1117" i="18"/>
  <c r="S1428" i="18"/>
  <c r="R1428" i="18"/>
  <c r="Q1428" i="18"/>
  <c r="S1188" i="18"/>
  <c r="R1188" i="18"/>
  <c r="Q1188" i="18"/>
  <c r="S1172" i="18"/>
  <c r="R1172" i="18"/>
  <c r="Q1172" i="18"/>
  <c r="S1717" i="18"/>
  <c r="R1717" i="18"/>
  <c r="Q1717" i="18"/>
  <c r="S128" i="18"/>
  <c r="R128" i="18"/>
  <c r="Q128" i="18"/>
  <c r="P2368" i="18"/>
  <c r="S2367" i="18"/>
  <c r="R2367" i="18"/>
  <c r="P2370" i="18"/>
  <c r="Q2367" i="18"/>
  <c r="P2369" i="18"/>
  <c r="Q1197" i="18"/>
  <c r="S1197" i="18"/>
  <c r="R1197" i="18"/>
  <c r="S2490" i="18"/>
  <c r="R2490" i="18"/>
  <c r="Q2490" i="18"/>
  <c r="S1620" i="18"/>
  <c r="R1620" i="18"/>
  <c r="Q1620" i="18"/>
  <c r="Q554" i="18"/>
  <c r="S554" i="18"/>
  <c r="R554" i="18"/>
  <c r="S1064" i="18"/>
  <c r="R1064" i="18"/>
  <c r="Q1064" i="18"/>
  <c r="Q526" i="18"/>
  <c r="S526" i="18"/>
  <c r="R526" i="18"/>
  <c r="S2533" i="18"/>
  <c r="R2533" i="18"/>
  <c r="Q2533" i="18"/>
  <c r="R36" i="18"/>
  <c r="Q36" i="18"/>
  <c r="S36" i="18"/>
  <c r="S1177" i="18"/>
  <c r="R1177" i="18"/>
  <c r="Q1177" i="18"/>
  <c r="S1705" i="18"/>
  <c r="R1705" i="18"/>
  <c r="Q1705" i="18"/>
  <c r="R1426" i="18"/>
  <c r="Q1426" i="18"/>
  <c r="S1426" i="18"/>
  <c r="S935" i="18"/>
  <c r="R935" i="18"/>
  <c r="Q935" i="18"/>
  <c r="S1623" i="18"/>
  <c r="R1623" i="18"/>
  <c r="Q1623" i="18"/>
  <c r="S912" i="18"/>
  <c r="R912" i="18"/>
  <c r="Q912" i="18"/>
  <c r="S475" i="18"/>
  <c r="R475" i="18"/>
  <c r="Q475" i="18"/>
  <c r="S2475" i="18"/>
  <c r="R2475" i="18"/>
  <c r="Q2475" i="18"/>
  <c r="S2488" i="18"/>
  <c r="R2488" i="18"/>
  <c r="Q2488" i="18"/>
  <c r="P2454" i="18"/>
  <c r="P2450" i="18"/>
  <c r="S2449" i="18"/>
  <c r="R2449" i="18"/>
  <c r="P2453" i="18"/>
  <c r="Q2449" i="18"/>
  <c r="P2452" i="18"/>
  <c r="P2451" i="18"/>
  <c r="P2440" i="18"/>
  <c r="P2438" i="18"/>
  <c r="S2437" i="18"/>
  <c r="R2437" i="18"/>
  <c r="Q2437" i="18"/>
  <c r="P2442" i="18"/>
  <c r="P2439" i="18"/>
  <c r="P2441" i="18"/>
  <c r="S2391" i="18"/>
  <c r="P2394" i="18"/>
  <c r="R2391" i="18"/>
  <c r="Q2391" i="18"/>
  <c r="P2393" i="18"/>
  <c r="P2392" i="18"/>
  <c r="Q2375" i="18"/>
  <c r="P2378" i="18"/>
  <c r="P2377" i="18"/>
  <c r="P2376" i="18"/>
  <c r="S2375" i="18"/>
  <c r="R2375" i="18"/>
  <c r="R2261" i="18"/>
  <c r="P2264" i="18"/>
  <c r="Q2261" i="18"/>
  <c r="P2263" i="18"/>
  <c r="P2262" i="18"/>
  <c r="S2261" i="18"/>
  <c r="P2043" i="18"/>
  <c r="Q2040" i="18"/>
  <c r="P2042" i="18"/>
  <c r="P2041" i="18"/>
  <c r="S2040" i="18"/>
  <c r="R2040" i="18"/>
  <c r="S1703" i="18"/>
  <c r="R1703" i="18"/>
  <c r="Q1703" i="18"/>
  <c r="R1627" i="18"/>
  <c r="Q1627" i="18"/>
  <c r="S1627" i="18"/>
  <c r="R1498" i="18"/>
  <c r="Q1498" i="18"/>
  <c r="S1498" i="18"/>
  <c r="S1719" i="18"/>
  <c r="R1719" i="18"/>
  <c r="Q1719" i="18"/>
  <c r="S1454" i="18"/>
  <c r="R1454" i="18"/>
  <c r="Q1454" i="18"/>
  <c r="S1382" i="18"/>
  <c r="R1382" i="18"/>
  <c r="Q1382" i="18"/>
  <c r="R1266" i="18"/>
  <c r="Q1266" i="18"/>
  <c r="S1266" i="18"/>
  <c r="R1170" i="18"/>
  <c r="Q1170" i="18"/>
  <c r="S1170" i="18"/>
  <c r="R1290" i="18"/>
  <c r="Q1290" i="18"/>
  <c r="S1290" i="18"/>
  <c r="S1079" i="18"/>
  <c r="R1079" i="18"/>
  <c r="Q1079" i="18"/>
  <c r="S1012" i="18"/>
  <c r="R1012" i="18"/>
  <c r="Q1012" i="18"/>
  <c r="S980" i="18"/>
  <c r="R980" i="18"/>
  <c r="Q980" i="18"/>
  <c r="S1007" i="18"/>
  <c r="R1007" i="18"/>
  <c r="Q1007" i="18"/>
  <c r="S967" i="18"/>
  <c r="R967" i="18"/>
  <c r="Q967" i="18"/>
  <c r="P722" i="18"/>
  <c r="P718" i="18"/>
  <c r="S717" i="18"/>
  <c r="P721" i="18"/>
  <c r="R717" i="18"/>
  <c r="Q717" i="18"/>
  <c r="P720" i="18"/>
  <c r="P719" i="18"/>
  <c r="S631" i="18"/>
  <c r="R631" i="18"/>
  <c r="Q631" i="18"/>
  <c r="S686" i="18"/>
  <c r="R686" i="18"/>
  <c r="Q686" i="18"/>
  <c r="S846" i="18"/>
  <c r="R846" i="18"/>
  <c r="Q846" i="18"/>
  <c r="Q688" i="18"/>
  <c r="S688" i="18"/>
  <c r="R688" i="18"/>
  <c r="P258" i="18"/>
  <c r="P257" i="18"/>
  <c r="S256" i="18"/>
  <c r="P260" i="18"/>
  <c r="R256" i="18"/>
  <c r="P259" i="18"/>
  <c r="Q256" i="18"/>
  <c r="P2279" i="18"/>
  <c r="P2280" i="18"/>
  <c r="P2278" i="18"/>
  <c r="S2277" i="18"/>
  <c r="R2277" i="18"/>
  <c r="Q2277" i="18"/>
  <c r="S2544" i="18"/>
  <c r="R2544" i="18"/>
  <c r="Q2544" i="18"/>
  <c r="P2021" i="18"/>
  <c r="S2020" i="18"/>
  <c r="R2020" i="18"/>
  <c r="Q2020" i="18"/>
  <c r="P2023" i="18"/>
  <c r="P2022" i="18"/>
  <c r="S1689" i="18"/>
  <c r="R1689" i="18"/>
  <c r="Q1689" i="18"/>
  <c r="S1504" i="18"/>
  <c r="R1504" i="18"/>
  <c r="Q1504" i="18"/>
  <c r="P1821" i="18"/>
  <c r="P1820" i="18"/>
  <c r="S1819" i="18"/>
  <c r="R1819" i="18"/>
  <c r="P1822" i="18"/>
  <c r="Q1819" i="18"/>
  <c r="S1678" i="18"/>
  <c r="R1678" i="18"/>
  <c r="Q1678" i="18"/>
  <c r="S1579" i="18"/>
  <c r="R1579" i="18"/>
  <c r="Q1579" i="18"/>
  <c r="P2169" i="18"/>
  <c r="P2166" i="18"/>
  <c r="P2168" i="18"/>
  <c r="S2165" i="18"/>
  <c r="R2165" i="18"/>
  <c r="Q2165" i="18"/>
  <c r="P2170" i="18"/>
  <c r="P2167" i="18"/>
  <c r="R1658" i="18"/>
  <c r="P1661" i="18"/>
  <c r="Q1658" i="18"/>
  <c r="P1660" i="18"/>
  <c r="P1659" i="18"/>
  <c r="S1658" i="18"/>
  <c r="S1551" i="18"/>
  <c r="R1551" i="18"/>
  <c r="Q1551" i="18"/>
  <c r="Q1766" i="18"/>
  <c r="S1766" i="18"/>
  <c r="R1766" i="18"/>
  <c r="S1667" i="18"/>
  <c r="R1667" i="18"/>
  <c r="Q1667" i="18"/>
  <c r="S1500" i="18"/>
  <c r="R1500" i="18"/>
  <c r="Q1500" i="18"/>
  <c r="S1479" i="18"/>
  <c r="R1479" i="18"/>
  <c r="Q1479" i="18"/>
  <c r="S1324" i="18"/>
  <c r="R1324" i="18"/>
  <c r="Q1324" i="18"/>
  <c r="S1668" i="18"/>
  <c r="R1668" i="18"/>
  <c r="Q1668" i="18"/>
  <c r="S1483" i="18"/>
  <c r="R1483" i="18"/>
  <c r="Q1483" i="18"/>
  <c r="S1240" i="18"/>
  <c r="R1240" i="18"/>
  <c r="Q1240" i="18"/>
  <c r="S1701" i="18"/>
  <c r="R1701" i="18"/>
  <c r="Q1701" i="18"/>
  <c r="S1369" i="18"/>
  <c r="R1369" i="18"/>
  <c r="Q1369" i="18"/>
  <c r="Q1755" i="18"/>
  <c r="P1757" i="18"/>
  <c r="P1756" i="18"/>
  <c r="S1755" i="18"/>
  <c r="R1755" i="18"/>
  <c r="S1385" i="18"/>
  <c r="R1385" i="18"/>
  <c r="Q1385" i="18"/>
  <c r="S1392" i="18"/>
  <c r="R1392" i="18"/>
  <c r="Q1392" i="18"/>
  <c r="S1057" i="18"/>
  <c r="R1057" i="18"/>
  <c r="Q1057" i="18"/>
  <c r="S968" i="18"/>
  <c r="R968" i="18"/>
  <c r="Q968" i="18"/>
  <c r="S1121" i="18"/>
  <c r="R1121" i="18"/>
  <c r="Q1121" i="18"/>
  <c r="S1180" i="18"/>
  <c r="R1180" i="18"/>
  <c r="Q1180" i="18"/>
  <c r="S996" i="18"/>
  <c r="R996" i="18"/>
  <c r="Q996" i="18"/>
  <c r="Q1085" i="18"/>
  <c r="S1085" i="18"/>
  <c r="R1085" i="18"/>
  <c r="S1097" i="18"/>
  <c r="R1097" i="18"/>
  <c r="Q1097" i="18"/>
  <c r="Q1141" i="18"/>
  <c r="S1141" i="18"/>
  <c r="R1141" i="18"/>
  <c r="S1113" i="18"/>
  <c r="R1113" i="18"/>
  <c r="Q1113" i="18"/>
  <c r="S649" i="18"/>
  <c r="R649" i="18"/>
  <c r="Q649" i="18"/>
  <c r="P364" i="18"/>
  <c r="P361" i="18"/>
  <c r="S360" i="18"/>
  <c r="P363" i="18"/>
  <c r="R360" i="18"/>
  <c r="Q360" i="18"/>
  <c r="P362" i="18"/>
  <c r="P365" i="18"/>
  <c r="R986" i="18"/>
  <c r="Q986" i="18"/>
  <c r="S986" i="18"/>
  <c r="S789" i="18"/>
  <c r="R789" i="18"/>
  <c r="Q789" i="18"/>
  <c r="S847" i="18"/>
  <c r="R847" i="18"/>
  <c r="Q847" i="18"/>
  <c r="P859" i="18"/>
  <c r="S858" i="18"/>
  <c r="R858" i="18"/>
  <c r="Q858" i="18"/>
  <c r="P861" i="18"/>
  <c r="P860" i="18"/>
  <c r="S524" i="18"/>
  <c r="R524" i="18"/>
  <c r="Q524" i="18"/>
  <c r="S790" i="18"/>
  <c r="R790" i="18"/>
  <c r="Q790" i="18"/>
  <c r="P495" i="18"/>
  <c r="P494" i="18"/>
  <c r="P497" i="18"/>
  <c r="P493" i="18"/>
  <c r="S492" i="18"/>
  <c r="P496" i="18"/>
  <c r="R492" i="18"/>
  <c r="Q492" i="18"/>
  <c r="R531" i="18"/>
  <c r="Q531" i="18"/>
  <c r="S531" i="18"/>
  <c r="S56" i="18"/>
  <c r="R56" i="18"/>
  <c r="Q56" i="18"/>
  <c r="P192" i="18"/>
  <c r="P191" i="18"/>
  <c r="S190" i="18"/>
  <c r="R190" i="18"/>
  <c r="Q190" i="18"/>
  <c r="S634" i="18"/>
  <c r="R634" i="18"/>
  <c r="Q634" i="18"/>
  <c r="Q1037" i="18"/>
  <c r="S1037" i="18"/>
  <c r="R1037" i="18"/>
  <c r="P657" i="18"/>
  <c r="P656" i="18"/>
  <c r="P655" i="18"/>
  <c r="S654" i="18"/>
  <c r="R654" i="18"/>
  <c r="Q654" i="18"/>
  <c r="R49" i="18"/>
  <c r="Q49" i="18"/>
  <c r="S49" i="18"/>
  <c r="S107" i="18"/>
  <c r="R107" i="18"/>
  <c r="Q107" i="18"/>
  <c r="S2203" i="18"/>
  <c r="R2203" i="18"/>
  <c r="Q2203" i="18"/>
  <c r="P2206" i="18"/>
  <c r="P2205" i="18"/>
  <c r="P2204" i="18"/>
  <c r="S1613" i="18"/>
  <c r="R1613" i="18"/>
  <c r="Q1613" i="18"/>
  <c r="Q1437" i="18"/>
  <c r="S1437" i="18"/>
  <c r="R1437" i="18"/>
  <c r="Q1373" i="18"/>
  <c r="S1373" i="18"/>
  <c r="R1373" i="18"/>
  <c r="Q1309" i="18"/>
  <c r="S1309" i="18"/>
  <c r="R1309" i="18"/>
  <c r="Q1229" i="18"/>
  <c r="S1229" i="18"/>
  <c r="R1229" i="18"/>
  <c r="Q949" i="18"/>
  <c r="S949" i="18"/>
  <c r="R949" i="18"/>
  <c r="S547" i="18"/>
  <c r="R547" i="18"/>
  <c r="Q547" i="18"/>
  <c r="S54" i="18"/>
  <c r="R54" i="18"/>
  <c r="Q54" i="18"/>
  <c r="P2037" i="18"/>
  <c r="P2039" i="18"/>
  <c r="S2036" i="18"/>
  <c r="R2036" i="18"/>
  <c r="Q2036" i="18"/>
  <c r="P2038" i="18"/>
  <c r="R1924" i="18"/>
  <c r="Q1924" i="18"/>
  <c r="P1927" i="18"/>
  <c r="P1926" i="18"/>
  <c r="P1925" i="18"/>
  <c r="S1924" i="18"/>
  <c r="S1484" i="18"/>
  <c r="R1484" i="18"/>
  <c r="Q1484" i="18"/>
  <c r="S1092" i="18"/>
  <c r="R1092" i="18"/>
  <c r="Q1092" i="18"/>
  <c r="S910" i="18"/>
  <c r="R910" i="18"/>
  <c r="Q910" i="18"/>
  <c r="S806" i="18"/>
  <c r="R806" i="18"/>
  <c r="Q806" i="18"/>
  <c r="R86" i="18"/>
  <c r="Q86" i="18"/>
  <c r="S86" i="18"/>
  <c r="S2478" i="18"/>
  <c r="R2478" i="18"/>
  <c r="Q2478" i="18"/>
  <c r="P1921" i="18"/>
  <c r="S1920" i="18"/>
  <c r="R1920" i="18"/>
  <c r="P1923" i="18"/>
  <c r="Q1920" i="18"/>
  <c r="P1922" i="18"/>
  <c r="R1712" i="18"/>
  <c r="Q1712" i="18"/>
  <c r="S1712" i="18"/>
  <c r="S1536" i="18"/>
  <c r="R1536" i="18"/>
  <c r="Q1536" i="18"/>
  <c r="S1432" i="18"/>
  <c r="R1432" i="18"/>
  <c r="Q1432" i="18"/>
  <c r="S1272" i="18"/>
  <c r="R1272" i="18"/>
  <c r="Q1272" i="18"/>
  <c r="S1168" i="18"/>
  <c r="R1168" i="18"/>
  <c r="Q1168" i="18"/>
  <c r="S1096" i="18"/>
  <c r="R1096" i="18"/>
  <c r="Q1096" i="18"/>
  <c r="S1024" i="18"/>
  <c r="R1024" i="18"/>
  <c r="Q1024" i="18"/>
  <c r="S802" i="18"/>
  <c r="R802" i="18"/>
  <c r="Q802" i="18"/>
  <c r="S590" i="18"/>
  <c r="R590" i="18"/>
  <c r="Q590" i="18"/>
  <c r="S282" i="18"/>
  <c r="R282" i="18"/>
  <c r="Q282" i="18"/>
  <c r="P284" i="18"/>
  <c r="P283" i="18"/>
  <c r="P196" i="18"/>
  <c r="P195" i="18"/>
  <c r="S194" i="18"/>
  <c r="R194" i="18"/>
  <c r="Q194" i="18"/>
  <c r="S42" i="18"/>
  <c r="R42" i="18"/>
  <c r="Q42" i="18"/>
  <c r="S255" i="18"/>
  <c r="R255" i="18"/>
  <c r="Q255" i="18"/>
  <c r="Q1301" i="18"/>
  <c r="S1301" i="18"/>
  <c r="R1301" i="18"/>
  <c r="S800" i="18"/>
  <c r="R800" i="18"/>
  <c r="Q800" i="18"/>
  <c r="R559" i="18"/>
  <c r="Q559" i="18"/>
  <c r="S559" i="18"/>
  <c r="S186" i="18"/>
  <c r="R186" i="18"/>
  <c r="Q186" i="18"/>
  <c r="R2379" i="18"/>
  <c r="P2382" i="18"/>
  <c r="Q2379" i="18"/>
  <c r="P2381" i="18"/>
  <c r="P2380" i="18"/>
  <c r="S2379" i="18"/>
  <c r="S2311" i="18"/>
  <c r="R2311" i="18"/>
  <c r="Q2311" i="18"/>
  <c r="P2314" i="18"/>
  <c r="P2316" i="18"/>
  <c r="P2313" i="18"/>
  <c r="P2315" i="18"/>
  <c r="P2312" i="18"/>
  <c r="S87" i="18"/>
  <c r="R87" i="18"/>
  <c r="Q87" i="18"/>
  <c r="S185" i="18"/>
  <c r="R185" i="18"/>
  <c r="Q185" i="18"/>
  <c r="R205" i="18"/>
  <c r="Q205" i="18"/>
  <c r="S205" i="18"/>
  <c r="S129" i="18"/>
  <c r="R129" i="18"/>
  <c r="Q129" i="18"/>
  <c r="S2211" i="18"/>
  <c r="P2214" i="18"/>
  <c r="R2211" i="18"/>
  <c r="Q2211" i="18"/>
  <c r="P2213" i="18"/>
  <c r="P2212" i="18"/>
  <c r="S1690" i="18"/>
  <c r="R1690" i="18"/>
  <c r="Q1690" i="18"/>
  <c r="S1395" i="18"/>
  <c r="R1395" i="18"/>
  <c r="Q1395" i="18"/>
  <c r="S1305" i="18"/>
  <c r="R1305" i="18"/>
  <c r="Q1305" i="18"/>
  <c r="S1279" i="18"/>
  <c r="R1279" i="18"/>
  <c r="Q1279" i="18"/>
  <c r="S1222" i="18"/>
  <c r="R1222" i="18"/>
  <c r="Q1222" i="18"/>
  <c r="S1131" i="18"/>
  <c r="R1131" i="18"/>
  <c r="Q1131" i="18"/>
  <c r="S801" i="18"/>
  <c r="R801" i="18"/>
  <c r="Q801" i="18"/>
  <c r="S1529" i="18"/>
  <c r="R1529" i="18"/>
  <c r="Q1529" i="18"/>
  <c r="R1346" i="18"/>
  <c r="Q1346" i="18"/>
  <c r="S1346" i="18"/>
  <c r="R1130" i="18"/>
  <c r="Q1130" i="18"/>
  <c r="S1130" i="18"/>
  <c r="S1094" i="18"/>
  <c r="R1094" i="18"/>
  <c r="Q1094" i="18"/>
  <c r="S645" i="18"/>
  <c r="R645" i="18"/>
  <c r="Q645" i="18"/>
  <c r="P616" i="18"/>
  <c r="P615" i="18"/>
  <c r="P614" i="18"/>
  <c r="S613" i="18"/>
  <c r="R613" i="18"/>
  <c r="Q613" i="18"/>
  <c r="R2545" i="18"/>
  <c r="Q2545" i="18"/>
  <c r="S2545" i="18"/>
  <c r="P2201" i="18"/>
  <c r="P2200" i="18"/>
  <c r="S2199" i="18"/>
  <c r="R2199" i="18"/>
  <c r="Q2199" i="18"/>
  <c r="P2202" i="18"/>
  <c r="S1585" i="18"/>
  <c r="R1585" i="18"/>
  <c r="Q1585" i="18"/>
  <c r="S1457" i="18"/>
  <c r="R1457" i="18"/>
  <c r="Q1457" i="18"/>
  <c r="S1431" i="18"/>
  <c r="R1431" i="18"/>
  <c r="Q1431" i="18"/>
  <c r="R612" i="18"/>
  <c r="Q612" i="18"/>
  <c r="S612" i="18"/>
  <c r="R1338" i="18"/>
  <c r="Q1338" i="18"/>
  <c r="S1338" i="18"/>
  <c r="S1283" i="18"/>
  <c r="R1283" i="18"/>
  <c r="Q1283" i="18"/>
  <c r="S1078" i="18"/>
  <c r="R1078" i="18"/>
  <c r="Q1078" i="18"/>
  <c r="R1050" i="18"/>
  <c r="Q1050" i="18"/>
  <c r="S1050" i="18"/>
  <c r="S982" i="18"/>
  <c r="R982" i="18"/>
  <c r="Q982" i="18"/>
  <c r="R954" i="18"/>
  <c r="Q954" i="18"/>
  <c r="S954" i="18"/>
  <c r="R876" i="18"/>
  <c r="Q876" i="18"/>
  <c r="S876" i="18"/>
  <c r="Q1734" i="18"/>
  <c r="S1734" i="18"/>
  <c r="R1734" i="18"/>
  <c r="S1670" i="18"/>
  <c r="R1670" i="18"/>
  <c r="Q1670" i="18"/>
  <c r="S1638" i="18"/>
  <c r="R1638" i="18"/>
  <c r="Q1638" i="18"/>
  <c r="S1449" i="18"/>
  <c r="R1449" i="18"/>
  <c r="Q1449" i="18"/>
  <c r="S1423" i="18"/>
  <c r="R1423" i="18"/>
  <c r="Q1423" i="18"/>
  <c r="S1270" i="18"/>
  <c r="R1270" i="18"/>
  <c r="Q1270" i="18"/>
  <c r="S953" i="18"/>
  <c r="R953" i="18"/>
  <c r="Q953" i="18"/>
  <c r="S927" i="18"/>
  <c r="R927" i="18"/>
  <c r="Q927" i="18"/>
  <c r="S883" i="18"/>
  <c r="R883" i="18"/>
  <c r="Q883" i="18"/>
  <c r="R825" i="18"/>
  <c r="Q825" i="18"/>
  <c r="S825" i="18"/>
  <c r="S1615" i="18"/>
  <c r="R1615" i="18"/>
  <c r="Q1615" i="18"/>
  <c r="S1489" i="18"/>
  <c r="R1489" i="18"/>
  <c r="Q1489" i="18"/>
  <c r="S1403" i="18"/>
  <c r="R1403" i="18"/>
  <c r="Q1403" i="18"/>
  <c r="S1343" i="18"/>
  <c r="R1343" i="18"/>
  <c r="Q1343" i="18"/>
  <c r="R1314" i="18"/>
  <c r="Q1314" i="18"/>
  <c r="S1314" i="18"/>
  <c r="S1199" i="18"/>
  <c r="R1199" i="18"/>
  <c r="Q1199" i="18"/>
  <c r="S1083" i="18"/>
  <c r="R1083" i="18"/>
  <c r="Q1083" i="18"/>
  <c r="S641" i="18"/>
  <c r="R641" i="18"/>
  <c r="Q641" i="18"/>
  <c r="S1553" i="18"/>
  <c r="R1553" i="18"/>
  <c r="Q1553" i="18"/>
  <c r="R640" i="18"/>
  <c r="Q640" i="18"/>
  <c r="S640" i="18"/>
  <c r="P2432" i="18"/>
  <c r="S2431" i="18"/>
  <c r="P2434" i="18"/>
  <c r="R2431" i="18"/>
  <c r="Q2431" i="18"/>
  <c r="P2436" i="18"/>
  <c r="P2435" i="18"/>
  <c r="P2433" i="18"/>
  <c r="S2359" i="18"/>
  <c r="P2362" i="18"/>
  <c r="R2359" i="18"/>
  <c r="Q2359" i="18"/>
  <c r="P2361" i="18"/>
  <c r="P2360" i="18"/>
  <c r="S1601" i="18"/>
  <c r="R1601" i="18"/>
  <c r="Q1601" i="18"/>
  <c r="S1545" i="18"/>
  <c r="R1545" i="18"/>
  <c r="Q1545" i="18"/>
  <c r="S1287" i="18"/>
  <c r="R1287" i="18"/>
  <c r="Q1287" i="18"/>
  <c r="S1255" i="18"/>
  <c r="R1255" i="18"/>
  <c r="Q1255" i="18"/>
  <c r="S1223" i="18"/>
  <c r="R1223" i="18"/>
  <c r="Q1223" i="18"/>
  <c r="S1191" i="18"/>
  <c r="R1191" i="18"/>
  <c r="Q1191" i="18"/>
  <c r="S1159" i="18"/>
  <c r="R1159" i="18"/>
  <c r="Q1159" i="18"/>
  <c r="S1001" i="18"/>
  <c r="R1001" i="18"/>
  <c r="Q1001" i="18"/>
  <c r="R938" i="18"/>
  <c r="Q938" i="18"/>
  <c r="S938" i="18"/>
  <c r="S896" i="18"/>
  <c r="R896" i="18"/>
  <c r="Q896" i="18"/>
  <c r="S835" i="18"/>
  <c r="R835" i="18"/>
  <c r="Q835" i="18"/>
  <c r="S687" i="18"/>
  <c r="R687" i="18"/>
  <c r="Q687" i="18"/>
  <c r="S560" i="18"/>
  <c r="R560" i="18"/>
  <c r="Q560" i="18"/>
  <c r="S528" i="18"/>
  <c r="R528" i="18"/>
  <c r="Q528" i="18"/>
  <c r="S290" i="18"/>
  <c r="R290" i="18"/>
  <c r="Q290" i="18"/>
  <c r="R758" i="18"/>
  <c r="S758" i="18"/>
  <c r="Q758" i="18"/>
  <c r="S737" i="18"/>
  <c r="Q737" i="18"/>
  <c r="R737" i="18"/>
  <c r="R299" i="18"/>
  <c r="S299" i="18"/>
  <c r="Q299" i="18"/>
  <c r="R308" i="18"/>
  <c r="Q308" i="18"/>
  <c r="S308" i="18"/>
  <c r="R177" i="18"/>
  <c r="Q177" i="18"/>
  <c r="S177" i="18"/>
  <c r="S1711" i="18"/>
  <c r="R1711" i="18"/>
  <c r="Q1711" i="18"/>
  <c r="S1055" i="18"/>
  <c r="R1055" i="18"/>
  <c r="Q1055" i="18"/>
  <c r="S566" i="18"/>
  <c r="R566" i="18"/>
  <c r="Q566" i="18"/>
  <c r="P2282" i="18"/>
  <c r="S2281" i="18"/>
  <c r="P2284" i="18"/>
  <c r="R2281" i="18"/>
  <c r="Q2281" i="18"/>
  <c r="P2283" i="18"/>
  <c r="R1666" i="18"/>
  <c r="Q1666" i="18"/>
  <c r="S1666" i="18"/>
  <c r="S1420" i="18"/>
  <c r="R1420" i="18"/>
  <c r="Q1420" i="18"/>
  <c r="S1344" i="18"/>
  <c r="R1344" i="18"/>
  <c r="Q1344" i="18"/>
  <c r="S984" i="18"/>
  <c r="R984" i="18"/>
  <c r="Q984" i="18"/>
  <c r="S988" i="18"/>
  <c r="R988" i="18"/>
  <c r="Q988" i="18"/>
  <c r="Q799" i="18"/>
  <c r="S799" i="18"/>
  <c r="R799" i="18"/>
  <c r="S691" i="18"/>
  <c r="R691" i="18"/>
  <c r="Q691" i="18"/>
  <c r="S109" i="18"/>
  <c r="R109" i="18"/>
  <c r="Q109" i="18"/>
  <c r="Q1477" i="18"/>
  <c r="S1477" i="18"/>
  <c r="R1477" i="18"/>
  <c r="S1124" i="18"/>
  <c r="R1124" i="18"/>
  <c r="Q1124" i="18"/>
  <c r="S622" i="18"/>
  <c r="R622" i="18"/>
  <c r="Q622" i="18"/>
  <c r="R1600" i="18"/>
  <c r="Q1600" i="18"/>
  <c r="S1600" i="18"/>
  <c r="S1584" i="18"/>
  <c r="R1584" i="18"/>
  <c r="Q1584" i="18"/>
  <c r="S944" i="18"/>
  <c r="R944" i="18"/>
  <c r="Q944" i="18"/>
  <c r="S898" i="18"/>
  <c r="R898" i="18"/>
  <c r="Q898" i="18"/>
  <c r="S1550" i="18"/>
  <c r="R1550" i="18"/>
  <c r="Q1550" i="18"/>
  <c r="S1051" i="18"/>
  <c r="R1051" i="18"/>
  <c r="Q1051" i="18"/>
  <c r="P1784" i="18"/>
  <c r="P1783" i="18"/>
  <c r="S1782" i="18"/>
  <c r="R1782" i="18"/>
  <c r="Q1782" i="18"/>
  <c r="S803" i="18"/>
  <c r="R803" i="18"/>
  <c r="Q803" i="18"/>
  <c r="R1723" i="18"/>
  <c r="Q1723" i="18"/>
  <c r="S1723" i="18"/>
  <c r="S1110" i="18"/>
  <c r="R1110" i="18"/>
  <c r="Q1110" i="18"/>
  <c r="S576" i="18"/>
  <c r="R576" i="18"/>
  <c r="Q576" i="18"/>
  <c r="R339" i="18"/>
  <c r="S339" i="18"/>
  <c r="Q339" i="18"/>
  <c r="S2483" i="18"/>
  <c r="R2483" i="18"/>
  <c r="Q2483" i="18"/>
  <c r="S2519" i="18"/>
  <c r="R2519" i="18"/>
  <c r="Q2519" i="18"/>
  <c r="P2309" i="18"/>
  <c r="S2305" i="18"/>
  <c r="R2305" i="18"/>
  <c r="Q2305" i="18"/>
  <c r="P2308" i="18"/>
  <c r="P2310" i="18"/>
  <c r="P2307" i="18"/>
  <c r="P2306" i="18"/>
  <c r="S2109" i="18"/>
  <c r="P2112" i="18"/>
  <c r="R2109" i="18"/>
  <c r="Q2109" i="18"/>
  <c r="P2111" i="18"/>
  <c r="P2114" i="18"/>
  <c r="P2113" i="18"/>
  <c r="P2110" i="18"/>
  <c r="S2171" i="18"/>
  <c r="R2171" i="18"/>
  <c r="P2174" i="18"/>
  <c r="Q2171" i="18"/>
  <c r="P2176" i="18"/>
  <c r="P2173" i="18"/>
  <c r="P2175" i="18"/>
  <c r="P2172" i="18"/>
  <c r="P2145" i="18"/>
  <c r="P2144" i="18"/>
  <c r="S2143" i="18"/>
  <c r="P2146" i="18"/>
  <c r="R2143" i="18"/>
  <c r="Q2143" i="18"/>
  <c r="P1935" i="18"/>
  <c r="Q1932" i="18"/>
  <c r="P1934" i="18"/>
  <c r="P1933" i="18"/>
  <c r="S1932" i="18"/>
  <c r="R1932" i="18"/>
  <c r="P1901" i="18"/>
  <c r="S1900" i="18"/>
  <c r="R1900" i="18"/>
  <c r="P1903" i="18"/>
  <c r="Q1900" i="18"/>
  <c r="P1902" i="18"/>
  <c r="S1686" i="18"/>
  <c r="R1686" i="18"/>
  <c r="Q1686" i="18"/>
  <c r="S1559" i="18"/>
  <c r="R1559" i="18"/>
  <c r="Q1559" i="18"/>
  <c r="R1586" i="18"/>
  <c r="Q1586" i="18"/>
  <c r="S1586" i="18"/>
  <c r="S1406" i="18"/>
  <c r="R1406" i="18"/>
  <c r="Q1406" i="18"/>
  <c r="S1438" i="18"/>
  <c r="R1438" i="18"/>
  <c r="Q1438" i="18"/>
  <c r="S1470" i="18"/>
  <c r="R1470" i="18"/>
  <c r="Q1470" i="18"/>
  <c r="R1202" i="18"/>
  <c r="Q1202" i="18"/>
  <c r="S1202" i="18"/>
  <c r="R1306" i="18"/>
  <c r="Q1306" i="18"/>
  <c r="S1306" i="18"/>
  <c r="R1226" i="18"/>
  <c r="Q1226" i="18"/>
  <c r="S1226" i="18"/>
  <c r="S1063" i="18"/>
  <c r="R1063" i="18"/>
  <c r="Q1063" i="18"/>
  <c r="S983" i="18"/>
  <c r="R983" i="18"/>
  <c r="Q983" i="18"/>
  <c r="S1119" i="18"/>
  <c r="R1119" i="18"/>
  <c r="Q1119" i="18"/>
  <c r="S950" i="18"/>
  <c r="R950" i="18"/>
  <c r="Q950" i="18"/>
  <c r="S934" i="18"/>
  <c r="R934" i="18"/>
  <c r="Q934" i="18"/>
  <c r="S603" i="18"/>
  <c r="P606" i="18"/>
  <c r="R603" i="18"/>
  <c r="Q603" i="18"/>
  <c r="P605" i="18"/>
  <c r="P604" i="18"/>
  <c r="Q635" i="18"/>
  <c r="S635" i="18"/>
  <c r="R635" i="18"/>
  <c r="S639" i="18"/>
  <c r="R639" i="18"/>
  <c r="Q639" i="18"/>
  <c r="S842" i="18"/>
  <c r="R842" i="18"/>
  <c r="Q842" i="18"/>
  <c r="R234" i="18"/>
  <c r="Q234" i="18"/>
  <c r="S234" i="18"/>
  <c r="Q619" i="18"/>
  <c r="P618" i="18"/>
  <c r="S619" i="18"/>
  <c r="R619" i="18"/>
  <c r="Q245" i="18"/>
  <c r="S245" i="18"/>
  <c r="R245" i="18"/>
  <c r="S570" i="18"/>
  <c r="R570" i="18"/>
  <c r="Q570" i="18"/>
  <c r="S2508" i="18"/>
  <c r="R2508" i="18"/>
  <c r="Q2508" i="18"/>
  <c r="Q2524" i="18"/>
  <c r="S2524" i="18"/>
  <c r="R2524" i="18"/>
  <c r="P1838" i="18"/>
  <c r="S1835" i="18"/>
  <c r="R1835" i="18"/>
  <c r="Q1835" i="18"/>
  <c r="P1837" i="18"/>
  <c r="P1836" i="18"/>
  <c r="R1674" i="18"/>
  <c r="Q1674" i="18"/>
  <c r="S1674" i="18"/>
  <c r="Q1501" i="18"/>
  <c r="S1501" i="18"/>
  <c r="R1501" i="18"/>
  <c r="P1804" i="18"/>
  <c r="S1803" i="18"/>
  <c r="P1806" i="18"/>
  <c r="R1803" i="18"/>
  <c r="Q1803" i="18"/>
  <c r="P1805" i="18"/>
  <c r="S1675" i="18"/>
  <c r="R1675" i="18"/>
  <c r="Q1675" i="18"/>
  <c r="S1576" i="18"/>
  <c r="R1576" i="18"/>
  <c r="Q1576" i="18"/>
  <c r="S1774" i="18"/>
  <c r="R1774" i="18"/>
  <c r="Q1774" i="18"/>
  <c r="S1628" i="18"/>
  <c r="R1628" i="18"/>
  <c r="Q1628" i="18"/>
  <c r="S1542" i="18"/>
  <c r="R1542" i="18"/>
  <c r="Q1542" i="18"/>
  <c r="S1760" i="18"/>
  <c r="R1760" i="18"/>
  <c r="Q1760" i="18"/>
  <c r="S1664" i="18"/>
  <c r="R1664" i="18"/>
  <c r="Q1664" i="18"/>
  <c r="R1474" i="18"/>
  <c r="Q1474" i="18"/>
  <c r="S1474" i="18"/>
  <c r="S1476" i="18"/>
  <c r="R1476" i="18"/>
  <c r="Q1476" i="18"/>
  <c r="S1315" i="18"/>
  <c r="R1315" i="18"/>
  <c r="Q1315" i="18"/>
  <c r="S1629" i="18"/>
  <c r="R1629" i="18"/>
  <c r="Q1629" i="18"/>
  <c r="S1480" i="18"/>
  <c r="R1480" i="18"/>
  <c r="Q1480" i="18"/>
  <c r="S1468" i="18"/>
  <c r="R1468" i="18"/>
  <c r="Q1468" i="18"/>
  <c r="S1593" i="18"/>
  <c r="R1593" i="18"/>
  <c r="Q1593" i="18"/>
  <c r="P1592" i="18"/>
  <c r="S1360" i="18"/>
  <c r="R1360" i="18"/>
  <c r="Q1360" i="18"/>
  <c r="R1752" i="18"/>
  <c r="Q1752" i="18"/>
  <c r="P1754" i="18"/>
  <c r="P1753" i="18"/>
  <c r="S1752" i="18"/>
  <c r="S1376" i="18"/>
  <c r="R1376" i="18"/>
  <c r="Q1376" i="18"/>
  <c r="S1352" i="18"/>
  <c r="R1352" i="18"/>
  <c r="Q1352" i="18"/>
  <c r="S1041" i="18"/>
  <c r="R1041" i="18"/>
  <c r="Q1041" i="18"/>
  <c r="S948" i="18"/>
  <c r="R948" i="18"/>
  <c r="Q948" i="18"/>
  <c r="Q1077" i="18"/>
  <c r="S1077" i="18"/>
  <c r="R1077" i="18"/>
  <c r="S1164" i="18"/>
  <c r="R1164" i="18"/>
  <c r="Q1164" i="18"/>
  <c r="Q981" i="18"/>
  <c r="S981" i="18"/>
  <c r="R981" i="18"/>
  <c r="Q1517" i="18"/>
  <c r="S1517" i="18"/>
  <c r="R1517" i="18"/>
  <c r="Q1045" i="18"/>
  <c r="S1045" i="18"/>
  <c r="R1045" i="18"/>
  <c r="Q1677" i="18"/>
  <c r="S1677" i="18"/>
  <c r="R1677" i="18"/>
  <c r="Q1093" i="18"/>
  <c r="S1093" i="18"/>
  <c r="R1093" i="18"/>
  <c r="Q1101" i="18"/>
  <c r="S1101" i="18"/>
  <c r="R1101" i="18"/>
  <c r="S646" i="18"/>
  <c r="R646" i="18"/>
  <c r="Q646" i="18"/>
  <c r="P332" i="18"/>
  <c r="P335" i="18"/>
  <c r="P331" i="18"/>
  <c r="S330" i="18"/>
  <c r="P334" i="18"/>
  <c r="R330" i="18"/>
  <c r="P333" i="18"/>
  <c r="Q330" i="18"/>
  <c r="Q973" i="18"/>
  <c r="S973" i="18"/>
  <c r="R973" i="18"/>
  <c r="Q723" i="18"/>
  <c r="P726" i="18"/>
  <c r="P728" i="18"/>
  <c r="P725" i="18"/>
  <c r="P724" i="18"/>
  <c r="P727" i="18"/>
  <c r="S723" i="18"/>
  <c r="R723" i="18"/>
  <c r="S254" i="18"/>
  <c r="R254" i="18"/>
  <c r="Q254" i="18"/>
  <c r="R796" i="18"/>
  <c r="Q796" i="18"/>
  <c r="S796" i="18"/>
  <c r="Q852" i="18"/>
  <c r="S852" i="18"/>
  <c r="R852" i="18"/>
  <c r="P375" i="18"/>
  <c r="P374" i="18"/>
  <c r="P373" i="18"/>
  <c r="P377" i="18"/>
  <c r="S372" i="18"/>
  <c r="P376" i="18"/>
  <c r="R372" i="18"/>
  <c r="Q372" i="18"/>
  <c r="P346" i="18"/>
  <c r="S342" i="18"/>
  <c r="R342" i="18"/>
  <c r="Q342" i="18"/>
  <c r="P345" i="18"/>
  <c r="P347" i="18"/>
  <c r="P344" i="18"/>
  <c r="P343" i="18"/>
  <c r="S251" i="18"/>
  <c r="R251" i="18"/>
  <c r="Q251" i="18"/>
  <c r="S30" i="18"/>
  <c r="R30" i="18"/>
  <c r="Q30" i="18"/>
  <c r="Q141" i="18"/>
  <c r="S141" i="18"/>
  <c r="R141" i="18"/>
  <c r="S219" i="18"/>
  <c r="R219" i="18"/>
  <c r="Q219" i="18"/>
  <c r="Q989" i="18"/>
  <c r="S989" i="18"/>
  <c r="R989" i="18"/>
  <c r="S223" i="18"/>
  <c r="R223" i="18"/>
  <c r="Q223" i="18"/>
  <c r="S995" i="18"/>
  <c r="R995" i="18"/>
  <c r="Q995" i="18"/>
  <c r="S45" i="18"/>
  <c r="R45" i="18"/>
  <c r="Q45" i="18"/>
  <c r="P2150" i="18"/>
  <c r="Q2147" i="18"/>
  <c r="P2149" i="18"/>
  <c r="P2148" i="18"/>
  <c r="S2147" i="18"/>
  <c r="R2147" i="18"/>
  <c r="S1605" i="18"/>
  <c r="R1605" i="18"/>
  <c r="Q1605" i="18"/>
  <c r="Q1429" i="18"/>
  <c r="S1429" i="18"/>
  <c r="R1429" i="18"/>
  <c r="Q1365" i="18"/>
  <c r="S1365" i="18"/>
  <c r="R1365" i="18"/>
  <c r="Q1285" i="18"/>
  <c r="S1285" i="18"/>
  <c r="R1285" i="18"/>
  <c r="Q1221" i="18"/>
  <c r="S1221" i="18"/>
  <c r="R1221" i="18"/>
  <c r="Q941" i="18"/>
  <c r="S941" i="18"/>
  <c r="R941" i="18"/>
  <c r="R523" i="18"/>
  <c r="Q523" i="18"/>
  <c r="S523" i="18"/>
  <c r="S72" i="18"/>
  <c r="R72" i="18"/>
  <c r="Q72" i="18"/>
  <c r="P2030" i="18"/>
  <c r="P2029" i="18"/>
  <c r="R2028" i="18"/>
  <c r="P2031" i="18"/>
  <c r="S2028" i="18"/>
  <c r="Q2028" i="18"/>
  <c r="S1780" i="18"/>
  <c r="R1780" i="18"/>
  <c r="Q1780" i="18"/>
  <c r="S1348" i="18"/>
  <c r="R1348" i="18"/>
  <c r="Q1348" i="18"/>
  <c r="S1084" i="18"/>
  <c r="R1084" i="18"/>
  <c r="Q1084" i="18"/>
  <c r="S902" i="18"/>
  <c r="R902" i="18"/>
  <c r="Q902" i="18"/>
  <c r="P676" i="18"/>
  <c r="P675" i="18"/>
  <c r="S674" i="18"/>
  <c r="P677" i="18"/>
  <c r="R674" i="18"/>
  <c r="Q674" i="18"/>
  <c r="P371" i="18"/>
  <c r="P367" i="18"/>
  <c r="S366" i="18"/>
  <c r="P370" i="18"/>
  <c r="R366" i="18"/>
  <c r="Q366" i="18"/>
  <c r="P369" i="18"/>
  <c r="P368" i="18"/>
  <c r="R78" i="18"/>
  <c r="Q78" i="18"/>
  <c r="S78" i="18"/>
  <c r="R1624" i="18"/>
  <c r="Q1624" i="18"/>
  <c r="S1624" i="18"/>
  <c r="P2034" i="18"/>
  <c r="P2033" i="18"/>
  <c r="S2032" i="18"/>
  <c r="R2032" i="18"/>
  <c r="Q2032" i="18"/>
  <c r="P2035" i="18"/>
  <c r="P1874" i="18"/>
  <c r="P1873" i="18"/>
  <c r="P1875" i="18"/>
  <c r="S1872" i="18"/>
  <c r="R1872" i="18"/>
  <c r="Q1872" i="18"/>
  <c r="R1688" i="18"/>
  <c r="Q1688" i="18"/>
  <c r="P1687" i="18"/>
  <c r="S1688" i="18"/>
  <c r="S1528" i="18"/>
  <c r="R1528" i="18"/>
  <c r="Q1528" i="18"/>
  <c r="S1400" i="18"/>
  <c r="R1400" i="18"/>
  <c r="Q1400" i="18"/>
  <c r="S1256" i="18"/>
  <c r="R1256" i="18"/>
  <c r="Q1256" i="18"/>
  <c r="S1160" i="18"/>
  <c r="R1160" i="18"/>
  <c r="Q1160" i="18"/>
  <c r="S1088" i="18"/>
  <c r="R1088" i="18"/>
  <c r="Q1088" i="18"/>
  <c r="S1016" i="18"/>
  <c r="R1016" i="18"/>
  <c r="Q1016" i="18"/>
  <c r="P680" i="18"/>
  <c r="P679" i="18"/>
  <c r="S678" i="18"/>
  <c r="R678" i="18"/>
  <c r="Q678" i="18"/>
  <c r="P681" i="18"/>
  <c r="S550" i="18"/>
  <c r="R550" i="18"/>
  <c r="Q550" i="18"/>
  <c r="R130" i="18"/>
  <c r="Q130" i="18"/>
  <c r="S130" i="18"/>
  <c r="S26" i="18"/>
  <c r="R26" i="18"/>
  <c r="Q26" i="18"/>
  <c r="Q1181" i="18"/>
  <c r="S1181" i="18"/>
  <c r="R1181" i="18"/>
  <c r="R551" i="18"/>
  <c r="Q551" i="18"/>
  <c r="S551" i="18"/>
  <c r="P156" i="18"/>
  <c r="P155" i="18"/>
  <c r="S154" i="18"/>
  <c r="R154" i="18"/>
  <c r="Q154" i="18"/>
  <c r="P2466" i="18"/>
  <c r="P2463" i="18"/>
  <c r="P2465" i="18"/>
  <c r="P2462" i="18"/>
  <c r="S2461" i="18"/>
  <c r="R2461" i="18"/>
  <c r="P2464" i="18"/>
  <c r="Q2461" i="18"/>
  <c r="S2339" i="18"/>
  <c r="R2339" i="18"/>
  <c r="Q2339" i="18"/>
  <c r="P2342" i="18"/>
  <c r="P2341" i="18"/>
  <c r="P2340" i="18"/>
  <c r="S71" i="18"/>
  <c r="R71" i="18"/>
  <c r="Q71" i="18"/>
  <c r="Q133" i="18"/>
  <c r="S133" i="18"/>
  <c r="R133" i="18"/>
  <c r="S873" i="18"/>
  <c r="R873" i="18"/>
  <c r="Q873" i="18"/>
  <c r="S1594" i="18"/>
  <c r="R1594" i="18"/>
  <c r="Q1594" i="18"/>
  <c r="S1566" i="18"/>
  <c r="R1566" i="18"/>
  <c r="Q1566" i="18"/>
  <c r="S1537" i="18"/>
  <c r="R1537" i="18"/>
  <c r="Q1537" i="18"/>
  <c r="S1273" i="18"/>
  <c r="R1273" i="18"/>
  <c r="Q1273" i="18"/>
  <c r="S1247" i="18"/>
  <c r="R1247" i="18"/>
  <c r="Q1247" i="18"/>
  <c r="S1190" i="18"/>
  <c r="R1190" i="18"/>
  <c r="Q1190" i="18"/>
  <c r="S1067" i="18"/>
  <c r="R1067" i="18"/>
  <c r="Q1067" i="18"/>
  <c r="S1030" i="18"/>
  <c r="R1030" i="18"/>
  <c r="Q1030" i="18"/>
  <c r="R970" i="18"/>
  <c r="Q970" i="18"/>
  <c r="S970" i="18"/>
  <c r="S937" i="18"/>
  <c r="R937" i="18"/>
  <c r="Q937" i="18"/>
  <c r="Q575" i="18"/>
  <c r="S575" i="18"/>
  <c r="R575" i="18"/>
  <c r="P2075" i="18"/>
  <c r="P2074" i="18"/>
  <c r="P2077" i="18"/>
  <c r="S2073" i="18"/>
  <c r="R2073" i="18"/>
  <c r="P2076" i="18"/>
  <c r="Q2073" i="18"/>
  <c r="P1787" i="18"/>
  <c r="P1786" i="18"/>
  <c r="S1785" i="18"/>
  <c r="R1785" i="18"/>
  <c r="Q1785" i="18"/>
  <c r="S969" i="18"/>
  <c r="R969" i="18"/>
  <c r="Q969" i="18"/>
  <c r="S851" i="18"/>
  <c r="R851" i="18"/>
  <c r="Q851" i="18"/>
  <c r="S821" i="18"/>
  <c r="R821" i="18"/>
  <c r="Q821" i="18"/>
  <c r="S793" i="18"/>
  <c r="R793" i="18"/>
  <c r="Q793" i="18"/>
  <c r="R2537" i="18"/>
  <c r="Q2537" i="18"/>
  <c r="S2537" i="18"/>
  <c r="Q1611" i="18"/>
  <c r="S1611" i="18"/>
  <c r="R1611" i="18"/>
  <c r="S1521" i="18"/>
  <c r="R1521" i="18"/>
  <c r="Q1521" i="18"/>
  <c r="S1491" i="18"/>
  <c r="R1491" i="18"/>
  <c r="Q1491" i="18"/>
  <c r="S1425" i="18"/>
  <c r="R1425" i="18"/>
  <c r="Q1425" i="18"/>
  <c r="S1399" i="18"/>
  <c r="R1399" i="18"/>
  <c r="Q1399" i="18"/>
  <c r="S1339" i="18"/>
  <c r="R1339" i="18"/>
  <c r="Q1339" i="18"/>
  <c r="S1310" i="18"/>
  <c r="R1310" i="18"/>
  <c r="Q1310" i="18"/>
  <c r="S573" i="18"/>
  <c r="R573" i="18"/>
  <c r="Q573" i="18"/>
  <c r="P512" i="18"/>
  <c r="P511" i="18"/>
  <c r="P510" i="18"/>
  <c r="S509" i="18"/>
  <c r="P513" i="18"/>
  <c r="R509" i="18"/>
  <c r="Q509" i="18"/>
  <c r="P2128" i="18"/>
  <c r="S2127" i="18"/>
  <c r="R2127" i="18"/>
  <c r="Q2127" i="18"/>
  <c r="P2130" i="18"/>
  <c r="P2129" i="18"/>
  <c r="Q2063" i="18"/>
  <c r="P2065" i="18"/>
  <c r="P2067" i="18"/>
  <c r="P2064" i="18"/>
  <c r="P2066" i="18"/>
  <c r="S2063" i="18"/>
  <c r="R2063" i="18"/>
  <c r="P1841" i="18"/>
  <c r="P1843" i="18"/>
  <c r="P1840" i="18"/>
  <c r="P1842" i="18"/>
  <c r="S1839" i="18"/>
  <c r="R1839" i="18"/>
  <c r="Q1839" i="18"/>
  <c r="Q1775" i="18"/>
  <c r="S1775" i="18"/>
  <c r="R1775" i="18"/>
  <c r="P1745" i="18"/>
  <c r="P1744" i="18"/>
  <c r="S1743" i="18"/>
  <c r="R1743" i="18"/>
  <c r="Q1743" i="18"/>
  <c r="S1617" i="18"/>
  <c r="R1617" i="18"/>
  <c r="Q1617" i="18"/>
  <c r="S1555" i="18"/>
  <c r="R1555" i="18"/>
  <c r="Q1555" i="18"/>
  <c r="S1251" i="18"/>
  <c r="R1251" i="18"/>
  <c r="Q1251" i="18"/>
  <c r="S1107" i="18"/>
  <c r="R1107" i="18"/>
  <c r="Q1107" i="18"/>
  <c r="R922" i="18"/>
  <c r="Q922" i="18"/>
  <c r="S922" i="18"/>
  <c r="S837" i="18"/>
  <c r="R837" i="18"/>
  <c r="Q837" i="18"/>
  <c r="S556" i="18"/>
  <c r="R556" i="18"/>
  <c r="Q556" i="18"/>
  <c r="S1569" i="18"/>
  <c r="R1569" i="18"/>
  <c r="Q1569" i="18"/>
  <c r="S1505" i="18"/>
  <c r="R1505" i="18"/>
  <c r="Q1505" i="18"/>
  <c r="S1417" i="18"/>
  <c r="R1417" i="18"/>
  <c r="Q1417" i="18"/>
  <c r="R1322" i="18"/>
  <c r="Q1322" i="18"/>
  <c r="S1322" i="18"/>
  <c r="S1295" i="18"/>
  <c r="R1295" i="18"/>
  <c r="Q1295" i="18"/>
  <c r="S1238" i="18"/>
  <c r="R1238" i="18"/>
  <c r="Q1238" i="18"/>
  <c r="S1206" i="18"/>
  <c r="R1206" i="18"/>
  <c r="Q1206" i="18"/>
  <c r="S1174" i="18"/>
  <c r="R1174" i="18"/>
  <c r="Q1174" i="18"/>
  <c r="S1049" i="18"/>
  <c r="R1049" i="18"/>
  <c r="Q1049" i="18"/>
  <c r="S1019" i="18"/>
  <c r="R1019" i="18"/>
  <c r="Q1019" i="18"/>
  <c r="S921" i="18"/>
  <c r="R921" i="18"/>
  <c r="Q921" i="18"/>
  <c r="S1609" i="18"/>
  <c r="R1609" i="18"/>
  <c r="Q1609" i="18"/>
  <c r="S1371" i="18"/>
  <c r="R1371" i="18"/>
  <c r="Q1371" i="18"/>
  <c r="S1167" i="18"/>
  <c r="R1167" i="18"/>
  <c r="Q1167" i="18"/>
  <c r="R1018" i="18"/>
  <c r="Q1018" i="18"/>
  <c r="S1018" i="18"/>
  <c r="S987" i="18"/>
  <c r="R987" i="18"/>
  <c r="Q987" i="18"/>
  <c r="P2251" i="18"/>
  <c r="P2250" i="18"/>
  <c r="S2249" i="18"/>
  <c r="R2249" i="18"/>
  <c r="P2252" i="18"/>
  <c r="Q2249" i="18"/>
  <c r="R730" i="18"/>
  <c r="S730" i="18"/>
  <c r="Q730" i="18"/>
  <c r="Q707" i="18"/>
  <c r="R707" i="18"/>
  <c r="S707" i="18"/>
  <c r="P202" i="18"/>
  <c r="S755" i="18"/>
  <c r="R755" i="18"/>
  <c r="Q755" i="18"/>
  <c r="S742" i="18"/>
  <c r="Q742" i="18"/>
  <c r="R742" i="18"/>
  <c r="S351" i="18"/>
  <c r="Q351" i="18"/>
  <c r="R351" i="18"/>
  <c r="S337" i="18"/>
  <c r="R337" i="18"/>
  <c r="Q337" i="18"/>
  <c r="R400" i="18"/>
  <c r="S400" i="18"/>
  <c r="Q400" i="18"/>
  <c r="Q761" i="18"/>
  <c r="R761" i="18"/>
  <c r="S761" i="18"/>
  <c r="S178" i="18"/>
  <c r="R178" i="18"/>
  <c r="Q178" i="18"/>
  <c r="S1313" i="18"/>
  <c r="R1313" i="18"/>
  <c r="Q1313" i="18"/>
  <c r="S1152" i="18"/>
  <c r="R1152" i="18"/>
  <c r="Q1152" i="18"/>
  <c r="Q696" i="18"/>
  <c r="S696" i="18"/>
  <c r="R696" i="18"/>
  <c r="S1732" i="18"/>
  <c r="R1732" i="18"/>
  <c r="Q1732" i="18"/>
  <c r="S1574" i="18"/>
  <c r="R1574" i="18"/>
  <c r="Q1574" i="18"/>
  <c r="S1502" i="18"/>
  <c r="R1502" i="18"/>
  <c r="Q1502" i="18"/>
  <c r="S1011" i="18"/>
  <c r="R1011" i="18"/>
  <c r="Q1011" i="18"/>
  <c r="S924" i="18"/>
  <c r="R924" i="18"/>
  <c r="Q924" i="18"/>
  <c r="S626" i="18"/>
  <c r="R626" i="18"/>
  <c r="Q626" i="18"/>
  <c r="S172" i="18"/>
  <c r="R172" i="18"/>
  <c r="Q172" i="18"/>
  <c r="P174" i="18"/>
  <c r="P173" i="18"/>
  <c r="S1128" i="18"/>
  <c r="R1128" i="18"/>
  <c r="Q1128" i="18"/>
  <c r="Q23" i="18"/>
  <c r="S23" i="18"/>
  <c r="R23" i="18"/>
  <c r="S1145" i="18"/>
  <c r="R1145" i="18"/>
  <c r="Q1145" i="18"/>
  <c r="S1641" i="18"/>
  <c r="R1641" i="18"/>
  <c r="Q1641" i="18"/>
  <c r="S1265" i="18"/>
  <c r="R1265" i="18"/>
  <c r="Q1265" i="18"/>
  <c r="S689" i="18"/>
  <c r="R689" i="18"/>
  <c r="Q689" i="18"/>
  <c r="R1146" i="18"/>
  <c r="Q1146" i="18"/>
  <c r="S1146" i="18"/>
  <c r="S352" i="18"/>
  <c r="R352" i="18"/>
  <c r="Q352" i="18"/>
  <c r="S2472" i="18"/>
  <c r="R2472" i="18"/>
  <c r="Q2472" i="18"/>
  <c r="S2539" i="18"/>
  <c r="R2539" i="18"/>
  <c r="Q2539" i="18"/>
  <c r="P2356" i="18"/>
  <c r="S2355" i="18"/>
  <c r="P2358" i="18"/>
  <c r="R2355" i="18"/>
  <c r="Q2355" i="18"/>
  <c r="P2357" i="18"/>
  <c r="R2253" i="18"/>
  <c r="P2256" i="18"/>
  <c r="Q2253" i="18"/>
  <c r="P2255" i="18"/>
  <c r="P2254" i="18"/>
  <c r="S2253" i="18"/>
  <c r="P2100" i="18"/>
  <c r="P2099" i="18"/>
  <c r="P2102" i="18"/>
  <c r="S2098" i="18"/>
  <c r="P2101" i="18"/>
  <c r="R2098" i="18"/>
  <c r="Q2098" i="18"/>
  <c r="P2009" i="18"/>
  <c r="S2008" i="18"/>
  <c r="R2008" i="18"/>
  <c r="Q2008" i="18"/>
  <c r="P2011" i="18"/>
  <c r="P2010" i="18"/>
  <c r="P1905" i="18"/>
  <c r="P1907" i="18"/>
  <c r="S1904" i="18"/>
  <c r="R1904" i="18"/>
  <c r="Q1904" i="18"/>
  <c r="P1906" i="18"/>
  <c r="P1890" i="18"/>
  <c r="P1889" i="18"/>
  <c r="S1888" i="18"/>
  <c r="R1888" i="18"/>
  <c r="P1891" i="18"/>
  <c r="Q1888" i="18"/>
  <c r="Q1691" i="18"/>
  <c r="S1691" i="18"/>
  <c r="R1691" i="18"/>
  <c r="R1522" i="18"/>
  <c r="Q1522" i="18"/>
  <c r="S1522" i="18"/>
  <c r="R1538" i="18"/>
  <c r="Q1538" i="18"/>
  <c r="S1538" i="18"/>
  <c r="S1358" i="18"/>
  <c r="R1358" i="18"/>
  <c r="Q1358" i="18"/>
  <c r="S1374" i="18"/>
  <c r="R1374" i="18"/>
  <c r="Q1374" i="18"/>
  <c r="S1422" i="18"/>
  <c r="R1422" i="18"/>
  <c r="Q1422" i="18"/>
  <c r="S1478" i="18"/>
  <c r="R1478" i="18"/>
  <c r="Q1478" i="18"/>
  <c r="R1242" i="18"/>
  <c r="Q1242" i="18"/>
  <c r="S1242" i="18"/>
  <c r="R1218" i="18"/>
  <c r="Q1218" i="18"/>
  <c r="S1218" i="18"/>
  <c r="S1015" i="18"/>
  <c r="R1015" i="18"/>
  <c r="Q1015" i="18"/>
  <c r="S972" i="18"/>
  <c r="R972" i="18"/>
  <c r="Q972" i="18"/>
  <c r="S991" i="18"/>
  <c r="R991" i="18"/>
  <c r="Q991" i="18"/>
  <c r="S700" i="18"/>
  <c r="R700" i="18"/>
  <c r="Q700" i="18"/>
  <c r="S830" i="18"/>
  <c r="R830" i="18"/>
  <c r="Q830" i="18"/>
  <c r="S574" i="18"/>
  <c r="R574" i="18"/>
  <c r="Q574" i="18"/>
  <c r="S578" i="18"/>
  <c r="R578" i="18"/>
  <c r="Q578" i="18"/>
  <c r="P609" i="18"/>
  <c r="S608" i="18"/>
  <c r="R608" i="18"/>
  <c r="Q608" i="18"/>
  <c r="P611" i="18"/>
  <c r="P610" i="18"/>
  <c r="S792" i="18"/>
  <c r="R792" i="18"/>
  <c r="Q792" i="18"/>
  <c r="S623" i="18"/>
  <c r="R623" i="18"/>
  <c r="Q623" i="18"/>
  <c r="S214" i="18"/>
  <c r="R214" i="18"/>
  <c r="Q214" i="18"/>
  <c r="P2270" i="18"/>
  <c r="S2269" i="18"/>
  <c r="R2269" i="18"/>
  <c r="P2272" i="18"/>
  <c r="Q2269" i="18"/>
  <c r="P2271" i="18"/>
  <c r="P2275" i="18"/>
  <c r="P2274" i="18"/>
  <c r="S2273" i="18"/>
  <c r="R2273" i="18"/>
  <c r="Q2273" i="18"/>
  <c r="P2276" i="18"/>
  <c r="S1761" i="18"/>
  <c r="R1761" i="18"/>
  <c r="Q1761" i="18"/>
  <c r="Q1630" i="18"/>
  <c r="S1630" i="18"/>
  <c r="R1630" i="18"/>
  <c r="S1495" i="18"/>
  <c r="R1495" i="18"/>
  <c r="Q1495" i="18"/>
  <c r="S1781" i="18"/>
  <c r="R1781" i="18"/>
  <c r="Q1781" i="18"/>
  <c r="S1672" i="18"/>
  <c r="R1672" i="18"/>
  <c r="Q1672" i="18"/>
  <c r="S1563" i="18"/>
  <c r="R1563" i="18"/>
  <c r="Q1563" i="18"/>
  <c r="S1736" i="18"/>
  <c r="R1736" i="18"/>
  <c r="Q1736" i="18"/>
  <c r="S1602" i="18"/>
  <c r="R1602" i="18"/>
  <c r="Q1602" i="18"/>
  <c r="S1539" i="18"/>
  <c r="R1539" i="18"/>
  <c r="Q1539" i="18"/>
  <c r="S1725" i="18"/>
  <c r="R1725" i="18"/>
  <c r="Q1725" i="18"/>
  <c r="Q1639" i="18"/>
  <c r="S1639" i="18"/>
  <c r="R1639" i="18"/>
  <c r="S1452" i="18"/>
  <c r="R1452" i="18"/>
  <c r="Q1452" i="18"/>
  <c r="R1458" i="18"/>
  <c r="Q1458" i="18"/>
  <c r="S1458" i="18"/>
  <c r="S1312" i="18"/>
  <c r="R1312" i="18"/>
  <c r="Q1312" i="18"/>
  <c r="Q1565" i="18"/>
  <c r="S1565" i="18"/>
  <c r="R1565" i="18"/>
  <c r="S1396" i="18"/>
  <c r="R1396" i="18"/>
  <c r="Q1396" i="18"/>
  <c r="S1412" i="18"/>
  <c r="R1412" i="18"/>
  <c r="Q1412" i="18"/>
  <c r="Q1549" i="18"/>
  <c r="S1549" i="18"/>
  <c r="R1549" i="18"/>
  <c r="R1354" i="18"/>
  <c r="Q1354" i="18"/>
  <c r="S1354" i="18"/>
  <c r="P1655" i="18"/>
  <c r="P1657" i="18"/>
  <c r="S1654" i="18"/>
  <c r="R1654" i="18"/>
  <c r="Q1654" i="18"/>
  <c r="P1656" i="18"/>
  <c r="S1351" i="18"/>
  <c r="R1351" i="18"/>
  <c r="Q1351" i="18"/>
  <c r="S1208" i="18"/>
  <c r="R1208" i="18"/>
  <c r="Q1208" i="18"/>
  <c r="S1035" i="18"/>
  <c r="R1035" i="18"/>
  <c r="Q1035" i="18"/>
  <c r="S1027" i="18"/>
  <c r="R1027" i="18"/>
  <c r="Q1027" i="18"/>
  <c r="Q1157" i="18"/>
  <c r="S1157" i="18"/>
  <c r="R1157" i="18"/>
  <c r="S956" i="18"/>
  <c r="R956" i="18"/>
  <c r="Q956" i="18"/>
  <c r="Q1485" i="18"/>
  <c r="S1485" i="18"/>
  <c r="R1485" i="18"/>
  <c r="S1000" i="18"/>
  <c r="R1000" i="18"/>
  <c r="Q1000" i="18"/>
  <c r="S1532" i="18"/>
  <c r="R1532" i="18"/>
  <c r="Q1532" i="18"/>
  <c r="Q1061" i="18"/>
  <c r="S1061" i="18"/>
  <c r="R1061" i="18"/>
  <c r="S1065" i="18"/>
  <c r="R1065" i="18"/>
  <c r="Q1065" i="18"/>
  <c r="S839" i="18"/>
  <c r="R839" i="18"/>
  <c r="Q839" i="18"/>
  <c r="S625" i="18"/>
  <c r="R625" i="18"/>
  <c r="Q625" i="18"/>
  <c r="R303" i="18"/>
  <c r="Q303" i="18"/>
  <c r="P305" i="18"/>
  <c r="P304" i="18"/>
  <c r="S303" i="18"/>
  <c r="S827" i="18"/>
  <c r="R827" i="18"/>
  <c r="Q827" i="18"/>
  <c r="S682" i="18"/>
  <c r="R682" i="18"/>
  <c r="Q682" i="18"/>
  <c r="S1404" i="18"/>
  <c r="R1404" i="18"/>
  <c r="Q1404" i="18"/>
  <c r="S620" i="18"/>
  <c r="R620" i="18"/>
  <c r="Q620" i="18"/>
  <c r="S831" i="18"/>
  <c r="R831" i="18"/>
  <c r="Q831" i="18"/>
  <c r="P329" i="18"/>
  <c r="P328" i="18"/>
  <c r="P325" i="18"/>
  <c r="S324" i="18"/>
  <c r="P327" i="18"/>
  <c r="R324" i="18"/>
  <c r="Q324" i="18"/>
  <c r="P326" i="18"/>
  <c r="R648" i="18"/>
  <c r="Q648" i="18"/>
  <c r="S648" i="18"/>
  <c r="P316" i="18"/>
  <c r="P313" i="18"/>
  <c r="S312" i="18"/>
  <c r="P315" i="18"/>
  <c r="R312" i="18"/>
  <c r="Q312" i="18"/>
  <c r="P317" i="18"/>
  <c r="P314" i="18"/>
  <c r="S248" i="18"/>
  <c r="R248" i="18"/>
  <c r="Q248" i="18"/>
  <c r="Q1149" i="18"/>
  <c r="S1149" i="18"/>
  <c r="R1149" i="18"/>
  <c r="R138" i="18"/>
  <c r="Q138" i="18"/>
  <c r="S138" i="18"/>
  <c r="P152" i="18"/>
  <c r="S151" i="18"/>
  <c r="R151" i="18"/>
  <c r="Q151" i="18"/>
  <c r="P153" i="18"/>
  <c r="S220" i="18"/>
  <c r="R220" i="18"/>
  <c r="Q220" i="18"/>
  <c r="Q933" i="18"/>
  <c r="S933" i="18"/>
  <c r="R933" i="18"/>
  <c r="P2447" i="18"/>
  <c r="S2443" i="18"/>
  <c r="P2446" i="18"/>
  <c r="R2443" i="18"/>
  <c r="Q2443" i="18"/>
  <c r="P2445" i="18"/>
  <c r="P2448" i="18"/>
  <c r="P2444" i="18"/>
  <c r="P2095" i="18"/>
  <c r="P2097" i="18"/>
  <c r="P2094" i="18"/>
  <c r="P2096" i="18"/>
  <c r="S2093" i="18"/>
  <c r="R2093" i="18"/>
  <c r="Q2093" i="18"/>
  <c r="S1597" i="18"/>
  <c r="R1597" i="18"/>
  <c r="Q1597" i="18"/>
  <c r="Q1421" i="18"/>
  <c r="S1421" i="18"/>
  <c r="R1421" i="18"/>
  <c r="Q1357" i="18"/>
  <c r="S1357" i="18"/>
  <c r="R1357" i="18"/>
  <c r="Q1277" i="18"/>
  <c r="S1277" i="18"/>
  <c r="R1277" i="18"/>
  <c r="Q1213" i="18"/>
  <c r="S1213" i="18"/>
  <c r="R1213" i="18"/>
  <c r="Q925" i="18"/>
  <c r="S925" i="18"/>
  <c r="R925" i="18"/>
  <c r="Q103" i="18"/>
  <c r="S103" i="18"/>
  <c r="R103" i="18"/>
  <c r="P2013" i="18"/>
  <c r="S2012" i="18"/>
  <c r="R2012" i="18"/>
  <c r="P2015" i="18"/>
  <c r="Q2012" i="18"/>
  <c r="P2014" i="18"/>
  <c r="S1764" i="18"/>
  <c r="R1764" i="18"/>
  <c r="Q1764" i="18"/>
  <c r="S1140" i="18"/>
  <c r="R1140" i="18"/>
  <c r="Q1140" i="18"/>
  <c r="S1076" i="18"/>
  <c r="R1076" i="18"/>
  <c r="Q1076" i="18"/>
  <c r="S894" i="18"/>
  <c r="R894" i="18"/>
  <c r="Q894" i="18"/>
  <c r="S294" i="18"/>
  <c r="R294" i="18"/>
  <c r="Q294" i="18"/>
  <c r="P296" i="18"/>
  <c r="P295" i="18"/>
  <c r="R70" i="18"/>
  <c r="Q70" i="18"/>
  <c r="S70" i="18"/>
  <c r="R1616" i="18"/>
  <c r="Q1616" i="18"/>
  <c r="S1616" i="18"/>
  <c r="P2026" i="18"/>
  <c r="P2025" i="18"/>
  <c r="S2024" i="18"/>
  <c r="R2024" i="18"/>
  <c r="Q2024" i="18"/>
  <c r="P2027" i="18"/>
  <c r="S1848" i="18"/>
  <c r="R1848" i="18"/>
  <c r="P1851" i="18"/>
  <c r="Q1848" i="18"/>
  <c r="P1850" i="18"/>
  <c r="P1849" i="18"/>
  <c r="S1680" i="18"/>
  <c r="R1680" i="18"/>
  <c r="Q1680" i="18"/>
  <c r="S1512" i="18"/>
  <c r="R1512" i="18"/>
  <c r="Q1512" i="18"/>
  <c r="S1384" i="18"/>
  <c r="R1384" i="18"/>
  <c r="Q1384" i="18"/>
  <c r="S1248" i="18"/>
  <c r="R1248" i="18"/>
  <c r="Q1248" i="18"/>
  <c r="S1144" i="18"/>
  <c r="R1144" i="18"/>
  <c r="Q1144" i="18"/>
  <c r="S1080" i="18"/>
  <c r="R1080" i="18"/>
  <c r="Q1080" i="18"/>
  <c r="S992" i="18"/>
  <c r="R992" i="18"/>
  <c r="Q992" i="18"/>
  <c r="S670" i="18"/>
  <c r="P673" i="18"/>
  <c r="R670" i="18"/>
  <c r="Q670" i="18"/>
  <c r="P672" i="18"/>
  <c r="P671" i="18"/>
  <c r="P270" i="18"/>
  <c r="R266" i="18"/>
  <c r="P269" i="18"/>
  <c r="Q266" i="18"/>
  <c r="P268" i="18"/>
  <c r="P267" i="18"/>
  <c r="S266" i="18"/>
  <c r="Q903" i="18"/>
  <c r="S903" i="18"/>
  <c r="R903" i="18"/>
  <c r="R543" i="18"/>
  <c r="Q543" i="18"/>
  <c r="S543" i="18"/>
  <c r="R28" i="18"/>
  <c r="Q28" i="18"/>
  <c r="S28" i="18"/>
  <c r="S2493" i="18"/>
  <c r="R2493" i="18"/>
  <c r="Q2493" i="18"/>
  <c r="P2374" i="18"/>
  <c r="P2373" i="18"/>
  <c r="P2372" i="18"/>
  <c r="S2371" i="18"/>
  <c r="R2371" i="18"/>
  <c r="Q2371" i="18"/>
  <c r="P2302" i="18"/>
  <c r="P2301" i="18"/>
  <c r="P2300" i="18"/>
  <c r="S2299" i="18"/>
  <c r="P2304" i="18"/>
  <c r="R2299" i="18"/>
  <c r="P2303" i="18"/>
  <c r="Q2299" i="18"/>
  <c r="R2215" i="18"/>
  <c r="P2220" i="18"/>
  <c r="Q2215" i="18"/>
  <c r="P2217" i="18"/>
  <c r="P2219" i="18"/>
  <c r="P2216" i="18"/>
  <c r="P2218" i="18"/>
  <c r="S2215" i="18"/>
  <c r="S47" i="18"/>
  <c r="R47" i="18"/>
  <c r="Q47" i="18"/>
  <c r="S2538" i="18"/>
  <c r="R2538" i="18"/>
  <c r="Q2538" i="18"/>
  <c r="S64" i="18"/>
  <c r="R64" i="18"/>
  <c r="Q64" i="18"/>
  <c r="P147" i="18"/>
  <c r="P146" i="18"/>
  <c r="S145" i="18"/>
  <c r="R145" i="18"/>
  <c r="Q145" i="18"/>
  <c r="S909" i="18"/>
  <c r="R909" i="18"/>
  <c r="Q909" i="18"/>
  <c r="P1748" i="18"/>
  <c r="P1747" i="18"/>
  <c r="S1746" i="18"/>
  <c r="R1746" i="18"/>
  <c r="Q1746" i="18"/>
  <c r="Q1619" i="18"/>
  <c r="S1619" i="18"/>
  <c r="R1619" i="18"/>
  <c r="S1299" i="18"/>
  <c r="R1299" i="18"/>
  <c r="Q1299" i="18"/>
  <c r="S1241" i="18"/>
  <c r="R1241" i="18"/>
  <c r="Q1241" i="18"/>
  <c r="S1215" i="18"/>
  <c r="R1215" i="18"/>
  <c r="Q1215" i="18"/>
  <c r="S1158" i="18"/>
  <c r="R1158" i="18"/>
  <c r="Q1158" i="18"/>
  <c r="S1123" i="18"/>
  <c r="R1123" i="18"/>
  <c r="Q1123" i="18"/>
  <c r="S1713" i="18"/>
  <c r="R1713" i="18"/>
  <c r="Q1713" i="18"/>
  <c r="S1151" i="18"/>
  <c r="R1151" i="18"/>
  <c r="Q1151" i="18"/>
  <c r="S1059" i="18"/>
  <c r="R1059" i="18"/>
  <c r="Q1059" i="18"/>
  <c r="S665" i="18"/>
  <c r="R665" i="18"/>
  <c r="Q665" i="18"/>
  <c r="S637" i="18"/>
  <c r="R637" i="18"/>
  <c r="Q637" i="18"/>
  <c r="S1451" i="18"/>
  <c r="R1451" i="18"/>
  <c r="Q1451" i="18"/>
  <c r="S1393" i="18"/>
  <c r="R1393" i="18"/>
  <c r="Q1393" i="18"/>
  <c r="S1367" i="18"/>
  <c r="R1367" i="18"/>
  <c r="Q1367" i="18"/>
  <c r="S1278" i="18"/>
  <c r="R1278" i="18"/>
  <c r="Q1278" i="18"/>
  <c r="S1246" i="18"/>
  <c r="R1246" i="18"/>
  <c r="Q1246" i="18"/>
  <c r="S1214" i="18"/>
  <c r="R1214" i="18"/>
  <c r="Q1214" i="18"/>
  <c r="S1182" i="18"/>
  <c r="R1182" i="18"/>
  <c r="Q1182" i="18"/>
  <c r="S998" i="18"/>
  <c r="R998" i="18"/>
  <c r="Q998" i="18"/>
  <c r="S636" i="18"/>
  <c r="R636" i="18"/>
  <c r="Q636" i="18"/>
  <c r="S1513" i="18"/>
  <c r="R1513" i="18"/>
  <c r="Q1513" i="18"/>
  <c r="S1219" i="18"/>
  <c r="R1219" i="18"/>
  <c r="Q1219" i="18"/>
  <c r="S947" i="18"/>
  <c r="R947" i="18"/>
  <c r="Q947" i="18"/>
  <c r="R900" i="18"/>
  <c r="Q900" i="18"/>
  <c r="S900" i="18"/>
  <c r="R868" i="18"/>
  <c r="Q868" i="18"/>
  <c r="S868" i="18"/>
  <c r="S832" i="18"/>
  <c r="R832" i="18"/>
  <c r="Q832" i="18"/>
  <c r="S1662" i="18"/>
  <c r="R1662" i="18"/>
  <c r="Q1662" i="18"/>
  <c r="Q1603" i="18"/>
  <c r="S1603" i="18"/>
  <c r="R1603" i="18"/>
  <c r="S1534" i="18"/>
  <c r="R1534" i="18"/>
  <c r="Q1534" i="18"/>
  <c r="S1443" i="18"/>
  <c r="R1443" i="18"/>
  <c r="Q1443" i="18"/>
  <c r="S1289" i="18"/>
  <c r="R1289" i="18"/>
  <c r="Q1289" i="18"/>
  <c r="S1263" i="18"/>
  <c r="R1263" i="18"/>
  <c r="Q1263" i="18"/>
  <c r="S875" i="18"/>
  <c r="R875" i="18"/>
  <c r="Q875" i="18"/>
  <c r="S2520" i="18"/>
  <c r="R2520" i="18"/>
  <c r="Q2520" i="18"/>
  <c r="S1481" i="18"/>
  <c r="R1481" i="18"/>
  <c r="Q1481" i="18"/>
  <c r="S1307" i="18"/>
  <c r="R1307" i="18"/>
  <c r="Q1307" i="18"/>
  <c r="S1105" i="18"/>
  <c r="R1105" i="18"/>
  <c r="Q1105" i="18"/>
  <c r="S848" i="18"/>
  <c r="R848" i="18"/>
  <c r="Q848" i="18"/>
  <c r="Q662" i="18"/>
  <c r="S662" i="18"/>
  <c r="R662" i="18"/>
  <c r="S633" i="18"/>
  <c r="R633" i="18"/>
  <c r="Q633" i="18"/>
  <c r="S1518" i="18"/>
  <c r="R1518" i="18"/>
  <c r="Q1518" i="18"/>
  <c r="S1335" i="18"/>
  <c r="R1335" i="18"/>
  <c r="Q1335" i="18"/>
  <c r="S951" i="18"/>
  <c r="R951" i="18"/>
  <c r="Q951" i="18"/>
  <c r="R632" i="18"/>
  <c r="Q632" i="18"/>
  <c r="S632" i="18"/>
  <c r="S569" i="18"/>
  <c r="R569" i="18"/>
  <c r="Q569" i="18"/>
  <c r="S2487" i="18"/>
  <c r="R2487" i="18"/>
  <c r="Q2487" i="18"/>
  <c r="P2460" i="18"/>
  <c r="P2457" i="18"/>
  <c r="P2456" i="18"/>
  <c r="S2455" i="18"/>
  <c r="P2459" i="18"/>
  <c r="R2455" i="18"/>
  <c r="Q2455" i="18"/>
  <c r="P2458" i="18"/>
  <c r="S2115" i="18"/>
  <c r="R2115" i="18"/>
  <c r="P2119" i="18"/>
  <c r="Q2115" i="18"/>
  <c r="P2118" i="18"/>
  <c r="P2117" i="18"/>
  <c r="P2120" i="18"/>
  <c r="P2116" i="18"/>
  <c r="P1828" i="18"/>
  <c r="S1827" i="18"/>
  <c r="R1827" i="18"/>
  <c r="Q1827" i="18"/>
  <c r="P1830" i="18"/>
  <c r="P1829" i="18"/>
  <c r="R1763" i="18"/>
  <c r="Q1763" i="18"/>
  <c r="S1763" i="18"/>
  <c r="S1447" i="18"/>
  <c r="R1447" i="18"/>
  <c r="Q1447" i="18"/>
  <c r="S1415" i="18"/>
  <c r="R1415" i="18"/>
  <c r="Q1415" i="18"/>
  <c r="S1383" i="18"/>
  <c r="R1383" i="18"/>
  <c r="Q1383" i="18"/>
  <c r="S993" i="18"/>
  <c r="R993" i="18"/>
  <c r="Q993" i="18"/>
  <c r="S888" i="18"/>
  <c r="R888" i="18"/>
  <c r="Q888" i="18"/>
  <c r="S584" i="18"/>
  <c r="R584" i="18"/>
  <c r="Q584" i="18"/>
  <c r="S552" i="18"/>
  <c r="R552" i="18"/>
  <c r="Q552" i="18"/>
  <c r="S733" i="18"/>
  <c r="R733" i="18"/>
  <c r="Q733" i="18"/>
  <c r="Q274" i="18"/>
  <c r="Q708" i="18"/>
  <c r="S708" i="18"/>
  <c r="R708" i="18"/>
  <c r="S286" i="18"/>
  <c r="R286" i="18"/>
  <c r="Q286" i="18"/>
  <c r="Q756" i="18"/>
  <c r="S756" i="18"/>
  <c r="R756" i="18"/>
  <c r="S745" i="18"/>
  <c r="R745" i="18"/>
  <c r="Q745" i="18"/>
  <c r="Q311" i="18"/>
  <c r="R311" i="18"/>
  <c r="S311" i="18"/>
  <c r="S165" i="18"/>
  <c r="Q165" i="18"/>
  <c r="R165" i="18"/>
  <c r="S170" i="18"/>
  <c r="Q170" i="18"/>
  <c r="R170" i="18"/>
  <c r="Q1928" i="18"/>
  <c r="P1931" i="18"/>
  <c r="P1930" i="18"/>
  <c r="P1929" i="18"/>
  <c r="S1928" i="18"/>
  <c r="R1928" i="18"/>
  <c r="R1482" i="18"/>
  <c r="Q1482" i="18"/>
  <c r="S1482" i="18"/>
  <c r="R1570" i="18"/>
  <c r="Q1570" i="18"/>
  <c r="S1570" i="18"/>
  <c r="S692" i="18"/>
  <c r="R692" i="18"/>
  <c r="Q692" i="18"/>
  <c r="P2193" i="18"/>
  <c r="P2192" i="18"/>
  <c r="P2194" i="18"/>
  <c r="S2191" i="18"/>
  <c r="R2191" i="18"/>
  <c r="Q2191" i="18"/>
  <c r="S1499" i="18"/>
  <c r="R1499" i="18"/>
  <c r="Q1499" i="18"/>
  <c r="S1323" i="18"/>
  <c r="R1323" i="18"/>
  <c r="Q1323" i="18"/>
  <c r="S1081" i="18"/>
  <c r="R1081" i="18"/>
  <c r="Q1081" i="18"/>
  <c r="S1460" i="18"/>
  <c r="R1460" i="18"/>
  <c r="Q1460" i="18"/>
  <c r="S558" i="18"/>
  <c r="R558" i="18"/>
  <c r="Q558" i="18"/>
  <c r="S239" i="18"/>
  <c r="R239" i="18"/>
  <c r="Q239" i="18"/>
  <c r="Q1261" i="18"/>
  <c r="S1261" i="18"/>
  <c r="R1261" i="18"/>
  <c r="S22" i="18"/>
  <c r="R22" i="18"/>
  <c r="Q22" i="18"/>
  <c r="P1871" i="18"/>
  <c r="Q1868" i="18"/>
  <c r="P1870" i="18"/>
  <c r="P1869" i="18"/>
  <c r="S1868" i="18"/>
  <c r="R1868" i="18"/>
  <c r="S878" i="18"/>
  <c r="R878" i="18"/>
  <c r="Q878" i="18"/>
  <c r="S1200" i="18"/>
  <c r="R1200" i="18"/>
  <c r="Q1200" i="18"/>
  <c r="S2485" i="18"/>
  <c r="R2485" i="18"/>
  <c r="Q2485" i="18"/>
  <c r="S2542" i="18"/>
  <c r="R2542" i="18"/>
  <c r="Q2542" i="18"/>
  <c r="S27" i="18"/>
  <c r="R27" i="18"/>
  <c r="Q27" i="18"/>
  <c r="P1644" i="18"/>
  <c r="P1643" i="18"/>
  <c r="S1642" i="18"/>
  <c r="P1645" i="18"/>
  <c r="R1642" i="18"/>
  <c r="Q1642" i="18"/>
  <c r="R659" i="18"/>
  <c r="Q659" i="18"/>
  <c r="S659" i="18"/>
  <c r="S1543" i="18"/>
  <c r="R1543" i="18"/>
  <c r="Q1543" i="18"/>
  <c r="S1387" i="18"/>
  <c r="R1387" i="18"/>
  <c r="Q1387" i="18"/>
  <c r="S1233" i="18"/>
  <c r="R1233" i="18"/>
  <c r="Q1233" i="18"/>
  <c r="S1239" i="18"/>
  <c r="R1239" i="18"/>
  <c r="Q1239" i="18"/>
  <c r="S813" i="18"/>
  <c r="R813" i="18"/>
  <c r="Q813" i="18"/>
  <c r="S1243" i="18"/>
  <c r="R1243" i="18"/>
  <c r="Q1243" i="18"/>
  <c r="S1126" i="18"/>
  <c r="R1126" i="18"/>
  <c r="Q1126" i="18"/>
  <c r="R624" i="18"/>
  <c r="Q624" i="18"/>
  <c r="S624" i="18"/>
  <c r="S795" i="18"/>
  <c r="R795" i="18"/>
  <c r="Q795" i="18"/>
  <c r="S2543" i="18"/>
  <c r="R2543" i="18"/>
  <c r="Q2543" i="18"/>
  <c r="S2523" i="18"/>
  <c r="R2523" i="18"/>
  <c r="Q2523" i="18"/>
  <c r="Q2492" i="18"/>
  <c r="S2492" i="18"/>
  <c r="R2492" i="18"/>
  <c r="P2329" i="18"/>
  <c r="P2328" i="18"/>
  <c r="S2327" i="18"/>
  <c r="R2327" i="18"/>
  <c r="P2330" i="18"/>
  <c r="Q2327" i="18"/>
  <c r="P2092" i="18"/>
  <c r="P2089" i="18"/>
  <c r="S2088" i="18"/>
  <c r="P2091" i="18"/>
  <c r="R2088" i="18"/>
  <c r="Q2088" i="18"/>
  <c r="P2090" i="18"/>
  <c r="P1946" i="18"/>
  <c r="P1945" i="18"/>
  <c r="S1944" i="18"/>
  <c r="R1944" i="18"/>
  <c r="P1947" i="18"/>
  <c r="Q1944" i="18"/>
  <c r="Q2016" i="18"/>
  <c r="P2018" i="18"/>
  <c r="P2017" i="18"/>
  <c r="P2019" i="18"/>
  <c r="S2016" i="18"/>
  <c r="R2016" i="18"/>
  <c r="S1681" i="18"/>
  <c r="R1681" i="18"/>
  <c r="Q1681" i="18"/>
  <c r="Q1707" i="18"/>
  <c r="S1707" i="18"/>
  <c r="R1707" i="18"/>
  <c r="R1490" i="18"/>
  <c r="Q1490" i="18"/>
  <c r="S1490" i="18"/>
  <c r="R1546" i="18"/>
  <c r="Q1546" i="18"/>
  <c r="S1546" i="18"/>
  <c r="S1366" i="18"/>
  <c r="R1366" i="18"/>
  <c r="Q1366" i="18"/>
  <c r="S1334" i="18"/>
  <c r="R1334" i="18"/>
  <c r="Q1334" i="18"/>
  <c r="S1390" i="18"/>
  <c r="R1390" i="18"/>
  <c r="Q1390" i="18"/>
  <c r="R1258" i="18"/>
  <c r="Q1258" i="18"/>
  <c r="S1258" i="18"/>
  <c r="R1178" i="18"/>
  <c r="Q1178" i="18"/>
  <c r="S1178" i="18"/>
  <c r="S1087" i="18"/>
  <c r="R1087" i="18"/>
  <c r="Q1087" i="18"/>
  <c r="S975" i="18"/>
  <c r="R975" i="18"/>
  <c r="Q975" i="18"/>
  <c r="S1350" i="18"/>
  <c r="R1350" i="18"/>
  <c r="Q1350" i="18"/>
  <c r="S1111" i="18"/>
  <c r="R1111" i="18"/>
  <c r="Q1111" i="18"/>
  <c r="S698" i="18"/>
  <c r="R698" i="18"/>
  <c r="Q698" i="18"/>
  <c r="S545" i="18"/>
  <c r="R545" i="18"/>
  <c r="Q545" i="18"/>
  <c r="P704" i="18"/>
  <c r="P703" i="18"/>
  <c r="S702" i="18"/>
  <c r="R702" i="18"/>
  <c r="Q702" i="18"/>
  <c r="P322" i="18"/>
  <c r="P319" i="18"/>
  <c r="S318" i="18"/>
  <c r="P321" i="18"/>
  <c r="R318" i="18"/>
  <c r="Q318" i="18"/>
  <c r="P323" i="18"/>
  <c r="P320" i="18"/>
  <c r="S826" i="18"/>
  <c r="R826" i="18"/>
  <c r="Q826" i="18"/>
  <c r="Q2532" i="18"/>
  <c r="S2532" i="18"/>
  <c r="R2532" i="18"/>
  <c r="P2247" i="18"/>
  <c r="P2246" i="18"/>
  <c r="P2248" i="18"/>
  <c r="S2245" i="18"/>
  <c r="R2245" i="18"/>
  <c r="Q2245" i="18"/>
  <c r="R1749" i="18"/>
  <c r="Q1749" i="18"/>
  <c r="P1751" i="18"/>
  <c r="P1750" i="18"/>
  <c r="S1749" i="18"/>
  <c r="S1610" i="18"/>
  <c r="R1610" i="18"/>
  <c r="Q1610" i="18"/>
  <c r="S1492" i="18"/>
  <c r="R1492" i="18"/>
  <c r="Q1492" i="18"/>
  <c r="S1724" i="18"/>
  <c r="R1724" i="18"/>
  <c r="Q1724" i="18"/>
  <c r="Q1669" i="18"/>
  <c r="S1669" i="18"/>
  <c r="R1669" i="18"/>
  <c r="S1508" i="18"/>
  <c r="R1508" i="18"/>
  <c r="Q1508" i="18"/>
  <c r="R1731" i="18"/>
  <c r="Q1731" i="18"/>
  <c r="S1731" i="18"/>
  <c r="S1580" i="18"/>
  <c r="R1580" i="18"/>
  <c r="Q1580" i="18"/>
  <c r="S1526" i="18"/>
  <c r="R1526" i="18"/>
  <c r="Q1526" i="18"/>
  <c r="S1716" i="18"/>
  <c r="R1716" i="18"/>
  <c r="Q1716" i="18"/>
  <c r="Q1589" i="18"/>
  <c r="S1589" i="18"/>
  <c r="R1589" i="18"/>
  <c r="S1424" i="18"/>
  <c r="R1424" i="18"/>
  <c r="Q1424" i="18"/>
  <c r="S1408" i="18"/>
  <c r="R1408" i="18"/>
  <c r="Q1408" i="18"/>
  <c r="S1268" i="18"/>
  <c r="R1268" i="18"/>
  <c r="Q1268" i="18"/>
  <c r="Q1533" i="18"/>
  <c r="S1533" i="18"/>
  <c r="R1533" i="18"/>
  <c r="R1362" i="18"/>
  <c r="Q1362" i="18"/>
  <c r="S1362" i="18"/>
  <c r="S1332" i="18"/>
  <c r="R1332" i="18"/>
  <c r="Q1332" i="18"/>
  <c r="S1524" i="18"/>
  <c r="R1524" i="18"/>
  <c r="Q1524" i="18"/>
  <c r="S1347" i="18"/>
  <c r="R1347" i="18"/>
  <c r="Q1347" i="18"/>
  <c r="Q1581" i="18"/>
  <c r="S1581" i="18"/>
  <c r="R1581" i="18"/>
  <c r="S1336" i="18"/>
  <c r="R1336" i="18"/>
  <c r="Q1336" i="18"/>
  <c r="S1166" i="18"/>
  <c r="R1166" i="18"/>
  <c r="Q1166" i="18"/>
  <c r="S1017" i="18"/>
  <c r="R1017" i="18"/>
  <c r="Q1017" i="18"/>
  <c r="S1340" i="18"/>
  <c r="R1340" i="18"/>
  <c r="Q1340" i="18"/>
  <c r="Q1005" i="18"/>
  <c r="S1005" i="18"/>
  <c r="R1005" i="18"/>
  <c r="S1587" i="18"/>
  <c r="R1587" i="18"/>
  <c r="Q1587" i="18"/>
  <c r="Q1125" i="18"/>
  <c r="S1125" i="18"/>
  <c r="R1125" i="18"/>
  <c r="S920" i="18"/>
  <c r="R920" i="18"/>
  <c r="Q920" i="18"/>
  <c r="S1260" i="18"/>
  <c r="R1260" i="18"/>
  <c r="Q1260" i="18"/>
  <c r="S960" i="18"/>
  <c r="R960" i="18"/>
  <c r="Q960" i="18"/>
  <c r="S1388" i="18"/>
  <c r="R1388" i="18"/>
  <c r="Q1388" i="18"/>
  <c r="S1028" i="18"/>
  <c r="R1028" i="18"/>
  <c r="Q1028" i="18"/>
  <c r="S1540" i="18"/>
  <c r="R1540" i="18"/>
  <c r="Q1540" i="18"/>
  <c r="S1040" i="18"/>
  <c r="R1040" i="18"/>
  <c r="Q1040" i="18"/>
  <c r="S823" i="18"/>
  <c r="R823" i="18"/>
  <c r="Q823" i="18"/>
  <c r="R580" i="18"/>
  <c r="Q580" i="18"/>
  <c r="S580" i="18"/>
  <c r="S1308" i="18"/>
  <c r="R1308" i="18"/>
  <c r="Q1308" i="18"/>
  <c r="S818" i="18"/>
  <c r="R818" i="18"/>
  <c r="Q818" i="18"/>
  <c r="S647" i="18"/>
  <c r="R647" i="18"/>
  <c r="Q647" i="18"/>
  <c r="S1236" i="18"/>
  <c r="R1236" i="18"/>
  <c r="Q1236" i="18"/>
  <c r="S530" i="18"/>
  <c r="R530" i="18"/>
  <c r="Q530" i="18"/>
  <c r="P751" i="18"/>
  <c r="P748" i="18"/>
  <c r="S747" i="18"/>
  <c r="P750" i="18"/>
  <c r="R747" i="18"/>
  <c r="Q747" i="18"/>
  <c r="P752" i="18"/>
  <c r="P749" i="18"/>
  <c r="S1364" i="18"/>
  <c r="R1364" i="18"/>
  <c r="Q1364" i="18"/>
  <c r="R593" i="18"/>
  <c r="Q593" i="18"/>
  <c r="P596" i="18"/>
  <c r="P595" i="18"/>
  <c r="P594" i="18"/>
  <c r="S593" i="18"/>
  <c r="Q1293" i="18"/>
  <c r="S1293" i="18"/>
  <c r="R1293" i="18"/>
  <c r="S215" i="18"/>
  <c r="R215" i="18"/>
  <c r="Q215" i="18"/>
  <c r="S134" i="18"/>
  <c r="R134" i="18"/>
  <c r="Q134" i="18"/>
  <c r="S132" i="18"/>
  <c r="R132" i="18"/>
  <c r="Q132" i="18"/>
  <c r="R291" i="18"/>
  <c r="Q291" i="18"/>
  <c r="P293" i="18"/>
  <c r="P292" i="18"/>
  <c r="S291" i="18"/>
  <c r="S210" i="18"/>
  <c r="R210" i="18"/>
  <c r="Q210" i="18"/>
  <c r="S247" i="18"/>
  <c r="R247" i="18"/>
  <c r="Q247" i="18"/>
  <c r="R2419" i="18"/>
  <c r="P2424" i="18"/>
  <c r="Q2419" i="18"/>
  <c r="P2421" i="18"/>
  <c r="P2423" i="18"/>
  <c r="P2420" i="18"/>
  <c r="P2422" i="18"/>
  <c r="S2419" i="18"/>
  <c r="P2055" i="18"/>
  <c r="P2057" i="18"/>
  <c r="P2054" i="18"/>
  <c r="P2056" i="18"/>
  <c r="S2053" i="18"/>
  <c r="R2053" i="18"/>
  <c r="Q2053" i="18"/>
  <c r="Q1541" i="18"/>
  <c r="S1541" i="18"/>
  <c r="R1541" i="18"/>
  <c r="Q1413" i="18"/>
  <c r="S1413" i="18"/>
  <c r="R1413" i="18"/>
  <c r="Q1349" i="18"/>
  <c r="S1349" i="18"/>
  <c r="R1349" i="18"/>
  <c r="Q1269" i="18"/>
  <c r="S1269" i="18"/>
  <c r="R1269" i="18"/>
  <c r="Q1205" i="18"/>
  <c r="S1205" i="18"/>
  <c r="R1205" i="18"/>
  <c r="Q917" i="18"/>
  <c r="S917" i="18"/>
  <c r="R917" i="18"/>
  <c r="S46" i="18"/>
  <c r="R46" i="18"/>
  <c r="Q46" i="18"/>
  <c r="S2498" i="18"/>
  <c r="R2498" i="18"/>
  <c r="Q2498" i="18"/>
  <c r="P2006" i="18"/>
  <c r="P2005" i="18"/>
  <c r="S2004" i="18"/>
  <c r="R2004" i="18"/>
  <c r="P2007" i="18"/>
  <c r="Q2004" i="18"/>
  <c r="S1884" i="18"/>
  <c r="R1884" i="18"/>
  <c r="P1887" i="18"/>
  <c r="Q1884" i="18"/>
  <c r="P1886" i="18"/>
  <c r="P1885" i="18"/>
  <c r="S1676" i="18"/>
  <c r="R1676" i="18"/>
  <c r="Q1676" i="18"/>
  <c r="S1132" i="18"/>
  <c r="R1132" i="18"/>
  <c r="Q1132" i="18"/>
  <c r="S1068" i="18"/>
  <c r="R1068" i="18"/>
  <c r="Q1068" i="18"/>
  <c r="S886" i="18"/>
  <c r="R886" i="18"/>
  <c r="Q886" i="18"/>
  <c r="Q562" i="18"/>
  <c r="S562" i="18"/>
  <c r="R562" i="18"/>
  <c r="S246" i="18"/>
  <c r="R246" i="18"/>
  <c r="Q246" i="18"/>
  <c r="R1608" i="18"/>
  <c r="Q1608" i="18"/>
  <c r="S1608" i="18"/>
  <c r="P2003" i="18"/>
  <c r="Q2000" i="18"/>
  <c r="P2002" i="18"/>
  <c r="P2001" i="18"/>
  <c r="S2000" i="18"/>
  <c r="R2000" i="18"/>
  <c r="S1632" i="18"/>
  <c r="R1632" i="18"/>
  <c r="Q1632" i="18"/>
  <c r="S1488" i="18"/>
  <c r="R1488" i="18"/>
  <c r="Q1488" i="18"/>
  <c r="S1368" i="18"/>
  <c r="R1368" i="18"/>
  <c r="Q1368" i="18"/>
  <c r="S1232" i="18"/>
  <c r="R1232" i="18"/>
  <c r="Q1232" i="18"/>
  <c r="S1136" i="18"/>
  <c r="R1136" i="18"/>
  <c r="Q1136" i="18"/>
  <c r="S1072" i="18"/>
  <c r="R1072" i="18"/>
  <c r="Q1072" i="18"/>
  <c r="S976" i="18"/>
  <c r="R976" i="18"/>
  <c r="Q976" i="18"/>
  <c r="S906" i="18"/>
  <c r="R906" i="18"/>
  <c r="Q906" i="18"/>
  <c r="P485" i="18"/>
  <c r="P481" i="18"/>
  <c r="S480" i="18"/>
  <c r="P484" i="18"/>
  <c r="R480" i="18"/>
  <c r="P483" i="18"/>
  <c r="Q480" i="18"/>
  <c r="P482" i="18"/>
  <c r="S98" i="18"/>
  <c r="R98" i="18"/>
  <c r="Q98" i="18"/>
  <c r="S683" i="18"/>
  <c r="R683" i="18"/>
  <c r="Q683" i="18"/>
  <c r="S527" i="18"/>
  <c r="R527" i="18"/>
  <c r="Q527" i="18"/>
  <c r="S24" i="18"/>
  <c r="R24" i="18"/>
  <c r="Q24" i="18"/>
  <c r="R2489" i="18"/>
  <c r="Q2489" i="18"/>
  <c r="S2489" i="18"/>
  <c r="Q31" i="18"/>
  <c r="S31" i="18"/>
  <c r="R31" i="18"/>
  <c r="S2534" i="18"/>
  <c r="R2534" i="18"/>
  <c r="Q2534" i="18"/>
  <c r="P159" i="18"/>
  <c r="P158" i="18"/>
  <c r="S157" i="18"/>
  <c r="R157" i="18"/>
  <c r="Q157" i="18"/>
  <c r="Q52" i="18"/>
  <c r="S52" i="18"/>
  <c r="R52" i="18"/>
  <c r="S121" i="18"/>
  <c r="R121" i="18"/>
  <c r="Q121" i="18"/>
  <c r="S901" i="18"/>
  <c r="R901" i="18"/>
  <c r="Q901" i="18"/>
  <c r="S1558" i="18"/>
  <c r="R1558" i="18"/>
  <c r="Q1558" i="18"/>
  <c r="S1471" i="18"/>
  <c r="R1471" i="18"/>
  <c r="Q1471" i="18"/>
  <c r="S1355" i="18"/>
  <c r="R1355" i="18"/>
  <c r="Q1355" i="18"/>
  <c r="S1267" i="18"/>
  <c r="R1267" i="18"/>
  <c r="Q1267" i="18"/>
  <c r="S1209" i="18"/>
  <c r="R1209" i="18"/>
  <c r="Q1209" i="18"/>
  <c r="S1183" i="18"/>
  <c r="R1183" i="18"/>
  <c r="Q1183" i="18"/>
  <c r="S1022" i="18"/>
  <c r="R1022" i="18"/>
  <c r="Q1022" i="18"/>
  <c r="S963" i="18"/>
  <c r="R963" i="18"/>
  <c r="Q963" i="18"/>
  <c r="S931" i="18"/>
  <c r="R931" i="18"/>
  <c r="Q931" i="18"/>
  <c r="Q828" i="18"/>
  <c r="S828" i="18"/>
  <c r="R828" i="18"/>
  <c r="R693" i="18"/>
  <c r="Q693" i="18"/>
  <c r="S693" i="18"/>
  <c r="S630" i="18"/>
  <c r="R630" i="18"/>
  <c r="Q630" i="18"/>
  <c r="Q567" i="18"/>
  <c r="S567" i="18"/>
  <c r="R567" i="18"/>
  <c r="S2546" i="18"/>
  <c r="R2546" i="18"/>
  <c r="Q2546" i="18"/>
  <c r="R962" i="18"/>
  <c r="Q962" i="18"/>
  <c r="S962" i="18"/>
  <c r="R930" i="18"/>
  <c r="Q930" i="18"/>
  <c r="S930" i="18"/>
  <c r="S845" i="18"/>
  <c r="R845" i="18"/>
  <c r="Q845" i="18"/>
  <c r="S816" i="18"/>
  <c r="R816" i="18"/>
  <c r="Q816" i="18"/>
  <c r="S2522" i="18"/>
  <c r="R2522" i="18"/>
  <c r="Q2522" i="18"/>
  <c r="S1419" i="18"/>
  <c r="R1419" i="18"/>
  <c r="Q1419" i="18"/>
  <c r="S1303" i="18"/>
  <c r="R1303" i="18"/>
  <c r="Q1303" i="18"/>
  <c r="R1122" i="18"/>
  <c r="Q1122" i="18"/>
  <c r="S1122" i="18"/>
  <c r="S1086" i="18"/>
  <c r="R1086" i="18"/>
  <c r="Q1086" i="18"/>
  <c r="R1058" i="18"/>
  <c r="Q1058" i="18"/>
  <c r="S1058" i="18"/>
  <c r="S893" i="18"/>
  <c r="R893" i="18"/>
  <c r="Q893" i="18"/>
  <c r="R597" i="18"/>
  <c r="Q597" i="18"/>
  <c r="S597" i="18"/>
  <c r="P534" i="18"/>
  <c r="S533" i="18"/>
  <c r="P537" i="18"/>
  <c r="R533" i="18"/>
  <c r="Q533" i="18"/>
  <c r="P536" i="18"/>
  <c r="P535" i="18"/>
  <c r="P1832" i="18"/>
  <c r="S1831" i="18"/>
  <c r="R1831" i="18"/>
  <c r="P1834" i="18"/>
  <c r="Q1831" i="18"/>
  <c r="P1833" i="18"/>
  <c r="P1800" i="18"/>
  <c r="S1799" i="18"/>
  <c r="R1799" i="18"/>
  <c r="P1802" i="18"/>
  <c r="Q1799" i="18"/>
  <c r="P1801" i="18"/>
  <c r="S1767" i="18"/>
  <c r="R1767" i="18"/>
  <c r="Q1767" i="18"/>
  <c r="S1735" i="18"/>
  <c r="R1735" i="18"/>
  <c r="Q1735" i="18"/>
  <c r="S1577" i="18"/>
  <c r="R1577" i="18"/>
  <c r="Q1577" i="18"/>
  <c r="R1418" i="18"/>
  <c r="Q1418" i="18"/>
  <c r="S1418" i="18"/>
  <c r="S1271" i="18"/>
  <c r="R1271" i="18"/>
  <c r="Q1271" i="18"/>
  <c r="S1187" i="18"/>
  <c r="R1187" i="18"/>
  <c r="Q1187" i="18"/>
  <c r="S1099" i="18"/>
  <c r="R1099" i="18"/>
  <c r="Q1099" i="18"/>
  <c r="S915" i="18"/>
  <c r="R915" i="18"/>
  <c r="Q915" i="18"/>
  <c r="S1497" i="18"/>
  <c r="R1497" i="18"/>
  <c r="Q1497" i="18"/>
  <c r="S1411" i="18"/>
  <c r="R1411" i="18"/>
  <c r="Q1411" i="18"/>
  <c r="S1257" i="18"/>
  <c r="R1257" i="18"/>
  <c r="Q1257" i="18"/>
  <c r="S1225" i="18"/>
  <c r="R1225" i="18"/>
  <c r="Q1225" i="18"/>
  <c r="S1193" i="18"/>
  <c r="R1193" i="18"/>
  <c r="Q1193" i="18"/>
  <c r="S1161" i="18"/>
  <c r="R1161" i="18"/>
  <c r="Q1161" i="18"/>
  <c r="S1134" i="18"/>
  <c r="R1134" i="18"/>
  <c r="Q1134" i="18"/>
  <c r="R1106" i="18"/>
  <c r="Q1106" i="18"/>
  <c r="S1106" i="18"/>
  <c r="S1070" i="18"/>
  <c r="R1070" i="18"/>
  <c r="Q1070" i="18"/>
  <c r="R1042" i="18"/>
  <c r="Q1042" i="18"/>
  <c r="S1042" i="18"/>
  <c r="S974" i="18"/>
  <c r="R974" i="18"/>
  <c r="Q974" i="18"/>
  <c r="S663" i="18"/>
  <c r="R663" i="18"/>
  <c r="Q663" i="18"/>
  <c r="R2497" i="18"/>
  <c r="Q2497" i="18"/>
  <c r="S2497" i="18"/>
  <c r="P2404" i="18"/>
  <c r="S2403" i="18"/>
  <c r="R2403" i="18"/>
  <c r="Q2403" i="18"/>
  <c r="P2406" i="18"/>
  <c r="P2405" i="18"/>
  <c r="S1511" i="18"/>
  <c r="R1511" i="18"/>
  <c r="Q1511" i="18"/>
  <c r="S1391" i="18"/>
  <c r="R1391" i="18"/>
  <c r="Q1391" i="18"/>
  <c r="S1275" i="18"/>
  <c r="R1275" i="18"/>
  <c r="Q1275" i="18"/>
  <c r="R1010" i="18"/>
  <c r="Q1010" i="18"/>
  <c r="S1010" i="18"/>
  <c r="R841" i="18"/>
  <c r="Q841" i="18"/>
  <c r="S841" i="18"/>
  <c r="S2541" i="18"/>
  <c r="R2541" i="18"/>
  <c r="Q2541" i="18"/>
  <c r="P2266" i="18"/>
  <c r="S2265" i="18"/>
  <c r="P2268" i="18"/>
  <c r="R2265" i="18"/>
  <c r="Q2265" i="18"/>
  <c r="P2267" i="18"/>
  <c r="S1575" i="18"/>
  <c r="R1575" i="18"/>
  <c r="Q1575" i="18"/>
  <c r="S979" i="18"/>
  <c r="R979" i="18"/>
  <c r="Q979" i="18"/>
  <c r="S945" i="18"/>
  <c r="R945" i="18"/>
  <c r="Q945" i="18"/>
  <c r="S919" i="18"/>
  <c r="R919" i="18"/>
  <c r="Q919" i="18"/>
  <c r="S731" i="18"/>
  <c r="R731" i="18"/>
  <c r="Q731" i="18"/>
  <c r="Q301" i="18"/>
  <c r="S301" i="18"/>
  <c r="R301" i="18"/>
  <c r="R287" i="18"/>
  <c r="S287" i="18"/>
  <c r="Q287" i="18"/>
  <c r="Q478" i="18"/>
  <c r="R478" i="18"/>
  <c r="S478" i="18"/>
  <c r="S743" i="18"/>
  <c r="R743" i="18"/>
  <c r="Q743" i="18"/>
  <c r="R349" i="18"/>
  <c r="S349" i="18"/>
  <c r="Q349" i="18"/>
  <c r="R181" i="18"/>
  <c r="Q181" i="18"/>
  <c r="S181" i="18"/>
  <c r="R166" i="18"/>
  <c r="S166" i="18"/>
  <c r="Q166" i="18"/>
  <c r="S338" i="18"/>
  <c r="R338" i="18"/>
  <c r="Q338" i="18"/>
  <c r="Q397" i="18"/>
  <c r="S397" i="18"/>
  <c r="R397" i="18"/>
  <c r="M323" i="18"/>
  <c r="M365" i="18"/>
  <c r="N365" i="18" s="1"/>
  <c r="M359" i="18"/>
  <c r="N359" i="18" s="1"/>
  <c r="M473" i="18"/>
  <c r="N473" i="18" s="1"/>
  <c r="M431" i="18"/>
  <c r="N431" i="18" s="1"/>
  <c r="M296" i="18"/>
  <c r="N296" i="18" s="1"/>
  <c r="M701" i="18"/>
  <c r="N701" i="18" s="1"/>
  <c r="M347" i="18"/>
  <c r="N347" i="18" s="1"/>
  <c r="M371" i="18"/>
  <c r="N371" i="18" s="1"/>
  <c r="M278" i="18"/>
  <c r="N278" i="18" s="1"/>
  <c r="M503" i="18"/>
  <c r="N503" i="18" s="1"/>
  <c r="M284" i="18"/>
  <c r="N284" i="18" s="1"/>
  <c r="M260" i="18"/>
  <c r="N260" i="18" s="1"/>
  <c r="M699" i="18"/>
  <c r="M401" i="18"/>
  <c r="M353" i="18"/>
  <c r="M697" i="18"/>
  <c r="N697" i="18" s="1"/>
  <c r="M231" i="18"/>
  <c r="N231" i="18" s="1"/>
  <c r="M305" i="18"/>
  <c r="N305" i="18" s="1"/>
  <c r="M281" i="18"/>
  <c r="N281" i="18" s="1"/>
  <c r="M497" i="18"/>
  <c r="M329" i="18"/>
  <c r="N329" i="18" s="1"/>
  <c r="M485" i="18"/>
  <c r="N485" i="18" s="1"/>
  <c r="M377" i="18"/>
  <c r="N377" i="18" s="1"/>
  <c r="R541" i="18" l="1"/>
  <c r="Q541" i="18"/>
  <c r="N699" i="18"/>
  <c r="N323" i="18"/>
  <c r="N497" i="18"/>
  <c r="N353" i="18"/>
  <c r="N401" i="18"/>
  <c r="R302" i="18"/>
  <c r="Q341" i="18"/>
  <c r="R710" i="18"/>
  <c r="R278" i="18"/>
  <c r="S740" i="18"/>
  <c r="R479" i="18"/>
  <c r="R275" i="18"/>
  <c r="S275" i="18"/>
  <c r="Q275" i="18"/>
  <c r="R535" i="18"/>
  <c r="S535" i="18"/>
  <c r="Q535" i="18"/>
  <c r="R484" i="18"/>
  <c r="S484" i="18"/>
  <c r="Q484" i="18"/>
  <c r="S2002" i="18"/>
  <c r="R2002" i="18"/>
  <c r="Q2002" i="18"/>
  <c r="S2056" i="18"/>
  <c r="R2056" i="18"/>
  <c r="Q2056" i="18"/>
  <c r="S2421" i="18"/>
  <c r="R2421" i="18"/>
  <c r="Q2421" i="18"/>
  <c r="S595" i="18"/>
  <c r="R595" i="18"/>
  <c r="Q595" i="18"/>
  <c r="S752" i="18"/>
  <c r="R752" i="18"/>
  <c r="Q752" i="18"/>
  <c r="S322" i="18"/>
  <c r="Q322" i="18"/>
  <c r="R322" i="18"/>
  <c r="R2018" i="18"/>
  <c r="Q2018" i="18"/>
  <c r="S2018" i="18"/>
  <c r="S2090" i="18"/>
  <c r="R2090" i="18"/>
  <c r="Q2090" i="18"/>
  <c r="S2330" i="18"/>
  <c r="R2330" i="18"/>
  <c r="Q2330" i="18"/>
  <c r="S341" i="18"/>
  <c r="S2460" i="18"/>
  <c r="Q2460" i="18"/>
  <c r="R2460" i="18"/>
  <c r="S269" i="18"/>
  <c r="R269" i="18"/>
  <c r="Q269" i="18"/>
  <c r="R1850" i="18"/>
  <c r="S1850" i="18"/>
  <c r="Q1850" i="18"/>
  <c r="Q2013" i="18"/>
  <c r="S2013" i="18"/>
  <c r="R2013" i="18"/>
  <c r="R2445" i="18"/>
  <c r="S2445" i="18"/>
  <c r="Q2445" i="18"/>
  <c r="Q326" i="18"/>
  <c r="R326" i="18"/>
  <c r="S326" i="18"/>
  <c r="Q2270" i="18"/>
  <c r="S2270" i="18"/>
  <c r="R2270" i="18"/>
  <c r="S610" i="18"/>
  <c r="R610" i="18"/>
  <c r="Q610" i="18"/>
  <c r="S1906" i="18"/>
  <c r="R1906" i="18"/>
  <c r="Q1906" i="18"/>
  <c r="S2102" i="18"/>
  <c r="R2102" i="18"/>
  <c r="Q2102" i="18"/>
  <c r="S174" i="18"/>
  <c r="Q174" i="18"/>
  <c r="R174" i="18"/>
  <c r="S1843" i="18"/>
  <c r="R1843" i="18"/>
  <c r="Q1843" i="18"/>
  <c r="Q2128" i="18"/>
  <c r="S2128" i="18"/>
  <c r="R2128" i="18"/>
  <c r="R511" i="18"/>
  <c r="S511" i="18"/>
  <c r="Q511" i="18"/>
  <c r="Q2342" i="18"/>
  <c r="S2342" i="18"/>
  <c r="R2342" i="18"/>
  <c r="S1873" i="18"/>
  <c r="R1873" i="18"/>
  <c r="Q1873" i="18"/>
  <c r="Q370" i="18"/>
  <c r="S370" i="18"/>
  <c r="R370" i="18"/>
  <c r="R675" i="18"/>
  <c r="S675" i="18"/>
  <c r="Q675" i="18"/>
  <c r="S2029" i="18"/>
  <c r="Q2029" i="18"/>
  <c r="R2029" i="18"/>
  <c r="S343" i="18"/>
  <c r="R343" i="18"/>
  <c r="Q343" i="18"/>
  <c r="R333" i="18"/>
  <c r="Q333" i="18"/>
  <c r="S333" i="18"/>
  <c r="S1806" i="18"/>
  <c r="R1806" i="18"/>
  <c r="Q1806" i="18"/>
  <c r="S606" i="18"/>
  <c r="Q606" i="18"/>
  <c r="R606" i="18"/>
  <c r="S1933" i="18"/>
  <c r="R1933" i="18"/>
  <c r="Q1933" i="18"/>
  <c r="Q2145" i="18"/>
  <c r="S2145" i="18"/>
  <c r="R2145" i="18"/>
  <c r="S2112" i="18"/>
  <c r="Q2112" i="18"/>
  <c r="R2112" i="18"/>
  <c r="S1784" i="18"/>
  <c r="R1784" i="18"/>
  <c r="Q1784" i="18"/>
  <c r="R2282" i="18"/>
  <c r="Q2282" i="18"/>
  <c r="S2282" i="18"/>
  <c r="Q764" i="18"/>
  <c r="S2432" i="18"/>
  <c r="Q2432" i="18"/>
  <c r="R2432" i="18"/>
  <c r="S2314" i="18"/>
  <c r="R2314" i="18"/>
  <c r="Q2314" i="18"/>
  <c r="R195" i="18"/>
  <c r="S195" i="18"/>
  <c r="Q195" i="18"/>
  <c r="R1921" i="18"/>
  <c r="S1921" i="18"/>
  <c r="Q1921" i="18"/>
  <c r="Q2038" i="18"/>
  <c r="S2038" i="18"/>
  <c r="R2038" i="18"/>
  <c r="R495" i="18"/>
  <c r="S495" i="18"/>
  <c r="Q495" i="18"/>
  <c r="S861" i="18"/>
  <c r="R861" i="18"/>
  <c r="Q861" i="18"/>
  <c r="Q364" i="18"/>
  <c r="R364" i="18"/>
  <c r="S364" i="18"/>
  <c r="S2167" i="18"/>
  <c r="R2167" i="18"/>
  <c r="Q2167" i="18"/>
  <c r="R721" i="18"/>
  <c r="S721" i="18"/>
  <c r="Q721" i="18"/>
  <c r="S2264" i="18"/>
  <c r="Q2264" i="18"/>
  <c r="R2264" i="18"/>
  <c r="R2378" i="18"/>
  <c r="S2378" i="18"/>
  <c r="Q2378" i="18"/>
  <c r="Q2394" i="18"/>
  <c r="S2394" i="18"/>
  <c r="R2394" i="18"/>
  <c r="S2438" i="18"/>
  <c r="R2438" i="18"/>
  <c r="Q2438" i="18"/>
  <c r="R2450" i="18"/>
  <c r="S2450" i="18"/>
  <c r="Q2450" i="18"/>
  <c r="S2321" i="18"/>
  <c r="R2321" i="18"/>
  <c r="Q2321" i="18"/>
  <c r="Q2230" i="18"/>
  <c r="S2230" i="18"/>
  <c r="R2230" i="18"/>
  <c r="S2349" i="18"/>
  <c r="R2349" i="18"/>
  <c r="Q2349" i="18"/>
  <c r="S2241" i="18"/>
  <c r="R2241" i="18"/>
  <c r="Q2241" i="18"/>
  <c r="S473" i="18"/>
  <c r="R473" i="18"/>
  <c r="Q473" i="18"/>
  <c r="R2296" i="18"/>
  <c r="Q2296" i="18"/>
  <c r="S2296" i="18"/>
  <c r="R126" i="18"/>
  <c r="S126" i="18"/>
  <c r="Q126" i="18"/>
  <c r="S856" i="18"/>
  <c r="R856" i="18"/>
  <c r="Q856" i="18"/>
  <c r="S1898" i="18"/>
  <c r="R1898" i="18"/>
  <c r="Q1898" i="18"/>
  <c r="R1741" i="18"/>
  <c r="S1741" i="18"/>
  <c r="Q1741" i="18"/>
  <c r="S2386" i="18"/>
  <c r="Q2386" i="18"/>
  <c r="R2386" i="18"/>
  <c r="Q1965" i="18"/>
  <c r="S1965" i="18"/>
  <c r="R1965" i="18"/>
  <c r="S1814" i="18"/>
  <c r="R1814" i="18"/>
  <c r="Q1814" i="18"/>
  <c r="S2332" i="18"/>
  <c r="R2332" i="18"/>
  <c r="Q2332" i="18"/>
  <c r="Q1635" i="18"/>
  <c r="R1635" i="18"/>
  <c r="S1635" i="18"/>
  <c r="Q2344" i="18"/>
  <c r="R2344" i="18"/>
  <c r="S2344" i="18"/>
  <c r="S2429" i="18"/>
  <c r="R2429" i="18"/>
  <c r="Q2429" i="18"/>
  <c r="R1957" i="18"/>
  <c r="S1957" i="18"/>
  <c r="Q1957" i="18"/>
  <c r="R171" i="18"/>
  <c r="S171" i="18"/>
  <c r="Q171" i="18"/>
  <c r="R175" i="18"/>
  <c r="S175" i="18"/>
  <c r="Q175" i="18"/>
  <c r="Q712" i="18"/>
  <c r="R712" i="18"/>
  <c r="S712" i="18"/>
  <c r="S508" i="18"/>
  <c r="R508" i="18"/>
  <c r="Q508" i="18"/>
  <c r="S772" i="18"/>
  <c r="R772" i="18"/>
  <c r="Q772" i="18"/>
  <c r="S1982" i="18"/>
  <c r="Q1982" i="18"/>
  <c r="R1982" i="18"/>
  <c r="R2134" i="18"/>
  <c r="S2134" i="18"/>
  <c r="Q2134" i="18"/>
  <c r="S2185" i="18"/>
  <c r="R2185" i="18"/>
  <c r="Q2185" i="18"/>
  <c r="R2137" i="18"/>
  <c r="Q2137" i="18"/>
  <c r="S2137" i="18"/>
  <c r="S356" i="18"/>
  <c r="Q356" i="18"/>
  <c r="R356" i="18"/>
  <c r="S1995" i="18"/>
  <c r="R1995" i="18"/>
  <c r="Q1995" i="18"/>
  <c r="S278" i="18"/>
  <c r="R1793" i="18"/>
  <c r="S1793" i="18"/>
  <c r="Q1793" i="18"/>
  <c r="R2124" i="18"/>
  <c r="S2124" i="18"/>
  <c r="Q2124" i="18"/>
  <c r="Q2196" i="18"/>
  <c r="R2196" i="18"/>
  <c r="S2196" i="18"/>
  <c r="R2397" i="18"/>
  <c r="Q2397" i="18"/>
  <c r="S2397" i="18"/>
  <c r="R2388" i="18"/>
  <c r="Q2388" i="18"/>
  <c r="S2388" i="18"/>
  <c r="S2069" i="18"/>
  <c r="R2069" i="18"/>
  <c r="Q2069" i="18"/>
  <c r="S302" i="18"/>
  <c r="S2268" i="18"/>
  <c r="R2268" i="18"/>
  <c r="Q2268" i="18"/>
  <c r="Q1802" i="18"/>
  <c r="S1802" i="18"/>
  <c r="R1802" i="18"/>
  <c r="S536" i="18"/>
  <c r="Q536" i="18"/>
  <c r="R536" i="18"/>
  <c r="S158" i="18"/>
  <c r="R158" i="18"/>
  <c r="Q158" i="18"/>
  <c r="R2054" i="18"/>
  <c r="S2054" i="18"/>
  <c r="Q2054" i="18"/>
  <c r="S596" i="18"/>
  <c r="Q596" i="18"/>
  <c r="R596" i="18"/>
  <c r="Q2247" i="18"/>
  <c r="S2247" i="18"/>
  <c r="R2247" i="18"/>
  <c r="S320" i="18"/>
  <c r="R320" i="18"/>
  <c r="Q320" i="18"/>
  <c r="S1645" i="18"/>
  <c r="R1645" i="18"/>
  <c r="Q1645" i="18"/>
  <c r="S1828" i="18"/>
  <c r="R1828" i="18"/>
  <c r="Q1828" i="18"/>
  <c r="S2116" i="18"/>
  <c r="Q2116" i="18"/>
  <c r="R2116" i="18"/>
  <c r="R2458" i="18"/>
  <c r="S2458" i="18"/>
  <c r="Q2458" i="18"/>
  <c r="S2218" i="18"/>
  <c r="R2218" i="18"/>
  <c r="Q2218" i="18"/>
  <c r="R2303" i="18"/>
  <c r="S2303" i="18"/>
  <c r="Q2303" i="18"/>
  <c r="R2025" i="18"/>
  <c r="S2025" i="18"/>
  <c r="Q2025" i="18"/>
  <c r="S315" i="18"/>
  <c r="R315" i="18"/>
  <c r="Q315" i="18"/>
  <c r="S2276" i="18"/>
  <c r="R2276" i="18"/>
  <c r="Q2276" i="18"/>
  <c r="S611" i="18"/>
  <c r="R611" i="18"/>
  <c r="Q611" i="18"/>
  <c r="S2099" i="18"/>
  <c r="R2099" i="18"/>
  <c r="Q2099" i="18"/>
  <c r="Q2256" i="18"/>
  <c r="S2256" i="18"/>
  <c r="R2256" i="18"/>
  <c r="Q202" i="18"/>
  <c r="R202" i="18"/>
  <c r="S202" i="18"/>
  <c r="S1841" i="18"/>
  <c r="R1841" i="18"/>
  <c r="Q1841" i="18"/>
  <c r="S2129" i="18"/>
  <c r="Q2129" i="18"/>
  <c r="R2129" i="18"/>
  <c r="S512" i="18"/>
  <c r="Q512" i="18"/>
  <c r="R512" i="18"/>
  <c r="Q1687" i="18"/>
  <c r="S1687" i="18"/>
  <c r="R1687" i="18"/>
  <c r="S1874" i="18"/>
  <c r="R1874" i="18"/>
  <c r="Q1874" i="18"/>
  <c r="R676" i="18"/>
  <c r="Q676" i="18"/>
  <c r="S676" i="18"/>
  <c r="S2030" i="18"/>
  <c r="R2030" i="18"/>
  <c r="Q2030" i="18"/>
  <c r="R344" i="18"/>
  <c r="S344" i="18"/>
  <c r="Q344" i="18"/>
  <c r="S1836" i="18"/>
  <c r="R1836" i="18"/>
  <c r="Q1836" i="18"/>
  <c r="S1934" i="18"/>
  <c r="R1934" i="18"/>
  <c r="Q1934" i="18"/>
  <c r="S2309" i="18"/>
  <c r="R2309" i="18"/>
  <c r="Q2309" i="18"/>
  <c r="S764" i="18"/>
  <c r="S2360" i="18"/>
  <c r="Q2360" i="18"/>
  <c r="R2360" i="18"/>
  <c r="S2433" i="18"/>
  <c r="R2433" i="18"/>
  <c r="Q2433" i="18"/>
  <c r="R2213" i="18"/>
  <c r="S2213" i="18"/>
  <c r="Q2213" i="18"/>
  <c r="R196" i="18"/>
  <c r="Q196" i="18"/>
  <c r="S196" i="18"/>
  <c r="R191" i="18"/>
  <c r="Q191" i="18"/>
  <c r="S191" i="18"/>
  <c r="Q365" i="18"/>
  <c r="S365" i="18"/>
  <c r="R365" i="18"/>
  <c r="S2170" i="18"/>
  <c r="R2170" i="18"/>
  <c r="Q2170" i="18"/>
  <c r="R260" i="18"/>
  <c r="S260" i="18"/>
  <c r="Q260" i="18"/>
  <c r="Q2043" i="18"/>
  <c r="S2043" i="18"/>
  <c r="R2043" i="18"/>
  <c r="R2440" i="18"/>
  <c r="S2440" i="18"/>
  <c r="Q2440" i="18"/>
  <c r="Q2454" i="18"/>
  <c r="S2454" i="18"/>
  <c r="R2454" i="18"/>
  <c r="S2319" i="18"/>
  <c r="R2319" i="18"/>
  <c r="Q2319" i="18"/>
  <c r="S2141" i="18"/>
  <c r="Q2141" i="18"/>
  <c r="R2141" i="18"/>
  <c r="R2243" i="18"/>
  <c r="Q2243" i="18"/>
  <c r="S2243" i="18"/>
  <c r="S470" i="18"/>
  <c r="R470" i="18"/>
  <c r="Q470" i="18"/>
  <c r="S1847" i="18"/>
  <c r="R1847" i="18"/>
  <c r="Q1847" i="18"/>
  <c r="S2294" i="18"/>
  <c r="R2294" i="18"/>
  <c r="Q2294" i="18"/>
  <c r="Q857" i="18"/>
  <c r="S857" i="18"/>
  <c r="R857" i="18"/>
  <c r="Q518" i="18"/>
  <c r="S518" i="18"/>
  <c r="R518" i="18"/>
  <c r="R1899" i="18"/>
  <c r="S1899" i="18"/>
  <c r="Q1899" i="18"/>
  <c r="S1742" i="18"/>
  <c r="R1742" i="18"/>
  <c r="Q1742" i="18"/>
  <c r="R2156" i="18"/>
  <c r="S2156" i="18"/>
  <c r="Q2156" i="18"/>
  <c r="R265" i="18"/>
  <c r="S265" i="18"/>
  <c r="Q265" i="18"/>
  <c r="Q734" i="18"/>
  <c r="R1808" i="18"/>
  <c r="S1808" i="18"/>
  <c r="Q1808" i="18"/>
  <c r="S1648" i="18"/>
  <c r="R1648" i="18"/>
  <c r="Q1648" i="18"/>
  <c r="S2345" i="18"/>
  <c r="R2345" i="18"/>
  <c r="Q2345" i="18"/>
  <c r="S2427" i="18"/>
  <c r="Q2427" i="18"/>
  <c r="R2427" i="18"/>
  <c r="S502" i="18"/>
  <c r="Q502" i="18"/>
  <c r="R502" i="18"/>
  <c r="R1958" i="18"/>
  <c r="S1958" i="18"/>
  <c r="Q1958" i="18"/>
  <c r="S183" i="18"/>
  <c r="R183" i="18"/>
  <c r="Q183" i="18"/>
  <c r="S542" i="18"/>
  <c r="R542" i="18"/>
  <c r="Q542" i="18"/>
  <c r="R716" i="18"/>
  <c r="S716" i="18"/>
  <c r="Q716" i="18"/>
  <c r="R2163" i="18"/>
  <c r="S2163" i="18"/>
  <c r="Q2163" i="18"/>
  <c r="R2402" i="18"/>
  <c r="Q2402" i="18"/>
  <c r="S2402" i="18"/>
  <c r="R773" i="18"/>
  <c r="S773" i="18"/>
  <c r="Q773" i="18"/>
  <c r="R2138" i="18"/>
  <c r="Q2138" i="18"/>
  <c r="S2138" i="18"/>
  <c r="R1826" i="18"/>
  <c r="S1826" i="18"/>
  <c r="Q1826" i="18"/>
  <c r="S1738" i="18"/>
  <c r="R1738" i="18"/>
  <c r="Q1738" i="18"/>
  <c r="S2122" i="18"/>
  <c r="R2122" i="18"/>
  <c r="Q2122" i="18"/>
  <c r="S1796" i="18"/>
  <c r="R1796" i="18"/>
  <c r="Q1796" i="18"/>
  <c r="S2291" i="18"/>
  <c r="R2291" i="18"/>
  <c r="Q2291" i="18"/>
  <c r="S2326" i="18"/>
  <c r="R2326" i="18"/>
  <c r="Q2326" i="18"/>
  <c r="R2178" i="18"/>
  <c r="S2178" i="18"/>
  <c r="Q2178" i="18"/>
  <c r="S1651" i="18"/>
  <c r="R1651" i="18"/>
  <c r="Q1651" i="18"/>
  <c r="S1881" i="18"/>
  <c r="Q1881" i="18"/>
  <c r="R1881" i="18"/>
  <c r="S2071" i="18"/>
  <c r="R2071" i="18"/>
  <c r="Q2071" i="18"/>
  <c r="R2259" i="18"/>
  <c r="Q2259" i="18"/>
  <c r="S2259" i="18"/>
  <c r="R701" i="18"/>
  <c r="Q701" i="18"/>
  <c r="S701" i="18"/>
  <c r="S1832" i="18"/>
  <c r="R1832" i="18"/>
  <c r="Q1832" i="18"/>
  <c r="S159" i="18"/>
  <c r="R159" i="18"/>
  <c r="Q159" i="18"/>
  <c r="Q481" i="18"/>
  <c r="R481" i="18"/>
  <c r="S481" i="18"/>
  <c r="R2003" i="18"/>
  <c r="S2003" i="18"/>
  <c r="Q2003" i="18"/>
  <c r="S2007" i="18"/>
  <c r="Q2007" i="18"/>
  <c r="R2007" i="18"/>
  <c r="R2057" i="18"/>
  <c r="Q2057" i="18"/>
  <c r="S2057" i="18"/>
  <c r="Q2424" i="18"/>
  <c r="S2424" i="18"/>
  <c r="R2424" i="18"/>
  <c r="S1869" i="18"/>
  <c r="R1869" i="18"/>
  <c r="Q1869" i="18"/>
  <c r="S2120" i="18"/>
  <c r="R2120" i="18"/>
  <c r="Q2120" i="18"/>
  <c r="R2216" i="18"/>
  <c r="S2216" i="18"/>
  <c r="Q2216" i="18"/>
  <c r="R270" i="18"/>
  <c r="S270" i="18"/>
  <c r="Q270" i="18"/>
  <c r="R1851" i="18"/>
  <c r="Q1851" i="18"/>
  <c r="S1851" i="18"/>
  <c r="R2026" i="18"/>
  <c r="Q2026" i="18"/>
  <c r="S2026" i="18"/>
  <c r="S2096" i="18"/>
  <c r="R2096" i="18"/>
  <c r="Q2096" i="18"/>
  <c r="S1656" i="18"/>
  <c r="R1656" i="18"/>
  <c r="Q1656" i="18"/>
  <c r="R2271" i="18"/>
  <c r="Q2271" i="18"/>
  <c r="S2271" i="18"/>
  <c r="Q2100" i="18"/>
  <c r="S2100" i="18"/>
  <c r="R2100" i="18"/>
  <c r="Q2356" i="18"/>
  <c r="S2356" i="18"/>
  <c r="R2356" i="18"/>
  <c r="S2130" i="18"/>
  <c r="R2130" i="18"/>
  <c r="Q2130" i="18"/>
  <c r="S2077" i="18"/>
  <c r="R2077" i="18"/>
  <c r="Q2077" i="18"/>
  <c r="S2462" i="18"/>
  <c r="R2462" i="18"/>
  <c r="Q2462" i="18"/>
  <c r="S2035" i="18"/>
  <c r="R2035" i="18"/>
  <c r="Q2035" i="18"/>
  <c r="S367" i="18"/>
  <c r="Q367" i="18"/>
  <c r="R367" i="18"/>
  <c r="S2148" i="18"/>
  <c r="R2148" i="18"/>
  <c r="Q2148" i="18"/>
  <c r="S347" i="18"/>
  <c r="R347" i="18"/>
  <c r="Q347" i="18"/>
  <c r="S376" i="18"/>
  <c r="R376" i="18"/>
  <c r="Q376" i="18"/>
  <c r="R334" i="18"/>
  <c r="S334" i="18"/>
  <c r="Q334" i="18"/>
  <c r="R1592" i="18"/>
  <c r="Q1592" i="18"/>
  <c r="S1592" i="18"/>
  <c r="S1804" i="18"/>
  <c r="R1804" i="18"/>
  <c r="Q1804" i="18"/>
  <c r="S1837" i="18"/>
  <c r="R1837" i="18"/>
  <c r="Q1837" i="18"/>
  <c r="S1902" i="18"/>
  <c r="R1902" i="18"/>
  <c r="Q1902" i="18"/>
  <c r="R2172" i="18"/>
  <c r="S2172" i="18"/>
  <c r="Q2172" i="18"/>
  <c r="S2110" i="18"/>
  <c r="R2110" i="18"/>
  <c r="Q2110" i="18"/>
  <c r="R2306" i="18"/>
  <c r="S2306" i="18"/>
  <c r="Q2306" i="18"/>
  <c r="Q2283" i="18"/>
  <c r="S2283" i="18"/>
  <c r="R2283" i="18"/>
  <c r="R764" i="18"/>
  <c r="S2361" i="18"/>
  <c r="R2361" i="18"/>
  <c r="Q2361" i="18"/>
  <c r="S2435" i="18"/>
  <c r="Q2435" i="18"/>
  <c r="R2435" i="18"/>
  <c r="Q2382" i="18"/>
  <c r="S2382" i="18"/>
  <c r="R2382" i="18"/>
  <c r="Q283" i="18"/>
  <c r="S283" i="18"/>
  <c r="R283" i="18"/>
  <c r="S192" i="18"/>
  <c r="Q192" i="18"/>
  <c r="R192" i="18"/>
  <c r="S362" i="18"/>
  <c r="R362" i="18"/>
  <c r="Q362" i="18"/>
  <c r="R1820" i="18"/>
  <c r="S1820" i="18"/>
  <c r="Q1820" i="18"/>
  <c r="S2022" i="18"/>
  <c r="R2022" i="18"/>
  <c r="Q2022" i="18"/>
  <c r="S2279" i="18"/>
  <c r="R2279" i="18"/>
  <c r="Q2279" i="18"/>
  <c r="Q718" i="18"/>
  <c r="S718" i="18"/>
  <c r="R718" i="18"/>
  <c r="S2392" i="18"/>
  <c r="Q2392" i="18"/>
  <c r="R2392" i="18"/>
  <c r="S2441" i="18"/>
  <c r="R2441" i="18"/>
  <c r="Q2441" i="18"/>
  <c r="R2451" i="18"/>
  <c r="Q2451" i="18"/>
  <c r="S2451" i="18"/>
  <c r="S2322" i="18"/>
  <c r="R2322" i="18"/>
  <c r="Q2322" i="18"/>
  <c r="S2350" i="18"/>
  <c r="R2350" i="18"/>
  <c r="Q2350" i="18"/>
  <c r="S2414" i="18"/>
  <c r="R2414" i="18"/>
  <c r="Q2414" i="18"/>
  <c r="S2244" i="18"/>
  <c r="R2244" i="18"/>
  <c r="Q2244" i="18"/>
  <c r="Q471" i="18"/>
  <c r="R471" i="18"/>
  <c r="S471" i="18"/>
  <c r="R1845" i="18"/>
  <c r="S1845" i="18"/>
  <c r="Q1845" i="18"/>
  <c r="S2046" i="18"/>
  <c r="R2046" i="18"/>
  <c r="Q2046" i="18"/>
  <c r="S2297" i="18"/>
  <c r="R2297" i="18"/>
  <c r="Q2297" i="18"/>
  <c r="S127" i="18"/>
  <c r="Q127" i="18"/>
  <c r="R127" i="18"/>
  <c r="S429" i="18"/>
  <c r="R429" i="18"/>
  <c r="Q429" i="18"/>
  <c r="S2365" i="18"/>
  <c r="R2365" i="18"/>
  <c r="Q2365" i="18"/>
  <c r="S2051" i="18"/>
  <c r="Q2051" i="18"/>
  <c r="R2051" i="18"/>
  <c r="S2288" i="18"/>
  <c r="R2288" i="18"/>
  <c r="Q2288" i="18"/>
  <c r="R734" i="18"/>
  <c r="S1809" i="18"/>
  <c r="R1809" i="18"/>
  <c r="Q1809" i="18"/>
  <c r="Q2411" i="18"/>
  <c r="S2411" i="18"/>
  <c r="R2411" i="18"/>
  <c r="R2333" i="18"/>
  <c r="Q2333" i="18"/>
  <c r="S2333" i="18"/>
  <c r="R1855" i="18"/>
  <c r="S1855" i="18"/>
  <c r="Q1855" i="18"/>
  <c r="S2336" i="18"/>
  <c r="R2336" i="18"/>
  <c r="Q2336" i="18"/>
  <c r="Q713" i="18"/>
  <c r="S713" i="18"/>
  <c r="R713" i="18"/>
  <c r="S1879" i="18"/>
  <c r="Q1879" i="18"/>
  <c r="R1879" i="18"/>
  <c r="R505" i="18"/>
  <c r="S505" i="18"/>
  <c r="Q505" i="18"/>
  <c r="R774" i="18"/>
  <c r="S774" i="18"/>
  <c r="Q774" i="18"/>
  <c r="R2132" i="18"/>
  <c r="S2132" i="18"/>
  <c r="Q2132" i="18"/>
  <c r="S357" i="18"/>
  <c r="R357" i="18"/>
  <c r="Q357" i="18"/>
  <c r="S1739" i="18"/>
  <c r="R1739" i="18"/>
  <c r="Q1739" i="18"/>
  <c r="S2125" i="18"/>
  <c r="Q2125" i="18"/>
  <c r="R2125" i="18"/>
  <c r="Q2197" i="18"/>
  <c r="R2197" i="18"/>
  <c r="S2197" i="18"/>
  <c r="S2389" i="18"/>
  <c r="Q2389" i="18"/>
  <c r="R2389" i="18"/>
  <c r="Q1861" i="18"/>
  <c r="S1861" i="18"/>
  <c r="R1861" i="18"/>
  <c r="S1973" i="18"/>
  <c r="R1973" i="18"/>
  <c r="Q1973" i="18"/>
  <c r="S2181" i="18"/>
  <c r="R2181" i="18"/>
  <c r="Q2181" i="18"/>
  <c r="S1652" i="18"/>
  <c r="Q1652" i="18"/>
  <c r="R1652" i="18"/>
  <c r="R1882" i="18"/>
  <c r="Q1882" i="18"/>
  <c r="S1882" i="18"/>
  <c r="Q2236" i="18"/>
  <c r="S2236" i="18"/>
  <c r="R2236" i="18"/>
  <c r="R485" i="18"/>
  <c r="S485" i="18"/>
  <c r="Q485" i="18"/>
  <c r="R1885" i="18"/>
  <c r="S1885" i="18"/>
  <c r="Q1885" i="18"/>
  <c r="S2055" i="18"/>
  <c r="R2055" i="18"/>
  <c r="Q2055" i="18"/>
  <c r="S292" i="18"/>
  <c r="R292" i="18"/>
  <c r="Q292" i="18"/>
  <c r="S750" i="18"/>
  <c r="R750" i="18"/>
  <c r="Q750" i="18"/>
  <c r="S1947" i="18"/>
  <c r="R1947" i="18"/>
  <c r="Q1947" i="18"/>
  <c r="S2091" i="18"/>
  <c r="Q2091" i="18"/>
  <c r="R2091" i="18"/>
  <c r="S2328" i="18"/>
  <c r="Q2328" i="18"/>
  <c r="R2328" i="18"/>
  <c r="S1643" i="18"/>
  <c r="R1643" i="18"/>
  <c r="Q1643" i="18"/>
  <c r="S1870" i="18"/>
  <c r="R1870" i="18"/>
  <c r="Q1870" i="18"/>
  <c r="R2194" i="18"/>
  <c r="S2194" i="18"/>
  <c r="Q2194" i="18"/>
  <c r="S2117" i="18"/>
  <c r="R2117" i="18"/>
  <c r="Q2117" i="18"/>
  <c r="R2219" i="18"/>
  <c r="S2219" i="18"/>
  <c r="Q2219" i="18"/>
  <c r="S2304" i="18"/>
  <c r="R2304" i="18"/>
  <c r="Q2304" i="18"/>
  <c r="S671" i="18"/>
  <c r="R671" i="18"/>
  <c r="Q671" i="18"/>
  <c r="S2014" i="18"/>
  <c r="Q2014" i="18"/>
  <c r="R2014" i="18"/>
  <c r="R2094" i="18"/>
  <c r="S2094" i="18"/>
  <c r="Q2094" i="18"/>
  <c r="S2446" i="18"/>
  <c r="Q2446" i="18"/>
  <c r="R2446" i="18"/>
  <c r="R152" i="18"/>
  <c r="S152" i="18"/>
  <c r="Q152" i="18"/>
  <c r="S313" i="18"/>
  <c r="R313" i="18"/>
  <c r="Q313" i="18"/>
  <c r="S327" i="18"/>
  <c r="R327" i="18"/>
  <c r="Q327" i="18"/>
  <c r="S304" i="18"/>
  <c r="Q304" i="18"/>
  <c r="R304" i="18"/>
  <c r="S1891" i="18"/>
  <c r="Q1891" i="18"/>
  <c r="R1891" i="18"/>
  <c r="S2009" i="18"/>
  <c r="Q2009" i="18"/>
  <c r="R2009" i="18"/>
  <c r="S2250" i="18"/>
  <c r="R2250" i="18"/>
  <c r="Q2250" i="18"/>
  <c r="S2074" i="18"/>
  <c r="R2074" i="18"/>
  <c r="Q2074" i="18"/>
  <c r="S2465" i="18"/>
  <c r="Q2465" i="18"/>
  <c r="R2465" i="18"/>
  <c r="Q679" i="18"/>
  <c r="S679" i="18"/>
  <c r="R679" i="18"/>
  <c r="Q371" i="18"/>
  <c r="R371" i="18"/>
  <c r="S371" i="18"/>
  <c r="S345" i="18"/>
  <c r="R345" i="18"/>
  <c r="Q345" i="18"/>
  <c r="S727" i="18"/>
  <c r="Q727" i="18"/>
  <c r="R727" i="18"/>
  <c r="R1753" i="18"/>
  <c r="S1753" i="18"/>
  <c r="Q1753" i="18"/>
  <c r="S1935" i="18"/>
  <c r="R1935" i="18"/>
  <c r="Q1935" i="18"/>
  <c r="S2175" i="18"/>
  <c r="R2175" i="18"/>
  <c r="Q2175" i="18"/>
  <c r="Q2113" i="18"/>
  <c r="S2113" i="18"/>
  <c r="R2113" i="18"/>
  <c r="R2307" i="18"/>
  <c r="Q2307" i="18"/>
  <c r="S2307" i="18"/>
  <c r="S2436" i="18"/>
  <c r="R2436" i="18"/>
  <c r="Q2436" i="18"/>
  <c r="S614" i="18"/>
  <c r="R614" i="18"/>
  <c r="Q614" i="18"/>
  <c r="S284" i="18"/>
  <c r="R284" i="18"/>
  <c r="Q284" i="18"/>
  <c r="R1922" i="18"/>
  <c r="S1922" i="18"/>
  <c r="Q1922" i="18"/>
  <c r="S1925" i="18"/>
  <c r="R1925" i="18"/>
  <c r="Q1925" i="18"/>
  <c r="R496" i="18"/>
  <c r="S496" i="18"/>
  <c r="Q496" i="18"/>
  <c r="R1659" i="18"/>
  <c r="S1659" i="18"/>
  <c r="Q1659" i="18"/>
  <c r="R1821" i="18"/>
  <c r="Q1821" i="18"/>
  <c r="S1821" i="18"/>
  <c r="R2023" i="18"/>
  <c r="S2023" i="18"/>
  <c r="Q2023" i="18"/>
  <c r="Q257" i="18"/>
  <c r="R257" i="18"/>
  <c r="S257" i="18"/>
  <c r="S722" i="18"/>
  <c r="Q722" i="18"/>
  <c r="R722" i="18"/>
  <c r="S2393" i="18"/>
  <c r="R2393" i="18"/>
  <c r="Q2393" i="18"/>
  <c r="S2439" i="18"/>
  <c r="R2439" i="18"/>
  <c r="Q2439" i="18"/>
  <c r="S2452" i="18"/>
  <c r="R2452" i="18"/>
  <c r="Q2452" i="18"/>
  <c r="R746" i="18"/>
  <c r="S2228" i="18"/>
  <c r="R2228" i="18"/>
  <c r="Q2228" i="18"/>
  <c r="R1816" i="18"/>
  <c r="S1816" i="18"/>
  <c r="Q1816" i="18"/>
  <c r="S2417" i="18"/>
  <c r="Q2417" i="18"/>
  <c r="R2417" i="18"/>
  <c r="Q1846" i="18"/>
  <c r="S1846" i="18"/>
  <c r="R1846" i="18"/>
  <c r="R2298" i="18"/>
  <c r="S2298" i="18"/>
  <c r="Q2298" i="18"/>
  <c r="S2157" i="18"/>
  <c r="R2157" i="18"/>
  <c r="Q2157" i="18"/>
  <c r="Q262" i="18"/>
  <c r="R262" i="18"/>
  <c r="S262" i="18"/>
  <c r="R1966" i="18"/>
  <c r="S1966" i="18"/>
  <c r="Q1966" i="18"/>
  <c r="R1997" i="18"/>
  <c r="S1997" i="18"/>
  <c r="Q1997" i="18"/>
  <c r="S2152" i="18"/>
  <c r="Q2152" i="18"/>
  <c r="R2152" i="18"/>
  <c r="S734" i="18"/>
  <c r="S1812" i="18"/>
  <c r="Q1812" i="18"/>
  <c r="R1812" i="18"/>
  <c r="S2408" i="18"/>
  <c r="R2408" i="18"/>
  <c r="Q2408" i="18"/>
  <c r="Q1649" i="18"/>
  <c r="S1649" i="18"/>
  <c r="R1649" i="18"/>
  <c r="S1636" i="18"/>
  <c r="R1636" i="18"/>
  <c r="Q1636" i="18"/>
  <c r="S2346" i="18"/>
  <c r="R2346" i="18"/>
  <c r="Q2346" i="18"/>
  <c r="S1769" i="18"/>
  <c r="R1769" i="18"/>
  <c r="Q1769" i="18"/>
  <c r="S143" i="18"/>
  <c r="Q143" i="18"/>
  <c r="R143" i="18"/>
  <c r="R539" i="18"/>
  <c r="S539" i="18"/>
  <c r="Q539" i="18"/>
  <c r="R1877" i="18"/>
  <c r="S1877" i="18"/>
  <c r="Q1877" i="18"/>
  <c r="S2160" i="18"/>
  <c r="Q2160" i="18"/>
  <c r="R2160" i="18"/>
  <c r="S1983" i="18"/>
  <c r="R1983" i="18"/>
  <c r="Q1983" i="18"/>
  <c r="R1794" i="18"/>
  <c r="S1794" i="18"/>
  <c r="Q1794" i="18"/>
  <c r="Q2123" i="18"/>
  <c r="S2123" i="18"/>
  <c r="R2123" i="18"/>
  <c r="S2198" i="18"/>
  <c r="R2198" i="18"/>
  <c r="Q2198" i="18"/>
  <c r="R2292" i="18"/>
  <c r="S2292" i="18"/>
  <c r="Q2292" i="18"/>
  <c r="S2324" i="18"/>
  <c r="R2324" i="18"/>
  <c r="Q2324" i="18"/>
  <c r="S1777" i="18"/>
  <c r="R1777" i="18"/>
  <c r="Q1777" i="18"/>
  <c r="R1862" i="18"/>
  <c r="S1862" i="18"/>
  <c r="Q1862" i="18"/>
  <c r="R1974" i="18"/>
  <c r="Q1974" i="18"/>
  <c r="S1974" i="18"/>
  <c r="R2352" i="18"/>
  <c r="S2352" i="18"/>
  <c r="Q2352" i="18"/>
  <c r="R2190" i="18"/>
  <c r="S2190" i="18"/>
  <c r="Q2190" i="18"/>
  <c r="S2179" i="18"/>
  <c r="R2179" i="18"/>
  <c r="Q2179" i="18"/>
  <c r="S1865" i="18"/>
  <c r="R1865" i="18"/>
  <c r="Q1865" i="18"/>
  <c r="S2072" i="18"/>
  <c r="Q2072" i="18"/>
  <c r="R2072" i="18"/>
  <c r="S2260" i="18"/>
  <c r="Q2260" i="18"/>
  <c r="R2260" i="18"/>
  <c r="S1991" i="18"/>
  <c r="R1991" i="18"/>
  <c r="Q1991" i="18"/>
  <c r="S2266" i="18"/>
  <c r="R2266" i="18"/>
  <c r="Q2266" i="18"/>
  <c r="R2404" i="18"/>
  <c r="S2404" i="18"/>
  <c r="Q2404" i="18"/>
  <c r="S1800" i="18"/>
  <c r="Q1800" i="18"/>
  <c r="R1800" i="18"/>
  <c r="R537" i="18"/>
  <c r="Q537" i="18"/>
  <c r="S537" i="18"/>
  <c r="Q482" i="18"/>
  <c r="S482" i="18"/>
  <c r="R482" i="18"/>
  <c r="S1886" i="18"/>
  <c r="Q1886" i="18"/>
  <c r="R1886" i="18"/>
  <c r="R293" i="18"/>
  <c r="S293" i="18"/>
  <c r="Q293" i="18"/>
  <c r="Q703" i="18"/>
  <c r="S703" i="18"/>
  <c r="R703" i="18"/>
  <c r="Q1644" i="18"/>
  <c r="R1644" i="18"/>
  <c r="S1644" i="18"/>
  <c r="S2192" i="18"/>
  <c r="R2192" i="18"/>
  <c r="Q2192" i="18"/>
  <c r="S1829" i="18"/>
  <c r="R1829" i="18"/>
  <c r="Q1829" i="18"/>
  <c r="S2118" i="18"/>
  <c r="R2118" i="18"/>
  <c r="Q2118" i="18"/>
  <c r="S2459" i="18"/>
  <c r="R2459" i="18"/>
  <c r="Q2459" i="18"/>
  <c r="Q1747" i="18"/>
  <c r="S1747" i="18"/>
  <c r="R1747" i="18"/>
  <c r="S146" i="18"/>
  <c r="R146" i="18"/>
  <c r="Q146" i="18"/>
  <c r="S2217" i="18"/>
  <c r="R2217" i="18"/>
  <c r="Q2217" i="18"/>
  <c r="R2372" i="18"/>
  <c r="S2372" i="18"/>
  <c r="Q2372" i="18"/>
  <c r="S672" i="18"/>
  <c r="Q672" i="18"/>
  <c r="R672" i="18"/>
  <c r="R2097" i="18"/>
  <c r="Q2097" i="18"/>
  <c r="S2097" i="18"/>
  <c r="Q316" i="18"/>
  <c r="R316" i="18"/>
  <c r="S316" i="18"/>
  <c r="S305" i="18"/>
  <c r="R305" i="18"/>
  <c r="Q305" i="18"/>
  <c r="S2272" i="18"/>
  <c r="Q2272" i="18"/>
  <c r="R2272" i="18"/>
  <c r="S1907" i="18"/>
  <c r="R1907" i="18"/>
  <c r="Q1907" i="18"/>
  <c r="Q2254" i="18"/>
  <c r="R2254" i="18"/>
  <c r="S2254" i="18"/>
  <c r="S2357" i="18"/>
  <c r="Q2357" i="18"/>
  <c r="R2357" i="18"/>
  <c r="S2066" i="18"/>
  <c r="Q2066" i="18"/>
  <c r="R2066" i="18"/>
  <c r="R1786" i="18"/>
  <c r="S1786" i="18"/>
  <c r="Q1786" i="18"/>
  <c r="S2075" i="18"/>
  <c r="R2075" i="18"/>
  <c r="Q2075" i="18"/>
  <c r="R2463" i="18"/>
  <c r="Q2463" i="18"/>
  <c r="S2463" i="18"/>
  <c r="S155" i="18"/>
  <c r="Q155" i="18"/>
  <c r="R155" i="18"/>
  <c r="R680" i="18"/>
  <c r="S680" i="18"/>
  <c r="Q680" i="18"/>
  <c r="S368" i="18"/>
  <c r="R368" i="18"/>
  <c r="Q368" i="18"/>
  <c r="S2149" i="18"/>
  <c r="R2149" i="18"/>
  <c r="Q2149" i="18"/>
  <c r="R377" i="18"/>
  <c r="S377" i="18"/>
  <c r="Q377" i="18"/>
  <c r="R724" i="18"/>
  <c r="Q724" i="18"/>
  <c r="S724" i="18"/>
  <c r="Q331" i="18"/>
  <c r="R331" i="18"/>
  <c r="S331" i="18"/>
  <c r="S1754" i="18"/>
  <c r="R1754" i="18"/>
  <c r="Q1754" i="18"/>
  <c r="R604" i="18"/>
  <c r="S604" i="18"/>
  <c r="Q604" i="18"/>
  <c r="Q1903" i="18"/>
  <c r="R1903" i="18"/>
  <c r="S1903" i="18"/>
  <c r="S2146" i="18"/>
  <c r="Q2146" i="18"/>
  <c r="R2146" i="18"/>
  <c r="S2173" i="18"/>
  <c r="R2173" i="18"/>
  <c r="Q2173" i="18"/>
  <c r="S2114" i="18"/>
  <c r="Q2114" i="18"/>
  <c r="R2114" i="18"/>
  <c r="S2310" i="18"/>
  <c r="Q2310" i="18"/>
  <c r="R2310" i="18"/>
  <c r="Q2200" i="18"/>
  <c r="R2200" i="18"/>
  <c r="S2200" i="18"/>
  <c r="S615" i="18"/>
  <c r="Q615" i="18"/>
  <c r="R615" i="18"/>
  <c r="S2312" i="18"/>
  <c r="Q2312" i="18"/>
  <c r="R2312" i="18"/>
  <c r="R1926" i="18"/>
  <c r="S1926" i="18"/>
  <c r="Q1926" i="18"/>
  <c r="R2039" i="18"/>
  <c r="S2039" i="18"/>
  <c r="Q2039" i="18"/>
  <c r="R2204" i="18"/>
  <c r="S2204" i="18"/>
  <c r="Q2204" i="18"/>
  <c r="S859" i="18"/>
  <c r="R859" i="18"/>
  <c r="Q859" i="18"/>
  <c r="R1660" i="18"/>
  <c r="S1660" i="18"/>
  <c r="Q1660" i="18"/>
  <c r="S258" i="18"/>
  <c r="R258" i="18"/>
  <c r="Q258" i="18"/>
  <c r="S719" i="18"/>
  <c r="R719" i="18"/>
  <c r="Q719" i="18"/>
  <c r="S2262" i="18"/>
  <c r="R2262" i="18"/>
  <c r="Q2262" i="18"/>
  <c r="S2442" i="18"/>
  <c r="Q2442" i="18"/>
  <c r="R2442" i="18"/>
  <c r="S746" i="18"/>
  <c r="Q2368" i="18"/>
  <c r="S2368" i="18"/>
  <c r="R2368" i="18"/>
  <c r="S2231" i="18"/>
  <c r="Q2231" i="18"/>
  <c r="R2231" i="18"/>
  <c r="S1817" i="18"/>
  <c r="Q1817" i="18"/>
  <c r="R1817" i="18"/>
  <c r="S2142" i="18"/>
  <c r="R2142" i="18"/>
  <c r="Q2142" i="18"/>
  <c r="R2415" i="18"/>
  <c r="S2415" i="18"/>
  <c r="Q2415" i="18"/>
  <c r="S1939" i="18"/>
  <c r="R1939" i="18"/>
  <c r="Q1939" i="18"/>
  <c r="R2047" i="18"/>
  <c r="S2047" i="18"/>
  <c r="Q2047" i="18"/>
  <c r="S2295" i="18"/>
  <c r="Q2295" i="18"/>
  <c r="R2295" i="18"/>
  <c r="R427" i="18"/>
  <c r="S427" i="18"/>
  <c r="Q427" i="18"/>
  <c r="R515" i="18"/>
  <c r="S515" i="18"/>
  <c r="Q515" i="18"/>
  <c r="Q2384" i="18"/>
  <c r="R2384" i="18"/>
  <c r="S2384" i="18"/>
  <c r="S2158" i="18"/>
  <c r="Q2158" i="18"/>
  <c r="R2158" i="18"/>
  <c r="S1998" i="18"/>
  <c r="R1998" i="18"/>
  <c r="Q1998" i="18"/>
  <c r="R2049" i="18"/>
  <c r="S2049" i="18"/>
  <c r="Q2049" i="18"/>
  <c r="S2409" i="18"/>
  <c r="R2409" i="18"/>
  <c r="Q2409" i="18"/>
  <c r="S2428" i="18"/>
  <c r="R2428" i="18"/>
  <c r="Q2428" i="18"/>
  <c r="R1770" i="18"/>
  <c r="S1770" i="18"/>
  <c r="Q1770" i="18"/>
  <c r="S1953" i="18"/>
  <c r="R1953" i="18"/>
  <c r="Q1953" i="18"/>
  <c r="S503" i="18"/>
  <c r="R503" i="18"/>
  <c r="Q503" i="18"/>
  <c r="S1959" i="18"/>
  <c r="R1959" i="18"/>
  <c r="Q1959" i="18"/>
  <c r="R2337" i="18"/>
  <c r="S2337" i="18"/>
  <c r="Q2337" i="18"/>
  <c r="R144" i="18"/>
  <c r="S144" i="18"/>
  <c r="Q144" i="18"/>
  <c r="R540" i="18"/>
  <c r="S540" i="18"/>
  <c r="Q540" i="18"/>
  <c r="S714" i="18"/>
  <c r="R714" i="18"/>
  <c r="Q714" i="18"/>
  <c r="S2161" i="18"/>
  <c r="R2161" i="18"/>
  <c r="Q2161" i="18"/>
  <c r="R506" i="18"/>
  <c r="S506" i="18"/>
  <c r="Q506" i="18"/>
  <c r="S775" i="18"/>
  <c r="Q775" i="18"/>
  <c r="R775" i="18"/>
  <c r="R2133" i="18"/>
  <c r="Q2133" i="18"/>
  <c r="S2133" i="18"/>
  <c r="S43" i="18"/>
  <c r="R43" i="18"/>
  <c r="Q43" i="18"/>
  <c r="S2208" i="18"/>
  <c r="Q2208" i="18"/>
  <c r="R2208" i="18"/>
  <c r="S2396" i="18"/>
  <c r="R2396" i="18"/>
  <c r="Q2396" i="18"/>
  <c r="S1797" i="18"/>
  <c r="R1797" i="18"/>
  <c r="Q1797" i="18"/>
  <c r="R1778" i="18"/>
  <c r="S1778" i="18"/>
  <c r="Q1778" i="18"/>
  <c r="R1863" i="18"/>
  <c r="S1863" i="18"/>
  <c r="Q1863" i="18"/>
  <c r="R1975" i="18"/>
  <c r="S1975" i="18"/>
  <c r="Q1975" i="18"/>
  <c r="R2353" i="18"/>
  <c r="Q2353" i="18"/>
  <c r="S2353" i="18"/>
  <c r="S2188" i="18"/>
  <c r="R2188" i="18"/>
  <c r="Q2188" i="18"/>
  <c r="Q2182" i="18"/>
  <c r="R2182" i="18"/>
  <c r="S2182" i="18"/>
  <c r="S1866" i="18"/>
  <c r="R1866" i="18"/>
  <c r="Q1866" i="18"/>
  <c r="S2070" i="18"/>
  <c r="R2070" i="18"/>
  <c r="Q2070" i="18"/>
  <c r="R149" i="18"/>
  <c r="S149" i="18"/>
  <c r="Q149" i="18"/>
  <c r="S2234" i="18"/>
  <c r="R2234" i="18"/>
  <c r="Q2234" i="18"/>
  <c r="S1833" i="18"/>
  <c r="R1833" i="18"/>
  <c r="Q1833" i="18"/>
  <c r="S2005" i="18"/>
  <c r="R2005" i="18"/>
  <c r="Q2005" i="18"/>
  <c r="S2422" i="18"/>
  <c r="Q2422" i="18"/>
  <c r="R2422" i="18"/>
  <c r="Q748" i="18"/>
  <c r="S748" i="18"/>
  <c r="R748" i="18"/>
  <c r="Q2248" i="18"/>
  <c r="S2248" i="18"/>
  <c r="R2248" i="18"/>
  <c r="Q321" i="18"/>
  <c r="R321" i="18"/>
  <c r="S321" i="18"/>
  <c r="S704" i="18"/>
  <c r="R704" i="18"/>
  <c r="Q704" i="18"/>
  <c r="R2089" i="18"/>
  <c r="S2089" i="18"/>
  <c r="Q2089" i="18"/>
  <c r="S2329" i="18"/>
  <c r="R2329" i="18"/>
  <c r="Q2329" i="18"/>
  <c r="S1871" i="18"/>
  <c r="R1871" i="18"/>
  <c r="Q1871" i="18"/>
  <c r="S1929" i="18"/>
  <c r="R1929" i="18"/>
  <c r="Q1929" i="18"/>
  <c r="R1830" i="18"/>
  <c r="S1830" i="18"/>
  <c r="Q1830" i="18"/>
  <c r="R1748" i="18"/>
  <c r="S1748" i="18"/>
  <c r="Q1748" i="18"/>
  <c r="S147" i="18"/>
  <c r="R147" i="18"/>
  <c r="Q147" i="18"/>
  <c r="S2300" i="18"/>
  <c r="R2300" i="18"/>
  <c r="Q2300" i="18"/>
  <c r="Q267" i="18"/>
  <c r="R267" i="18"/>
  <c r="S267" i="18"/>
  <c r="S2027" i="18"/>
  <c r="R2027" i="18"/>
  <c r="Q2027" i="18"/>
  <c r="S2015" i="18"/>
  <c r="R2015" i="18"/>
  <c r="Q2015" i="18"/>
  <c r="S2095" i="18"/>
  <c r="R2095" i="18"/>
  <c r="Q2095" i="18"/>
  <c r="S2447" i="18"/>
  <c r="R2447" i="18"/>
  <c r="Q2447" i="18"/>
  <c r="S314" i="18"/>
  <c r="Q314" i="18"/>
  <c r="R314" i="18"/>
  <c r="R325" i="18"/>
  <c r="Q325" i="18"/>
  <c r="S325" i="18"/>
  <c r="S2274" i="18"/>
  <c r="R2274" i="18"/>
  <c r="Q2274" i="18"/>
  <c r="S609" i="18"/>
  <c r="Q609" i="18"/>
  <c r="R609" i="18"/>
  <c r="S1905" i="18"/>
  <c r="R1905" i="18"/>
  <c r="Q1905" i="18"/>
  <c r="Q740" i="18"/>
  <c r="S2251" i="18"/>
  <c r="Q2251" i="18"/>
  <c r="R2251" i="18"/>
  <c r="R2064" i="18"/>
  <c r="S2064" i="18"/>
  <c r="Q2064" i="18"/>
  <c r="S513" i="18"/>
  <c r="R513" i="18"/>
  <c r="Q513" i="18"/>
  <c r="Q1787" i="18"/>
  <c r="S1787" i="18"/>
  <c r="R1787" i="18"/>
  <c r="S2466" i="18"/>
  <c r="R2466" i="18"/>
  <c r="Q2466" i="18"/>
  <c r="R156" i="18"/>
  <c r="S156" i="18"/>
  <c r="Q156" i="18"/>
  <c r="Q369" i="18"/>
  <c r="R369" i="18"/>
  <c r="S369" i="18"/>
  <c r="S373" i="18"/>
  <c r="R373" i="18"/>
  <c r="Q373" i="18"/>
  <c r="R725" i="18"/>
  <c r="S725" i="18"/>
  <c r="Q725" i="18"/>
  <c r="Q335" i="18"/>
  <c r="S335" i="18"/>
  <c r="R335" i="18"/>
  <c r="S1805" i="18"/>
  <c r="R1805" i="18"/>
  <c r="Q1805" i="18"/>
  <c r="S605" i="18"/>
  <c r="R605" i="18"/>
  <c r="Q605" i="18"/>
  <c r="S2176" i="18"/>
  <c r="Q2176" i="18"/>
  <c r="R2176" i="18"/>
  <c r="S2111" i="18"/>
  <c r="Q2111" i="18"/>
  <c r="R2111" i="18"/>
  <c r="R2308" i="18"/>
  <c r="S2308" i="18"/>
  <c r="Q2308" i="18"/>
  <c r="S2284" i="18"/>
  <c r="R2284" i="18"/>
  <c r="Q2284" i="18"/>
  <c r="Q710" i="18"/>
  <c r="S2201" i="18"/>
  <c r="R2201" i="18"/>
  <c r="Q2201" i="18"/>
  <c r="R616" i="18"/>
  <c r="S616" i="18"/>
  <c r="Q616" i="18"/>
  <c r="Q2214" i="18"/>
  <c r="S2214" i="18"/>
  <c r="R2214" i="18"/>
  <c r="S2315" i="18"/>
  <c r="Q2315" i="18"/>
  <c r="R2315" i="18"/>
  <c r="S2380" i="18"/>
  <c r="Q2380" i="18"/>
  <c r="R2380" i="18"/>
  <c r="S1923" i="18"/>
  <c r="Q1923" i="18"/>
  <c r="R1923" i="18"/>
  <c r="R1927" i="18"/>
  <c r="S1927" i="18"/>
  <c r="Q1927" i="18"/>
  <c r="R2037" i="18"/>
  <c r="Q2037" i="18"/>
  <c r="S2037" i="18"/>
  <c r="S655" i="18"/>
  <c r="Q655" i="18"/>
  <c r="R655" i="18"/>
  <c r="Q493" i="18"/>
  <c r="S493" i="18"/>
  <c r="R493" i="18"/>
  <c r="S363" i="18"/>
  <c r="R363" i="18"/>
  <c r="Q363" i="18"/>
  <c r="R2168" i="18"/>
  <c r="Q2168" i="18"/>
  <c r="S2168" i="18"/>
  <c r="R720" i="18"/>
  <c r="S720" i="18"/>
  <c r="Q720" i="18"/>
  <c r="Q2376" i="18"/>
  <c r="S2376" i="18"/>
  <c r="R2376" i="18"/>
  <c r="R2453" i="18"/>
  <c r="S2453" i="18"/>
  <c r="Q2453" i="18"/>
  <c r="Q746" i="18"/>
  <c r="R2369" i="18"/>
  <c r="S2369" i="18"/>
  <c r="Q2369" i="18"/>
  <c r="S2232" i="18"/>
  <c r="Q2232" i="18"/>
  <c r="R2232" i="18"/>
  <c r="S563" i="18"/>
  <c r="R563" i="18"/>
  <c r="Q563" i="18"/>
  <c r="S2418" i="18"/>
  <c r="R2418" i="18"/>
  <c r="Q2418" i="18"/>
  <c r="S1937" i="18"/>
  <c r="R1937" i="18"/>
  <c r="Q1937" i="18"/>
  <c r="Q472" i="18"/>
  <c r="S472" i="18"/>
  <c r="R472" i="18"/>
  <c r="S430" i="18"/>
  <c r="R430" i="18"/>
  <c r="Q430" i="18"/>
  <c r="S855" i="18"/>
  <c r="R855" i="18"/>
  <c r="Q855" i="18"/>
  <c r="R516" i="18"/>
  <c r="S516" i="18"/>
  <c r="Q516" i="18"/>
  <c r="S1897" i="18"/>
  <c r="R1897" i="18"/>
  <c r="Q1897" i="18"/>
  <c r="S2385" i="18"/>
  <c r="R2385" i="18"/>
  <c r="Q2385" i="18"/>
  <c r="S263" i="18"/>
  <c r="R263" i="18"/>
  <c r="Q263" i="18"/>
  <c r="R1999" i="18"/>
  <c r="Q1999" i="18"/>
  <c r="S1999" i="18"/>
  <c r="S2052" i="18"/>
  <c r="R2052" i="18"/>
  <c r="Q2052" i="18"/>
  <c r="S2153" i="18"/>
  <c r="Q2153" i="18"/>
  <c r="R2153" i="18"/>
  <c r="Q2286" i="18"/>
  <c r="R2286" i="18"/>
  <c r="S2286" i="18"/>
  <c r="S2412" i="18"/>
  <c r="Q2412" i="18"/>
  <c r="R2412" i="18"/>
  <c r="Q1637" i="18"/>
  <c r="R1637" i="18"/>
  <c r="S1637" i="18"/>
  <c r="S2430" i="18"/>
  <c r="Q2430" i="18"/>
  <c r="R2430" i="18"/>
  <c r="S280" i="18"/>
  <c r="Q280" i="18"/>
  <c r="R280" i="18"/>
  <c r="R1771" i="18"/>
  <c r="S1771" i="18"/>
  <c r="Q1771" i="18"/>
  <c r="S1955" i="18"/>
  <c r="R1955" i="18"/>
  <c r="Q1955" i="18"/>
  <c r="S499" i="18"/>
  <c r="R499" i="18"/>
  <c r="Q499" i="18"/>
  <c r="R1853" i="18"/>
  <c r="S1853" i="18"/>
  <c r="Q1853" i="18"/>
  <c r="Q167" i="18"/>
  <c r="S167" i="18"/>
  <c r="R167" i="18"/>
  <c r="Q2164" i="18"/>
  <c r="R2164" i="18"/>
  <c r="S2164" i="18"/>
  <c r="S2400" i="18"/>
  <c r="R2400" i="18"/>
  <c r="Q2400" i="18"/>
  <c r="S507" i="18"/>
  <c r="Q507" i="18"/>
  <c r="R507" i="18"/>
  <c r="S1981" i="18"/>
  <c r="R1981" i="18"/>
  <c r="Q1981" i="18"/>
  <c r="S2184" i="18"/>
  <c r="R2184" i="18"/>
  <c r="Q2184" i="18"/>
  <c r="R355" i="18"/>
  <c r="S355" i="18"/>
  <c r="Q355" i="18"/>
  <c r="R1993" i="18"/>
  <c r="S1993" i="18"/>
  <c r="Q1993" i="18"/>
  <c r="Q479" i="18"/>
  <c r="R2209" i="18"/>
  <c r="S2209" i="18"/>
  <c r="Q2209" i="18"/>
  <c r="S1824" i="18"/>
  <c r="R1824" i="18"/>
  <c r="Q1824" i="18"/>
  <c r="R2126" i="18"/>
  <c r="S2126" i="18"/>
  <c r="Q2126" i="18"/>
  <c r="R2398" i="18"/>
  <c r="S2398" i="18"/>
  <c r="Q2398" i="18"/>
  <c r="R1798" i="18"/>
  <c r="S1798" i="18"/>
  <c r="Q1798" i="18"/>
  <c r="S2325" i="18"/>
  <c r="Q2325" i="18"/>
  <c r="R2325" i="18"/>
  <c r="S2390" i="18"/>
  <c r="R2390" i="18"/>
  <c r="Q2390" i="18"/>
  <c r="S1653" i="18"/>
  <c r="R1653" i="18"/>
  <c r="Q1653" i="18"/>
  <c r="R1867" i="18"/>
  <c r="S1867" i="18"/>
  <c r="Q1867" i="18"/>
  <c r="Q150" i="18"/>
  <c r="S150" i="18"/>
  <c r="R150" i="18"/>
  <c r="Q2237" i="18"/>
  <c r="S2237" i="18"/>
  <c r="R2237" i="18"/>
  <c r="S2267" i="18"/>
  <c r="R2267" i="18"/>
  <c r="Q2267" i="18"/>
  <c r="S2405" i="18"/>
  <c r="Q2405" i="18"/>
  <c r="R2405" i="18"/>
  <c r="R534" i="18"/>
  <c r="S534" i="18"/>
  <c r="Q534" i="18"/>
  <c r="R483" i="18"/>
  <c r="S483" i="18"/>
  <c r="Q483" i="18"/>
  <c r="R1887" i="18"/>
  <c r="S1887" i="18"/>
  <c r="Q1887" i="18"/>
  <c r="Q2006" i="18"/>
  <c r="S2006" i="18"/>
  <c r="R2006" i="18"/>
  <c r="R2420" i="18"/>
  <c r="S2420" i="18"/>
  <c r="Q2420" i="18"/>
  <c r="Q751" i="18"/>
  <c r="S751" i="18"/>
  <c r="R751" i="18"/>
  <c r="S1750" i="18"/>
  <c r="R1750" i="18"/>
  <c r="Q1750" i="18"/>
  <c r="R2246" i="18"/>
  <c r="S2246" i="18"/>
  <c r="Q2246" i="18"/>
  <c r="S2019" i="18"/>
  <c r="Q2019" i="18"/>
  <c r="R2019" i="18"/>
  <c r="S1945" i="18"/>
  <c r="Q1945" i="18"/>
  <c r="R1945" i="18"/>
  <c r="S2092" i="18"/>
  <c r="R2092" i="18"/>
  <c r="Q2092" i="18"/>
  <c r="S2193" i="18"/>
  <c r="R2193" i="18"/>
  <c r="Q2193" i="18"/>
  <c r="S1930" i="18"/>
  <c r="R1930" i="18"/>
  <c r="Q1930" i="18"/>
  <c r="R341" i="18"/>
  <c r="R2119" i="18"/>
  <c r="S2119" i="18"/>
  <c r="Q2119" i="18"/>
  <c r="R2456" i="18"/>
  <c r="Q2456" i="18"/>
  <c r="S2456" i="18"/>
  <c r="R2220" i="18"/>
  <c r="Q2220" i="18"/>
  <c r="S2220" i="18"/>
  <c r="R2301" i="18"/>
  <c r="Q2301" i="18"/>
  <c r="S2301" i="18"/>
  <c r="Q2373" i="18"/>
  <c r="R2373" i="18"/>
  <c r="S2373" i="18"/>
  <c r="S268" i="18"/>
  <c r="R268" i="18"/>
  <c r="Q268" i="18"/>
  <c r="Q295" i="18"/>
  <c r="S295" i="18"/>
  <c r="R295" i="18"/>
  <c r="S2444" i="18"/>
  <c r="R2444" i="18"/>
  <c r="Q2444" i="18"/>
  <c r="S317" i="18"/>
  <c r="R317" i="18"/>
  <c r="Q317" i="18"/>
  <c r="Q328" i="18"/>
  <c r="R328" i="18"/>
  <c r="S328" i="18"/>
  <c r="S1657" i="18"/>
  <c r="Q1657" i="18"/>
  <c r="R1657" i="18"/>
  <c r="R1889" i="18"/>
  <c r="S1889" i="18"/>
  <c r="Q1889" i="18"/>
  <c r="S2010" i="18"/>
  <c r="R2010" i="18"/>
  <c r="Q2010" i="18"/>
  <c r="S2101" i="18"/>
  <c r="Q2101" i="18"/>
  <c r="R2101" i="18"/>
  <c r="R2255" i="18"/>
  <c r="S2255" i="18"/>
  <c r="Q2255" i="18"/>
  <c r="R740" i="18"/>
  <c r="R1744" i="18"/>
  <c r="S1744" i="18"/>
  <c r="Q1744" i="18"/>
  <c r="S1842" i="18"/>
  <c r="R1842" i="18"/>
  <c r="Q1842" i="18"/>
  <c r="Q2067" i="18"/>
  <c r="S2067" i="18"/>
  <c r="R2067" i="18"/>
  <c r="S2340" i="18"/>
  <c r="Q2340" i="18"/>
  <c r="R2340" i="18"/>
  <c r="Q2033" i="18"/>
  <c r="S2033" i="18"/>
  <c r="R2033" i="18"/>
  <c r="S677" i="18"/>
  <c r="Q677" i="18"/>
  <c r="R677" i="18"/>
  <c r="Q2031" i="18"/>
  <c r="S2031" i="18"/>
  <c r="R2031" i="18"/>
  <c r="Q374" i="18"/>
  <c r="R374" i="18"/>
  <c r="S374" i="18"/>
  <c r="S728" i="18"/>
  <c r="R728" i="18"/>
  <c r="Q728" i="18"/>
  <c r="S332" i="18"/>
  <c r="Q332" i="18"/>
  <c r="R332" i="18"/>
  <c r="S1838" i="18"/>
  <c r="R1838" i="18"/>
  <c r="Q1838" i="18"/>
  <c r="S618" i="18"/>
  <c r="R618" i="18"/>
  <c r="Q618" i="18"/>
  <c r="R2144" i="18"/>
  <c r="S2144" i="18"/>
  <c r="Q2144" i="18"/>
  <c r="S710" i="18"/>
  <c r="R2434" i="18"/>
  <c r="Q2434" i="18"/>
  <c r="S2434" i="18"/>
  <c r="S2202" i="18"/>
  <c r="R2202" i="18"/>
  <c r="Q2202" i="18"/>
  <c r="Q2313" i="18"/>
  <c r="R2313" i="18"/>
  <c r="S2313" i="18"/>
  <c r="Q2205" i="18"/>
  <c r="S2205" i="18"/>
  <c r="R2205" i="18"/>
  <c r="Q656" i="18"/>
  <c r="S656" i="18"/>
  <c r="R656" i="18"/>
  <c r="R1756" i="18"/>
  <c r="S1756" i="18"/>
  <c r="Q1756" i="18"/>
  <c r="Q1661" i="18"/>
  <c r="S1661" i="18"/>
  <c r="R1661" i="18"/>
  <c r="R2166" i="18"/>
  <c r="Q2166" i="18"/>
  <c r="S2166" i="18"/>
  <c r="S2278" i="18"/>
  <c r="R2278" i="18"/>
  <c r="Q2278" i="18"/>
  <c r="S2041" i="18"/>
  <c r="Q2041" i="18"/>
  <c r="R2041" i="18"/>
  <c r="S2263" i="18"/>
  <c r="R2263" i="18"/>
  <c r="Q2263" i="18"/>
  <c r="S2377" i="18"/>
  <c r="R2377" i="18"/>
  <c r="Q2377" i="18"/>
  <c r="S2320" i="18"/>
  <c r="Q2320" i="18"/>
  <c r="R2320" i="18"/>
  <c r="R2229" i="18"/>
  <c r="S2229" i="18"/>
  <c r="Q2229" i="18"/>
  <c r="R1818" i="18"/>
  <c r="Q1818" i="18"/>
  <c r="S1818" i="18"/>
  <c r="S2348" i="18"/>
  <c r="Q2348" i="18"/>
  <c r="R2348" i="18"/>
  <c r="S2242" i="18"/>
  <c r="R2242" i="18"/>
  <c r="Q2242" i="18"/>
  <c r="S1938" i="18"/>
  <c r="R1938" i="18"/>
  <c r="Q1938" i="18"/>
  <c r="S428" i="18"/>
  <c r="R428" i="18"/>
  <c r="Q428" i="18"/>
  <c r="S517" i="18"/>
  <c r="Q517" i="18"/>
  <c r="R517" i="18"/>
  <c r="S2364" i="18"/>
  <c r="R2364" i="18"/>
  <c r="Q2364" i="18"/>
  <c r="R1967" i="18"/>
  <c r="Q1967" i="18"/>
  <c r="S1967" i="18"/>
  <c r="R1813" i="18"/>
  <c r="S1813" i="18"/>
  <c r="Q1813" i="18"/>
  <c r="R2410" i="18"/>
  <c r="S2410" i="18"/>
  <c r="Q2410" i="18"/>
  <c r="S1647" i="18"/>
  <c r="Q1647" i="18"/>
  <c r="R1647" i="18"/>
  <c r="R281" i="18"/>
  <c r="S281" i="18"/>
  <c r="Q281" i="18"/>
  <c r="S1954" i="18"/>
  <c r="R1954" i="18"/>
  <c r="Q1954" i="18"/>
  <c r="R500" i="18"/>
  <c r="S500" i="18"/>
  <c r="Q500" i="18"/>
  <c r="S1854" i="18"/>
  <c r="Q1854" i="18"/>
  <c r="R1854" i="18"/>
  <c r="S179" i="18"/>
  <c r="R179" i="18"/>
  <c r="Q179" i="18"/>
  <c r="R715" i="18"/>
  <c r="S715" i="18"/>
  <c r="Q715" i="18"/>
  <c r="S1878" i="18"/>
  <c r="R1878" i="18"/>
  <c r="Q1878" i="18"/>
  <c r="R2162" i="18"/>
  <c r="Q2162" i="18"/>
  <c r="S2162" i="18"/>
  <c r="S2186" i="18"/>
  <c r="R2186" i="18"/>
  <c r="Q2186" i="18"/>
  <c r="S2136" i="18"/>
  <c r="Q2136" i="18"/>
  <c r="R2136" i="18"/>
  <c r="S358" i="18"/>
  <c r="R358" i="18"/>
  <c r="Q358" i="18"/>
  <c r="R1994" i="18"/>
  <c r="Q1994" i="18"/>
  <c r="S1994" i="18"/>
  <c r="Q278" i="18"/>
  <c r="S479" i="18"/>
  <c r="R1825" i="18"/>
  <c r="S1825" i="18"/>
  <c r="Q1825" i="18"/>
  <c r="S2189" i="18"/>
  <c r="R2189" i="18"/>
  <c r="Q2189" i="18"/>
  <c r="Q2180" i="18"/>
  <c r="S2180" i="18"/>
  <c r="R2180" i="18"/>
  <c r="S1883" i="18"/>
  <c r="R1883" i="18"/>
  <c r="Q1883" i="18"/>
  <c r="Q302" i="18"/>
  <c r="R1989" i="18"/>
  <c r="S1989" i="18"/>
  <c r="Q1989" i="18"/>
  <c r="R2238" i="18"/>
  <c r="S2238" i="18"/>
  <c r="Q2238" i="18"/>
  <c r="S697" i="18"/>
  <c r="R697" i="18"/>
  <c r="Q697" i="18"/>
  <c r="S2406" i="18"/>
  <c r="Q2406" i="18"/>
  <c r="R2406" i="18"/>
  <c r="S1801" i="18"/>
  <c r="R1801" i="18"/>
  <c r="Q1801" i="18"/>
  <c r="S1834" i="18"/>
  <c r="R1834" i="18"/>
  <c r="Q1834" i="18"/>
  <c r="Q2001" i="18"/>
  <c r="R2001" i="18"/>
  <c r="S2001" i="18"/>
  <c r="S2423" i="18"/>
  <c r="R2423" i="18"/>
  <c r="Q2423" i="18"/>
  <c r="S594" i="18"/>
  <c r="R594" i="18"/>
  <c r="Q594" i="18"/>
  <c r="S749" i="18"/>
  <c r="R749" i="18"/>
  <c r="Q749" i="18"/>
  <c r="S1751" i="18"/>
  <c r="R1751" i="18"/>
  <c r="Q1751" i="18"/>
  <c r="S319" i="18"/>
  <c r="Q319" i="18"/>
  <c r="R319" i="18"/>
  <c r="R2017" i="18"/>
  <c r="S2017" i="18"/>
  <c r="Q2017" i="18"/>
  <c r="R1946" i="18"/>
  <c r="Q1946" i="18"/>
  <c r="S1946" i="18"/>
  <c r="R1931" i="18"/>
  <c r="S1931" i="18"/>
  <c r="Q1931" i="18"/>
  <c r="S2457" i="18"/>
  <c r="R2457" i="18"/>
  <c r="Q2457" i="18"/>
  <c r="S2302" i="18"/>
  <c r="R2302" i="18"/>
  <c r="Q2302" i="18"/>
  <c r="S2374" i="18"/>
  <c r="R2374" i="18"/>
  <c r="Q2374" i="18"/>
  <c r="S673" i="18"/>
  <c r="Q673" i="18"/>
  <c r="R673" i="18"/>
  <c r="S1849" i="18"/>
  <c r="Q1849" i="18"/>
  <c r="R1849" i="18"/>
  <c r="S296" i="18"/>
  <c r="R296" i="18"/>
  <c r="Q296" i="18"/>
  <c r="R2448" i="18"/>
  <c r="S2448" i="18"/>
  <c r="Q2448" i="18"/>
  <c r="S153" i="18"/>
  <c r="Q153" i="18"/>
  <c r="R153" i="18"/>
  <c r="R329" i="18"/>
  <c r="S329" i="18"/>
  <c r="Q329" i="18"/>
  <c r="R1655" i="18"/>
  <c r="S1655" i="18"/>
  <c r="Q1655" i="18"/>
  <c r="S2275" i="18"/>
  <c r="Q2275" i="18"/>
  <c r="R2275" i="18"/>
  <c r="R1890" i="18"/>
  <c r="S1890" i="18"/>
  <c r="Q1890" i="18"/>
  <c r="R2011" i="18"/>
  <c r="Q2011" i="18"/>
  <c r="S2011" i="18"/>
  <c r="S2358" i="18"/>
  <c r="R2358" i="18"/>
  <c r="Q2358" i="18"/>
  <c r="S173" i="18"/>
  <c r="R173" i="18"/>
  <c r="Q173" i="18"/>
  <c r="Q2252" i="18"/>
  <c r="S2252" i="18"/>
  <c r="R2252" i="18"/>
  <c r="S1745" i="18"/>
  <c r="Q1745" i="18"/>
  <c r="R1745" i="18"/>
  <c r="R1840" i="18"/>
  <c r="S1840" i="18"/>
  <c r="Q1840" i="18"/>
  <c r="R2065" i="18"/>
  <c r="Q2065" i="18"/>
  <c r="S2065" i="18"/>
  <c r="R510" i="18"/>
  <c r="S510" i="18"/>
  <c r="Q510" i="18"/>
  <c r="S2076" i="18"/>
  <c r="Q2076" i="18"/>
  <c r="R2076" i="18"/>
  <c r="Q2341" i="18"/>
  <c r="R2341" i="18"/>
  <c r="S2341" i="18"/>
  <c r="S2464" i="18"/>
  <c r="R2464" i="18"/>
  <c r="Q2464" i="18"/>
  <c r="S681" i="18"/>
  <c r="R681" i="18"/>
  <c r="Q681" i="18"/>
  <c r="S1875" i="18"/>
  <c r="R1875" i="18"/>
  <c r="Q1875" i="18"/>
  <c r="R2034" i="18"/>
  <c r="Q2034" i="18"/>
  <c r="S2034" i="18"/>
  <c r="S2150" i="18"/>
  <c r="R2150" i="18"/>
  <c r="Q2150" i="18"/>
  <c r="S346" i="18"/>
  <c r="Q346" i="18"/>
  <c r="R346" i="18"/>
  <c r="Q375" i="18"/>
  <c r="R375" i="18"/>
  <c r="S375" i="18"/>
  <c r="R726" i="18"/>
  <c r="Q726" i="18"/>
  <c r="S726" i="18"/>
  <c r="S1901" i="18"/>
  <c r="Q1901" i="18"/>
  <c r="R1901" i="18"/>
  <c r="R2174" i="18"/>
  <c r="S2174" i="18"/>
  <c r="Q2174" i="18"/>
  <c r="S1783" i="18"/>
  <c r="R1783" i="18"/>
  <c r="Q1783" i="18"/>
  <c r="Q2362" i="18"/>
  <c r="S2362" i="18"/>
  <c r="R2362" i="18"/>
  <c r="R2212" i="18"/>
  <c r="S2212" i="18"/>
  <c r="Q2212" i="18"/>
  <c r="R2316" i="18"/>
  <c r="Q2316" i="18"/>
  <c r="S2316" i="18"/>
  <c r="R2381" i="18"/>
  <c r="S2381" i="18"/>
  <c r="Q2381" i="18"/>
  <c r="R2206" i="18"/>
  <c r="Q2206" i="18"/>
  <c r="S2206" i="18"/>
  <c r="S657" i="18"/>
  <c r="R657" i="18"/>
  <c r="Q657" i="18"/>
  <c r="S494" i="18"/>
  <c r="R494" i="18"/>
  <c r="Q494" i="18"/>
  <c r="S860" i="18"/>
  <c r="R860" i="18"/>
  <c r="Q860" i="18"/>
  <c r="S361" i="18"/>
  <c r="Q361" i="18"/>
  <c r="R361" i="18"/>
  <c r="S1757" i="18"/>
  <c r="Q1757" i="18"/>
  <c r="R1757" i="18"/>
  <c r="S2169" i="18"/>
  <c r="Q2169" i="18"/>
  <c r="R2169" i="18"/>
  <c r="S1822" i="18"/>
  <c r="Q1822" i="18"/>
  <c r="R1822" i="18"/>
  <c r="R2021" i="18"/>
  <c r="Q2021" i="18"/>
  <c r="S2021" i="18"/>
  <c r="Q2280" i="18"/>
  <c r="S2280" i="18"/>
  <c r="R2280" i="18"/>
  <c r="S259" i="18"/>
  <c r="Q259" i="18"/>
  <c r="R259" i="18"/>
  <c r="S2042" i="18"/>
  <c r="R2042" i="18"/>
  <c r="Q2042" i="18"/>
  <c r="Q2370" i="18"/>
  <c r="R2370" i="18"/>
  <c r="S2370" i="18"/>
  <c r="R2318" i="18"/>
  <c r="Q2318" i="18"/>
  <c r="S2318" i="18"/>
  <c r="R2140" i="18"/>
  <c r="Q2140" i="18"/>
  <c r="S2140" i="18"/>
  <c r="S2416" i="18"/>
  <c r="R2416" i="18"/>
  <c r="Q2416" i="18"/>
  <c r="Q2240" i="18"/>
  <c r="S2240" i="18"/>
  <c r="R2240" i="18"/>
  <c r="S469" i="18"/>
  <c r="R469" i="18"/>
  <c r="Q469" i="18"/>
  <c r="S2045" i="18"/>
  <c r="R2045" i="18"/>
  <c r="Q2045" i="18"/>
  <c r="R125" i="18"/>
  <c r="S125" i="18"/>
  <c r="Q125" i="18"/>
  <c r="Q431" i="18"/>
  <c r="R431" i="18"/>
  <c r="S431" i="18"/>
  <c r="S2366" i="18"/>
  <c r="Q2366" i="18"/>
  <c r="R2366" i="18"/>
  <c r="S264" i="18"/>
  <c r="R264" i="18"/>
  <c r="Q264" i="18"/>
  <c r="S2050" i="18"/>
  <c r="R2050" i="18"/>
  <c r="Q2050" i="18"/>
  <c r="Q2154" i="18"/>
  <c r="S2154" i="18"/>
  <c r="R2154" i="18"/>
  <c r="Q2287" i="18"/>
  <c r="S2287" i="18"/>
  <c r="R2287" i="18"/>
  <c r="S1810" i="18"/>
  <c r="R1810" i="18"/>
  <c r="Q1810" i="18"/>
  <c r="R2334" i="18"/>
  <c r="S2334" i="18"/>
  <c r="Q2334" i="18"/>
  <c r="R2426" i="18"/>
  <c r="Q2426" i="18"/>
  <c r="S2426" i="18"/>
  <c r="R501" i="18"/>
  <c r="S501" i="18"/>
  <c r="Q501" i="18"/>
  <c r="Q2338" i="18"/>
  <c r="S2338" i="18"/>
  <c r="R2338" i="18"/>
  <c r="S163" i="18"/>
  <c r="R163" i="18"/>
  <c r="Q163" i="18"/>
  <c r="R193" i="18"/>
  <c r="S193" i="18"/>
  <c r="Q193" i="18"/>
  <c r="Q2401" i="18"/>
  <c r="S2401" i="18"/>
  <c r="R2401" i="18"/>
  <c r="R776" i="18"/>
  <c r="Q776" i="18"/>
  <c r="S776" i="18"/>
  <c r="Q359" i="18"/>
  <c r="R359" i="18"/>
  <c r="S359" i="18"/>
  <c r="R2210" i="18"/>
  <c r="S2210" i="18"/>
  <c r="Q2210" i="18"/>
  <c r="S1792" i="18"/>
  <c r="R1792" i="18"/>
  <c r="Q1792" i="18"/>
  <c r="S2290" i="18"/>
  <c r="Q2290" i="18"/>
  <c r="R2290" i="18"/>
  <c r="R1779" i="18"/>
  <c r="S1779" i="18"/>
  <c r="Q1779" i="18"/>
  <c r="S2354" i="18"/>
  <c r="Q2354" i="18"/>
  <c r="R2354" i="18"/>
  <c r="R2258" i="18"/>
  <c r="Q2258" i="18"/>
  <c r="S2258" i="18"/>
  <c r="R1990" i="18"/>
  <c r="S1990" i="18"/>
  <c r="Q1990" i="18"/>
  <c r="S2235" i="18"/>
  <c r="Q2235" i="18"/>
  <c r="R2235" i="18"/>
  <c r="R401" i="18" l="1"/>
  <c r="S353" i="18"/>
  <c r="S699" i="18"/>
  <c r="Q699" i="18"/>
  <c r="R699" i="18"/>
  <c r="Q401" i="18"/>
  <c r="S401" i="18"/>
  <c r="Q323" i="18"/>
  <c r="R323" i="18"/>
  <c r="S323" i="18"/>
  <c r="S497" i="18"/>
  <c r="Q353" i="18"/>
  <c r="R497" i="18"/>
  <c r="Q497" i="18"/>
  <c r="R353" i="18"/>
  <c r="H876" i="18" l="1"/>
  <c r="H875" i="18"/>
  <c r="H877" i="18"/>
  <c r="H878" i="18"/>
  <c r="H871" i="18"/>
  <c r="H874" i="18"/>
  <c r="H879" i="18"/>
  <c r="H872" i="18"/>
  <c r="H873" i="18"/>
  <c r="G529" i="1"/>
  <c r="F508" i="1"/>
  <c r="F508" i="18" l="1"/>
  <c r="G529" i="18"/>
  <c r="G2102" i="1" l="1"/>
  <c r="G2101" i="1"/>
  <c r="G2100" i="1"/>
  <c r="G2099" i="1"/>
  <c r="G2097" i="1"/>
  <c r="G2096" i="1"/>
  <c r="G2095" i="1"/>
  <c r="G2094" i="1"/>
  <c r="G2092" i="1"/>
  <c r="G2091" i="1"/>
  <c r="G2090" i="1"/>
  <c r="G2089" i="1"/>
  <c r="G2087" i="1"/>
  <c r="G2086" i="1"/>
  <c r="G2085" i="1"/>
  <c r="G2084" i="1"/>
  <c r="G2082" i="1"/>
  <c r="G2081" i="1"/>
  <c r="G2080" i="1"/>
  <c r="G2079" i="1"/>
  <c r="G2077" i="1"/>
  <c r="G2076" i="1"/>
  <c r="G2075" i="1"/>
  <c r="G2074" i="1"/>
  <c r="G2072" i="1"/>
  <c r="G2071" i="1"/>
  <c r="G2070" i="1"/>
  <c r="G2069" i="1"/>
  <c r="G2067" i="1"/>
  <c r="G2066" i="1"/>
  <c r="G2065" i="1"/>
  <c r="G2064" i="1"/>
  <c r="G2062" i="1"/>
  <c r="G2061" i="1"/>
  <c r="G2060" i="1"/>
  <c r="G2059" i="1"/>
  <c r="G2057" i="1"/>
  <c r="G2056" i="1"/>
  <c r="G2055" i="1"/>
  <c r="G2054" i="1"/>
  <c r="G2052" i="1"/>
  <c r="G2051" i="1"/>
  <c r="G2050" i="1"/>
  <c r="G2049" i="1"/>
  <c r="G2047" i="1"/>
  <c r="G2046" i="1"/>
  <c r="G2045" i="1"/>
  <c r="G2043" i="1"/>
  <c r="G2042" i="1"/>
  <c r="G2041" i="1"/>
  <c r="G2039" i="1"/>
  <c r="G2038" i="1"/>
  <c r="G2037" i="1"/>
  <c r="G2035" i="1"/>
  <c r="G2034" i="1"/>
  <c r="G2033" i="1"/>
  <c r="G2031" i="1"/>
  <c r="G2030" i="1"/>
  <c r="G2029" i="1"/>
  <c r="G2027" i="1"/>
  <c r="G2026" i="1"/>
  <c r="G2025" i="1"/>
  <c r="G2023" i="1"/>
  <c r="G2022" i="1"/>
  <c r="G2021" i="1"/>
  <c r="G2019" i="1"/>
  <c r="G2018" i="1"/>
  <c r="G2017" i="1"/>
  <c r="G2015" i="1"/>
  <c r="G2014" i="1"/>
  <c r="G2013" i="1"/>
  <c r="G2011" i="1"/>
  <c r="G2010" i="1"/>
  <c r="G2009" i="1"/>
  <c r="G2007" i="1"/>
  <c r="G2006" i="1"/>
  <c r="G2005" i="1"/>
  <c r="G2003" i="1"/>
  <c r="G2002" i="1"/>
  <c r="G2001" i="1"/>
  <c r="G1999" i="1"/>
  <c r="G1998" i="1"/>
  <c r="G1997" i="1"/>
  <c r="G1995" i="1"/>
  <c r="G1994" i="1"/>
  <c r="G1993" i="1"/>
  <c r="G1991" i="1"/>
  <c r="G1990" i="1"/>
  <c r="G1989" i="1"/>
  <c r="G1987" i="1"/>
  <c r="G1986" i="1"/>
  <c r="G1985" i="1"/>
  <c r="G1983" i="1"/>
  <c r="G1982" i="1"/>
  <c r="G1981" i="1"/>
  <c r="G1979" i="1"/>
  <c r="G1978" i="1"/>
  <c r="G1977" i="1"/>
  <c r="G1975" i="1"/>
  <c r="G1974" i="1"/>
  <c r="G1973" i="1"/>
  <c r="G1971" i="1"/>
  <c r="G1970" i="1"/>
  <c r="G1969" i="1"/>
  <c r="G1967" i="1"/>
  <c r="G1966" i="1"/>
  <c r="G1965" i="1"/>
  <c r="G1963" i="1"/>
  <c r="G1962" i="1"/>
  <c r="G1961" i="1"/>
  <c r="G1959" i="1"/>
  <c r="G1958" i="1"/>
  <c r="G1957" i="1"/>
  <c r="G1955" i="1"/>
  <c r="G1954" i="1"/>
  <c r="G1953" i="1"/>
  <c r="G1951" i="1"/>
  <c r="G1950" i="1"/>
  <c r="G1949" i="1"/>
  <c r="G1947" i="1"/>
  <c r="G1946" i="1"/>
  <c r="G1945" i="1"/>
  <c r="G1943" i="1"/>
  <c r="G1942" i="1"/>
  <c r="G1941" i="1"/>
  <c r="G1939" i="1"/>
  <c r="G1938" i="1"/>
  <c r="G1937" i="1"/>
  <c r="G1935" i="1"/>
  <c r="G1934" i="1"/>
  <c r="G1933" i="1"/>
  <c r="G1931" i="1"/>
  <c r="G1930" i="1"/>
  <c r="G1929" i="1"/>
  <c r="G1927" i="1"/>
  <c r="G1926" i="1"/>
  <c r="G1925" i="1"/>
  <c r="G1923" i="1"/>
  <c r="G1922" i="1"/>
  <c r="G1921" i="1"/>
  <c r="G1919" i="1"/>
  <c r="G1918" i="1"/>
  <c r="G1917" i="1"/>
  <c r="G1915" i="1"/>
  <c r="G1914" i="1"/>
  <c r="G1913" i="1"/>
  <c r="G1911" i="1"/>
  <c r="G1910" i="1"/>
  <c r="G1909" i="1"/>
  <c r="G1907" i="1"/>
  <c r="G1906" i="1"/>
  <c r="G1905" i="1"/>
  <c r="G1903" i="1"/>
  <c r="G1902" i="1"/>
  <c r="G1901" i="1"/>
  <c r="G1899" i="1"/>
  <c r="G1898" i="1"/>
  <c r="G1897" i="1"/>
  <c r="G1895" i="1"/>
  <c r="G1894" i="1"/>
  <c r="G1893" i="1"/>
  <c r="G1891" i="1"/>
  <c r="G1890" i="1"/>
  <c r="G1889" i="1"/>
  <c r="G1887" i="1"/>
  <c r="G1886" i="1"/>
  <c r="G1885" i="1"/>
  <c r="G1883" i="1"/>
  <c r="G1882" i="1"/>
  <c r="G1881" i="1"/>
  <c r="G1879" i="1"/>
  <c r="G1878" i="1"/>
  <c r="G1877" i="1"/>
  <c r="G1875" i="1"/>
  <c r="G1874" i="1"/>
  <c r="G1873" i="1"/>
  <c r="G1871" i="1"/>
  <c r="G1870" i="1"/>
  <c r="G1869" i="1"/>
  <c r="G1867" i="1"/>
  <c r="G1866" i="1"/>
  <c r="G1865" i="1"/>
  <c r="G1863" i="1"/>
  <c r="G1862" i="1"/>
  <c r="G1861" i="1"/>
  <c r="G1859" i="1"/>
  <c r="G1858" i="1"/>
  <c r="G1857" i="1"/>
  <c r="G1855" i="1"/>
  <c r="G1854" i="1"/>
  <c r="G1853" i="1"/>
  <c r="G1851" i="1"/>
  <c r="G1850" i="1"/>
  <c r="G1849" i="1"/>
  <c r="G1847" i="1"/>
  <c r="G1846" i="1"/>
  <c r="G1845" i="1"/>
  <c r="G1843" i="1"/>
  <c r="G1842" i="1"/>
  <c r="G1841" i="1"/>
  <c r="G1840" i="1"/>
  <c r="G1838" i="1"/>
  <c r="G1837" i="1"/>
  <c r="G1836" i="1"/>
  <c r="G1834" i="1"/>
  <c r="G1833" i="1"/>
  <c r="G1832" i="1"/>
  <c r="G1830" i="1"/>
  <c r="G1829" i="1"/>
  <c r="G1828" i="1"/>
  <c r="G1826" i="1"/>
  <c r="G1825" i="1"/>
  <c r="G1824" i="1"/>
  <c r="G1822" i="1"/>
  <c r="G1821" i="1"/>
  <c r="G1820" i="1"/>
  <c r="G1818" i="1"/>
  <c r="G1817" i="1"/>
  <c r="G1816" i="1"/>
  <c r="G1814" i="1"/>
  <c r="G1813" i="1"/>
  <c r="G1812" i="1"/>
  <c r="G1810" i="1"/>
  <c r="G1809" i="1"/>
  <c r="G1808" i="1"/>
  <c r="G1806" i="1"/>
  <c r="G1805" i="1"/>
  <c r="G1804" i="1"/>
  <c r="G1802" i="1"/>
  <c r="G1801" i="1"/>
  <c r="G1800" i="1"/>
  <c r="G1798" i="1"/>
  <c r="G1797" i="1"/>
  <c r="G1796" i="1"/>
  <c r="G1794" i="1"/>
  <c r="G1793" i="1"/>
  <c r="G1792" i="1"/>
  <c r="G1790" i="1"/>
  <c r="G1789" i="1"/>
  <c r="G1787" i="1"/>
  <c r="G1786" i="1"/>
  <c r="G1784" i="1"/>
  <c r="G1783" i="1"/>
  <c r="G1781" i="1"/>
  <c r="G1780" i="1"/>
  <c r="G1779" i="1"/>
  <c r="G1778" i="1"/>
  <c r="G1777" i="1"/>
  <c r="G1775" i="1"/>
  <c r="G1774" i="1"/>
  <c r="G1773" i="1"/>
  <c r="G1772" i="1"/>
  <c r="G1771" i="1"/>
  <c r="G1770" i="1"/>
  <c r="G1769" i="1"/>
  <c r="G1767" i="1"/>
  <c r="G1766" i="1"/>
  <c r="G1765" i="1"/>
  <c r="G1764" i="1"/>
  <c r="G1763" i="1"/>
  <c r="G1757" i="1"/>
  <c r="G1756" i="1"/>
  <c r="G1754" i="1"/>
  <c r="G1753" i="1"/>
  <c r="G1751" i="1"/>
  <c r="G1750" i="1"/>
  <c r="G1748" i="1"/>
  <c r="G1747" i="1"/>
  <c r="G1745" i="1"/>
  <c r="G1744" i="1"/>
  <c r="G1742" i="1"/>
  <c r="G1741" i="1"/>
  <c r="G1739" i="1"/>
  <c r="G1738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683" i="1"/>
  <c r="G1673" i="1"/>
  <c r="G1672" i="1"/>
  <c r="G1661" i="1"/>
  <c r="G1660" i="1"/>
  <c r="G1659" i="1"/>
  <c r="G1657" i="1"/>
  <c r="G1656" i="1"/>
  <c r="G1655" i="1"/>
  <c r="G1653" i="1"/>
  <c r="G1652" i="1"/>
  <c r="G1651" i="1"/>
  <c r="G1649" i="1"/>
  <c r="G1648" i="1"/>
  <c r="G1647" i="1"/>
  <c r="G1645" i="1"/>
  <c r="G1644" i="1"/>
  <c r="G1643" i="1"/>
  <c r="G1641" i="1"/>
  <c r="G1639" i="1"/>
  <c r="G1638" i="1"/>
  <c r="G1637" i="1"/>
  <c r="G1636" i="1"/>
  <c r="G1635" i="1"/>
  <c r="G1633" i="1"/>
  <c r="G1632" i="1"/>
  <c r="G1626" i="1"/>
  <c r="G861" i="1"/>
  <c r="G860" i="1"/>
  <c r="G859" i="1"/>
  <c r="G857" i="1"/>
  <c r="G856" i="1"/>
  <c r="G855" i="1"/>
  <c r="G806" i="1"/>
  <c r="G805" i="1"/>
  <c r="G804" i="1"/>
  <c r="G803" i="1"/>
  <c r="G802" i="1"/>
  <c r="G801" i="1"/>
  <c r="G800" i="1"/>
  <c r="G793" i="1"/>
  <c r="G792" i="1"/>
  <c r="G791" i="1"/>
  <c r="G790" i="1"/>
  <c r="G789" i="1"/>
  <c r="G776" i="1"/>
  <c r="G774" i="1"/>
  <c r="G773" i="1"/>
  <c r="G772" i="1"/>
  <c r="G770" i="1"/>
  <c r="G768" i="1"/>
  <c r="G767" i="1"/>
  <c r="G766" i="1"/>
  <c r="G764" i="1"/>
  <c r="G762" i="1"/>
  <c r="G761" i="1"/>
  <c r="G758" i="1"/>
  <c r="G757" i="1"/>
  <c r="G756" i="1"/>
  <c r="G755" i="1"/>
  <c r="G752" i="1"/>
  <c r="G750" i="1"/>
  <c r="G749" i="1"/>
  <c r="G748" i="1"/>
  <c r="G746" i="1"/>
  <c r="G744" i="1"/>
  <c r="G742" i="1"/>
  <c r="G740" i="1"/>
  <c r="G738" i="1"/>
  <c r="G736" i="1"/>
  <c r="G734" i="1"/>
  <c r="G732" i="1"/>
  <c r="G728" i="1"/>
  <c r="G726" i="1"/>
  <c r="G722" i="1"/>
  <c r="G720" i="1"/>
  <c r="G716" i="1"/>
  <c r="G714" i="1"/>
  <c r="G710" i="1"/>
  <c r="G708" i="1"/>
  <c r="G704" i="1"/>
  <c r="G703" i="1"/>
  <c r="G701" i="1"/>
  <c r="G699" i="1"/>
  <c r="G697" i="1"/>
  <c r="G695" i="1"/>
  <c r="G693" i="1"/>
  <c r="G692" i="1"/>
  <c r="G691" i="1"/>
  <c r="G690" i="1"/>
  <c r="G689" i="1"/>
  <c r="G688" i="1"/>
  <c r="G687" i="1"/>
  <c r="G686" i="1"/>
  <c r="G665" i="1"/>
  <c r="G664" i="1"/>
  <c r="G663" i="1"/>
  <c r="G662" i="1"/>
  <c r="G661" i="1"/>
  <c r="G659" i="1"/>
  <c r="G658" i="1"/>
  <c r="G657" i="1"/>
  <c r="G656" i="1"/>
  <c r="G655" i="1"/>
  <c r="G653" i="1"/>
  <c r="G652" i="1"/>
  <c r="G651" i="1"/>
  <c r="G650" i="1"/>
  <c r="G649" i="1"/>
  <c r="G617" i="1"/>
  <c r="G612" i="1"/>
  <c r="G607" i="1"/>
  <c r="G602" i="1"/>
  <c r="G592" i="1"/>
  <c r="G562" i="1"/>
  <c r="G561" i="1"/>
  <c r="G560" i="1"/>
  <c r="G559" i="1"/>
  <c r="G558" i="1"/>
  <c r="G557" i="1"/>
  <c r="G556" i="1"/>
  <c r="G555" i="1"/>
  <c r="G554" i="1"/>
  <c r="G553" i="1"/>
  <c r="G552" i="1"/>
  <c r="G541" i="1"/>
  <c r="G540" i="1"/>
  <c r="G539" i="1"/>
  <c r="G536" i="1"/>
  <c r="G535" i="1"/>
  <c r="G534" i="1"/>
  <c r="G528" i="1"/>
  <c r="G527" i="1"/>
  <c r="G526" i="1"/>
  <c r="G525" i="1"/>
  <c r="G524" i="1"/>
  <c r="G523" i="1"/>
  <c r="G522" i="1"/>
  <c r="G521" i="1"/>
  <c r="G520" i="1"/>
  <c r="G519" i="1"/>
  <c r="G517" i="1"/>
  <c r="G516" i="1"/>
  <c r="G515" i="1"/>
  <c r="G512" i="1"/>
  <c r="G511" i="1"/>
  <c r="G510" i="1"/>
  <c r="G507" i="1"/>
  <c r="G506" i="1"/>
  <c r="G505" i="1"/>
  <c r="G503" i="1"/>
  <c r="G501" i="1"/>
  <c r="G500" i="1"/>
  <c r="G499" i="1"/>
  <c r="G497" i="1"/>
  <c r="G495" i="1"/>
  <c r="G494" i="1"/>
  <c r="G493" i="1"/>
  <c r="G485" i="1"/>
  <c r="G483" i="1"/>
  <c r="G482" i="1"/>
  <c r="G481" i="1"/>
  <c r="G479" i="1"/>
  <c r="G477" i="1"/>
  <c r="G476" i="1"/>
  <c r="G475" i="1"/>
  <c r="G473" i="1"/>
  <c r="G471" i="1"/>
  <c r="G470" i="1"/>
  <c r="G469" i="1"/>
  <c r="G437" i="1"/>
  <c r="G435" i="1"/>
  <c r="G434" i="1"/>
  <c r="G433" i="1"/>
  <c r="G431" i="1"/>
  <c r="G429" i="1"/>
  <c r="G428" i="1"/>
  <c r="G427" i="1"/>
  <c r="G425" i="1"/>
  <c r="G423" i="1"/>
  <c r="G422" i="1"/>
  <c r="G421" i="1"/>
  <c r="G407" i="1"/>
  <c r="G405" i="1"/>
  <c r="G404" i="1"/>
  <c r="G403" i="1"/>
  <c r="G401" i="1"/>
  <c r="G399" i="1"/>
  <c r="G398" i="1"/>
  <c r="G397" i="1"/>
  <c r="G383" i="1"/>
  <c r="G381" i="1"/>
  <c r="G380" i="1"/>
  <c r="G379" i="1"/>
  <c r="G377" i="1"/>
  <c r="G375" i="1"/>
  <c r="G374" i="1"/>
  <c r="G373" i="1"/>
  <c r="G371" i="1"/>
  <c r="G369" i="1"/>
  <c r="G368" i="1"/>
  <c r="G367" i="1"/>
  <c r="G365" i="1"/>
  <c r="G363" i="1"/>
  <c r="G362" i="1"/>
  <c r="G361" i="1"/>
  <c r="G359" i="1"/>
  <c r="G358" i="1"/>
  <c r="G357" i="1"/>
  <c r="G356" i="1"/>
  <c r="G355" i="1"/>
  <c r="G353" i="1"/>
  <c r="G351" i="1"/>
  <c r="G350" i="1"/>
  <c r="G349" i="1"/>
  <c r="G347" i="1"/>
  <c r="G345" i="1"/>
  <c r="G344" i="1"/>
  <c r="G343" i="1"/>
  <c r="G341" i="1"/>
  <c r="G339" i="1"/>
  <c r="G338" i="1"/>
  <c r="G337" i="1"/>
  <c r="G335" i="1"/>
  <c r="G333" i="1"/>
  <c r="G332" i="1"/>
  <c r="G331" i="1"/>
  <c r="G329" i="1"/>
  <c r="G327" i="1"/>
  <c r="G326" i="1"/>
  <c r="G325" i="1"/>
  <c r="G323" i="1"/>
  <c r="G321" i="1"/>
  <c r="G320" i="1"/>
  <c r="G319" i="1"/>
  <c r="G317" i="1"/>
  <c r="G315" i="1"/>
  <c r="G314" i="1"/>
  <c r="G313" i="1"/>
  <c r="G311" i="1"/>
  <c r="G309" i="1"/>
  <c r="G308" i="1"/>
  <c r="G307" i="1"/>
  <c r="G305" i="1"/>
  <c r="G304" i="1"/>
  <c r="G302" i="1"/>
  <c r="G301" i="1"/>
  <c r="G299" i="1"/>
  <c r="G298" i="1"/>
  <c r="G296" i="1"/>
  <c r="G295" i="1"/>
  <c r="G293" i="1"/>
  <c r="G292" i="1"/>
  <c r="G290" i="1"/>
  <c r="G289" i="1"/>
  <c r="G287" i="1"/>
  <c r="G286" i="1"/>
  <c r="G284" i="1"/>
  <c r="G283" i="1"/>
  <c r="G281" i="1"/>
  <c r="G280" i="1"/>
  <c r="G278" i="1"/>
  <c r="G277" i="1"/>
  <c r="G275" i="1"/>
  <c r="G274" i="1"/>
  <c r="G273" i="1"/>
  <c r="G272" i="1"/>
  <c r="G270" i="1"/>
  <c r="G269" i="1"/>
  <c r="G268" i="1"/>
  <c r="G267" i="1"/>
  <c r="G265" i="1"/>
  <c r="G264" i="1"/>
  <c r="G263" i="1"/>
  <c r="G262" i="1"/>
  <c r="G260" i="1"/>
  <c r="G259" i="1"/>
  <c r="G258" i="1"/>
  <c r="G257" i="1"/>
  <c r="G255" i="1"/>
  <c r="G254" i="1"/>
  <c r="G253" i="1"/>
  <c r="G252" i="1"/>
  <c r="G251" i="1"/>
  <c r="G250" i="1"/>
  <c r="G249" i="1"/>
  <c r="G242" i="1"/>
  <c r="G239" i="1"/>
  <c r="G238" i="1"/>
  <c r="G237" i="1"/>
  <c r="G235" i="1"/>
  <c r="G233" i="1"/>
  <c r="G231" i="1"/>
  <c r="G201" i="1"/>
  <c r="G200" i="1"/>
  <c r="G199" i="1"/>
  <c r="G198" i="1"/>
  <c r="G196" i="1"/>
  <c r="G195" i="1"/>
  <c r="G193" i="1"/>
  <c r="G192" i="1"/>
  <c r="G191" i="1"/>
  <c r="G189" i="1"/>
  <c r="G188" i="1"/>
  <c r="G187" i="1"/>
  <c r="G186" i="1"/>
  <c r="G185" i="1"/>
  <c r="G184" i="1"/>
  <c r="G183" i="1"/>
  <c r="G182" i="1"/>
  <c r="G181" i="1"/>
  <c r="G179" i="1"/>
  <c r="G178" i="1"/>
  <c r="G177" i="1"/>
  <c r="G175" i="1"/>
  <c r="G174" i="1"/>
  <c r="G173" i="1"/>
  <c r="G171" i="1"/>
  <c r="G170" i="1"/>
  <c r="G169" i="1"/>
  <c r="G167" i="1"/>
  <c r="G166" i="1"/>
  <c r="G165" i="1"/>
  <c r="G163" i="1"/>
  <c r="G162" i="1"/>
  <c r="G161" i="1"/>
  <c r="G159" i="1"/>
  <c r="G158" i="1"/>
  <c r="G156" i="1"/>
  <c r="G155" i="1"/>
  <c r="G153" i="1"/>
  <c r="G152" i="1"/>
  <c r="G150" i="1"/>
  <c r="G149" i="1"/>
  <c r="G147" i="1"/>
  <c r="G146" i="1"/>
  <c r="G144" i="1"/>
  <c r="G143" i="1"/>
  <c r="G141" i="1"/>
  <c r="G140" i="1"/>
  <c r="G139" i="1"/>
  <c r="G134" i="1"/>
  <c r="G133" i="1"/>
  <c r="G131" i="1"/>
  <c r="G129" i="1"/>
  <c r="G128" i="1"/>
  <c r="G127" i="1"/>
  <c r="G126" i="1"/>
  <c r="G125" i="1"/>
  <c r="G123" i="1"/>
  <c r="G122" i="1"/>
  <c r="G121" i="1"/>
  <c r="G120" i="1"/>
  <c r="G90" i="1"/>
  <c r="G89" i="1"/>
  <c r="G87" i="1"/>
  <c r="G86" i="1"/>
  <c r="G85" i="1"/>
  <c r="G77" i="1"/>
  <c r="G70" i="1"/>
  <c r="G25" i="1"/>
  <c r="G24" i="1"/>
  <c r="H84" i="2"/>
  <c r="G84" i="2"/>
  <c r="F84" i="2"/>
  <c r="E84" i="2"/>
  <c r="H83" i="2"/>
  <c r="G83" i="2"/>
  <c r="F83" i="2"/>
  <c r="E83" i="2"/>
  <c r="H82" i="2"/>
  <c r="G82" i="2"/>
  <c r="F82" i="2"/>
  <c r="E82" i="2"/>
  <c r="H81" i="2"/>
  <c r="G81" i="2"/>
  <c r="F81" i="2"/>
  <c r="E81" i="2"/>
  <c r="H80" i="2"/>
  <c r="G80" i="2"/>
  <c r="F80" i="2"/>
  <c r="E80" i="2"/>
  <c r="H79" i="2"/>
  <c r="G79" i="2"/>
  <c r="F79" i="2"/>
  <c r="E79" i="2"/>
  <c r="H78" i="2"/>
  <c r="G78" i="2"/>
  <c r="F78" i="2"/>
  <c r="E78" i="2"/>
  <c r="H77" i="2"/>
  <c r="G77" i="2"/>
  <c r="F77" i="2"/>
  <c r="E77" i="2"/>
  <c r="H76" i="2"/>
  <c r="G76" i="2"/>
  <c r="F76" i="2"/>
  <c r="E76" i="2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H70" i="2"/>
  <c r="G70" i="2"/>
  <c r="F70" i="2"/>
  <c r="E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E65" i="2"/>
  <c r="E64" i="2"/>
  <c r="E63" i="2"/>
  <c r="E62" i="2"/>
  <c r="E61" i="2"/>
  <c r="E60" i="2"/>
  <c r="E59" i="2"/>
  <c r="E57" i="2"/>
  <c r="E56" i="2"/>
  <c r="E55" i="2"/>
  <c r="E54" i="2"/>
  <c r="E52" i="2"/>
  <c r="E51" i="2"/>
  <c r="E45" i="2"/>
  <c r="E44" i="2"/>
  <c r="E43" i="2"/>
  <c r="E42" i="2"/>
  <c r="E41" i="2"/>
  <c r="E40" i="2"/>
  <c r="E39" i="2"/>
  <c r="E38" i="2"/>
  <c r="E37" i="2"/>
  <c r="E36" i="2"/>
  <c r="E35" i="2"/>
  <c r="E34" i="2"/>
  <c r="E28" i="2"/>
  <c r="E27" i="2"/>
  <c r="E26" i="2"/>
  <c r="E25" i="2"/>
  <c r="E24" i="2"/>
  <c r="E23" i="2"/>
  <c r="E22" i="2"/>
  <c r="E21" i="2"/>
  <c r="E16" i="2"/>
  <c r="E15" i="2"/>
  <c r="E14" i="2"/>
  <c r="E13" i="2"/>
  <c r="E12" i="2"/>
  <c r="E11" i="2"/>
  <c r="H10" i="2"/>
  <c r="G10" i="2"/>
  <c r="F10" i="2"/>
  <c r="E10" i="2"/>
  <c r="E9" i="2"/>
  <c r="H8" i="2"/>
  <c r="H7" i="2"/>
  <c r="H6" i="2"/>
  <c r="H5" i="2"/>
  <c r="Z14" i="17"/>
  <c r="Z15" i="17"/>
  <c r="Z16" i="17"/>
  <c r="Z17" i="17"/>
  <c r="Z18" i="17"/>
  <c r="Z19" i="17"/>
  <c r="Z20" i="17"/>
  <c r="Z21" i="17"/>
  <c r="Z22" i="17"/>
  <c r="Z24" i="17"/>
  <c r="Z26" i="17"/>
  <c r="Z28" i="17"/>
  <c r="Z29" i="17"/>
  <c r="Z30" i="17"/>
  <c r="Z31" i="17"/>
  <c r="Z12" i="17"/>
  <c r="G528" i="18" l="1"/>
  <c r="G89" i="18"/>
  <c r="G651" i="18"/>
  <c r="G791" i="18"/>
  <c r="G664" i="18"/>
  <c r="G1729" i="18"/>
  <c r="G85" i="18"/>
  <c r="G526" i="18"/>
  <c r="G559" i="18"/>
  <c r="G1723" i="18"/>
  <c r="G1731" i="18"/>
  <c r="G1767" i="18"/>
  <c r="G1733" i="18"/>
  <c r="G141" i="18"/>
  <c r="G86" i="18"/>
  <c r="G139" i="18"/>
  <c r="G519" i="18"/>
  <c r="G527" i="18"/>
  <c r="G552" i="18"/>
  <c r="G560" i="18"/>
  <c r="G649" i="18"/>
  <c r="G1724" i="18"/>
  <c r="G1732" i="18"/>
  <c r="G1726" i="18"/>
  <c r="G1734" i="18"/>
  <c r="G1780" i="18"/>
  <c r="G90" i="18"/>
  <c r="G522" i="18"/>
  <c r="G555" i="18"/>
  <c r="G662" i="18"/>
  <c r="G792" i="18"/>
  <c r="G1727" i="18"/>
  <c r="G1735" i="18"/>
  <c r="G1763" i="18"/>
  <c r="G1781" i="18"/>
  <c r="G140" i="18"/>
  <c r="G553" i="18"/>
  <c r="G523" i="18"/>
  <c r="G556" i="18"/>
  <c r="G663" i="18"/>
  <c r="G1728" i="18"/>
  <c r="G1736" i="18"/>
  <c r="G1764" i="18"/>
  <c r="G87" i="18"/>
  <c r="G520" i="18"/>
  <c r="G650" i="18"/>
  <c r="G1725" i="18"/>
  <c r="G521" i="18"/>
  <c r="G554" i="18"/>
  <c r="G524" i="18"/>
  <c r="G557" i="18"/>
  <c r="G1721" i="18"/>
  <c r="G1765" i="18"/>
  <c r="G77" i="18"/>
  <c r="G525" i="18"/>
  <c r="G558" i="18"/>
  <c r="G665" i="18"/>
  <c r="G1722" i="18"/>
  <c r="G1730" i="18"/>
  <c r="G1766" i="18"/>
  <c r="G120" i="18"/>
  <c r="G70" i="18"/>
  <c r="G131" i="18"/>
  <c r="G158" i="18"/>
  <c r="G239" i="18"/>
  <c r="G122" i="18"/>
  <c r="G133" i="18"/>
  <c r="G159" i="18"/>
  <c r="G170" i="18"/>
  <c r="G189" i="18"/>
  <c r="G200" i="18"/>
  <c r="G242" i="18"/>
  <c r="G267" i="18"/>
  <c r="G276" i="1"/>
  <c r="G277" i="18"/>
  <c r="G300" i="1"/>
  <c r="G301" i="18"/>
  <c r="G313" i="18"/>
  <c r="G337" i="18"/>
  <c r="G383" i="18"/>
  <c r="G123" i="18"/>
  <c r="G134" i="18"/>
  <c r="G149" i="18"/>
  <c r="G161" i="18"/>
  <c r="G171" i="18"/>
  <c r="G182" i="18"/>
  <c r="G191" i="18"/>
  <c r="G201" i="18"/>
  <c r="G249" i="18"/>
  <c r="G258" i="18"/>
  <c r="G268" i="18"/>
  <c r="G278" i="18"/>
  <c r="G290" i="18"/>
  <c r="G302" i="18"/>
  <c r="G314" i="18"/>
  <c r="G326" i="18"/>
  <c r="G338" i="18"/>
  <c r="G350" i="18"/>
  <c r="G361" i="18"/>
  <c r="G373" i="18"/>
  <c r="G397" i="18"/>
  <c r="G421" i="18"/>
  <c r="G433" i="18"/>
  <c r="G475" i="18"/>
  <c r="G493" i="18"/>
  <c r="G505" i="18"/>
  <c r="G517" i="18"/>
  <c r="G541" i="18"/>
  <c r="G617" i="18"/>
  <c r="G657" i="18"/>
  <c r="G686" i="18"/>
  <c r="G695" i="18"/>
  <c r="G714" i="18"/>
  <c r="G736" i="18"/>
  <c r="G750" i="18"/>
  <c r="G764" i="18"/>
  <c r="G776" i="18"/>
  <c r="G802" i="18"/>
  <c r="G859" i="18"/>
  <c r="G1637" i="18"/>
  <c r="G1648" i="18"/>
  <c r="G1659" i="18"/>
  <c r="G1741" i="18"/>
  <c r="G1753" i="18"/>
  <c r="G1777" i="18"/>
  <c r="G1787" i="18"/>
  <c r="G1798" i="18"/>
  <c r="G1809" i="18"/>
  <c r="G1820" i="18"/>
  <c r="G1830" i="18"/>
  <c r="G1841" i="18"/>
  <c r="G1851" i="18"/>
  <c r="G1862" i="18"/>
  <c r="G1873" i="18"/>
  <c r="G1883" i="18"/>
  <c r="G1894" i="18"/>
  <c r="G1905" i="18"/>
  <c r="G1915" i="18"/>
  <c r="G1926" i="18"/>
  <c r="G1937" i="18"/>
  <c r="G1947" i="18"/>
  <c r="G1958" i="18"/>
  <c r="G1969" i="18"/>
  <c r="G1979" i="18"/>
  <c r="G1990" i="18"/>
  <c r="G2001" i="18"/>
  <c r="G2011" i="18"/>
  <c r="G2022" i="18"/>
  <c r="G2033" i="18"/>
  <c r="G2043" i="18"/>
  <c r="G2054" i="18"/>
  <c r="G2064" i="18"/>
  <c r="G2074" i="18"/>
  <c r="G2084" i="18"/>
  <c r="G2094" i="18"/>
  <c r="G125" i="18"/>
  <c r="G150" i="18"/>
  <c r="G162" i="18"/>
  <c r="G173" i="18"/>
  <c r="G183" i="18"/>
  <c r="G192" i="18"/>
  <c r="G231" i="18"/>
  <c r="G250" i="18"/>
  <c r="G259" i="18"/>
  <c r="G269" i="18"/>
  <c r="G279" i="1"/>
  <c r="G280" i="18"/>
  <c r="G291" i="1"/>
  <c r="G292" i="18"/>
  <c r="G303" i="1"/>
  <c r="G304" i="18"/>
  <c r="G315" i="18"/>
  <c r="G327" i="18"/>
  <c r="G339" i="18"/>
  <c r="G351" i="18"/>
  <c r="G362" i="18"/>
  <c r="G374" i="18"/>
  <c r="G398" i="18"/>
  <c r="G422" i="18"/>
  <c r="G434" i="18"/>
  <c r="G476" i="18"/>
  <c r="G494" i="18"/>
  <c r="G506" i="18"/>
  <c r="G658" i="18"/>
  <c r="G687" i="18"/>
  <c r="G697" i="18"/>
  <c r="G716" i="18"/>
  <c r="G738" i="18"/>
  <c r="G752" i="18"/>
  <c r="G766" i="18"/>
  <c r="G789" i="18"/>
  <c r="G803" i="18"/>
  <c r="G860" i="18"/>
  <c r="G1638" i="18"/>
  <c r="G1649" i="18"/>
  <c r="G1660" i="18"/>
  <c r="G1742" i="18"/>
  <c r="G1754" i="18"/>
  <c r="G1769" i="18"/>
  <c r="G1778" i="18"/>
  <c r="G1789" i="18"/>
  <c r="G1800" i="18"/>
  <c r="G1810" i="18"/>
  <c r="G1821" i="18"/>
  <c r="G1832" i="18"/>
  <c r="G1842" i="18"/>
  <c r="G1853" i="18"/>
  <c r="G1863" i="18"/>
  <c r="G1874" i="18"/>
  <c r="G1885" i="18"/>
  <c r="G1895" i="18"/>
  <c r="G1906" i="18"/>
  <c r="G1917" i="18"/>
  <c r="G1927" i="18"/>
  <c r="G1938" i="18"/>
  <c r="G1949" i="18"/>
  <c r="G1959" i="18"/>
  <c r="G1970" i="18"/>
  <c r="G1981" i="18"/>
  <c r="G1991" i="18"/>
  <c r="G2002" i="18"/>
  <c r="G2013" i="18"/>
  <c r="G2023" i="18"/>
  <c r="G2034" i="18"/>
  <c r="G2045" i="18"/>
  <c r="G2055" i="18"/>
  <c r="G2065" i="18"/>
  <c r="G2075" i="18"/>
  <c r="G2085" i="18"/>
  <c r="G2095" i="18"/>
  <c r="G126" i="18"/>
  <c r="G152" i="18"/>
  <c r="G163" i="18"/>
  <c r="G174" i="18"/>
  <c r="G184" i="18"/>
  <c r="G193" i="18"/>
  <c r="G233" i="18"/>
  <c r="G251" i="18"/>
  <c r="G260" i="18"/>
  <c r="G270" i="18"/>
  <c r="G281" i="18"/>
  <c r="G293" i="18"/>
  <c r="G305" i="18"/>
  <c r="G317" i="18"/>
  <c r="G329" i="18"/>
  <c r="G341" i="18"/>
  <c r="G353" i="18"/>
  <c r="G363" i="18"/>
  <c r="G375" i="18"/>
  <c r="G399" i="18"/>
  <c r="G423" i="18"/>
  <c r="G435" i="18"/>
  <c r="G477" i="18"/>
  <c r="G495" i="18"/>
  <c r="G507" i="18"/>
  <c r="G561" i="18"/>
  <c r="G659" i="18"/>
  <c r="G688" i="18"/>
  <c r="G699" i="18"/>
  <c r="G720" i="18"/>
  <c r="G740" i="18"/>
  <c r="G755" i="18"/>
  <c r="G767" i="18"/>
  <c r="G790" i="18"/>
  <c r="G804" i="18"/>
  <c r="G861" i="18"/>
  <c r="G1639" i="18"/>
  <c r="G1651" i="18"/>
  <c r="G1661" i="18"/>
  <c r="G1744" i="18"/>
  <c r="G1756" i="18"/>
  <c r="G1770" i="18"/>
  <c r="G1779" i="18"/>
  <c r="G1790" i="18"/>
  <c r="G1801" i="18"/>
  <c r="G1812" i="18"/>
  <c r="G1822" i="18"/>
  <c r="G1833" i="18"/>
  <c r="G1843" i="18"/>
  <c r="G1854" i="18"/>
  <c r="G1865" i="18"/>
  <c r="G1875" i="18"/>
  <c r="G1886" i="18"/>
  <c r="G1897" i="18"/>
  <c r="G1907" i="18"/>
  <c r="G1918" i="18"/>
  <c r="G1929" i="18"/>
  <c r="G1939" i="18"/>
  <c r="G1950" i="18"/>
  <c r="G1961" i="18"/>
  <c r="G1971" i="18"/>
  <c r="G1982" i="18"/>
  <c r="G1993" i="18"/>
  <c r="G2003" i="18"/>
  <c r="G2014" i="18"/>
  <c r="G2025" i="18"/>
  <c r="G2035" i="18"/>
  <c r="G2046" i="18"/>
  <c r="G2056" i="18"/>
  <c r="G2066" i="18"/>
  <c r="G2076" i="18"/>
  <c r="G2086" i="18"/>
  <c r="G2096" i="18"/>
  <c r="G127" i="18"/>
  <c r="G153" i="18"/>
  <c r="G165" i="18"/>
  <c r="G175" i="18"/>
  <c r="G185" i="18"/>
  <c r="G195" i="18"/>
  <c r="G235" i="18"/>
  <c r="G252" i="18"/>
  <c r="G262" i="18"/>
  <c r="G272" i="18"/>
  <c r="G282" i="1"/>
  <c r="G283" i="18"/>
  <c r="G294" i="1"/>
  <c r="G295" i="18"/>
  <c r="G307" i="18"/>
  <c r="G319" i="18"/>
  <c r="G331" i="18"/>
  <c r="G343" i="18"/>
  <c r="G355" i="18"/>
  <c r="G365" i="18"/>
  <c r="G377" i="18"/>
  <c r="G401" i="18"/>
  <c r="G425" i="18"/>
  <c r="G437" i="18"/>
  <c r="G479" i="18"/>
  <c r="G497" i="18"/>
  <c r="G510" i="18"/>
  <c r="G534" i="18"/>
  <c r="G562" i="18"/>
  <c r="G661" i="18"/>
  <c r="G689" i="18"/>
  <c r="G701" i="18"/>
  <c r="G722" i="18"/>
  <c r="G742" i="18"/>
  <c r="G756" i="18"/>
  <c r="G768" i="18"/>
  <c r="G805" i="18"/>
  <c r="G1626" i="18"/>
  <c r="G1641" i="18"/>
  <c r="G1652" i="18"/>
  <c r="G1672" i="18"/>
  <c r="G1745" i="18"/>
  <c r="G1757" i="18"/>
  <c r="G1771" i="18"/>
  <c r="G1792" i="18"/>
  <c r="G1802" i="18"/>
  <c r="G1813" i="18"/>
  <c r="G1824" i="18"/>
  <c r="G1834" i="18"/>
  <c r="G1845" i="18"/>
  <c r="G1855" i="18"/>
  <c r="G1866" i="18"/>
  <c r="G1877" i="18"/>
  <c r="G1887" i="18"/>
  <c r="G1898" i="18"/>
  <c r="G1909" i="18"/>
  <c r="G1919" i="18"/>
  <c r="G1930" i="18"/>
  <c r="G1941" i="18"/>
  <c r="G1951" i="18"/>
  <c r="G1962" i="18"/>
  <c r="G1973" i="18"/>
  <c r="G1983" i="18"/>
  <c r="G1994" i="18"/>
  <c r="G2005" i="18"/>
  <c r="G2015" i="18"/>
  <c r="G2026" i="18"/>
  <c r="G2037" i="18"/>
  <c r="G2047" i="18"/>
  <c r="G2057" i="18"/>
  <c r="G2067" i="18"/>
  <c r="G2077" i="18"/>
  <c r="G2087" i="18"/>
  <c r="G2097" i="18"/>
  <c r="G24" i="18"/>
  <c r="G128" i="18"/>
  <c r="G143" i="18"/>
  <c r="G155" i="18"/>
  <c r="G166" i="18"/>
  <c r="G177" i="18"/>
  <c r="G186" i="18"/>
  <c r="G196" i="18"/>
  <c r="G237" i="18"/>
  <c r="G253" i="18"/>
  <c r="G263" i="18"/>
  <c r="G273" i="18"/>
  <c r="G284" i="18"/>
  <c r="G296" i="18"/>
  <c r="G308" i="18"/>
  <c r="G320" i="18"/>
  <c r="G332" i="18"/>
  <c r="G344" i="18"/>
  <c r="G356" i="18"/>
  <c r="G367" i="18"/>
  <c r="G379" i="18"/>
  <c r="G403" i="18"/>
  <c r="G427" i="18"/>
  <c r="G469" i="18"/>
  <c r="G481" i="18"/>
  <c r="G499" i="18"/>
  <c r="G511" i="18"/>
  <c r="G535" i="18"/>
  <c r="G592" i="18"/>
  <c r="G652" i="18"/>
  <c r="G690" i="18"/>
  <c r="G702" i="1"/>
  <c r="G703" i="18"/>
  <c r="G726" i="18"/>
  <c r="G744" i="18"/>
  <c r="G757" i="18"/>
  <c r="G770" i="18"/>
  <c r="G806" i="18"/>
  <c r="G1632" i="18"/>
  <c r="G1643" i="18"/>
  <c r="G1653" i="18"/>
  <c r="G1673" i="18"/>
  <c r="G1747" i="18"/>
  <c r="G1772" i="18"/>
  <c r="G1793" i="18"/>
  <c r="G1804" i="18"/>
  <c r="G1814" i="18"/>
  <c r="G1825" i="18"/>
  <c r="G1836" i="18"/>
  <c r="G1846" i="18"/>
  <c r="G1857" i="18"/>
  <c r="G1867" i="18"/>
  <c r="G1878" i="18"/>
  <c r="G1889" i="18"/>
  <c r="G1899" i="18"/>
  <c r="G1910" i="18"/>
  <c r="G1921" i="18"/>
  <c r="G1931" i="18"/>
  <c r="G1942" i="18"/>
  <c r="G1953" i="18"/>
  <c r="G1963" i="18"/>
  <c r="G1974" i="18"/>
  <c r="G1985" i="18"/>
  <c r="G1995" i="18"/>
  <c r="G2006" i="18"/>
  <c r="G2017" i="18"/>
  <c r="G2027" i="18"/>
  <c r="G2038" i="18"/>
  <c r="G2049" i="18"/>
  <c r="G2059" i="18"/>
  <c r="G2069" i="18"/>
  <c r="G2079" i="18"/>
  <c r="G2089" i="18"/>
  <c r="G2099" i="18"/>
  <c r="G25" i="18"/>
  <c r="G144" i="18"/>
  <c r="G156" i="18"/>
  <c r="G167" i="18"/>
  <c r="G178" i="18"/>
  <c r="G187" i="18"/>
  <c r="G198" i="18"/>
  <c r="G238" i="18"/>
  <c r="G254" i="18"/>
  <c r="G264" i="18"/>
  <c r="G274" i="18"/>
  <c r="G285" i="1"/>
  <c r="G286" i="18"/>
  <c r="G297" i="1"/>
  <c r="G298" i="18"/>
  <c r="G309" i="18"/>
  <c r="G321" i="18"/>
  <c r="G333" i="18"/>
  <c r="G345" i="18"/>
  <c r="G357" i="18"/>
  <c r="G368" i="18"/>
  <c r="G380" i="18"/>
  <c r="G404" i="18"/>
  <c r="G428" i="18"/>
  <c r="G470" i="18"/>
  <c r="G482" i="18"/>
  <c r="G500" i="18"/>
  <c r="G512" i="18"/>
  <c r="G536" i="18"/>
  <c r="G602" i="18"/>
  <c r="G653" i="18"/>
  <c r="G691" i="18"/>
  <c r="G704" i="18"/>
  <c r="G728" i="18"/>
  <c r="G746" i="18"/>
  <c r="G758" i="18"/>
  <c r="G772" i="18"/>
  <c r="G793" i="18"/>
  <c r="G855" i="18"/>
  <c r="G1633" i="18"/>
  <c r="G1644" i="18"/>
  <c r="G1655" i="18"/>
  <c r="G1683" i="18"/>
  <c r="G1748" i="18"/>
  <c r="G1773" i="18"/>
  <c r="G1783" i="18"/>
  <c r="G1794" i="18"/>
  <c r="G1805" i="18"/>
  <c r="G1816" i="18"/>
  <c r="G1826" i="18"/>
  <c r="G1837" i="18"/>
  <c r="G1847" i="18"/>
  <c r="G1858" i="18"/>
  <c r="G1869" i="18"/>
  <c r="G1879" i="18"/>
  <c r="G1890" i="18"/>
  <c r="G1901" i="18"/>
  <c r="G1911" i="18"/>
  <c r="G1922" i="18"/>
  <c r="G1933" i="18"/>
  <c r="G1943" i="18"/>
  <c r="G1954" i="18"/>
  <c r="G1965" i="18"/>
  <c r="G1975" i="18"/>
  <c r="G1986" i="18"/>
  <c r="G1997" i="18"/>
  <c r="G2007" i="18"/>
  <c r="G2018" i="18"/>
  <c r="G2029" i="18"/>
  <c r="G2039" i="18"/>
  <c r="G2050" i="18"/>
  <c r="G2060" i="18"/>
  <c r="G2070" i="18"/>
  <c r="G2080" i="18"/>
  <c r="G2090" i="18"/>
  <c r="G2100" i="18"/>
  <c r="G146" i="18"/>
  <c r="G179" i="18"/>
  <c r="G188" i="18"/>
  <c r="G199" i="18"/>
  <c r="G255" i="18"/>
  <c r="G265" i="18"/>
  <c r="G275" i="18"/>
  <c r="G287" i="18"/>
  <c r="G299" i="18"/>
  <c r="G311" i="18"/>
  <c r="G323" i="18"/>
  <c r="G335" i="18"/>
  <c r="G347" i="18"/>
  <c r="G358" i="18"/>
  <c r="G369" i="18"/>
  <c r="G381" i="18"/>
  <c r="G405" i="18"/>
  <c r="G429" i="18"/>
  <c r="G471" i="18"/>
  <c r="G483" i="18"/>
  <c r="G501" i="18"/>
  <c r="G515" i="18"/>
  <c r="G539" i="18"/>
  <c r="G607" i="18"/>
  <c r="G655" i="18"/>
  <c r="G692" i="18"/>
  <c r="G708" i="18"/>
  <c r="G732" i="18"/>
  <c r="G748" i="18"/>
  <c r="G761" i="18"/>
  <c r="G773" i="18"/>
  <c r="G800" i="18"/>
  <c r="G856" i="18"/>
  <c r="G1635" i="18"/>
  <c r="G1645" i="18"/>
  <c r="G1656" i="18"/>
  <c r="G1738" i="18"/>
  <c r="G1750" i="18"/>
  <c r="G1774" i="18"/>
  <c r="G1784" i="18"/>
  <c r="G1796" i="18"/>
  <c r="G1806" i="18"/>
  <c r="G1817" i="18"/>
  <c r="G1828" i="18"/>
  <c r="G1838" i="18"/>
  <c r="G1849" i="18"/>
  <c r="G1859" i="18"/>
  <c r="G1870" i="18"/>
  <c r="G1881" i="18"/>
  <c r="G1891" i="18"/>
  <c r="G1902" i="18"/>
  <c r="G1913" i="18"/>
  <c r="G1923" i="18"/>
  <c r="G1934" i="18"/>
  <c r="G1945" i="18"/>
  <c r="G1955" i="18"/>
  <c r="G1966" i="18"/>
  <c r="G1977" i="18"/>
  <c r="G1987" i="18"/>
  <c r="G1998" i="18"/>
  <c r="G2009" i="18"/>
  <c r="G2019" i="18"/>
  <c r="G2030" i="18"/>
  <c r="G2041" i="18"/>
  <c r="G2051" i="18"/>
  <c r="G2061" i="18"/>
  <c r="G2071" i="18"/>
  <c r="G2081" i="18"/>
  <c r="G2091" i="18"/>
  <c r="G2101" i="18"/>
  <c r="G129" i="18"/>
  <c r="G121" i="18"/>
  <c r="G169" i="18"/>
  <c r="G147" i="18"/>
  <c r="G181" i="18"/>
  <c r="G257" i="18"/>
  <c r="G288" i="1"/>
  <c r="G289" i="18"/>
  <c r="G325" i="18"/>
  <c r="G349" i="18"/>
  <c r="G359" i="18"/>
  <c r="G371" i="18"/>
  <c r="G407" i="18"/>
  <c r="G431" i="18"/>
  <c r="G473" i="18"/>
  <c r="G485" i="18"/>
  <c r="G503" i="18"/>
  <c r="G516" i="18"/>
  <c r="G540" i="18"/>
  <c r="G612" i="18"/>
  <c r="G656" i="18"/>
  <c r="G693" i="18"/>
  <c r="G710" i="18"/>
  <c r="G734" i="18"/>
  <c r="G749" i="18"/>
  <c r="G762" i="18"/>
  <c r="G774" i="18"/>
  <c r="G857" i="18"/>
  <c r="G1636" i="18"/>
  <c r="G1647" i="18"/>
  <c r="G1657" i="18"/>
  <c r="G1739" i="18"/>
  <c r="G1751" i="18"/>
  <c r="G1775" i="18"/>
  <c r="G1786" i="18"/>
  <c r="G1797" i="18"/>
  <c r="G1808" i="18"/>
  <c r="G1818" i="18"/>
  <c r="G1829" i="18"/>
  <c r="G1840" i="18"/>
  <c r="G1850" i="18"/>
  <c r="G1861" i="18"/>
  <c r="G1871" i="18"/>
  <c r="G1882" i="18"/>
  <c r="G1893" i="18"/>
  <c r="G1903" i="18"/>
  <c r="G1914" i="18"/>
  <c r="G1925" i="18"/>
  <c r="G1935" i="18"/>
  <c r="G1946" i="18"/>
  <c r="G1957" i="18"/>
  <c r="G1967" i="18"/>
  <c r="G1978" i="18"/>
  <c r="G1989" i="18"/>
  <c r="G1999" i="18"/>
  <c r="G2010" i="18"/>
  <c r="G2021" i="18"/>
  <c r="G2031" i="18"/>
  <c r="G2042" i="18"/>
  <c r="G2052" i="18"/>
  <c r="G2062" i="18"/>
  <c r="G2072" i="18"/>
  <c r="G2082" i="18"/>
  <c r="G2092" i="18"/>
  <c r="G2102" i="18"/>
  <c r="G801" i="18"/>
  <c r="G1900" i="1"/>
  <c r="G1823" i="1"/>
  <c r="G2053" i="1"/>
  <c r="G2093" i="1"/>
  <c r="G1642" i="1"/>
  <c r="G1746" i="1"/>
  <c r="G157" i="1"/>
  <c r="G1831" i="1"/>
  <c r="G1852" i="1"/>
  <c r="G1884" i="1"/>
  <c r="G1916" i="1"/>
  <c r="G1948" i="1"/>
  <c r="G1980" i="1"/>
  <c r="G2012" i="1"/>
  <c r="G2044" i="1"/>
  <c r="G1791" i="1"/>
  <c r="G151" i="1"/>
  <c r="G1932" i="1"/>
  <c r="G194" i="1"/>
  <c r="G164" i="1"/>
  <c r="G1737" i="1"/>
  <c r="G1782" i="1"/>
  <c r="G1803" i="1"/>
  <c r="G168" i="1"/>
  <c r="G1752" i="1"/>
  <c r="G1827" i="1"/>
  <c r="G154" i="1"/>
  <c r="G858" i="1"/>
  <c r="G1749" i="1"/>
  <c r="G2078" i="1"/>
  <c r="G180" i="1"/>
  <c r="G1658" i="1"/>
  <c r="G1785" i="1"/>
  <c r="G1807" i="1"/>
  <c r="G1815" i="1"/>
  <c r="G160" i="1"/>
  <c r="G1776" i="1"/>
  <c r="G172" i="1"/>
  <c r="G1650" i="1"/>
  <c r="G1768" i="1"/>
  <c r="G1799" i="1"/>
  <c r="G1839" i="1"/>
  <c r="G1872" i="1"/>
  <c r="G1904" i="1"/>
  <c r="G1936" i="1"/>
  <c r="G1968" i="1"/>
  <c r="G2000" i="1"/>
  <c r="G2032" i="1"/>
  <c r="G148" i="1"/>
  <c r="G261" i="1"/>
  <c r="G271" i="1"/>
  <c r="G1634" i="1"/>
  <c r="G176" i="1"/>
  <c r="G1654" i="1"/>
  <c r="G1795" i="1"/>
  <c r="G2073" i="1"/>
  <c r="G2098" i="1"/>
  <c r="G142" i="1"/>
  <c r="G197" i="1"/>
  <c r="G256" i="1"/>
  <c r="G753" i="1"/>
  <c r="G1646" i="1"/>
  <c r="G1755" i="1"/>
  <c r="G1788" i="1"/>
  <c r="G1864" i="1"/>
  <c r="G1896" i="1"/>
  <c r="G1928" i="1"/>
  <c r="G1960" i="1"/>
  <c r="G1992" i="1"/>
  <c r="G2024" i="1"/>
  <c r="G854" i="1"/>
  <c r="G1844" i="1"/>
  <c r="G1876" i="1"/>
  <c r="G1908" i="1"/>
  <c r="G1940" i="1"/>
  <c r="G1972" i="1"/>
  <c r="G2004" i="1"/>
  <c r="G2036" i="1"/>
  <c r="G2063" i="1"/>
  <c r="G2083" i="1"/>
  <c r="G145" i="1"/>
  <c r="G190" i="1"/>
  <c r="G266" i="1"/>
  <c r="G354" i="1"/>
  <c r="G654" i="1"/>
  <c r="G1835" i="1"/>
  <c r="G1856" i="1"/>
  <c r="G1888" i="1"/>
  <c r="G1920" i="1"/>
  <c r="G1952" i="1"/>
  <c r="G1984" i="1"/>
  <c r="G2016" i="1"/>
  <c r="G2048" i="1"/>
  <c r="G1740" i="1"/>
  <c r="G1868" i="1"/>
  <c r="G1964" i="1"/>
  <c r="G1996" i="1"/>
  <c r="G2028" i="1"/>
  <c r="G2068" i="1"/>
  <c r="G124" i="1"/>
  <c r="G1819" i="1"/>
  <c r="G1848" i="1"/>
  <c r="G1880" i="1"/>
  <c r="G1912" i="1"/>
  <c r="G1944" i="1"/>
  <c r="G1976" i="1"/>
  <c r="G2008" i="1"/>
  <c r="G2040" i="1"/>
  <c r="G2088" i="1"/>
  <c r="G1743" i="1"/>
  <c r="G1811" i="1"/>
  <c r="G1860" i="1"/>
  <c r="G1892" i="1"/>
  <c r="G1924" i="1"/>
  <c r="G1956" i="1"/>
  <c r="G1988" i="1"/>
  <c r="G2020" i="1"/>
  <c r="G2058" i="1"/>
  <c r="W12" i="17"/>
  <c r="BA12" i="17" s="1"/>
  <c r="G2068" i="18" l="1"/>
  <c r="G2028" i="18"/>
  <c r="G1912" i="18"/>
  <c r="G1788" i="18"/>
  <c r="G1658" i="18"/>
  <c r="G1868" i="18"/>
  <c r="G854" i="18"/>
  <c r="G1755" i="18"/>
  <c r="G1795" i="18"/>
  <c r="G1650" i="18"/>
  <c r="G1803" i="18"/>
  <c r="G2058" i="18"/>
  <c r="G1743" i="18"/>
  <c r="G1848" i="18"/>
  <c r="G1740" i="18"/>
  <c r="G2036" i="18"/>
  <c r="G2024" i="18"/>
  <c r="G1646" i="18"/>
  <c r="G1654" i="18"/>
  <c r="G1968" i="18"/>
  <c r="G172" i="18"/>
  <c r="G2078" i="18"/>
  <c r="G1782" i="18"/>
  <c r="G2012" i="18"/>
  <c r="G288" i="18"/>
  <c r="G2020" i="18"/>
  <c r="G2088" i="18"/>
  <c r="G1819" i="18"/>
  <c r="G2048" i="18"/>
  <c r="G654" i="18"/>
  <c r="G2004" i="18"/>
  <c r="G1992" i="18"/>
  <c r="G753" i="18"/>
  <c r="G176" i="18"/>
  <c r="G1936" i="18"/>
  <c r="G1776" i="18"/>
  <c r="G1749" i="18"/>
  <c r="G1737" i="18"/>
  <c r="G1980" i="18"/>
  <c r="G1642" i="18"/>
  <c r="G2040" i="18"/>
  <c r="G124" i="18"/>
  <c r="G2016" i="18"/>
  <c r="G354" i="18"/>
  <c r="G1972" i="18"/>
  <c r="G1960" i="18"/>
  <c r="G256" i="18"/>
  <c r="G1634" i="18"/>
  <c r="G1904" i="18"/>
  <c r="G160" i="18"/>
  <c r="G858" i="18"/>
  <c r="G164" i="18"/>
  <c r="G1948" i="18"/>
  <c r="G2093" i="18"/>
  <c r="G276" i="18"/>
  <c r="G1984" i="18"/>
  <c r="G266" i="18"/>
  <c r="G1940" i="18"/>
  <c r="G1928" i="18"/>
  <c r="G197" i="18"/>
  <c r="G271" i="18"/>
  <c r="G1872" i="18"/>
  <c r="G1815" i="18"/>
  <c r="G154" i="18"/>
  <c r="G194" i="18"/>
  <c r="G1916" i="18"/>
  <c r="G2053" i="18"/>
  <c r="G702" i="18"/>
  <c r="G282" i="18"/>
  <c r="G300" i="18"/>
  <c r="G1924" i="18"/>
  <c r="G1908" i="18"/>
  <c r="G1896" i="18"/>
  <c r="G142" i="18"/>
  <c r="G261" i="18"/>
  <c r="G1839" i="18"/>
  <c r="G1807" i="18"/>
  <c r="G1827" i="18"/>
  <c r="G1932" i="18"/>
  <c r="G1884" i="18"/>
  <c r="G1823" i="18"/>
  <c r="G285" i="18"/>
  <c r="G294" i="18"/>
  <c r="G279" i="18"/>
  <c r="G1956" i="18"/>
  <c r="G1976" i="18"/>
  <c r="G1892" i="18"/>
  <c r="G1944" i="18"/>
  <c r="G1996" i="18"/>
  <c r="G1920" i="18"/>
  <c r="G145" i="18"/>
  <c r="G1876" i="18"/>
  <c r="G1864" i="18"/>
  <c r="G2098" i="18"/>
  <c r="G148" i="18"/>
  <c r="G1799" i="18"/>
  <c r="G1785" i="18"/>
  <c r="G1752" i="18"/>
  <c r="G151" i="18"/>
  <c r="G1852" i="18"/>
  <c r="G1900" i="18"/>
  <c r="G297" i="18"/>
  <c r="G291" i="18"/>
  <c r="G2083" i="18"/>
  <c r="G1768" i="18"/>
  <c r="G1791" i="18"/>
  <c r="G303" i="18"/>
  <c r="G1988" i="18"/>
  <c r="G190" i="18"/>
  <c r="G1964" i="18"/>
  <c r="G2073" i="18"/>
  <c r="G1880" i="18"/>
  <c r="G2044" i="18"/>
  <c r="G2008" i="18"/>
  <c r="G1952" i="18"/>
  <c r="G1860" i="18"/>
  <c r="G1888" i="18"/>
  <c r="G1844" i="18"/>
  <c r="G2032" i="18"/>
  <c r="G168" i="18"/>
  <c r="G1831" i="18"/>
  <c r="G1811" i="18"/>
  <c r="G1856" i="18"/>
  <c r="G2063" i="18"/>
  <c r="G2000" i="18"/>
  <c r="G180" i="18"/>
  <c r="G157" i="18"/>
  <c r="G1835" i="18"/>
  <c r="G1746" i="18"/>
  <c r="W28" i="17"/>
  <c r="BA28" i="17" s="1"/>
  <c r="W29" i="17"/>
  <c r="BA29" i="17" s="1"/>
  <c r="W30" i="17"/>
  <c r="BA30" i="17" s="1"/>
  <c r="W31" i="17"/>
  <c r="BA31" i="17" s="1"/>
  <c r="W26" i="17"/>
  <c r="BA26" i="17" s="1"/>
  <c r="W24" i="17"/>
  <c r="BA24" i="17" s="1"/>
  <c r="W17" i="17"/>
  <c r="BA17" i="17" s="1"/>
  <c r="W18" i="17"/>
  <c r="BA18" i="17" s="1"/>
  <c r="W19" i="17"/>
  <c r="BA19" i="17" s="1"/>
  <c r="W20" i="17"/>
  <c r="BA20" i="17" s="1"/>
  <c r="W21" i="17"/>
  <c r="BA21" i="17" s="1"/>
  <c r="W22" i="17"/>
  <c r="BA22" i="17" s="1"/>
  <c r="W16" i="17"/>
  <c r="BA16" i="17" s="1"/>
  <c r="W15" i="17"/>
  <c r="BA15" i="17" s="1"/>
  <c r="W14" i="17"/>
  <c r="BA14" i="17" s="1"/>
  <c r="Q31" i="17"/>
  <c r="Q30" i="17"/>
  <c r="Q28" i="17"/>
  <c r="Q26" i="17"/>
  <c r="Q24" i="17"/>
  <c r="Q22" i="17"/>
  <c r="Q21" i="17"/>
  <c r="Q20" i="17"/>
  <c r="Q18" i="17"/>
  <c r="Q17" i="17"/>
  <c r="Q16" i="17"/>
  <c r="Q14" i="17"/>
  <c r="Q12" i="17"/>
  <c r="Q29" i="17"/>
  <c r="O16" i="17"/>
  <c r="O12" i="17"/>
  <c r="X25" i="17" l="1"/>
  <c r="X23" i="17"/>
  <c r="X13" i="17"/>
  <c r="BB8" i="17"/>
  <c r="AX12" i="17" s="1"/>
  <c r="BA8" i="17"/>
  <c r="AX18" i="17" s="1"/>
  <c r="X18" i="17" l="1"/>
  <c r="AX21" i="17"/>
  <c r="X21" i="17" s="1"/>
  <c r="AX26" i="17"/>
  <c r="AX20" i="17"/>
  <c r="AX22" i="17"/>
  <c r="AX17" i="17"/>
  <c r="X17" i="17" s="1"/>
  <c r="AX28" i="17"/>
  <c r="AX15" i="17"/>
  <c r="X15" i="17" s="1"/>
  <c r="AX14" i="17"/>
  <c r="AX24" i="17"/>
  <c r="X24" i="17" s="1"/>
  <c r="AX30" i="17"/>
  <c r="AX31" i="17"/>
  <c r="X31" i="17" s="1"/>
  <c r="AX16" i="17"/>
  <c r="AX29" i="17"/>
  <c r="X29" i="17" s="1"/>
  <c r="AX19" i="17"/>
  <c r="X19" i="17" s="1"/>
  <c r="X28" i="17" l="1"/>
  <c r="X12" i="17"/>
  <c r="X14" i="17"/>
  <c r="X20" i="17"/>
  <c r="X30" i="17"/>
  <c r="X16" i="17"/>
  <c r="X22" i="17"/>
  <c r="X26" i="17"/>
  <c r="F542" i="1" l="1"/>
  <c r="F537" i="1"/>
  <c r="F518" i="1"/>
  <c r="F513" i="1"/>
  <c r="G508" i="1"/>
  <c r="G532" i="1"/>
  <c r="G531" i="1"/>
  <c r="G530" i="1"/>
  <c r="F513" i="18" l="1"/>
  <c r="F518" i="18"/>
  <c r="F537" i="18"/>
  <c r="F542" i="18"/>
  <c r="G542" i="1"/>
  <c r="G538" i="1" s="1"/>
  <c r="G530" i="18"/>
  <c r="G531" i="18"/>
  <c r="G532" i="18"/>
  <c r="G513" i="1"/>
  <c r="G513" i="18" s="1"/>
  <c r="G518" i="1"/>
  <c r="G537" i="1"/>
  <c r="G537" i="18" s="1"/>
  <c r="G504" i="1"/>
  <c r="I504" i="1" s="1"/>
  <c r="G508" i="18"/>
  <c r="I532" i="1"/>
  <c r="I524" i="1"/>
  <c r="I525" i="1"/>
  <c r="G542" i="18" l="1"/>
  <c r="G509" i="1"/>
  <c r="I509" i="1" s="1"/>
  <c r="G533" i="1"/>
  <c r="I525" i="18"/>
  <c r="I524" i="18"/>
  <c r="G514" i="1"/>
  <c r="I532" i="18"/>
  <c r="G518" i="18"/>
  <c r="G538" i="18"/>
  <c r="I504" i="18"/>
  <c r="G504" i="18"/>
  <c r="I523" i="1"/>
  <c r="I538" i="1"/>
  <c r="I529" i="1"/>
  <c r="I519" i="1"/>
  <c r="I528" i="1"/>
  <c r="I531" i="1"/>
  <c r="I521" i="1"/>
  <c r="I527" i="1"/>
  <c r="I522" i="1"/>
  <c r="I520" i="1"/>
  <c r="I530" i="1"/>
  <c r="I526" i="1"/>
  <c r="G533" i="18" l="1"/>
  <c r="I514" i="1"/>
  <c r="G509" i="18"/>
  <c r="I509" i="18"/>
  <c r="I533" i="1"/>
  <c r="I533" i="18" s="1"/>
  <c r="G514" i="18"/>
  <c r="I527" i="18"/>
  <c r="I531" i="18"/>
  <c r="I528" i="18"/>
  <c r="I526" i="18"/>
  <c r="I519" i="18"/>
  <c r="I521" i="18"/>
  <c r="I530" i="18"/>
  <c r="I529" i="18"/>
  <c r="I520" i="18"/>
  <c r="I522" i="18"/>
  <c r="I523" i="18"/>
  <c r="I538" i="18"/>
  <c r="F544" i="1"/>
  <c r="F544" i="18" s="1"/>
  <c r="I514" i="18" l="1"/>
  <c r="G544" i="1"/>
  <c r="F551" i="1"/>
  <c r="F551" i="18" s="1"/>
  <c r="F549" i="1"/>
  <c r="F549" i="18" s="1"/>
  <c r="F548" i="1"/>
  <c r="F548" i="18" s="1"/>
  <c r="F547" i="1"/>
  <c r="F547" i="18" s="1"/>
  <c r="F546" i="1"/>
  <c r="F546" i="18" s="1"/>
  <c r="F545" i="1"/>
  <c r="F545" i="18" s="1"/>
  <c r="F550" i="1"/>
  <c r="F550" i="18" s="1"/>
  <c r="F543" i="1"/>
  <c r="F543" i="18" s="1"/>
  <c r="G548" i="1" l="1"/>
  <c r="G547" i="1"/>
  <c r="G543" i="1"/>
  <c r="G549" i="1"/>
  <c r="G551" i="1"/>
  <c r="G544" i="18"/>
  <c r="G550" i="1"/>
  <c r="G545" i="1"/>
  <c r="G546" i="1"/>
  <c r="I556" i="1"/>
  <c r="I560" i="1"/>
  <c r="I554" i="1"/>
  <c r="I553" i="1"/>
  <c r="I559" i="1"/>
  <c r="I555" i="1"/>
  <c r="I552" i="1"/>
  <c r="I558" i="1"/>
  <c r="I557" i="1"/>
  <c r="I544" i="1"/>
  <c r="I200" i="1"/>
  <c r="I548" i="1" l="1"/>
  <c r="G548" i="18"/>
  <c r="G547" i="18"/>
  <c r="G550" i="18"/>
  <c r="I543" i="1"/>
  <c r="G543" i="18"/>
  <c r="I547" i="1"/>
  <c r="I547" i="18" s="1"/>
  <c r="I556" i="18"/>
  <c r="I559" i="18"/>
  <c r="I550" i="1"/>
  <c r="I555" i="18"/>
  <c r="G549" i="18"/>
  <c r="G545" i="18"/>
  <c r="I554" i="18"/>
  <c r="I549" i="1"/>
  <c r="I553" i="18"/>
  <c r="I558" i="18"/>
  <c r="I552" i="18"/>
  <c r="G546" i="18"/>
  <c r="G551" i="18"/>
  <c r="I545" i="1"/>
  <c r="I560" i="18"/>
  <c r="I557" i="18"/>
  <c r="I546" i="1"/>
  <c r="I546" i="18" s="1"/>
  <c r="I551" i="1"/>
  <c r="I551" i="18" s="1"/>
  <c r="I200" i="18"/>
  <c r="I544" i="18"/>
  <c r="I78" i="1"/>
  <c r="I548" i="18" l="1"/>
  <c r="I543" i="18"/>
  <c r="I550" i="18"/>
  <c r="I549" i="18"/>
  <c r="I545" i="18"/>
  <c r="I78" i="18"/>
  <c r="I87" i="1"/>
  <c r="I79" i="1"/>
  <c r="I79" i="18" l="1"/>
  <c r="I87" i="18"/>
  <c r="F502" i="1"/>
  <c r="F334" i="1"/>
  <c r="F328" i="1"/>
  <c r="F769" i="1"/>
  <c r="F763" i="1"/>
  <c r="F751" i="1"/>
  <c r="F745" i="1"/>
  <c r="F739" i="1"/>
  <c r="F733" i="1"/>
  <c r="F727" i="1"/>
  <c r="F721" i="1"/>
  <c r="F715" i="1"/>
  <c r="F709" i="1"/>
  <c r="F709" i="18" l="1"/>
  <c r="F715" i="18"/>
  <c r="F769" i="18"/>
  <c r="F721" i="18"/>
  <c r="F745" i="18"/>
  <c r="F334" i="18"/>
  <c r="F751" i="18"/>
  <c r="F763" i="18"/>
  <c r="F328" i="18"/>
  <c r="F733" i="18"/>
  <c r="F502" i="18"/>
  <c r="F727" i="18"/>
  <c r="F739" i="18"/>
  <c r="G715" i="1"/>
  <c r="G721" i="1"/>
  <c r="G733" i="1"/>
  <c r="G334" i="1"/>
  <c r="G739" i="1"/>
  <c r="G769" i="1"/>
  <c r="G328" i="1"/>
  <c r="G727" i="1"/>
  <c r="G502" i="1"/>
  <c r="G745" i="1"/>
  <c r="G741" i="1" s="1"/>
  <c r="G751" i="1"/>
  <c r="G709" i="1"/>
  <c r="G705" i="1" s="1"/>
  <c r="G763" i="1"/>
  <c r="G759" i="1" s="1"/>
  <c r="I81" i="1"/>
  <c r="G765" i="1" l="1"/>
  <c r="G711" i="1"/>
  <c r="G715" i="18"/>
  <c r="G498" i="1"/>
  <c r="I498" i="1" s="1"/>
  <c r="G769" i="18"/>
  <c r="G739" i="18"/>
  <c r="G324" i="1"/>
  <c r="G729" i="1"/>
  <c r="G763" i="18"/>
  <c r="G727" i="18"/>
  <c r="G502" i="18"/>
  <c r="G328" i="18"/>
  <c r="G735" i="1"/>
  <c r="G334" i="18"/>
  <c r="G330" i="1"/>
  <c r="G330" i="18" s="1"/>
  <c r="G751" i="18"/>
  <c r="G709" i="18"/>
  <c r="I81" i="18"/>
  <c r="G721" i="18"/>
  <c r="G747" i="1"/>
  <c r="G745" i="18"/>
  <c r="G723" i="1"/>
  <c r="G717" i="1"/>
  <c r="G733" i="18"/>
  <c r="G741" i="18"/>
  <c r="G705" i="18"/>
  <c r="G759" i="18"/>
  <c r="I80" i="1"/>
  <c r="G765" i="18" l="1"/>
  <c r="G324" i="18"/>
  <c r="G735" i="18"/>
  <c r="G711" i="18"/>
  <c r="G498" i="18"/>
  <c r="G723" i="18"/>
  <c r="G729" i="18"/>
  <c r="G747" i="18"/>
  <c r="G717" i="18"/>
  <c r="I80" i="18"/>
  <c r="I498" i="18"/>
  <c r="S31" i="17"/>
  <c r="S30" i="17"/>
  <c r="S29" i="17"/>
  <c r="S28" i="17"/>
  <c r="S26" i="17"/>
  <c r="S24" i="17"/>
  <c r="S22" i="17"/>
  <c r="S23" i="17"/>
  <c r="S21" i="17"/>
  <c r="S20" i="17"/>
  <c r="S19" i="17"/>
  <c r="S18" i="17"/>
  <c r="S17" i="17"/>
  <c r="S16" i="17"/>
  <c r="S15" i="17"/>
  <c r="S14" i="17"/>
  <c r="S13" i="17"/>
  <c r="S12" i="17"/>
  <c r="F775" i="1" l="1"/>
  <c r="F775" i="18" l="1"/>
  <c r="G775" i="1"/>
  <c r="F1640" i="1"/>
  <c r="F1640" i="18" s="1"/>
  <c r="F660" i="1"/>
  <c r="F660" i="18" s="1"/>
  <c r="G775" i="18" l="1"/>
  <c r="G771" i="1"/>
  <c r="G660" i="1"/>
  <c r="G1640" i="1"/>
  <c r="I1774" i="1"/>
  <c r="I1638" i="1"/>
  <c r="I1776" i="1"/>
  <c r="I1639" i="1"/>
  <c r="I1634" i="1"/>
  <c r="I1633" i="1"/>
  <c r="I1632" i="1"/>
  <c r="I1641" i="1"/>
  <c r="I654" i="1"/>
  <c r="I658" i="1"/>
  <c r="I653" i="1"/>
  <c r="I661" i="1"/>
  <c r="I659" i="1"/>
  <c r="I652" i="1"/>
  <c r="I662" i="1"/>
  <c r="I129" i="1"/>
  <c r="I124" i="1"/>
  <c r="I122" i="1"/>
  <c r="I123" i="1"/>
  <c r="I128" i="1"/>
  <c r="G771" i="18" l="1"/>
  <c r="G660" i="18"/>
  <c r="I1640" i="1"/>
  <c r="G1640" i="18"/>
  <c r="I662" i="18"/>
  <c r="I660" i="1"/>
  <c r="I658" i="18"/>
  <c r="I1776" i="18"/>
  <c r="I128" i="18"/>
  <c r="I1634" i="18"/>
  <c r="I1638" i="18"/>
  <c r="I661" i="18"/>
  <c r="I1774" i="18"/>
  <c r="I653" i="18"/>
  <c r="I122" i="18"/>
  <c r="I124" i="18"/>
  <c r="I129" i="18"/>
  <c r="I652" i="18"/>
  <c r="I1632" i="18"/>
  <c r="I123" i="18"/>
  <c r="I1639" i="18"/>
  <c r="I654" i="18"/>
  <c r="I1641" i="18"/>
  <c r="I659" i="18"/>
  <c r="I1633" i="18"/>
  <c r="I41" i="1"/>
  <c r="I723" i="1"/>
  <c r="I729" i="1"/>
  <c r="I1640" i="18" l="1"/>
  <c r="I41" i="18"/>
  <c r="I660" i="18"/>
  <c r="I723" i="18"/>
  <c r="I729" i="18"/>
  <c r="I1667" i="1"/>
  <c r="I1665" i="1"/>
  <c r="I1666" i="1"/>
  <c r="I1760" i="1"/>
  <c r="I1761" i="1"/>
  <c r="I1760" i="18" l="1"/>
  <c r="I1761" i="18"/>
  <c r="I1665" i="18"/>
  <c r="I1667" i="18"/>
  <c r="I1666" i="18"/>
  <c r="F799" i="1"/>
  <c r="F799" i="18" s="1"/>
  <c r="F798" i="1"/>
  <c r="F798" i="18" s="1"/>
  <c r="F797" i="1"/>
  <c r="F797" i="18" s="1"/>
  <c r="F796" i="1"/>
  <c r="F796" i="18" s="1"/>
  <c r="F795" i="1"/>
  <c r="F795" i="18" s="1"/>
  <c r="F794" i="1"/>
  <c r="F794" i="18" s="1"/>
  <c r="F130" i="1"/>
  <c r="F119" i="1"/>
  <c r="F118" i="1"/>
  <c r="G118" i="1" l="1"/>
  <c r="F118" i="18"/>
  <c r="G798" i="1"/>
  <c r="G798" i="18" s="1"/>
  <c r="G119" i="1"/>
  <c r="F119" i="18"/>
  <c r="G794" i="1"/>
  <c r="G130" i="1"/>
  <c r="F130" i="18"/>
  <c r="G795" i="1"/>
  <c r="G795" i="18" s="1"/>
  <c r="G797" i="1"/>
  <c r="G799" i="1"/>
  <c r="G799" i="18" s="1"/>
  <c r="G796" i="1"/>
  <c r="G796" i="18" s="1"/>
  <c r="I324" i="1"/>
  <c r="G794" i="18" l="1"/>
  <c r="G130" i="18"/>
  <c r="G797" i="18"/>
  <c r="G118" i="18"/>
  <c r="G119" i="18"/>
  <c r="I324" i="18"/>
  <c r="I330" i="1"/>
  <c r="F1631" i="1"/>
  <c r="F1631" i="18" s="1"/>
  <c r="F685" i="1"/>
  <c r="F685" i="18" s="1"/>
  <c r="F1630" i="1"/>
  <c r="F1630" i="18" s="1"/>
  <c r="F684" i="1"/>
  <c r="F684" i="18" s="1"/>
  <c r="G684" i="1" l="1"/>
  <c r="G1630" i="1"/>
  <c r="G685" i="1"/>
  <c r="G1631" i="1"/>
  <c r="I330" i="18"/>
  <c r="F648" i="1"/>
  <c r="F648" i="18" s="1"/>
  <c r="F647" i="1"/>
  <c r="F647" i="18" s="1"/>
  <c r="F646" i="1"/>
  <c r="F646" i="18" s="1"/>
  <c r="F645" i="1"/>
  <c r="F645" i="18" s="1"/>
  <c r="F29" i="1"/>
  <c r="F28" i="1"/>
  <c r="F27" i="1"/>
  <c r="F26" i="1"/>
  <c r="F680" i="1"/>
  <c r="F680" i="18" s="1"/>
  <c r="F679" i="1"/>
  <c r="F679" i="18" s="1"/>
  <c r="F676" i="1"/>
  <c r="F676" i="18" s="1"/>
  <c r="F675" i="1"/>
  <c r="F675" i="18" s="1"/>
  <c r="F672" i="1"/>
  <c r="F672" i="18" s="1"/>
  <c r="F671" i="1"/>
  <c r="F671" i="18" s="1"/>
  <c r="F668" i="1"/>
  <c r="F668" i="18" s="1"/>
  <c r="F667" i="1"/>
  <c r="F667" i="18" s="1"/>
  <c r="F681" i="1"/>
  <c r="F681" i="18" s="1"/>
  <c r="F677" i="1"/>
  <c r="F677" i="18" s="1"/>
  <c r="F673" i="1"/>
  <c r="F673" i="18" s="1"/>
  <c r="F669" i="1"/>
  <c r="F669" i="18" s="1"/>
  <c r="G684" i="18" l="1"/>
  <c r="G28" i="1"/>
  <c r="G28" i="18" s="1"/>
  <c r="F28" i="18"/>
  <c r="G29" i="1"/>
  <c r="F29" i="18"/>
  <c r="G1631" i="18"/>
  <c r="G646" i="1"/>
  <c r="G1630" i="18"/>
  <c r="G669" i="1"/>
  <c r="G676" i="1"/>
  <c r="G647" i="1"/>
  <c r="G681" i="1"/>
  <c r="G680" i="1"/>
  <c r="G648" i="1"/>
  <c r="G645" i="1"/>
  <c r="G673" i="1"/>
  <c r="G677" i="1"/>
  <c r="G26" i="1"/>
  <c r="G26" i="18" s="1"/>
  <c r="F26" i="18"/>
  <c r="G671" i="1"/>
  <c r="G672" i="1"/>
  <c r="G685" i="18"/>
  <c r="G675" i="1"/>
  <c r="G679" i="1"/>
  <c r="G679" i="18" s="1"/>
  <c r="G667" i="1"/>
  <c r="G668" i="1"/>
  <c r="G27" i="1"/>
  <c r="F27" i="18"/>
  <c r="G671" i="18" l="1"/>
  <c r="G27" i="18"/>
  <c r="G675" i="18"/>
  <c r="G677" i="18"/>
  <c r="G646" i="18"/>
  <c r="G29" i="18"/>
  <c r="G681" i="18"/>
  <c r="G680" i="18"/>
  <c r="G676" i="18"/>
  <c r="G668" i="18"/>
  <c r="G674" i="1"/>
  <c r="G674" i="18" s="1"/>
  <c r="G678" i="1"/>
  <c r="G647" i="18"/>
  <c r="G667" i="18"/>
  <c r="G672" i="18"/>
  <c r="G669" i="18"/>
  <c r="G666" i="1"/>
  <c r="G670" i="1"/>
  <c r="G673" i="18"/>
  <c r="G645" i="18"/>
  <c r="G648" i="18"/>
  <c r="I808" i="1"/>
  <c r="G678" i="18" l="1"/>
  <c r="G666" i="18"/>
  <c r="G670" i="18"/>
  <c r="I808" i="18"/>
  <c r="I35" i="1"/>
  <c r="I36" i="1"/>
  <c r="I34" i="1"/>
  <c r="I34" i="18" l="1"/>
  <c r="I36" i="18"/>
  <c r="I35" i="18"/>
  <c r="I753" i="1"/>
  <c r="I747" i="1"/>
  <c r="I759" i="1"/>
  <c r="I747" i="18" l="1"/>
  <c r="I759" i="18"/>
  <c r="I753" i="18"/>
  <c r="I1758" i="1"/>
  <c r="I1759" i="18" l="1"/>
  <c r="I1758" i="18"/>
  <c r="I1408" i="1"/>
  <c r="I1320" i="1"/>
  <c r="I1215" i="1"/>
  <c r="I1320" i="18" l="1"/>
  <c r="I1215" i="18"/>
  <c r="I1408" i="18"/>
  <c r="I985" i="1"/>
  <c r="I1071" i="1"/>
  <c r="I1151" i="1"/>
  <c r="I1238" i="1"/>
  <c r="I1317" i="1"/>
  <c r="I1445" i="1"/>
  <c r="I1475" i="1"/>
  <c r="I1483" i="1"/>
  <c r="I1491" i="1"/>
  <c r="I1499" i="1"/>
  <c r="I1507" i="1"/>
  <c r="I1515" i="1"/>
  <c r="I1523" i="1"/>
  <c r="I1531" i="1"/>
  <c r="I1539" i="1"/>
  <c r="I1547" i="1"/>
  <c r="I1555" i="1"/>
  <c r="I1563" i="1"/>
  <c r="I1571" i="1"/>
  <c r="I1579" i="1"/>
  <c r="I1587" i="1"/>
  <c r="I917" i="1"/>
  <c r="I933" i="1"/>
  <c r="I957" i="1"/>
  <c r="I1005" i="1"/>
  <c r="I1021" i="1"/>
  <c r="I1035" i="1"/>
  <c r="I1059" i="1"/>
  <c r="I1067" i="1"/>
  <c r="I1075" i="1"/>
  <c r="I1099" i="1"/>
  <c r="I1107" i="1"/>
  <c r="I1115" i="1"/>
  <c r="I1123" i="1"/>
  <c r="I1139" i="1"/>
  <c r="I1155" i="1"/>
  <c r="I1193" i="1"/>
  <c r="I1217" i="1"/>
  <c r="I1225" i="1"/>
  <c r="I1233" i="1"/>
  <c r="I1249" i="1"/>
  <c r="I1257" i="1"/>
  <c r="I1305" i="1"/>
  <c r="I1321" i="1"/>
  <c r="I1361" i="1"/>
  <c r="I1385" i="1"/>
  <c r="I1401" i="1"/>
  <c r="I1409" i="1"/>
  <c r="I1417" i="1"/>
  <c r="I1425" i="1"/>
  <c r="I1441" i="1"/>
  <c r="I1449" i="1"/>
  <c r="I1008" i="1"/>
  <c r="I1072" i="1"/>
  <c r="I1253" i="1"/>
  <c r="I1397" i="1"/>
  <c r="I1452" i="1"/>
  <c r="I1476" i="1"/>
  <c r="I1548" i="1"/>
  <c r="I1588" i="1"/>
  <c r="I926" i="1"/>
  <c r="I958" i="1"/>
  <c r="I1022" i="1"/>
  <c r="I1036" i="1"/>
  <c r="I1068" i="1"/>
  <c r="I1076" i="1"/>
  <c r="I1148" i="1"/>
  <c r="I1156" i="1"/>
  <c r="I1178" i="1"/>
  <c r="I1210" i="1"/>
  <c r="I1226" i="1"/>
  <c r="I1234" i="1"/>
  <c r="I1258" i="1"/>
  <c r="I1266" i="1"/>
  <c r="I1330" i="1"/>
  <c r="I1354" i="1"/>
  <c r="I1386" i="1"/>
  <c r="I1410" i="1"/>
  <c r="I1418" i="1"/>
  <c r="I1426" i="1"/>
  <c r="I1434" i="1"/>
  <c r="I1442" i="1"/>
  <c r="I1450" i="1"/>
  <c r="I1466" i="1"/>
  <c r="I1009" i="1"/>
  <c r="I1172" i="1"/>
  <c r="I1254" i="1"/>
  <c r="I1333" i="1"/>
  <c r="I1398" i="1"/>
  <c r="I1461" i="1"/>
  <c r="I1477" i="1"/>
  <c r="I1485" i="1"/>
  <c r="I1493" i="1"/>
  <c r="I1501" i="1"/>
  <c r="I1509" i="1"/>
  <c r="I1517" i="1"/>
  <c r="I1525" i="1"/>
  <c r="I1533" i="1"/>
  <c r="I1541" i="1"/>
  <c r="I1549" i="1"/>
  <c r="I1557" i="1"/>
  <c r="I1565" i="1"/>
  <c r="I1573" i="1"/>
  <c r="I1581" i="1"/>
  <c r="I1589" i="1"/>
  <c r="I919" i="1"/>
  <c r="I927" i="1"/>
  <c r="I935" i="1"/>
  <c r="I943" i="1"/>
  <c r="I959" i="1"/>
  <c r="I967" i="1"/>
  <c r="I975" i="1"/>
  <c r="I991" i="1"/>
  <c r="I1007" i="1"/>
  <c r="I1015" i="1"/>
  <c r="I1037" i="1"/>
  <c r="I1053" i="1"/>
  <c r="I1069" i="1"/>
  <c r="I1101" i="1"/>
  <c r="I1149" i="1"/>
  <c r="I1171" i="1"/>
  <c r="I1179" i="1"/>
  <c r="I1203" i="1"/>
  <c r="I1219" i="1"/>
  <c r="I1235" i="1"/>
  <c r="I1243" i="1"/>
  <c r="I1267" i="1"/>
  <c r="I1307" i="1"/>
  <c r="I1323" i="1"/>
  <c r="I1363" i="1"/>
  <c r="I1371" i="1"/>
  <c r="I1379" i="1"/>
  <c r="I1395" i="1"/>
  <c r="I1419" i="1"/>
  <c r="I1427" i="1"/>
  <c r="I1435" i="1"/>
  <c r="I1459" i="1"/>
  <c r="I1031" i="1"/>
  <c r="I1086" i="1"/>
  <c r="I1197" i="1"/>
  <c r="I1261" i="1"/>
  <c r="I1349" i="1"/>
  <c r="I1478" i="1"/>
  <c r="I1486" i="1"/>
  <c r="I1494" i="1"/>
  <c r="I1502" i="1"/>
  <c r="I1510" i="1"/>
  <c r="I1518" i="1"/>
  <c r="I1526" i="1"/>
  <c r="I1534" i="1"/>
  <c r="I1542" i="1"/>
  <c r="I1550" i="1"/>
  <c r="I1558" i="1"/>
  <c r="I1566" i="1"/>
  <c r="I1574" i="1"/>
  <c r="I1582" i="1"/>
  <c r="I1590" i="1"/>
  <c r="I920" i="1"/>
  <c r="I992" i="1"/>
  <c r="I1038" i="1"/>
  <c r="I1054" i="1"/>
  <c r="I1078" i="1"/>
  <c r="I1110" i="1"/>
  <c r="I1126" i="1"/>
  <c r="I1158" i="1"/>
  <c r="I1164" i="1"/>
  <c r="I1228" i="1"/>
  <c r="I1236" i="1"/>
  <c r="I1244" i="1"/>
  <c r="I1252" i="1"/>
  <c r="I1260" i="1"/>
  <c r="I1284" i="1"/>
  <c r="I1292" i="1"/>
  <c r="I1308" i="1"/>
  <c r="I1380" i="1"/>
  <c r="I1404" i="1"/>
  <c r="I1428" i="1"/>
  <c r="I1436" i="1"/>
  <c r="I1444" i="1"/>
  <c r="I936" i="1"/>
  <c r="I1040" i="1"/>
  <c r="I1103" i="1"/>
  <c r="I1204" i="1"/>
  <c r="I1364" i="1"/>
  <c r="I1412" i="1"/>
  <c r="I1470" i="1"/>
  <c r="I1479" i="1"/>
  <c r="I1487" i="1"/>
  <c r="I1495" i="1"/>
  <c r="I1503" i="1"/>
  <c r="I1511" i="1"/>
  <c r="I1519" i="1"/>
  <c r="I1527" i="1"/>
  <c r="I1535" i="1"/>
  <c r="I1543" i="1"/>
  <c r="I1551" i="1"/>
  <c r="I1559" i="1"/>
  <c r="I1567" i="1"/>
  <c r="I1575" i="1"/>
  <c r="I1583" i="1"/>
  <c r="I929" i="1"/>
  <c r="I945" i="1"/>
  <c r="I969" i="1"/>
  <c r="I977" i="1"/>
  <c r="I993" i="1"/>
  <c r="I1017" i="1"/>
  <c r="I1039" i="1"/>
  <c r="I1047" i="1"/>
  <c r="I1055" i="1"/>
  <c r="I1095" i="1"/>
  <c r="I1119" i="1"/>
  <c r="I1165" i="1"/>
  <c r="I1181" i="1"/>
  <c r="I1213" i="1"/>
  <c r="I1229" i="1"/>
  <c r="I1301" i="1"/>
  <c r="I1373" i="1"/>
  <c r="I1413" i="1"/>
  <c r="I1437" i="1"/>
  <c r="I938" i="1"/>
  <c r="I1056" i="1"/>
  <c r="I1118" i="1"/>
  <c r="I1205" i="1"/>
  <c r="I1285" i="1"/>
  <c r="I1365" i="1"/>
  <c r="I1544" i="1"/>
  <c r="I986" i="1"/>
  <c r="I1048" i="1"/>
  <c r="I1160" i="1"/>
  <c r="I1246" i="1"/>
  <c r="I1350" i="1"/>
  <c r="I1358" i="1"/>
  <c r="I1454" i="1"/>
  <c r="I1127" i="1"/>
  <c r="I1300" i="1"/>
  <c r="I1481" i="1"/>
  <c r="I1537" i="1"/>
  <c r="I1561" i="1"/>
  <c r="I1577" i="1"/>
  <c r="I1585" i="1"/>
  <c r="I923" i="1"/>
  <c r="I947" i="1"/>
  <c r="I955" i="1"/>
  <c r="I963" i="1"/>
  <c r="I979" i="1"/>
  <c r="I1003" i="1"/>
  <c r="I1011" i="1"/>
  <c r="I1041" i="1"/>
  <c r="I1057" i="1"/>
  <c r="I1065" i="1"/>
  <c r="I1073" i="1"/>
  <c r="I1081" i="1"/>
  <c r="I1089" i="1"/>
  <c r="I1105" i="1"/>
  <c r="I1113" i="1"/>
  <c r="I1121" i="1"/>
  <c r="I1129" i="1"/>
  <c r="I1137" i="1"/>
  <c r="I1145" i="1"/>
  <c r="I1153" i="1"/>
  <c r="I1161" i="1"/>
  <c r="I1167" i="1"/>
  <c r="I1175" i="1"/>
  <c r="I1183" i="1"/>
  <c r="I1191" i="1"/>
  <c r="I1199" i="1"/>
  <c r="I1207" i="1"/>
  <c r="I1223" i="1"/>
  <c r="I1239" i="1"/>
  <c r="I1247" i="1"/>
  <c r="I1263" i="1"/>
  <c r="I1279" i="1"/>
  <c r="I1295" i="1"/>
  <c r="I1327" i="1"/>
  <c r="I1399" i="1"/>
  <c r="I1407" i="1"/>
  <c r="I1415" i="1"/>
  <c r="I1439" i="1"/>
  <c r="I1463" i="1"/>
  <c r="I1063" i="1"/>
  <c r="I1381" i="1"/>
  <c r="I1505" i="1"/>
  <c r="I976" i="1"/>
  <c r="I1070" i="1"/>
  <c r="I1150" i="1"/>
  <c r="I1222" i="1"/>
  <c r="I1309" i="1"/>
  <c r="I1389" i="1"/>
  <c r="I1474" i="1"/>
  <c r="I1482" i="1"/>
  <c r="I1490" i="1"/>
  <c r="I1498" i="1"/>
  <c r="I1506" i="1"/>
  <c r="I1514" i="1"/>
  <c r="I1522" i="1"/>
  <c r="I1530" i="1"/>
  <c r="I1538" i="1"/>
  <c r="I1546" i="1"/>
  <c r="I1554" i="1"/>
  <c r="I1562" i="1"/>
  <c r="I1570" i="1"/>
  <c r="I1578" i="1"/>
  <c r="I1586" i="1"/>
  <c r="I940" i="1"/>
  <c r="I956" i="1"/>
  <c r="I972" i="1"/>
  <c r="I980" i="1"/>
  <c r="I996" i="1"/>
  <c r="I1020" i="1"/>
  <c r="I1034" i="1"/>
  <c r="I1058" i="1"/>
  <c r="I1082" i="1"/>
  <c r="I1098" i="1"/>
  <c r="I1106" i="1"/>
  <c r="I1114" i="1"/>
  <c r="I1122" i="1"/>
  <c r="I1130" i="1"/>
  <c r="I1146" i="1"/>
  <c r="I1192" i="1"/>
  <c r="I1208" i="1"/>
  <c r="I1216" i="1"/>
  <c r="I1232" i="1"/>
  <c r="I1248" i="1"/>
  <c r="I1272" i="1"/>
  <c r="I1280" i="1"/>
  <c r="I1288" i="1"/>
  <c r="I1296" i="1"/>
  <c r="I1344" i="1"/>
  <c r="I1360" i="1"/>
  <c r="I1368" i="1"/>
  <c r="I1376" i="1"/>
  <c r="I1440" i="1"/>
  <c r="I1456" i="1"/>
  <c r="I1087" i="1"/>
  <c r="I937" i="1"/>
  <c r="I1135" i="1"/>
  <c r="I1159" i="1"/>
  <c r="I1173" i="1"/>
  <c r="I1189" i="1"/>
  <c r="I1237" i="1"/>
  <c r="I1245" i="1"/>
  <c r="I1269" i="1"/>
  <c r="I1277" i="1"/>
  <c r="I1293" i="1"/>
  <c r="I1325" i="1"/>
  <c r="I1357" i="1"/>
  <c r="I1421" i="1"/>
  <c r="I1453" i="1"/>
  <c r="I1469" i="1"/>
  <c r="I1111" i="1"/>
  <c r="I1467" i="1"/>
  <c r="I928" i="1"/>
  <c r="I944" i="1"/>
  <c r="I960" i="1"/>
  <c r="I968" i="1"/>
  <c r="I984" i="1"/>
  <c r="I1000" i="1"/>
  <c r="I1030" i="1"/>
  <c r="I1046" i="1"/>
  <c r="I1062" i="1"/>
  <c r="I1094" i="1"/>
  <c r="I1102" i="1"/>
  <c r="I1134" i="1"/>
  <c r="I1142" i="1"/>
  <c r="I1180" i="1"/>
  <c r="I1188" i="1"/>
  <c r="I1196" i="1"/>
  <c r="I1212" i="1"/>
  <c r="I1220" i="1"/>
  <c r="I1276" i="1"/>
  <c r="I1316" i="1"/>
  <c r="I1324" i="1"/>
  <c r="I1340" i="1"/>
  <c r="I1348" i="1"/>
  <c r="I1372" i="1"/>
  <c r="I1388" i="1"/>
  <c r="I981" i="1"/>
  <c r="I1169" i="1"/>
  <c r="I973" i="1"/>
  <c r="I989" i="1"/>
  <c r="I997" i="1"/>
  <c r="I1013" i="1"/>
  <c r="I1043" i="1"/>
  <c r="I1091" i="1"/>
  <c r="I1131" i="1"/>
  <c r="I1147" i="1"/>
  <c r="I1177" i="1"/>
  <c r="I1201" i="1"/>
  <c r="I1209" i="1"/>
  <c r="I1241" i="1"/>
  <c r="I1281" i="1"/>
  <c r="I1289" i="1"/>
  <c r="I1313" i="1"/>
  <c r="I1329" i="1"/>
  <c r="I1337" i="1"/>
  <c r="I1345" i="1"/>
  <c r="I1353" i="1"/>
  <c r="I1369" i="1"/>
  <c r="I1377" i="1"/>
  <c r="I1433" i="1"/>
  <c r="I974" i="1"/>
  <c r="I1290" i="1"/>
  <c r="I1322" i="1"/>
  <c r="I1077" i="1"/>
  <c r="I1018" i="1"/>
  <c r="I1096" i="1"/>
  <c r="I1128" i="1"/>
  <c r="I1144" i="1"/>
  <c r="I1152" i="1"/>
  <c r="I1174" i="1"/>
  <c r="I1190" i="1"/>
  <c r="I1214" i="1"/>
  <c r="I1294" i="1"/>
  <c r="I1302" i="1"/>
  <c r="I1310" i="1"/>
  <c r="I1318" i="1"/>
  <c r="I1326" i="1"/>
  <c r="I1334" i="1"/>
  <c r="I1342" i="1"/>
  <c r="I1366" i="1"/>
  <c r="I1374" i="1"/>
  <c r="I1382" i="1"/>
  <c r="I1390" i="1"/>
  <c r="I1406" i="1"/>
  <c r="I1422" i="1"/>
  <c r="I1430" i="1"/>
  <c r="I1446" i="1"/>
  <c r="I1462" i="1"/>
  <c r="I1311" i="1"/>
  <c r="I1359" i="1"/>
  <c r="I946" i="1"/>
  <c r="I994" i="1"/>
  <c r="I1136" i="1"/>
  <c r="I1278" i="1"/>
  <c r="I1120" i="1"/>
  <c r="I1270" i="1"/>
  <c r="I962" i="1"/>
  <c r="I1002" i="1"/>
  <c r="I1112" i="1"/>
  <c r="I1262" i="1"/>
  <c r="I954" i="1"/>
  <c r="I1010" i="1"/>
  <c r="I1080" i="1"/>
  <c r="I1104" i="1"/>
  <c r="I1166" i="1"/>
  <c r="I1182" i="1"/>
  <c r="I1206" i="1"/>
  <c r="I1109" i="1"/>
  <c r="I922" i="1"/>
  <c r="I970" i="1"/>
  <c r="I1064" i="1"/>
  <c r="I1198" i="1"/>
  <c r="I978" i="1"/>
  <c r="I1088" i="1"/>
  <c r="I1230" i="1"/>
  <c r="I1170" i="1"/>
  <c r="I1218" i="1"/>
  <c r="I1306" i="1"/>
  <c r="I1314" i="1"/>
  <c r="I1346" i="1"/>
  <c r="I1370" i="1"/>
  <c r="I1394" i="1"/>
  <c r="I1458" i="1"/>
  <c r="I982" i="1"/>
  <c r="I1052" i="1"/>
  <c r="I1140" i="1"/>
  <c r="I1194" i="1"/>
  <c r="I1045" i="1"/>
  <c r="I1061" i="1"/>
  <c r="I1117" i="1"/>
  <c r="I1141" i="1"/>
  <c r="I1187" i="1"/>
  <c r="I1211" i="1"/>
  <c r="I1259" i="1"/>
  <c r="I1275" i="1"/>
  <c r="I1299" i="1"/>
  <c r="I1331" i="1"/>
  <c r="I1339" i="1"/>
  <c r="I1347" i="1"/>
  <c r="I1403" i="1"/>
  <c r="I1451" i="1"/>
  <c r="I1298" i="1"/>
  <c r="I921" i="1"/>
  <c r="I953" i="1"/>
  <c r="I950" i="1"/>
  <c r="I1242" i="1"/>
  <c r="I995" i="1"/>
  <c r="I1019" i="1"/>
  <c r="I1319" i="1"/>
  <c r="I1335" i="1"/>
  <c r="I1367" i="1"/>
  <c r="I1383" i="1"/>
  <c r="I1423" i="1"/>
  <c r="I1431" i="1"/>
  <c r="I1471" i="1"/>
  <c r="I1282" i="1"/>
  <c r="I1125" i="1"/>
  <c r="I1157" i="1"/>
  <c r="I931" i="1"/>
  <c r="I987" i="1"/>
  <c r="I1033" i="1"/>
  <c r="I1049" i="1"/>
  <c r="I1231" i="1"/>
  <c r="I1271" i="1"/>
  <c r="I1303" i="1"/>
  <c r="I1375" i="1"/>
  <c r="I1447" i="1"/>
  <c r="I1097" i="1"/>
  <c r="I1255" i="1"/>
  <c r="I1338" i="1"/>
  <c r="I1411" i="1"/>
  <c r="I925" i="1"/>
  <c r="I1185" i="1"/>
  <c r="I1273" i="1"/>
  <c r="I1079" i="1"/>
  <c r="I1393" i="1"/>
  <c r="I1402" i="1"/>
  <c r="I930" i="1"/>
  <c r="I1143" i="1"/>
  <c r="I1085" i="1"/>
  <c r="I1093" i="1"/>
  <c r="I1133" i="1"/>
  <c r="I1163" i="1"/>
  <c r="I1195" i="1"/>
  <c r="I1227" i="1"/>
  <c r="I1251" i="1"/>
  <c r="I1291" i="1"/>
  <c r="I1315" i="1"/>
  <c r="I1355" i="1"/>
  <c r="I1443" i="1"/>
  <c r="I1457" i="1"/>
  <c r="I1465" i="1"/>
  <c r="I1473" i="1"/>
  <c r="I1489" i="1"/>
  <c r="I1497" i="1"/>
  <c r="I1513" i="1"/>
  <c r="I1521" i="1"/>
  <c r="I1529" i="1"/>
  <c r="I1545" i="1"/>
  <c r="I1553" i="1"/>
  <c r="I1569" i="1"/>
  <c r="I961" i="1"/>
  <c r="I1186" i="1"/>
  <c r="I1438" i="1"/>
  <c r="I952" i="1"/>
  <c r="I1016" i="1"/>
  <c r="I1032" i="1"/>
  <c r="I1265" i="1"/>
  <c r="I1420" i="1"/>
  <c r="I1429" i="1"/>
  <c r="I939" i="1"/>
  <c r="I971" i="1"/>
  <c r="I1287" i="1"/>
  <c r="I1343" i="1"/>
  <c r="I1351" i="1"/>
  <c r="I1391" i="1"/>
  <c r="I1455" i="1"/>
  <c r="I1297" i="1"/>
  <c r="I1028" i="1"/>
  <c r="I1001" i="1"/>
  <c r="I1362" i="1"/>
  <c r="I949" i="1"/>
  <c r="I1552" i="1"/>
  <c r="I1464" i="1"/>
  <c r="I1472" i="1"/>
  <c r="I1488" i="1"/>
  <c r="I1528" i="1"/>
  <c r="I1536" i="1"/>
  <c r="I1560" i="1"/>
  <c r="I1116" i="1"/>
  <c r="I1274" i="1"/>
  <c r="I965" i="1"/>
  <c r="I1496" i="1"/>
  <c r="I1184" i="1"/>
  <c r="I988" i="1"/>
  <c r="I1004" i="1"/>
  <c r="I1012" i="1"/>
  <c r="I1042" i="1"/>
  <c r="I1050" i="1"/>
  <c r="I1066" i="1"/>
  <c r="I1074" i="1"/>
  <c r="I1090" i="1"/>
  <c r="I1138" i="1"/>
  <c r="I1154" i="1"/>
  <c r="I1162" i="1"/>
  <c r="I1168" i="1"/>
  <c r="I1176" i="1"/>
  <c r="I1200" i="1"/>
  <c r="I1224" i="1"/>
  <c r="I1240" i="1"/>
  <c r="I1256" i="1"/>
  <c r="I1264" i="1"/>
  <c r="I1304" i="1"/>
  <c r="I1312" i="1"/>
  <c r="I1328" i="1"/>
  <c r="I1336" i="1"/>
  <c r="I1352" i="1"/>
  <c r="I1384" i="1"/>
  <c r="I1392" i="1"/>
  <c r="I1400" i="1"/>
  <c r="I1416" i="1"/>
  <c r="I1424" i="1"/>
  <c r="I1432" i="1"/>
  <c r="I1448" i="1"/>
  <c r="I1202" i="1"/>
  <c r="I932" i="1"/>
  <c r="I1132" i="1"/>
  <c r="I983" i="1"/>
  <c r="I1492" i="1"/>
  <c r="I990" i="1"/>
  <c r="I1014" i="1"/>
  <c r="I1060" i="1"/>
  <c r="I1124" i="1"/>
  <c r="I1580" i="1"/>
  <c r="I964" i="1"/>
  <c r="I951" i="1"/>
  <c r="I999" i="1"/>
  <c r="I1029" i="1"/>
  <c r="I948" i="1"/>
  <c r="I942" i="1"/>
  <c r="I1006" i="1"/>
  <c r="I1044" i="1"/>
  <c r="I1108" i="1"/>
  <c r="I1556" i="1"/>
  <c r="I924" i="1"/>
  <c r="I1100" i="1"/>
  <c r="I918" i="1"/>
  <c r="I934" i="1"/>
  <c r="I966" i="1"/>
  <c r="I998" i="1"/>
  <c r="I1092" i="1"/>
  <c r="I1084" i="1"/>
  <c r="I1221" i="1"/>
  <c r="I1250" i="1"/>
  <c r="I1268" i="1"/>
  <c r="I1286" i="1"/>
  <c r="I1332" i="1"/>
  <c r="I1341" i="1"/>
  <c r="I1378" i="1"/>
  <c r="I1387" i="1"/>
  <c r="I1396" i="1"/>
  <c r="I1405" i="1"/>
  <c r="I1414" i="1"/>
  <c r="I1460" i="1"/>
  <c r="I1468" i="1"/>
  <c r="I1484" i="1"/>
  <c r="I1500" i="1"/>
  <c r="I1508" i="1"/>
  <c r="I1524" i="1"/>
  <c r="I1532" i="1"/>
  <c r="I1540" i="1"/>
  <c r="I1564" i="1"/>
  <c r="I1572" i="1"/>
  <c r="I1516" i="1"/>
  <c r="I1083" i="1"/>
  <c r="I1051" i="1"/>
  <c r="I1283" i="1"/>
  <c r="I941" i="1"/>
  <c r="I1356" i="1"/>
  <c r="I1480" i="1"/>
  <c r="I1520" i="1"/>
  <c r="I1584" i="1"/>
  <c r="I1512" i="1"/>
  <c r="I1576" i="1"/>
  <c r="I1504" i="1"/>
  <c r="I1568" i="1"/>
  <c r="I916" i="1"/>
  <c r="I915" i="1"/>
  <c r="I1027" i="1"/>
  <c r="I1023" i="1"/>
  <c r="I1024" i="1"/>
  <c r="I1025" i="1"/>
  <c r="I1026" i="1"/>
  <c r="I1023" i="18" l="1"/>
  <c r="I1484" i="18"/>
  <c r="I1580" i="18"/>
  <c r="I1090" i="18"/>
  <c r="I961" i="18"/>
  <c r="I930" i="18"/>
  <c r="I1242" i="18"/>
  <c r="I1002" i="18"/>
  <c r="I1241" i="18"/>
  <c r="I1087" i="18"/>
  <c r="I1578" i="18"/>
  <c r="I1439" i="18"/>
  <c r="I1003" i="18"/>
  <c r="I1017" i="18"/>
  <c r="I1308" i="18"/>
  <c r="I1243" i="18"/>
  <c r="I1531" i="18"/>
  <c r="I1402" i="18"/>
  <c r="I1280" i="18"/>
  <c r="I1493" i="18"/>
  <c r="I1178" i="18"/>
  <c r="I1008" i="18"/>
  <c r="I1361" i="18"/>
  <c r="I1067" i="18"/>
  <c r="I1523" i="18"/>
  <c r="I1317" i="18"/>
  <c r="I915" i="18"/>
  <c r="I1480" i="18"/>
  <c r="I1564" i="18"/>
  <c r="I1460" i="18"/>
  <c r="I1286" i="18"/>
  <c r="I934" i="18"/>
  <c r="I942" i="18"/>
  <c r="I1060" i="18"/>
  <c r="I1448" i="18"/>
  <c r="I1336" i="18"/>
  <c r="I1200" i="18"/>
  <c r="I1066" i="18"/>
  <c r="I965" i="18"/>
  <c r="I1464" i="18"/>
  <c r="I1391" i="18"/>
  <c r="I1265" i="18"/>
  <c r="I1553" i="18"/>
  <c r="I1465" i="18"/>
  <c r="I1195" i="18"/>
  <c r="I1393" i="18"/>
  <c r="I1097" i="18"/>
  <c r="I987" i="18"/>
  <c r="I1383" i="18"/>
  <c r="I953" i="18"/>
  <c r="I1299" i="18"/>
  <c r="I1045" i="18"/>
  <c r="I1346" i="18"/>
  <c r="I1198" i="18"/>
  <c r="I1104" i="18"/>
  <c r="I1270" i="18"/>
  <c r="I1462" i="18"/>
  <c r="I1366" i="18"/>
  <c r="I1214" i="18"/>
  <c r="I1077" i="18"/>
  <c r="I1345" i="18"/>
  <c r="I1201" i="18"/>
  <c r="I989" i="18"/>
  <c r="I1324" i="18"/>
  <c r="I1142" i="18"/>
  <c r="I984" i="18"/>
  <c r="I1453" i="18"/>
  <c r="I1237" i="18"/>
  <c r="I1440" i="18"/>
  <c r="I1272" i="18"/>
  <c r="I1122" i="18"/>
  <c r="I996" i="18"/>
  <c r="I1562" i="18"/>
  <c r="I1498" i="18"/>
  <c r="I1070" i="18"/>
  <c r="I1407" i="18"/>
  <c r="I1223" i="18"/>
  <c r="I1153" i="18"/>
  <c r="I1081" i="18"/>
  <c r="I963" i="18"/>
  <c r="I1481" i="18"/>
  <c r="I1048" i="18"/>
  <c r="I938" i="18"/>
  <c r="I1165" i="18"/>
  <c r="I977" i="18"/>
  <c r="I1551" i="18"/>
  <c r="I1487" i="18"/>
  <c r="I936" i="18"/>
  <c r="I1284" i="18"/>
  <c r="I1126" i="18"/>
  <c r="I1582" i="18"/>
  <c r="I1518" i="18"/>
  <c r="I1197" i="18"/>
  <c r="I1379" i="18"/>
  <c r="I1219" i="18"/>
  <c r="I1037" i="18"/>
  <c r="I935" i="18"/>
  <c r="I1549" i="18"/>
  <c r="I1485" i="18"/>
  <c r="I1466" i="18"/>
  <c r="I1354" i="18"/>
  <c r="I1156" i="18"/>
  <c r="I1588" i="18"/>
  <c r="I1449" i="18"/>
  <c r="I1321" i="18"/>
  <c r="I1155" i="18"/>
  <c r="I1059" i="18"/>
  <c r="I1579" i="18"/>
  <c r="I1515" i="18"/>
  <c r="I1238" i="18"/>
  <c r="I1584" i="18"/>
  <c r="I1341" i="18"/>
  <c r="I932" i="18"/>
  <c r="I1184" i="18"/>
  <c r="I1489" i="18"/>
  <c r="I1338" i="18"/>
  <c r="I1117" i="18"/>
  <c r="I1088" i="18"/>
  <c r="I1382" i="18"/>
  <c r="I1096" i="18"/>
  <c r="I1348" i="18"/>
  <c r="I1030" i="18"/>
  <c r="I1288" i="18"/>
  <c r="I1034" i="18"/>
  <c r="I1222" i="18"/>
  <c r="I1247" i="18"/>
  <c r="I1105" i="18"/>
  <c r="I1118" i="18"/>
  <c r="I1567" i="18"/>
  <c r="I1103" i="18"/>
  <c r="I1534" i="18"/>
  <c r="I1419" i="18"/>
  <c r="I1069" i="18"/>
  <c r="I1501" i="18"/>
  <c r="I1410" i="18"/>
  <c r="I958" i="18"/>
  <c r="I1072" i="18"/>
  <c r="I1385" i="18"/>
  <c r="I1217" i="18"/>
  <c r="I1075" i="18"/>
  <c r="I917" i="18"/>
  <c r="I1445" i="18"/>
  <c r="I1520" i="18"/>
  <c r="I1332" i="18"/>
  <c r="I1202" i="18"/>
  <c r="I1074" i="18"/>
  <c r="I1455" i="18"/>
  <c r="I1569" i="18"/>
  <c r="I1255" i="18"/>
  <c r="I1033" i="18"/>
  <c r="I1331" i="18"/>
  <c r="I1061" i="18"/>
  <c r="I1370" i="18"/>
  <c r="I978" i="18"/>
  <c r="I1166" i="18"/>
  <c r="I962" i="18"/>
  <c r="I1311" i="18"/>
  <c r="I1374" i="18"/>
  <c r="I1294" i="18"/>
  <c r="I1018" i="18"/>
  <c r="I1353" i="18"/>
  <c r="I1209" i="18"/>
  <c r="I997" i="18"/>
  <c r="I1340" i="18"/>
  <c r="I1180" i="18"/>
  <c r="I1000" i="18"/>
  <c r="I1469" i="18"/>
  <c r="I1245" i="18"/>
  <c r="I1456" i="18"/>
  <c r="I1130" i="18"/>
  <c r="I1020" i="18"/>
  <c r="I1570" i="18"/>
  <c r="I1506" i="18"/>
  <c r="I1150" i="18"/>
  <c r="I1415" i="18"/>
  <c r="I1239" i="18"/>
  <c r="I1161" i="18"/>
  <c r="I1089" i="18"/>
  <c r="I979" i="18"/>
  <c r="I1537" i="18"/>
  <c r="I1160" i="18"/>
  <c r="I1056" i="18"/>
  <c r="I1181" i="18"/>
  <c r="I993" i="18"/>
  <c r="I1559" i="18"/>
  <c r="I1495" i="18"/>
  <c r="I1040" i="18"/>
  <c r="I1292" i="18"/>
  <c r="I1158" i="18"/>
  <c r="I1590" i="18"/>
  <c r="I1526" i="18"/>
  <c r="I1261" i="18"/>
  <c r="I1395" i="18"/>
  <c r="I1235" i="18"/>
  <c r="I1053" i="18"/>
  <c r="I943" i="18"/>
  <c r="I1557" i="18"/>
  <c r="I1009" i="18"/>
  <c r="I1386" i="18"/>
  <c r="I926" i="18"/>
  <c r="I1193" i="18"/>
  <c r="I1587" i="18"/>
  <c r="I916" i="18"/>
  <c r="I1356" i="18"/>
  <c r="I1540" i="18"/>
  <c r="I1414" i="18"/>
  <c r="I1268" i="18"/>
  <c r="I918" i="18"/>
  <c r="I948" i="18"/>
  <c r="I1014" i="18"/>
  <c r="I1432" i="18"/>
  <c r="I1328" i="18"/>
  <c r="I1176" i="18"/>
  <c r="I1050" i="18"/>
  <c r="I1274" i="18"/>
  <c r="I1552" i="18"/>
  <c r="I1351" i="18"/>
  <c r="I1032" i="18"/>
  <c r="I1545" i="18"/>
  <c r="I1457" i="18"/>
  <c r="I1163" i="18"/>
  <c r="I1079" i="18"/>
  <c r="I1447" i="18"/>
  <c r="I931" i="18"/>
  <c r="I1367" i="18"/>
  <c r="I921" i="18"/>
  <c r="I1275" i="18"/>
  <c r="I1194" i="18"/>
  <c r="I1314" i="18"/>
  <c r="I1064" i="18"/>
  <c r="I1080" i="18"/>
  <c r="I1120" i="18"/>
  <c r="I1446" i="18"/>
  <c r="I1342" i="18"/>
  <c r="I1190" i="18"/>
  <c r="I1322" i="18"/>
  <c r="I1337" i="18"/>
  <c r="I1177" i="18"/>
  <c r="I973" i="18"/>
  <c r="I1316" i="18"/>
  <c r="I1134" i="18"/>
  <c r="I968" i="18"/>
  <c r="I1421" i="18"/>
  <c r="I1189" i="18"/>
  <c r="I1376" i="18"/>
  <c r="I1248" i="18"/>
  <c r="I1114" i="18"/>
  <c r="I980" i="18"/>
  <c r="I1554" i="18"/>
  <c r="I1490" i="18"/>
  <c r="I976" i="18"/>
  <c r="I1399" i="18"/>
  <c r="I1207" i="18"/>
  <c r="I1145" i="18"/>
  <c r="I1073" i="18"/>
  <c r="I955" i="18"/>
  <c r="I1300" i="18"/>
  <c r="I986" i="18"/>
  <c r="I1437" i="18"/>
  <c r="I1119" i="18"/>
  <c r="I969" i="18"/>
  <c r="I1543" i="18"/>
  <c r="I1479" i="18"/>
  <c r="I1444" i="18"/>
  <c r="I1260" i="18"/>
  <c r="I1110" i="18"/>
  <c r="I1574" i="18"/>
  <c r="I1510" i="18"/>
  <c r="I1086" i="18"/>
  <c r="I1371" i="18"/>
  <c r="I1203" i="18"/>
  <c r="I1015" i="18"/>
  <c r="I927" i="18"/>
  <c r="I1541" i="18"/>
  <c r="I1477" i="18"/>
  <c r="I1450" i="18"/>
  <c r="I1330" i="18"/>
  <c r="I1148" i="18"/>
  <c r="I1548" i="18"/>
  <c r="I1441" i="18"/>
  <c r="I1305" i="18"/>
  <c r="I1139" i="18"/>
  <c r="I1035" i="18"/>
  <c r="I1571" i="18"/>
  <c r="I1507" i="18"/>
  <c r="I1151" i="18"/>
  <c r="I1147" i="18"/>
  <c r="I1169" i="18"/>
  <c r="I1276" i="18"/>
  <c r="I1102" i="18"/>
  <c r="I960" i="18"/>
  <c r="I1357" i="18"/>
  <c r="I1173" i="18"/>
  <c r="I1368" i="18"/>
  <c r="I1232" i="18"/>
  <c r="I1106" i="18"/>
  <c r="I972" i="18"/>
  <c r="I1546" i="18"/>
  <c r="I1482" i="18"/>
  <c r="I1505" i="18"/>
  <c r="I1327" i="18"/>
  <c r="I1199" i="18"/>
  <c r="I1137" i="18"/>
  <c r="I1065" i="18"/>
  <c r="I947" i="18"/>
  <c r="I1127" i="18"/>
  <c r="I1544" i="18"/>
  <c r="I1413" i="18"/>
  <c r="I1095" i="18"/>
  <c r="I945" i="18"/>
  <c r="I1535" i="18"/>
  <c r="I1470" i="18"/>
  <c r="I1436" i="18"/>
  <c r="I1252" i="18"/>
  <c r="I1078" i="18"/>
  <c r="I1566" i="18"/>
  <c r="I1502" i="18"/>
  <c r="I1031" i="18"/>
  <c r="I1363" i="18"/>
  <c r="I1179" i="18"/>
  <c r="I1007" i="18"/>
  <c r="I919" i="18"/>
  <c r="I1533" i="18"/>
  <c r="I1461" i="18"/>
  <c r="I1442" i="18"/>
  <c r="I1266" i="18"/>
  <c r="I1076" i="18"/>
  <c r="I1476" i="18"/>
  <c r="I1425" i="18"/>
  <c r="I1257" i="18"/>
  <c r="I1123" i="18"/>
  <c r="I1021" i="18"/>
  <c r="I1563" i="18"/>
  <c r="I1499" i="18"/>
  <c r="I1071" i="18"/>
  <c r="I1384" i="18"/>
  <c r="I1297" i="18"/>
  <c r="I1049" i="18"/>
  <c r="I1182" i="18"/>
  <c r="I1013" i="18"/>
  <c r="I1561" i="18"/>
  <c r="I1405" i="18"/>
  <c r="I1029" i="18"/>
  <c r="I1312" i="18"/>
  <c r="I1116" i="18"/>
  <c r="I1016" i="18"/>
  <c r="I1273" i="18"/>
  <c r="I1259" i="18"/>
  <c r="I1430" i="18"/>
  <c r="I1524" i="18"/>
  <c r="I952" i="18"/>
  <c r="I1313" i="18"/>
  <c r="I1373" i="18"/>
  <c r="I1055" i="18"/>
  <c r="I929" i="18"/>
  <c r="I1527" i="18"/>
  <c r="I1412" i="18"/>
  <c r="I1428" i="18"/>
  <c r="I1244" i="18"/>
  <c r="I1054" i="18"/>
  <c r="I1558" i="18"/>
  <c r="I1494" i="18"/>
  <c r="I1459" i="18"/>
  <c r="I1323" i="18"/>
  <c r="I1171" i="18"/>
  <c r="I991" i="18"/>
  <c r="I1589" i="18"/>
  <c r="I1525" i="18"/>
  <c r="I1398" i="18"/>
  <c r="I1434" i="18"/>
  <c r="I1258" i="18"/>
  <c r="I1068" i="18"/>
  <c r="I1452" i="18"/>
  <c r="I1417" i="18"/>
  <c r="I1249" i="18"/>
  <c r="I1115" i="18"/>
  <c r="I1005" i="18"/>
  <c r="I1555" i="18"/>
  <c r="I1491" i="18"/>
  <c r="I985" i="18"/>
  <c r="I1516" i="18"/>
  <c r="I1044" i="18"/>
  <c r="I1240" i="18"/>
  <c r="I1488" i="18"/>
  <c r="I1251" i="18"/>
  <c r="I1431" i="18"/>
  <c r="I1394" i="18"/>
  <c r="I1359" i="18"/>
  <c r="I1369" i="18"/>
  <c r="I1188" i="18"/>
  <c r="I1269" i="18"/>
  <c r="I1146" i="18"/>
  <c r="I1514" i="18"/>
  <c r="I1167" i="18"/>
  <c r="I1246" i="18"/>
  <c r="I1213" i="18"/>
  <c r="I1503" i="18"/>
  <c r="I1164" i="18"/>
  <c r="I1349" i="18"/>
  <c r="I959" i="18"/>
  <c r="I1172" i="18"/>
  <c r="I1210" i="18"/>
  <c r="I1027" i="18"/>
  <c r="I1468" i="18"/>
  <c r="I966" i="18"/>
  <c r="I1124" i="18"/>
  <c r="I1224" i="18"/>
  <c r="I1472" i="18"/>
  <c r="I1227" i="18"/>
  <c r="I1423" i="18"/>
  <c r="I941" i="18"/>
  <c r="I1250" i="18"/>
  <c r="I990" i="18"/>
  <c r="I1168" i="18"/>
  <c r="I949" i="18"/>
  <c r="I1529" i="18"/>
  <c r="I1133" i="18"/>
  <c r="I1157" i="18"/>
  <c r="I1335" i="18"/>
  <c r="I1140" i="18"/>
  <c r="I970" i="18"/>
  <c r="I1278" i="18"/>
  <c r="I1174" i="18"/>
  <c r="I1290" i="18"/>
  <c r="I1504" i="18"/>
  <c r="I1396" i="18"/>
  <c r="I999" i="18"/>
  <c r="I1416" i="18"/>
  <c r="I1162" i="18"/>
  <c r="I1560" i="18"/>
  <c r="I1287" i="18"/>
  <c r="I1355" i="18"/>
  <c r="I1185" i="18"/>
  <c r="I1319" i="18"/>
  <c r="I1211" i="18"/>
  <c r="I1218" i="18"/>
  <c r="I954" i="18"/>
  <c r="I1136" i="18"/>
  <c r="I1326" i="18"/>
  <c r="I974" i="18"/>
  <c r="I1131" i="18"/>
  <c r="I1220" i="18"/>
  <c r="I1094" i="18"/>
  <c r="I944" i="18"/>
  <c r="I1325" i="18"/>
  <c r="I1159" i="18"/>
  <c r="I1360" i="18"/>
  <c r="I1216" i="18"/>
  <c r="I956" i="18"/>
  <c r="I1538" i="18"/>
  <c r="I1474" i="18"/>
  <c r="I1381" i="18"/>
  <c r="I1295" i="18"/>
  <c r="I1191" i="18"/>
  <c r="I1129" i="18"/>
  <c r="I1057" i="18"/>
  <c r="I923" i="18"/>
  <c r="I1454" i="18"/>
  <c r="I1365" i="18"/>
  <c r="I1025" i="18"/>
  <c r="I1576" i="18"/>
  <c r="I1051" i="18"/>
  <c r="I1508" i="18"/>
  <c r="I1387" i="18"/>
  <c r="I1084" i="18"/>
  <c r="I1556" i="18"/>
  <c r="I951" i="18"/>
  <c r="I983" i="18"/>
  <c r="I1400" i="18"/>
  <c r="I1264" i="18"/>
  <c r="I1154" i="18"/>
  <c r="I1004" i="18"/>
  <c r="I1536" i="18"/>
  <c r="I1001" i="18"/>
  <c r="I971" i="18"/>
  <c r="I1438" i="18"/>
  <c r="I1513" i="18"/>
  <c r="I1315" i="18"/>
  <c r="I1085" i="18"/>
  <c r="I925" i="18"/>
  <c r="I1271" i="18"/>
  <c r="I1282" i="18"/>
  <c r="I1019" i="18"/>
  <c r="I1403" i="18"/>
  <c r="I1187" i="18"/>
  <c r="I982" i="18"/>
  <c r="I1170" i="18"/>
  <c r="I1109" i="18"/>
  <c r="I1262" i="18"/>
  <c r="I994" i="18"/>
  <c r="I1406" i="18"/>
  <c r="I1318" i="18"/>
  <c r="I1144" i="18"/>
  <c r="I1433" i="18"/>
  <c r="I1289" i="18"/>
  <c r="I1091" i="18"/>
  <c r="I1388" i="18"/>
  <c r="I1212" i="18"/>
  <c r="I1062" i="18"/>
  <c r="I928" i="18"/>
  <c r="I1293" i="18"/>
  <c r="I1135" i="18"/>
  <c r="I1344" i="18"/>
  <c r="I1208" i="18"/>
  <c r="I1082" i="18"/>
  <c r="I940" i="18"/>
  <c r="I1530" i="18"/>
  <c r="I1389" i="18"/>
  <c r="I1063" i="18"/>
  <c r="I1279" i="18"/>
  <c r="I1183" i="18"/>
  <c r="I1121" i="18"/>
  <c r="I1041" i="18"/>
  <c r="I1585" i="18"/>
  <c r="I1358" i="18"/>
  <c r="I1285" i="18"/>
  <c r="I1301" i="18"/>
  <c r="I1047" i="18"/>
  <c r="I1583" i="18"/>
  <c r="I1519" i="18"/>
  <c r="I1364" i="18"/>
  <c r="I1404" i="18"/>
  <c r="I1236" i="18"/>
  <c r="I1038" i="18"/>
  <c r="I1550" i="18"/>
  <c r="I1486" i="18"/>
  <c r="I1435" i="18"/>
  <c r="I1307" i="18"/>
  <c r="I1149" i="18"/>
  <c r="I975" i="18"/>
  <c r="I1581" i="18"/>
  <c r="I1517" i="18"/>
  <c r="I1333" i="18"/>
  <c r="I1426" i="18"/>
  <c r="I1234" i="18"/>
  <c r="I1036" i="18"/>
  <c r="I1397" i="18"/>
  <c r="I1409" i="18"/>
  <c r="I1233" i="18"/>
  <c r="I1107" i="18"/>
  <c r="I957" i="18"/>
  <c r="I1547" i="18"/>
  <c r="I1483" i="18"/>
  <c r="I998" i="18"/>
  <c r="I1429" i="18"/>
  <c r="I1339" i="18"/>
  <c r="I1302" i="18"/>
  <c r="I1111" i="18"/>
  <c r="I920" i="18"/>
  <c r="I1565" i="18"/>
  <c r="I1572" i="18"/>
  <c r="I1006" i="18"/>
  <c r="I1352" i="18"/>
  <c r="I1496" i="18"/>
  <c r="I1420" i="18"/>
  <c r="I1473" i="18"/>
  <c r="I950" i="18"/>
  <c r="I1568" i="18"/>
  <c r="I1532" i="18"/>
  <c r="I1100" i="18"/>
  <c r="I1424" i="18"/>
  <c r="I1042" i="18"/>
  <c r="I1343" i="18"/>
  <c r="I1443" i="18"/>
  <c r="I1375" i="18"/>
  <c r="I1298" i="18"/>
  <c r="I1306" i="18"/>
  <c r="I1010" i="18"/>
  <c r="I1334" i="18"/>
  <c r="I1329" i="18"/>
  <c r="I1026" i="18"/>
  <c r="I1283" i="18"/>
  <c r="I1221" i="18"/>
  <c r="I924" i="18"/>
  <c r="I1492" i="18"/>
  <c r="I1304" i="18"/>
  <c r="I1012" i="18"/>
  <c r="I1362" i="18"/>
  <c r="I1521" i="18"/>
  <c r="I1093" i="18"/>
  <c r="I1303" i="18"/>
  <c r="I1125" i="18"/>
  <c r="I1451" i="18"/>
  <c r="I1052" i="18"/>
  <c r="I922" i="18"/>
  <c r="I1422" i="18"/>
  <c r="I1152" i="18"/>
  <c r="I981" i="18"/>
  <c r="I1098" i="18"/>
  <c r="I1024" i="18"/>
  <c r="I1512" i="18"/>
  <c r="I1083" i="18"/>
  <c r="I1500" i="18"/>
  <c r="I1378" i="18"/>
  <c r="I1092" i="18"/>
  <c r="I1108" i="18"/>
  <c r="I964" i="18"/>
  <c r="I1132" i="18"/>
  <c r="I1392" i="18"/>
  <c r="I1256" i="18"/>
  <c r="I1138" i="18"/>
  <c r="I988" i="18"/>
  <c r="I1528" i="18"/>
  <c r="I1028" i="18"/>
  <c r="I939" i="18"/>
  <c r="I1186" i="18"/>
  <c r="I1497" i="18"/>
  <c r="I1291" i="18"/>
  <c r="I1143" i="18"/>
  <c r="I1411" i="18"/>
  <c r="I1231" i="18"/>
  <c r="I1471" i="18"/>
  <c r="I995" i="18"/>
  <c r="I1347" i="18"/>
  <c r="I1141" i="18"/>
  <c r="I1458" i="18"/>
  <c r="I1230" i="18"/>
  <c r="I1206" i="18"/>
  <c r="I1112" i="18"/>
  <c r="I946" i="18"/>
  <c r="I1390" i="18"/>
  <c r="I1310" i="18"/>
  <c r="I1128" i="18"/>
  <c r="I1377" i="18"/>
  <c r="I1281" i="18"/>
  <c r="I1043" i="18"/>
  <c r="I1372" i="18"/>
  <c r="I1196" i="18"/>
  <c r="I1046" i="18"/>
  <c r="I1467" i="18"/>
  <c r="I1277" i="18"/>
  <c r="I937" i="18"/>
  <c r="I1296" i="18"/>
  <c r="I1192" i="18"/>
  <c r="I1058" i="18"/>
  <c r="I1586" i="18"/>
  <c r="I1522" i="18"/>
  <c r="I1309" i="18"/>
  <c r="I1463" i="18"/>
  <c r="I1263" i="18"/>
  <c r="I1175" i="18"/>
  <c r="I1113" i="18"/>
  <c r="I1011" i="18"/>
  <c r="I1577" i="18"/>
  <c r="I1350" i="18"/>
  <c r="I1205" i="18"/>
  <c r="I1229" i="18"/>
  <c r="I1039" i="18"/>
  <c r="I1575" i="18"/>
  <c r="I1511" i="18"/>
  <c r="I1204" i="18"/>
  <c r="I1380" i="18"/>
  <c r="I1228" i="18"/>
  <c r="I992" i="18"/>
  <c r="I1542" i="18"/>
  <c r="I1478" i="18"/>
  <c r="I1427" i="18"/>
  <c r="I1267" i="18"/>
  <c r="I1101" i="18"/>
  <c r="I967" i="18"/>
  <c r="I1573" i="18"/>
  <c r="I1509" i="18"/>
  <c r="I1254" i="18"/>
  <c r="I1418" i="18"/>
  <c r="I1226" i="18"/>
  <c r="I1022" i="18"/>
  <c r="I1253" i="18"/>
  <c r="I1401" i="18"/>
  <c r="I1225" i="18"/>
  <c r="I1099" i="18"/>
  <c r="I933" i="18"/>
  <c r="I1539" i="18"/>
  <c r="I1475" i="18"/>
  <c r="F352" i="1"/>
  <c r="F352" i="18" l="1"/>
  <c r="G352" i="1"/>
  <c r="G348" i="1" l="1"/>
  <c r="I348" i="1" s="1"/>
  <c r="G352" i="18"/>
  <c r="F478" i="1"/>
  <c r="F472" i="1"/>
  <c r="F430" i="1"/>
  <c r="F370" i="1"/>
  <c r="F370" i="18" l="1"/>
  <c r="F478" i="18"/>
  <c r="F430" i="18"/>
  <c r="F472" i="18"/>
  <c r="G348" i="18"/>
  <c r="I348" i="18"/>
  <c r="G430" i="1"/>
  <c r="G370" i="1"/>
  <c r="G478" i="1"/>
  <c r="G472" i="1"/>
  <c r="G468" i="1" s="1"/>
  <c r="G426" i="1" l="1"/>
  <c r="I426" i="1" s="1"/>
  <c r="G430" i="18"/>
  <c r="G478" i="18"/>
  <c r="G474" i="1"/>
  <c r="I474" i="1" s="1"/>
  <c r="G472" i="18"/>
  <c r="G366" i="1"/>
  <c r="G370" i="18"/>
  <c r="G468" i="18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7" i="2"/>
  <c r="L56" i="2"/>
  <c r="L55" i="2"/>
  <c r="L54" i="2"/>
  <c r="L52" i="2"/>
  <c r="L51" i="2"/>
  <c r="L45" i="2"/>
  <c r="L44" i="2"/>
  <c r="L43" i="2"/>
  <c r="L42" i="2"/>
  <c r="L41" i="2"/>
  <c r="L40" i="2"/>
  <c r="L39" i="2"/>
  <c r="L38" i="2"/>
  <c r="L37" i="2"/>
  <c r="L36" i="2"/>
  <c r="L35" i="2"/>
  <c r="L34" i="2"/>
  <c r="L28" i="2"/>
  <c r="L27" i="2"/>
  <c r="L26" i="2"/>
  <c r="L25" i="2"/>
  <c r="L24" i="2"/>
  <c r="L23" i="2"/>
  <c r="L22" i="2"/>
  <c r="L21" i="2"/>
  <c r="L16" i="2"/>
  <c r="L15" i="2"/>
  <c r="L14" i="2"/>
  <c r="L13" i="2"/>
  <c r="L12" i="2"/>
  <c r="L11" i="2"/>
  <c r="L10" i="2"/>
  <c r="L9" i="2"/>
  <c r="I2427" i="1"/>
  <c r="I2428" i="1"/>
  <c r="I2429" i="1"/>
  <c r="I2430" i="1"/>
  <c r="I2432" i="1"/>
  <c r="I2433" i="1"/>
  <c r="I2434" i="1"/>
  <c r="I2435" i="1"/>
  <c r="I2436" i="1"/>
  <c r="I2438" i="1"/>
  <c r="I2439" i="1"/>
  <c r="I2440" i="1"/>
  <c r="I2441" i="1"/>
  <c r="I2442" i="1"/>
  <c r="I2444" i="1"/>
  <c r="I2445" i="1"/>
  <c r="I2446" i="1"/>
  <c r="I2447" i="1"/>
  <c r="I2448" i="1"/>
  <c r="I2450" i="1"/>
  <c r="I2451" i="1"/>
  <c r="I2452" i="1"/>
  <c r="I2453" i="1"/>
  <c r="I2454" i="1"/>
  <c r="I2456" i="1"/>
  <c r="I2457" i="1"/>
  <c r="I2458" i="1"/>
  <c r="I2459" i="1"/>
  <c r="I2460" i="1"/>
  <c r="I2462" i="1"/>
  <c r="I2463" i="1"/>
  <c r="I2464" i="1"/>
  <c r="I2465" i="1"/>
  <c r="I2037" i="1"/>
  <c r="I2038" i="1"/>
  <c r="I2039" i="1"/>
  <c r="F616" i="1"/>
  <c r="F616" i="18" s="1"/>
  <c r="F615" i="1"/>
  <c r="F615" i="18" s="1"/>
  <c r="F614" i="1"/>
  <c r="F614" i="18" s="1"/>
  <c r="F611" i="1"/>
  <c r="F611" i="18" s="1"/>
  <c r="F610" i="1"/>
  <c r="F610" i="18" s="1"/>
  <c r="F609" i="1"/>
  <c r="F609" i="18" s="1"/>
  <c r="F606" i="1"/>
  <c r="F606" i="18" s="1"/>
  <c r="F605" i="1"/>
  <c r="F605" i="18" s="1"/>
  <c r="F604" i="1"/>
  <c r="F604" i="18" s="1"/>
  <c r="F601" i="1"/>
  <c r="F601" i="18" s="1"/>
  <c r="F600" i="1"/>
  <c r="F600" i="18" s="1"/>
  <c r="F599" i="1"/>
  <c r="F599" i="18" s="1"/>
  <c r="F597" i="1"/>
  <c r="F597" i="18" s="1"/>
  <c r="F596" i="1"/>
  <c r="F596" i="18" s="1"/>
  <c r="F595" i="1"/>
  <c r="F595" i="18" s="1"/>
  <c r="F594" i="1"/>
  <c r="F594" i="18" s="1"/>
  <c r="I426" i="18" l="1"/>
  <c r="G426" i="18"/>
  <c r="G474" i="18"/>
  <c r="G366" i="18"/>
  <c r="G599" i="1"/>
  <c r="G599" i="18" s="1"/>
  <c r="G614" i="1"/>
  <c r="G594" i="1"/>
  <c r="G594" i="18" s="1"/>
  <c r="G597" i="1"/>
  <c r="G597" i="18" s="1"/>
  <c r="G610" i="1"/>
  <c r="G615" i="1"/>
  <c r="G604" i="1"/>
  <c r="G616" i="1"/>
  <c r="G616" i="18" s="1"/>
  <c r="G605" i="1"/>
  <c r="G611" i="1"/>
  <c r="G595" i="1"/>
  <c r="G595" i="18" s="1"/>
  <c r="G606" i="1"/>
  <c r="G600" i="1"/>
  <c r="G600" i="18" s="1"/>
  <c r="G601" i="1"/>
  <c r="G596" i="1"/>
  <c r="G609" i="1"/>
  <c r="I2465" i="18"/>
  <c r="I2456" i="18"/>
  <c r="I2446" i="18"/>
  <c r="I2436" i="18"/>
  <c r="I2427" i="18"/>
  <c r="I2445" i="18"/>
  <c r="I2435" i="18"/>
  <c r="I474" i="18"/>
  <c r="I2463" i="18"/>
  <c r="I2453" i="18"/>
  <c r="I2444" i="18"/>
  <c r="I2434" i="18"/>
  <c r="I2462" i="18"/>
  <c r="I2452" i="18"/>
  <c r="I2442" i="18"/>
  <c r="I2433" i="18"/>
  <c r="I2460" i="18"/>
  <c r="I2451" i="18"/>
  <c r="I2441" i="18"/>
  <c r="I2432" i="18"/>
  <c r="I2039" i="18"/>
  <c r="I2459" i="18"/>
  <c r="I2450" i="18"/>
  <c r="I2440" i="18"/>
  <c r="I2430" i="18"/>
  <c r="I2454" i="18"/>
  <c r="I2038" i="18"/>
  <c r="I2458" i="18"/>
  <c r="I2448" i="18"/>
  <c r="I2439" i="18"/>
  <c r="I2429" i="18"/>
  <c r="I2464" i="18"/>
  <c r="I2037" i="18"/>
  <c r="I2457" i="18"/>
  <c r="I2447" i="18"/>
  <c r="I2438" i="18"/>
  <c r="I2428" i="18"/>
  <c r="G614" i="18" l="1"/>
  <c r="G613" i="1"/>
  <c r="G615" i="18"/>
  <c r="G601" i="18"/>
  <c r="G604" i="18"/>
  <c r="G609" i="18"/>
  <c r="G596" i="18"/>
  <c r="G593" i="1"/>
  <c r="G598" i="1"/>
  <c r="G608" i="1"/>
  <c r="G608" i="18" s="1"/>
  <c r="G605" i="18"/>
  <c r="G610" i="18"/>
  <c r="G606" i="18"/>
  <c r="G611" i="18"/>
  <c r="G603" i="1"/>
  <c r="I1823" i="1"/>
  <c r="I1799" i="1"/>
  <c r="I1835" i="1"/>
  <c r="I1755" i="1"/>
  <c r="I1752" i="1"/>
  <c r="I1746" i="1"/>
  <c r="I1740" i="1"/>
  <c r="I1743" i="1"/>
  <c r="I1831" i="1"/>
  <c r="I1749" i="1"/>
  <c r="I1827" i="1"/>
  <c r="I1815" i="1"/>
  <c r="I1819" i="1"/>
  <c r="G613" i="18" l="1"/>
  <c r="G593" i="18"/>
  <c r="G598" i="18"/>
  <c r="G603" i="18"/>
  <c r="I1799" i="18"/>
  <c r="I1823" i="18"/>
  <c r="I1743" i="18"/>
  <c r="I1831" i="18"/>
  <c r="I1746" i="18"/>
  <c r="I1749" i="18"/>
  <c r="I1819" i="18"/>
  <c r="I1752" i="18"/>
  <c r="I1815" i="18"/>
  <c r="I1755" i="18"/>
  <c r="I1740" i="18"/>
  <c r="I1827" i="18"/>
  <c r="I1835" i="18"/>
  <c r="F376" i="1"/>
  <c r="C6" i="14"/>
  <c r="B13" i="14" s="1"/>
  <c r="C13" i="14"/>
  <c r="B17" i="14" s="1"/>
  <c r="F376" i="18" l="1"/>
  <c r="G376" i="1"/>
  <c r="E9" i="1"/>
  <c r="E9" i="18"/>
  <c r="B15" i="14"/>
  <c r="F400" i="1"/>
  <c r="F400" i="18" l="1"/>
  <c r="J570" i="1"/>
  <c r="J588" i="1"/>
  <c r="J575" i="1"/>
  <c r="J578" i="1"/>
  <c r="J565" i="1"/>
  <c r="J583" i="1"/>
  <c r="J586" i="1"/>
  <c r="J573" i="1"/>
  <c r="J568" i="1"/>
  <c r="J571" i="1"/>
  <c r="J581" i="1"/>
  <c r="J576" i="1"/>
  <c r="J579" i="1"/>
  <c r="J566" i="1"/>
  <c r="J584" i="1"/>
  <c r="J587" i="1"/>
  <c r="J574" i="1"/>
  <c r="J569" i="1"/>
  <c r="J572" i="1"/>
  <c r="J582" i="1"/>
  <c r="J577" i="1"/>
  <c r="J580" i="1"/>
  <c r="J567" i="1"/>
  <c r="J585" i="1"/>
  <c r="G411" i="1"/>
  <c r="G410" i="1"/>
  <c r="G376" i="18"/>
  <c r="G372" i="1"/>
  <c r="G400" i="1"/>
  <c r="E10" i="1"/>
  <c r="E10" i="18"/>
  <c r="F496" i="1"/>
  <c r="F436" i="1"/>
  <c r="F406" i="1"/>
  <c r="F424" i="1"/>
  <c r="F484" i="1"/>
  <c r="F382" i="1"/>
  <c r="J2472" i="1" l="1"/>
  <c r="J2472" i="18" s="1"/>
  <c r="J2473" i="1"/>
  <c r="J2473" i="18" s="1"/>
  <c r="J2474" i="1"/>
  <c r="J881" i="1"/>
  <c r="M881" i="1" s="1"/>
  <c r="N881" i="1" s="1"/>
  <c r="J2470" i="1"/>
  <c r="J2471" i="1"/>
  <c r="J783" i="1"/>
  <c r="J783" i="18" s="1"/>
  <c r="J2469" i="1"/>
  <c r="J2469" i="18" s="1"/>
  <c r="M2469" i="18" s="1"/>
  <c r="N2469" i="18" s="1"/>
  <c r="J2468" i="1"/>
  <c r="J2468" i="18" s="1"/>
  <c r="M2468" i="18" s="1"/>
  <c r="N2468" i="18" s="1"/>
  <c r="F436" i="18"/>
  <c r="F382" i="18"/>
  <c r="F496" i="18"/>
  <c r="F484" i="18"/>
  <c r="F424" i="18"/>
  <c r="F406" i="18"/>
  <c r="G372" i="18"/>
  <c r="I788" i="1"/>
  <c r="J462" i="1"/>
  <c r="I467" i="1"/>
  <c r="J444" i="1"/>
  <c r="J456" i="1"/>
  <c r="J450" i="1"/>
  <c r="I461" i="1"/>
  <c r="I455" i="1"/>
  <c r="I449" i="1"/>
  <c r="J390" i="1"/>
  <c r="I419" i="1"/>
  <c r="I395" i="1"/>
  <c r="J1757" i="1"/>
  <c r="J1745" i="1"/>
  <c r="J840" i="1"/>
  <c r="J171" i="1"/>
  <c r="J161" i="1"/>
  <c r="J1756" i="1"/>
  <c r="J1744" i="1"/>
  <c r="J833" i="1"/>
  <c r="J170" i="1"/>
  <c r="J159" i="1"/>
  <c r="J1754" i="1"/>
  <c r="J820" i="1"/>
  <c r="J169" i="1"/>
  <c r="J158" i="1"/>
  <c r="J1753" i="1"/>
  <c r="J1687" i="1"/>
  <c r="J167" i="1"/>
  <c r="J156" i="1"/>
  <c r="J1751" i="1"/>
  <c r="J638" i="1"/>
  <c r="J166" i="1"/>
  <c r="J155" i="1"/>
  <c r="J1750" i="1"/>
  <c r="J629" i="1"/>
  <c r="J165" i="1"/>
  <c r="J1748" i="1"/>
  <c r="J1707" i="1"/>
  <c r="J163" i="1"/>
  <c r="J1747" i="1"/>
  <c r="J162" i="1"/>
  <c r="J51" i="1"/>
  <c r="J219" i="1"/>
  <c r="J825" i="1"/>
  <c r="J1699" i="1"/>
  <c r="J204" i="1"/>
  <c r="J632" i="1"/>
  <c r="J902" i="1"/>
  <c r="J92" i="1"/>
  <c r="J851" i="1"/>
  <c r="J1716" i="1"/>
  <c r="J214" i="1"/>
  <c r="J828" i="1"/>
  <c r="J1694" i="1"/>
  <c r="J102" i="1"/>
  <c r="J619" i="1"/>
  <c r="J889" i="1"/>
  <c r="J56" i="1"/>
  <c r="J846" i="1"/>
  <c r="J1711" i="1"/>
  <c r="J209" i="1"/>
  <c r="J831" i="1"/>
  <c r="J1697" i="1"/>
  <c r="J113" i="1"/>
  <c r="J630" i="1"/>
  <c r="J1698" i="1"/>
  <c r="J59" i="1"/>
  <c r="J227" i="1"/>
  <c r="J841" i="1"/>
  <c r="J1714" i="1"/>
  <c r="J212" i="1"/>
  <c r="J640" i="1"/>
  <c r="J910" i="1"/>
  <c r="J100" i="1"/>
  <c r="J887" i="1"/>
  <c r="J46" i="1"/>
  <c r="J222" i="1"/>
  <c r="J836" i="1"/>
  <c r="J1702" i="1"/>
  <c r="J110" i="1"/>
  <c r="J627" i="1"/>
  <c r="J897" i="1"/>
  <c r="J64" i="1"/>
  <c r="J882" i="1"/>
  <c r="J1719" i="1"/>
  <c r="J217" i="1"/>
  <c r="J839" i="1"/>
  <c r="J1705" i="1"/>
  <c r="J210" i="1"/>
  <c r="J832" i="1"/>
  <c r="J1706" i="1"/>
  <c r="J67" i="1"/>
  <c r="J849" i="1"/>
  <c r="J52" i="1"/>
  <c r="J220" i="1"/>
  <c r="J826" i="1"/>
  <c r="J1692" i="1"/>
  <c r="J108" i="1"/>
  <c r="J625" i="1"/>
  <c r="J895" i="1"/>
  <c r="J54" i="1"/>
  <c r="J844" i="1"/>
  <c r="J1709" i="1"/>
  <c r="J207" i="1"/>
  <c r="J635" i="1"/>
  <c r="J905" i="1"/>
  <c r="J95" i="1"/>
  <c r="J890" i="1"/>
  <c r="J49" i="1"/>
  <c r="J225" i="1"/>
  <c r="J847" i="1"/>
  <c r="J1712" i="1"/>
  <c r="J218" i="1"/>
  <c r="J848" i="1"/>
  <c r="J1713" i="1"/>
  <c r="J98" i="1"/>
  <c r="J885" i="1"/>
  <c r="J60" i="1"/>
  <c r="J834" i="1"/>
  <c r="J1700" i="1"/>
  <c r="J116" i="1"/>
  <c r="J633" i="1"/>
  <c r="J903" i="1"/>
  <c r="J62" i="1"/>
  <c r="J852" i="1"/>
  <c r="J1717" i="1"/>
  <c r="J215" i="1"/>
  <c r="J643" i="1"/>
  <c r="J1695" i="1"/>
  <c r="J103" i="1"/>
  <c r="J620" i="1"/>
  <c r="J898" i="1"/>
  <c r="J57" i="1"/>
  <c r="J883" i="1"/>
  <c r="J50" i="1"/>
  <c r="J226" i="1"/>
  <c r="J884" i="1"/>
  <c r="J106" i="1"/>
  <c r="J893" i="1"/>
  <c r="J68" i="1"/>
  <c r="J842" i="1"/>
  <c r="J1715" i="1"/>
  <c r="J205" i="1"/>
  <c r="J641" i="1"/>
  <c r="J911" i="1"/>
  <c r="J93" i="1"/>
  <c r="J888" i="1"/>
  <c r="J47" i="1"/>
  <c r="J223" i="1"/>
  <c r="J829" i="1"/>
  <c r="J1703" i="1"/>
  <c r="J111" i="1"/>
  <c r="J628" i="1"/>
  <c r="J906" i="1"/>
  <c r="J65" i="1"/>
  <c r="J891" i="1"/>
  <c r="J58" i="1"/>
  <c r="J892" i="1"/>
  <c r="J114" i="1"/>
  <c r="J623" i="1"/>
  <c r="J901" i="1"/>
  <c r="J99" i="1"/>
  <c r="J850" i="1"/>
  <c r="J45" i="1"/>
  <c r="J213" i="1"/>
  <c r="J827" i="1"/>
  <c r="J1693" i="1"/>
  <c r="J101" i="1"/>
  <c r="J626" i="1"/>
  <c r="J896" i="1"/>
  <c r="J55" i="1"/>
  <c r="J837" i="1"/>
  <c r="J1710" i="1"/>
  <c r="J208" i="1"/>
  <c r="J636" i="1"/>
  <c r="J1688" i="1"/>
  <c r="J96" i="1"/>
  <c r="J899" i="1"/>
  <c r="J66" i="1"/>
  <c r="J900" i="1"/>
  <c r="J203" i="1"/>
  <c r="J631" i="1"/>
  <c r="J909" i="1"/>
  <c r="J107" i="1"/>
  <c r="J886" i="1"/>
  <c r="J53" i="1"/>
  <c r="J221" i="1"/>
  <c r="J835" i="1"/>
  <c r="J1701" i="1"/>
  <c r="J109" i="1"/>
  <c r="J634" i="1"/>
  <c r="J904" i="1"/>
  <c r="J63" i="1"/>
  <c r="J845" i="1"/>
  <c r="J1718" i="1"/>
  <c r="J216" i="1"/>
  <c r="J830" i="1"/>
  <c r="J1696" i="1"/>
  <c r="J104" i="1"/>
  <c r="J621" i="1"/>
  <c r="J907" i="1"/>
  <c r="J97" i="1"/>
  <c r="J908" i="1"/>
  <c r="J211" i="1"/>
  <c r="J639" i="1"/>
  <c r="J1691" i="1"/>
  <c r="J115" i="1"/>
  <c r="J624" i="1"/>
  <c r="J894" i="1"/>
  <c r="J61" i="1"/>
  <c r="J843" i="1"/>
  <c r="J1708" i="1"/>
  <c r="J206" i="1"/>
  <c r="J642" i="1"/>
  <c r="J912" i="1"/>
  <c r="J94" i="1"/>
  <c r="J48" i="1"/>
  <c r="J224" i="1"/>
  <c r="J838" i="1"/>
  <c r="J1704" i="1"/>
  <c r="J112" i="1"/>
  <c r="J637" i="1"/>
  <c r="J1689" i="1"/>
  <c r="J105" i="1"/>
  <c r="J622" i="1"/>
  <c r="J1690" i="1"/>
  <c r="J44" i="1"/>
  <c r="I491" i="1"/>
  <c r="J491" i="1" s="1"/>
  <c r="J486" i="1"/>
  <c r="J384" i="1"/>
  <c r="J777" i="1"/>
  <c r="I782" i="1"/>
  <c r="I389" i="1"/>
  <c r="G411" i="18"/>
  <c r="G410" i="18"/>
  <c r="F412" i="1"/>
  <c r="G409" i="1"/>
  <c r="I413" i="1"/>
  <c r="J821" i="1"/>
  <c r="J823" i="1"/>
  <c r="J822" i="1"/>
  <c r="J824" i="1"/>
  <c r="J438" i="1"/>
  <c r="G484" i="1"/>
  <c r="G382" i="1"/>
  <c r="G378" i="1" s="1"/>
  <c r="G400" i="18"/>
  <c r="G406" i="1"/>
  <c r="G396" i="1"/>
  <c r="I443" i="1"/>
  <c r="G436" i="1"/>
  <c r="G436" i="18" s="1"/>
  <c r="G496" i="1"/>
  <c r="G424" i="1"/>
  <c r="J2513" i="1"/>
  <c r="J2505" i="1"/>
  <c r="J2504" i="1"/>
  <c r="J2517" i="1"/>
  <c r="J2509" i="1"/>
  <c r="J2506" i="1"/>
  <c r="J2512" i="1"/>
  <c r="J2503" i="1"/>
  <c r="J2507" i="1"/>
  <c r="J2511" i="1"/>
  <c r="J2516" i="1"/>
  <c r="J2508" i="1"/>
  <c r="J2518" i="1"/>
  <c r="J2514" i="1"/>
  <c r="J2510" i="1"/>
  <c r="J1941" i="1"/>
  <c r="J1961" i="1"/>
  <c r="J1836" i="1"/>
  <c r="J1828" i="1"/>
  <c r="J1820" i="1"/>
  <c r="J1812" i="1"/>
  <c r="J1592" i="1"/>
  <c r="J1923" i="1"/>
  <c r="J1915" i="1"/>
  <c r="J1907" i="1"/>
  <c r="J1899" i="1"/>
  <c r="J1891" i="1"/>
  <c r="J1883" i="1"/>
  <c r="J1875" i="1"/>
  <c r="J1867" i="1"/>
  <c r="J1859" i="1"/>
  <c r="J1851" i="1"/>
  <c r="J1843" i="1"/>
  <c r="J1779" i="1"/>
  <c r="J1922" i="1"/>
  <c r="J1914" i="1"/>
  <c r="J1906" i="1"/>
  <c r="J1898" i="1"/>
  <c r="J1890" i="1"/>
  <c r="J1882" i="1"/>
  <c r="J1874" i="1"/>
  <c r="J1866" i="1"/>
  <c r="J1858" i="1"/>
  <c r="J1850" i="1"/>
  <c r="J1842" i="1"/>
  <c r="J1834" i="1"/>
  <c r="J1826" i="1"/>
  <c r="J1818" i="1"/>
  <c r="J1778" i="1"/>
  <c r="J1921" i="1"/>
  <c r="J1913" i="1"/>
  <c r="J1905" i="1"/>
  <c r="J1897" i="1"/>
  <c r="J1889" i="1"/>
  <c r="J1881" i="1"/>
  <c r="J1873" i="1"/>
  <c r="J1865" i="1"/>
  <c r="J1857" i="1"/>
  <c r="J1849" i="1"/>
  <c r="J1841" i="1"/>
  <c r="J1833" i="1"/>
  <c r="J1825" i="1"/>
  <c r="J1817" i="1"/>
  <c r="J1777" i="1"/>
  <c r="J1840" i="1"/>
  <c r="J1832" i="1"/>
  <c r="J1824" i="1"/>
  <c r="J1816" i="1"/>
  <c r="J1927" i="1"/>
  <c r="J1919" i="1"/>
  <c r="J1911" i="1"/>
  <c r="J1903" i="1"/>
  <c r="J1895" i="1"/>
  <c r="J1887" i="1"/>
  <c r="J1879" i="1"/>
  <c r="J1871" i="1"/>
  <c r="J1863" i="1"/>
  <c r="J1855" i="1"/>
  <c r="J1847" i="1"/>
  <c r="J1926" i="1"/>
  <c r="J1918" i="1"/>
  <c r="J1910" i="1"/>
  <c r="J1902" i="1"/>
  <c r="J1894" i="1"/>
  <c r="J1886" i="1"/>
  <c r="J1878" i="1"/>
  <c r="J1870" i="1"/>
  <c r="J1862" i="1"/>
  <c r="J1854" i="1"/>
  <c r="J1846" i="1"/>
  <c r="J1838" i="1"/>
  <c r="J1830" i="1"/>
  <c r="J1822" i="1"/>
  <c r="J1814" i="1"/>
  <c r="J1893" i="1"/>
  <c r="J1829" i="1"/>
  <c r="J1885" i="1"/>
  <c r="J1821" i="1"/>
  <c r="J1869" i="1"/>
  <c r="J1925" i="1"/>
  <c r="J1861" i="1"/>
  <c r="J1917" i="1"/>
  <c r="J1853" i="1"/>
  <c r="J1909" i="1"/>
  <c r="J1845" i="1"/>
  <c r="J1901" i="1"/>
  <c r="J1837" i="1"/>
  <c r="J1877" i="1"/>
  <c r="J1813" i="1"/>
  <c r="J653" i="1"/>
  <c r="J660" i="1"/>
  <c r="J1638" i="1"/>
  <c r="J1641" i="1"/>
  <c r="J652" i="1"/>
  <c r="J658" i="1"/>
  <c r="J1632" i="1"/>
  <c r="J1639" i="1"/>
  <c r="J1633" i="1"/>
  <c r="J654" i="1"/>
  <c r="J1776" i="1"/>
  <c r="J661" i="1"/>
  <c r="J662" i="1"/>
  <c r="J659" i="1"/>
  <c r="J1640" i="1"/>
  <c r="J1774" i="1"/>
  <c r="J1634" i="1"/>
  <c r="J729" i="1"/>
  <c r="J723" i="1"/>
  <c r="J1761" i="1"/>
  <c r="J1665" i="1"/>
  <c r="J1760" i="1"/>
  <c r="J1666" i="1"/>
  <c r="J1667" i="1"/>
  <c r="J808" i="1"/>
  <c r="J747" i="1"/>
  <c r="J759" i="1"/>
  <c r="J753" i="1"/>
  <c r="J1759" i="1"/>
  <c r="J1758" i="1"/>
  <c r="J1215" i="1"/>
  <c r="J1320" i="1"/>
  <c r="J1408" i="1"/>
  <c r="J915" i="1"/>
  <c r="J1504" i="1"/>
  <c r="J1500" i="1"/>
  <c r="J1396" i="1"/>
  <c r="J1012" i="1"/>
  <c r="J1355" i="1"/>
  <c r="J1052" i="1"/>
  <c r="J1077" i="1"/>
  <c r="J1453" i="1"/>
  <c r="J1070" i="1"/>
  <c r="J938" i="1"/>
  <c r="J1582" i="1"/>
  <c r="J1485" i="1"/>
  <c r="J1059" i="1"/>
  <c r="J951" i="1"/>
  <c r="J1391" i="1"/>
  <c r="J1019" i="1"/>
  <c r="J1406" i="1"/>
  <c r="J1102" i="1"/>
  <c r="J1554" i="1"/>
  <c r="J1300" i="1"/>
  <c r="J1260" i="1"/>
  <c r="J927" i="1"/>
  <c r="J1305" i="1"/>
  <c r="J1108" i="1"/>
  <c r="J1351" i="1"/>
  <c r="J995" i="1"/>
  <c r="J1390" i="1"/>
  <c r="J1220" i="1"/>
  <c r="J972" i="1"/>
  <c r="J947" i="1"/>
  <c r="J1436" i="1"/>
  <c r="J1007" i="1"/>
  <c r="J1425" i="1"/>
  <c r="J1341" i="1"/>
  <c r="J1184" i="1"/>
  <c r="J1375" i="1"/>
  <c r="J1182" i="1"/>
  <c r="J1201" i="1"/>
  <c r="J1360" i="1"/>
  <c r="J1191" i="1"/>
  <c r="J929" i="1"/>
  <c r="J1459" i="1"/>
  <c r="J1258" i="1"/>
  <c r="J1491" i="1"/>
  <c r="J1352" i="1"/>
  <c r="J1438" i="1"/>
  <c r="J950" i="1"/>
  <c r="J1374" i="1"/>
  <c r="J1046" i="1"/>
  <c r="J1530" i="1"/>
  <c r="J1358" i="1"/>
  <c r="J1236" i="1"/>
  <c r="J1581" i="1"/>
  <c r="J1233" i="1"/>
  <c r="J942" i="1"/>
  <c r="J971" i="1"/>
  <c r="J953" i="1"/>
  <c r="J1366" i="1"/>
  <c r="J937" i="1"/>
  <c r="J1263" i="1"/>
  <c r="J1039" i="1"/>
  <c r="J1478" i="1"/>
  <c r="J1418" i="1"/>
  <c r="J1539" i="1"/>
  <c r="J1432" i="1"/>
  <c r="J1457" i="1"/>
  <c r="J1194" i="1"/>
  <c r="J1313" i="1"/>
  <c r="J1288" i="1"/>
  <c r="J1167" i="1"/>
  <c r="J1567" i="1"/>
  <c r="J1419" i="1"/>
  <c r="J1210" i="1"/>
  <c r="J1445" i="1"/>
  <c r="J1312" i="1"/>
  <c r="J1133" i="1"/>
  <c r="J1306" i="1"/>
  <c r="J1289" i="1"/>
  <c r="J1280" i="1"/>
  <c r="J1161" i="1"/>
  <c r="J1559" i="1"/>
  <c r="J1395" i="1"/>
  <c r="J1178" i="1"/>
  <c r="J1317" i="1"/>
  <c r="J1480" i="1"/>
  <c r="J1283" i="1"/>
  <c r="J1023" i="1"/>
  <c r="J1221" i="1"/>
  <c r="J1560" i="1"/>
  <c r="J1093" i="1"/>
  <c r="J1218" i="1"/>
  <c r="J1377" i="1"/>
  <c r="J1237" i="1"/>
  <c r="J1407" i="1"/>
  <c r="J1165" i="1"/>
  <c r="J1518" i="1"/>
  <c r="J1466" i="1"/>
  <c r="J1579" i="1"/>
  <c r="J983" i="1"/>
  <c r="J1265" i="1"/>
  <c r="J1403" i="1"/>
  <c r="J1318" i="1"/>
  <c r="J960" i="1"/>
  <c r="J1490" i="1"/>
  <c r="J986" i="1"/>
  <c r="J1110" i="1"/>
  <c r="J1541" i="1"/>
  <c r="J1139" i="1"/>
  <c r="J964" i="1"/>
  <c r="J1032" i="1"/>
  <c r="J1347" i="1"/>
  <c r="J1310" i="1"/>
  <c r="J1094" i="1"/>
  <c r="J1546" i="1"/>
  <c r="J1127" i="1"/>
  <c r="J1252" i="1"/>
  <c r="J919" i="1"/>
  <c r="J1257" i="1"/>
  <c r="J998" i="1"/>
  <c r="J1488" i="1"/>
  <c r="J1157" i="1"/>
  <c r="J1002" i="1"/>
  <c r="J989" i="1"/>
  <c r="J1216" i="1"/>
  <c r="J1129" i="1"/>
  <c r="J1527" i="1"/>
  <c r="J1323" i="1"/>
  <c r="J1068" i="1"/>
  <c r="J985" i="1"/>
  <c r="J1224" i="1"/>
  <c r="J1569" i="1"/>
  <c r="J1331" i="1"/>
  <c r="J1294" i="1"/>
  <c r="J1467" i="1"/>
  <c r="J1389" i="1"/>
  <c r="J1285" i="1"/>
  <c r="J1038" i="1"/>
  <c r="J1517" i="1"/>
  <c r="J1107" i="1"/>
  <c r="J1060" i="1"/>
  <c r="J1186" i="1"/>
  <c r="J1299" i="1"/>
  <c r="J1214" i="1"/>
  <c r="J1296" i="1"/>
  <c r="J1175" i="1"/>
  <c r="J1575" i="1"/>
  <c r="J1427" i="1"/>
  <c r="J1226" i="1"/>
  <c r="J1475" i="1"/>
  <c r="J1328" i="1"/>
  <c r="J1163" i="1"/>
  <c r="J1314" i="1"/>
  <c r="J1131" i="1"/>
  <c r="J1146" i="1"/>
  <c r="J1105" i="1"/>
  <c r="J1503" i="1"/>
  <c r="J1243" i="1"/>
  <c r="J958" i="1"/>
  <c r="J1532" i="1"/>
  <c r="J1564" i="1"/>
  <c r="J1025" i="1"/>
  <c r="J1584" i="1"/>
  <c r="J924" i="1"/>
  <c r="J1362" i="1"/>
  <c r="J1079" i="1"/>
  <c r="J922" i="1"/>
  <c r="J1281" i="1"/>
  <c r="J1440" i="1"/>
  <c r="J1223" i="1"/>
  <c r="J977" i="1"/>
  <c r="J1197" i="1"/>
  <c r="J1354" i="1"/>
  <c r="J1515" i="1"/>
  <c r="J1400" i="1"/>
  <c r="J1513" i="1"/>
  <c r="J1187" i="1"/>
  <c r="J1144" i="1"/>
  <c r="J1421" i="1"/>
  <c r="J976" i="1"/>
  <c r="J1437" i="1"/>
  <c r="J1574" i="1"/>
  <c r="J1477" i="1"/>
  <c r="J1035" i="1"/>
  <c r="J1132" i="1"/>
  <c r="J1497" i="1"/>
  <c r="J1141" i="1"/>
  <c r="J1128" i="1"/>
  <c r="J944" i="1"/>
  <c r="J1482" i="1"/>
  <c r="J1544" i="1"/>
  <c r="J1078" i="1"/>
  <c r="J1533" i="1"/>
  <c r="J1123" i="1"/>
  <c r="J1044" i="1"/>
  <c r="J1343" i="1"/>
  <c r="J1431" i="1"/>
  <c r="J1359" i="1"/>
  <c r="J1388" i="1"/>
  <c r="J1098" i="1"/>
  <c r="J1057" i="1"/>
  <c r="J1412" i="1"/>
  <c r="J1171" i="1"/>
  <c r="J1452" i="1"/>
  <c r="J1468" i="1"/>
  <c r="J1074" i="1"/>
  <c r="J1473" i="1"/>
  <c r="J1061" i="1"/>
  <c r="J1018" i="1"/>
  <c r="J1293" i="1"/>
  <c r="J1063" i="1"/>
  <c r="J1301" i="1"/>
  <c r="J1550" i="1"/>
  <c r="J1333" i="1"/>
  <c r="J957" i="1"/>
  <c r="J1448" i="1"/>
  <c r="J1553" i="1"/>
  <c r="J1045" i="1"/>
  <c r="J1329" i="1"/>
  <c r="J1192" i="1"/>
  <c r="J1113" i="1"/>
  <c r="J1511" i="1"/>
  <c r="J1267" i="1"/>
  <c r="J1022" i="1"/>
  <c r="J1540" i="1"/>
  <c r="J1176" i="1"/>
  <c r="J1402" i="1"/>
  <c r="J1064" i="1"/>
  <c r="J1340" i="1"/>
  <c r="J1034" i="1"/>
  <c r="J1003" i="1"/>
  <c r="J1103" i="1"/>
  <c r="J1069" i="1"/>
  <c r="J1072" i="1"/>
  <c r="J1405" i="1"/>
  <c r="J916" i="1"/>
  <c r="J1576" i="1"/>
  <c r="J1516" i="1"/>
  <c r="J999" i="1"/>
  <c r="J1297" i="1"/>
  <c r="J1255" i="1"/>
  <c r="J954" i="1"/>
  <c r="J1043" i="1"/>
  <c r="J1272" i="1"/>
  <c r="J1153" i="1"/>
  <c r="J1551" i="1"/>
  <c r="J1379" i="1"/>
  <c r="J1156" i="1"/>
  <c r="J1238" i="1"/>
  <c r="J1264" i="1"/>
  <c r="J1315" i="1"/>
  <c r="J982" i="1"/>
  <c r="J1322" i="1"/>
  <c r="J1189" i="1"/>
  <c r="J1399" i="1"/>
  <c r="J1119" i="1"/>
  <c r="J1510" i="1"/>
  <c r="J1450" i="1"/>
  <c r="J1571" i="1"/>
  <c r="J1392" i="1"/>
  <c r="J1291" i="1"/>
  <c r="J1458" i="1"/>
  <c r="J1290" i="1"/>
  <c r="J1357" i="1"/>
  <c r="J1505" i="1"/>
  <c r="J1413" i="1"/>
  <c r="J1566" i="1"/>
  <c r="J1461" i="1"/>
  <c r="J1021" i="1"/>
  <c r="J1580" i="1"/>
  <c r="J1016" i="1"/>
  <c r="J1242" i="1"/>
  <c r="J1382" i="1"/>
  <c r="J1212" i="1"/>
  <c r="J956" i="1"/>
  <c r="J923" i="1"/>
  <c r="J1428" i="1"/>
  <c r="J991" i="1"/>
  <c r="J1417" i="1"/>
  <c r="J1332" i="1"/>
  <c r="J1496" i="1"/>
  <c r="J1227" i="1"/>
  <c r="J1370" i="1"/>
  <c r="J1337" i="1"/>
  <c r="J1135" i="1"/>
  <c r="J1279" i="1"/>
  <c r="J1047" i="1"/>
  <c r="J1486" i="1"/>
  <c r="J1426" i="1"/>
  <c r="J1547" i="1"/>
  <c r="J1336" i="1"/>
  <c r="J1465" i="1"/>
  <c r="J1346" i="1"/>
  <c r="J1147" i="1"/>
  <c r="J1058" i="1"/>
  <c r="J1011" i="1"/>
  <c r="J1204" i="1"/>
  <c r="J1101" i="1"/>
  <c r="J1253" i="1"/>
  <c r="J1414" i="1"/>
  <c r="J1050" i="1"/>
  <c r="J1411" i="1"/>
  <c r="J1080" i="1"/>
  <c r="J1180" i="1"/>
  <c r="J1578" i="1"/>
  <c r="J1561" i="1"/>
  <c r="J1308" i="1"/>
  <c r="J959" i="1"/>
  <c r="J1385" i="1"/>
  <c r="J1250" i="1"/>
  <c r="J1356" i="1"/>
  <c r="J1051" i="1"/>
  <c r="J1027" i="1"/>
  <c r="J1492" i="1"/>
  <c r="J1455" i="1"/>
  <c r="J1033" i="1"/>
  <c r="J1136" i="1"/>
  <c r="J1169" i="1"/>
  <c r="J1122" i="1"/>
  <c r="J1081" i="1"/>
  <c r="J1487" i="1"/>
  <c r="J1219" i="1"/>
  <c r="J1588" i="1"/>
  <c r="J1508" i="1"/>
  <c r="J1154" i="1"/>
  <c r="J1085" i="1"/>
  <c r="J1170" i="1"/>
  <c r="J1369" i="1"/>
  <c r="J1376" i="1"/>
  <c r="J1207" i="1"/>
  <c r="J969" i="1"/>
  <c r="J1086" i="1"/>
  <c r="J1330" i="1"/>
  <c r="J1507" i="1"/>
  <c r="J1256" i="1"/>
  <c r="J1143" i="1"/>
  <c r="J1230" i="1"/>
  <c r="J1353" i="1"/>
  <c r="J1173" i="1"/>
  <c r="J1327" i="1"/>
  <c r="J1095" i="1"/>
  <c r="J1502" i="1"/>
  <c r="J1442" i="1"/>
  <c r="J1563" i="1"/>
  <c r="J932" i="1"/>
  <c r="J1489" i="1"/>
  <c r="J1339" i="1"/>
  <c r="J1302" i="1"/>
  <c r="J1062" i="1"/>
  <c r="J1538" i="1"/>
  <c r="J1454" i="1"/>
  <c r="J1244" i="1"/>
  <c r="J1589" i="1"/>
  <c r="J1249" i="1"/>
  <c r="J966" i="1"/>
  <c r="J1472" i="1"/>
  <c r="J1185" i="1"/>
  <c r="J978" i="1"/>
  <c r="J1177" i="1"/>
  <c r="J1344" i="1"/>
  <c r="J1183" i="1"/>
  <c r="J1583" i="1"/>
  <c r="J1435" i="1"/>
  <c r="J1234" i="1"/>
  <c r="J1483" i="1"/>
  <c r="J1200" i="1"/>
  <c r="J1195" i="1"/>
  <c r="J1198" i="1"/>
  <c r="J1348" i="1"/>
  <c r="J1586" i="1"/>
  <c r="J1577" i="1"/>
  <c r="J1380" i="1"/>
  <c r="J967" i="1"/>
  <c r="J1401" i="1"/>
  <c r="J1268" i="1"/>
  <c r="J1274" i="1"/>
  <c r="J1231" i="1"/>
  <c r="J1120" i="1"/>
  <c r="J1000" i="1"/>
  <c r="J1514" i="1"/>
  <c r="J1246" i="1"/>
  <c r="J1164" i="1"/>
  <c r="J1565" i="1"/>
  <c r="J1217" i="1"/>
  <c r="J1100" i="1"/>
  <c r="J1568" i="1"/>
  <c r="J1024" i="1"/>
  <c r="J1520" i="1"/>
  <c r="J1416" i="1"/>
  <c r="J1420" i="1"/>
  <c r="J1319" i="1"/>
  <c r="J1422" i="1"/>
  <c r="J1316" i="1"/>
  <c r="J996" i="1"/>
  <c r="J963" i="1"/>
  <c r="J936" i="1"/>
  <c r="J1037" i="1"/>
  <c r="J1449" i="1"/>
  <c r="J1387" i="1"/>
  <c r="J1004" i="1"/>
  <c r="J1097" i="1"/>
  <c r="J1109" i="1"/>
  <c r="J1241" i="1"/>
  <c r="J1248" i="1"/>
  <c r="J1145" i="1"/>
  <c r="J1543" i="1"/>
  <c r="J1371" i="1"/>
  <c r="J1148" i="1"/>
  <c r="J1151" i="1"/>
  <c r="J1138" i="1"/>
  <c r="J1447" i="1"/>
  <c r="J1206" i="1"/>
  <c r="J1209" i="1"/>
  <c r="J1368" i="1"/>
  <c r="J1199" i="1"/>
  <c r="J945" i="1"/>
  <c r="J1031" i="1"/>
  <c r="J1266" i="1"/>
  <c r="J1499" i="1"/>
  <c r="J1384" i="1"/>
  <c r="J1251" i="1"/>
  <c r="J1117" i="1"/>
  <c r="J1096" i="1"/>
  <c r="J928" i="1"/>
  <c r="J1474" i="1"/>
  <c r="J1365" i="1"/>
  <c r="J1054" i="1"/>
  <c r="J1525" i="1"/>
  <c r="J1115" i="1"/>
  <c r="J1006" i="1"/>
  <c r="J1028" i="1"/>
  <c r="J1303" i="1"/>
  <c r="J1166" i="1"/>
  <c r="J973" i="1"/>
  <c r="J1208" i="1"/>
  <c r="J1121" i="1"/>
  <c r="J1519" i="1"/>
  <c r="J1307" i="1"/>
  <c r="J1036" i="1"/>
  <c r="J1460" i="1"/>
  <c r="J1066" i="1"/>
  <c r="J925" i="1"/>
  <c r="J1104" i="1"/>
  <c r="J1188" i="1"/>
  <c r="J1522" i="1"/>
  <c r="J1350" i="1"/>
  <c r="J1228" i="1"/>
  <c r="J1573" i="1"/>
  <c r="J1225" i="1"/>
  <c r="J918" i="1"/>
  <c r="J1552" i="1"/>
  <c r="J1367" i="1"/>
  <c r="J941" i="1"/>
  <c r="J1512" i="1"/>
  <c r="J1572" i="1"/>
  <c r="J1304" i="1"/>
  <c r="J961" i="1"/>
  <c r="J1451" i="1"/>
  <c r="J1326" i="1"/>
  <c r="J1134" i="1"/>
  <c r="J1562" i="1"/>
  <c r="J1481" i="1"/>
  <c r="J1284" i="1"/>
  <c r="J935" i="1"/>
  <c r="J1321" i="1"/>
  <c r="J1084" i="1"/>
  <c r="J1536" i="1"/>
  <c r="J987" i="1"/>
  <c r="J1262" i="1"/>
  <c r="J1013" i="1"/>
  <c r="J1114" i="1"/>
  <c r="J1073" i="1"/>
  <c r="J1479" i="1"/>
  <c r="J1203" i="1"/>
  <c r="J1548" i="1"/>
  <c r="J1378" i="1"/>
  <c r="J988" i="1"/>
  <c r="J931" i="1"/>
  <c r="J1112" i="1"/>
  <c r="J997" i="1"/>
  <c r="J1232" i="1"/>
  <c r="J1137" i="1"/>
  <c r="J1535" i="1"/>
  <c r="J1363" i="1"/>
  <c r="J1076" i="1"/>
  <c r="J1071" i="1"/>
  <c r="J1240" i="1"/>
  <c r="J930" i="1"/>
  <c r="J1394" i="1"/>
  <c r="J974" i="1"/>
  <c r="J1325" i="1"/>
  <c r="J1381" i="1"/>
  <c r="J1373" i="1"/>
  <c r="J1558" i="1"/>
  <c r="J1398" i="1"/>
  <c r="J1005" i="1"/>
  <c r="J1124" i="1"/>
  <c r="J1287" i="1"/>
  <c r="J1125" i="1"/>
  <c r="J962" i="1"/>
  <c r="J1372" i="1"/>
  <c r="J1082" i="1"/>
  <c r="J1041" i="1"/>
  <c r="J1364" i="1"/>
  <c r="J1149" i="1"/>
  <c r="J1397" i="1"/>
  <c r="J1286" i="1"/>
  <c r="J965" i="1"/>
  <c r="J1271" i="1"/>
  <c r="J1270" i="1"/>
  <c r="J1030" i="1"/>
  <c r="J1309" i="1"/>
  <c r="J1205" i="1"/>
  <c r="J992" i="1"/>
  <c r="J1509" i="1"/>
  <c r="J1099" i="1"/>
  <c r="J948" i="1"/>
  <c r="J939" i="1"/>
  <c r="J921" i="1"/>
  <c r="J1026" i="1"/>
  <c r="J1083" i="1"/>
  <c r="J1524" i="1"/>
  <c r="J1162" i="1"/>
  <c r="J1521" i="1"/>
  <c r="J1211" i="1"/>
  <c r="J1152" i="1"/>
  <c r="J968" i="1"/>
  <c r="J1498" i="1"/>
  <c r="J1048" i="1"/>
  <c r="J1126" i="1"/>
  <c r="J1549" i="1"/>
  <c r="J1155" i="1"/>
  <c r="J1556" i="1"/>
  <c r="J1001" i="1"/>
  <c r="J1282" i="1"/>
  <c r="J994" i="1"/>
  <c r="J1276" i="1"/>
  <c r="J980" i="1"/>
  <c r="J955" i="1"/>
  <c r="J1444" i="1"/>
  <c r="J1015" i="1"/>
  <c r="J1441" i="1"/>
  <c r="J1092" i="1"/>
  <c r="J1528" i="1"/>
  <c r="J1471" i="1"/>
  <c r="J946" i="1"/>
  <c r="J981" i="1"/>
  <c r="J1106" i="1"/>
  <c r="J1065" i="1"/>
  <c r="J1470" i="1"/>
  <c r="J1179" i="1"/>
  <c r="J1476" i="1"/>
  <c r="J1484" i="1"/>
  <c r="J1090" i="1"/>
  <c r="J1273" i="1"/>
  <c r="J1088" i="1"/>
  <c r="J1345" i="1"/>
  <c r="J1159" i="1"/>
  <c r="J1295" i="1"/>
  <c r="J1055" i="1"/>
  <c r="J1494" i="1"/>
  <c r="J1434" i="1"/>
  <c r="J1555" i="1"/>
  <c r="J1202" i="1"/>
  <c r="J952" i="1"/>
  <c r="J1423" i="1"/>
  <c r="J1311" i="1"/>
  <c r="J1196" i="1"/>
  <c r="J940" i="1"/>
  <c r="J1585" i="1"/>
  <c r="J1404" i="1"/>
  <c r="J975" i="1"/>
  <c r="J1409" i="1"/>
  <c r="J934" i="1"/>
  <c r="J1464" i="1"/>
  <c r="J1383" i="1"/>
  <c r="J1462" i="1"/>
  <c r="J1277" i="1"/>
  <c r="J1463" i="1"/>
  <c r="J1229" i="1"/>
  <c r="J1542" i="1"/>
  <c r="J1254" i="1"/>
  <c r="J933" i="1"/>
  <c r="J1014" i="1"/>
  <c r="J1545" i="1"/>
  <c r="J1275" i="1"/>
  <c r="J1190" i="1"/>
  <c r="J1087" i="1"/>
  <c r="J1247" i="1"/>
  <c r="J1017" i="1"/>
  <c r="J1349" i="1"/>
  <c r="J1446" i="1"/>
  <c r="J920" i="1"/>
  <c r="J1029" i="1"/>
  <c r="J1529" i="1"/>
  <c r="J1140" i="1"/>
  <c r="J1091" i="1"/>
  <c r="J1020" i="1"/>
  <c r="J1537" i="1"/>
  <c r="J1158" i="1"/>
  <c r="J1493" i="1"/>
  <c r="J1587" i="1"/>
  <c r="J1342" i="1"/>
  <c r="J1534" i="1"/>
  <c r="J990" i="1"/>
  <c r="J1443" i="1"/>
  <c r="J970" i="1"/>
  <c r="J1324" i="1"/>
  <c r="J1570" i="1"/>
  <c r="J1160" i="1"/>
  <c r="J1590" i="1"/>
  <c r="J1009" i="1"/>
  <c r="J1523" i="1"/>
  <c r="J1111" i="1"/>
  <c r="J1501" i="1"/>
  <c r="J1424" i="1"/>
  <c r="J1393" i="1"/>
  <c r="J1010" i="1"/>
  <c r="J1142" i="1"/>
  <c r="J1506" i="1"/>
  <c r="J1056" i="1"/>
  <c r="J1526" i="1"/>
  <c r="J1386" i="1"/>
  <c r="J1269" i="1"/>
  <c r="J1172" i="1"/>
  <c r="J1168" i="1"/>
  <c r="J1338" i="1"/>
  <c r="J1278" i="1"/>
  <c r="J984" i="1"/>
  <c r="J1150" i="1"/>
  <c r="J1181" i="1"/>
  <c r="J1261" i="1"/>
  <c r="J926" i="1"/>
  <c r="J1222" i="1"/>
  <c r="J1410" i="1"/>
  <c r="J1042" i="1"/>
  <c r="J1049" i="1"/>
  <c r="J1430" i="1"/>
  <c r="J1469" i="1"/>
  <c r="J1415" i="1"/>
  <c r="J993" i="1"/>
  <c r="J1235" i="1"/>
  <c r="J1008" i="1"/>
  <c r="J1439" i="1"/>
  <c r="J1075" i="1"/>
  <c r="J1116" i="1"/>
  <c r="J1335" i="1"/>
  <c r="J1334" i="1"/>
  <c r="J1245" i="1"/>
  <c r="J1239" i="1"/>
  <c r="J1495" i="1"/>
  <c r="J1053" i="1"/>
  <c r="J1361" i="1"/>
  <c r="J1118" i="1"/>
  <c r="J917" i="1"/>
  <c r="J949" i="1"/>
  <c r="J1298" i="1"/>
  <c r="J1174" i="1"/>
  <c r="J1456" i="1"/>
  <c r="J1089" i="1"/>
  <c r="J1040" i="1"/>
  <c r="J943" i="1"/>
  <c r="J1193" i="1"/>
  <c r="J1213" i="1"/>
  <c r="J1531" i="1"/>
  <c r="J1429" i="1"/>
  <c r="J1259" i="1"/>
  <c r="J1433" i="1"/>
  <c r="J1130" i="1"/>
  <c r="J979" i="1"/>
  <c r="J1292" i="1"/>
  <c r="J1557" i="1"/>
  <c r="J1067" i="1"/>
  <c r="J1831" i="1"/>
  <c r="J1819" i="1"/>
  <c r="J1740" i="1"/>
  <c r="J1799" i="1"/>
  <c r="J1746" i="1"/>
  <c r="J1815" i="1"/>
  <c r="J1752" i="1"/>
  <c r="J1749" i="1"/>
  <c r="J1743" i="1"/>
  <c r="J1823" i="1"/>
  <c r="J1755" i="1"/>
  <c r="J1835" i="1"/>
  <c r="J1827" i="1"/>
  <c r="J555" i="1"/>
  <c r="J547" i="1"/>
  <c r="J531" i="1"/>
  <c r="J523" i="1"/>
  <c r="J324" i="1"/>
  <c r="J196" i="1"/>
  <c r="J124" i="1"/>
  <c r="J554" i="1"/>
  <c r="J546" i="1"/>
  <c r="J538" i="1"/>
  <c r="J530" i="1"/>
  <c r="J522" i="1"/>
  <c r="J514" i="1"/>
  <c r="J498" i="1"/>
  <c r="J195" i="1"/>
  <c r="J179" i="1"/>
  <c r="J147" i="1"/>
  <c r="J123" i="1"/>
  <c r="J553" i="1"/>
  <c r="J545" i="1"/>
  <c r="J529" i="1"/>
  <c r="J521" i="1"/>
  <c r="J178" i="1"/>
  <c r="J146" i="1"/>
  <c r="J122" i="1"/>
  <c r="J81" i="1"/>
  <c r="J560" i="1"/>
  <c r="J552" i="1"/>
  <c r="J544" i="1"/>
  <c r="J528" i="1"/>
  <c r="J520" i="1"/>
  <c r="J504" i="1"/>
  <c r="J474" i="1"/>
  <c r="J193" i="1"/>
  <c r="J177" i="1"/>
  <c r="J153" i="1"/>
  <c r="J129" i="1"/>
  <c r="J559" i="1"/>
  <c r="J551" i="1"/>
  <c r="J543" i="1"/>
  <c r="J527" i="1"/>
  <c r="J519" i="1"/>
  <c r="J200" i="1"/>
  <c r="J192" i="1"/>
  <c r="J152" i="1"/>
  <c r="J144" i="1"/>
  <c r="J128" i="1"/>
  <c r="J87" i="1"/>
  <c r="J79" i="1"/>
  <c r="J558" i="1"/>
  <c r="J550" i="1"/>
  <c r="J526" i="1"/>
  <c r="J426" i="1"/>
  <c r="J330" i="1"/>
  <c r="J199" i="1"/>
  <c r="J191" i="1"/>
  <c r="J183" i="1"/>
  <c r="J175" i="1"/>
  <c r="J143" i="1"/>
  <c r="J127" i="1"/>
  <c r="J557" i="1"/>
  <c r="J549" i="1"/>
  <c r="J533" i="1"/>
  <c r="J525" i="1"/>
  <c r="J509" i="1"/>
  <c r="J348" i="1"/>
  <c r="J198" i="1"/>
  <c r="J182" i="1"/>
  <c r="J174" i="1"/>
  <c r="J150" i="1"/>
  <c r="J126" i="1"/>
  <c r="J36" i="1"/>
  <c r="J556" i="1"/>
  <c r="J78" i="1"/>
  <c r="J41" i="1"/>
  <c r="J548" i="1"/>
  <c r="J532" i="1"/>
  <c r="J524" i="1"/>
  <c r="J181" i="1"/>
  <c r="J149" i="1"/>
  <c r="J35" i="1"/>
  <c r="J173" i="1"/>
  <c r="J34" i="1"/>
  <c r="J125" i="1"/>
  <c r="J80" i="1"/>
  <c r="M77" i="18"/>
  <c r="M602" i="18"/>
  <c r="M694" i="18"/>
  <c r="M1626" i="18"/>
  <c r="M1591" i="18"/>
  <c r="M420" i="18"/>
  <c r="M1721" i="18"/>
  <c r="M1856" i="18"/>
  <c r="F364" i="1"/>
  <c r="M2471" i="1" l="1"/>
  <c r="N2471" i="1" s="1"/>
  <c r="J2471" i="18"/>
  <c r="M2471" i="18" s="1"/>
  <c r="N2471" i="18" s="1"/>
  <c r="M2470" i="1"/>
  <c r="N2470" i="1" s="1"/>
  <c r="J2470" i="18"/>
  <c r="M2470" i="18" s="1"/>
  <c r="N2470" i="18" s="1"/>
  <c r="M2474" i="1"/>
  <c r="N2474" i="1" s="1"/>
  <c r="J2474" i="18"/>
  <c r="M2474" i="18" s="1"/>
  <c r="N2474" i="18" s="1"/>
  <c r="Q2468" i="18"/>
  <c r="S2468" i="18"/>
  <c r="R2468" i="18"/>
  <c r="S2469" i="18"/>
  <c r="R2469" i="18"/>
  <c r="Q2469" i="18"/>
  <c r="F412" i="18"/>
  <c r="F364" i="18"/>
  <c r="J444" i="18"/>
  <c r="I788" i="18"/>
  <c r="J788" i="1"/>
  <c r="I467" i="18"/>
  <c r="J467" i="1"/>
  <c r="J462" i="18"/>
  <c r="I455" i="18"/>
  <c r="J455" i="1"/>
  <c r="I461" i="18"/>
  <c r="J461" i="1"/>
  <c r="J450" i="18"/>
  <c r="J456" i="18"/>
  <c r="I449" i="18"/>
  <c r="J449" i="1"/>
  <c r="J390" i="18"/>
  <c r="I419" i="18"/>
  <c r="J419" i="1"/>
  <c r="I395" i="18"/>
  <c r="J395" i="1"/>
  <c r="J622" i="18"/>
  <c r="J48" i="18"/>
  <c r="J843" i="18"/>
  <c r="J211" i="18"/>
  <c r="J830" i="18"/>
  <c r="J109" i="18"/>
  <c r="J909" i="18"/>
  <c r="J96" i="18"/>
  <c r="J896" i="18"/>
  <c r="J580" i="18"/>
  <c r="J891" i="18"/>
  <c r="J223" i="18"/>
  <c r="J1715" i="18"/>
  <c r="J226" i="18"/>
  <c r="J1695" i="18"/>
  <c r="J633" i="18"/>
  <c r="J98" i="18"/>
  <c r="J890" i="18"/>
  <c r="J566" i="18"/>
  <c r="J52" i="18"/>
  <c r="J839" i="18"/>
  <c r="J110" i="18"/>
  <c r="J910" i="18"/>
  <c r="J630" i="18"/>
  <c r="J56" i="18"/>
  <c r="J851" i="18"/>
  <c r="J219" i="18"/>
  <c r="J629" i="18"/>
  <c r="J1687" i="18"/>
  <c r="J833" i="18"/>
  <c r="J105" i="18"/>
  <c r="J881" i="18"/>
  <c r="M881" i="18" s="1"/>
  <c r="N881" i="18" s="1"/>
  <c r="J565" i="18"/>
  <c r="J908" i="18"/>
  <c r="J216" i="18"/>
  <c r="J1701" i="18"/>
  <c r="J631" i="18"/>
  <c r="J1688" i="18"/>
  <c r="J626" i="18"/>
  <c r="J99" i="18"/>
  <c r="J577" i="18"/>
  <c r="J47" i="18"/>
  <c r="J842" i="18"/>
  <c r="J50" i="18"/>
  <c r="J643" i="18"/>
  <c r="J116" i="18"/>
  <c r="J1713" i="18"/>
  <c r="J584" i="18"/>
  <c r="J54" i="18"/>
  <c r="J849" i="18"/>
  <c r="J217" i="18"/>
  <c r="J1702" i="18"/>
  <c r="J640" i="18"/>
  <c r="J113" i="18"/>
  <c r="J889" i="18"/>
  <c r="J573" i="18"/>
  <c r="J51" i="18"/>
  <c r="J1750" i="18"/>
  <c r="J1753" i="18"/>
  <c r="J1744" i="18"/>
  <c r="J1689" i="18"/>
  <c r="J583" i="18"/>
  <c r="J61" i="18"/>
  <c r="J586" i="18"/>
  <c r="J1718" i="18"/>
  <c r="J835" i="18"/>
  <c r="J203" i="18"/>
  <c r="J636" i="18"/>
  <c r="J101" i="18"/>
  <c r="J901" i="18"/>
  <c r="J65" i="18"/>
  <c r="J888" i="18"/>
  <c r="J572" i="18"/>
  <c r="J883" i="18"/>
  <c r="J215" i="18"/>
  <c r="J1700" i="18"/>
  <c r="J848" i="18"/>
  <c r="J95" i="18"/>
  <c r="J895" i="18"/>
  <c r="J571" i="18"/>
  <c r="J1719" i="18"/>
  <c r="J836" i="18"/>
  <c r="J212" i="18"/>
  <c r="J1697" i="18"/>
  <c r="J619" i="18"/>
  <c r="J92" i="18"/>
  <c r="M92" i="18" s="1"/>
  <c r="N92" i="18" s="1"/>
  <c r="J162" i="18"/>
  <c r="J155" i="18"/>
  <c r="J158" i="18"/>
  <c r="J1756" i="18"/>
  <c r="J637" i="18"/>
  <c r="J94" i="18"/>
  <c r="J894" i="18"/>
  <c r="J97" i="18"/>
  <c r="J845" i="18"/>
  <c r="J221" i="18"/>
  <c r="J900" i="18"/>
  <c r="J208" i="18"/>
  <c r="J1693" i="18"/>
  <c r="J623" i="18"/>
  <c r="J906" i="18"/>
  <c r="J582" i="18"/>
  <c r="J68" i="18"/>
  <c r="J569" i="18"/>
  <c r="J1717" i="18"/>
  <c r="J834" i="18"/>
  <c r="J218" i="18"/>
  <c r="J905" i="18"/>
  <c r="J625" i="18"/>
  <c r="J67" i="18"/>
  <c r="J882" i="18"/>
  <c r="J222" i="18"/>
  <c r="J1714" i="18"/>
  <c r="J831" i="18"/>
  <c r="J102" i="18"/>
  <c r="J902" i="18"/>
  <c r="J1747" i="18"/>
  <c r="J166" i="18"/>
  <c r="J169" i="18"/>
  <c r="J161" i="18"/>
  <c r="J112" i="18"/>
  <c r="J912" i="18"/>
  <c r="J624" i="18"/>
  <c r="J907" i="18"/>
  <c r="J575" i="18"/>
  <c r="J53" i="18"/>
  <c r="J578" i="18"/>
  <c r="J1710" i="18"/>
  <c r="J827" i="18"/>
  <c r="J114" i="18"/>
  <c r="J628" i="18"/>
  <c r="J93" i="18"/>
  <c r="J893" i="18"/>
  <c r="J57" i="18"/>
  <c r="J852" i="18"/>
  <c r="J564" i="18"/>
  <c r="J1712" i="18"/>
  <c r="J635" i="18"/>
  <c r="J108" i="18"/>
  <c r="J1706" i="18"/>
  <c r="J576" i="18"/>
  <c r="J46" i="18"/>
  <c r="J841" i="18"/>
  <c r="J209" i="18"/>
  <c r="J1694" i="18"/>
  <c r="J632" i="18"/>
  <c r="J163" i="18"/>
  <c r="J638" i="18"/>
  <c r="J820" i="18"/>
  <c r="J171" i="18"/>
  <c r="J1704" i="18"/>
  <c r="J642" i="18"/>
  <c r="J115" i="18"/>
  <c r="J621" i="18"/>
  <c r="J63" i="18"/>
  <c r="J886" i="18"/>
  <c r="J66" i="18"/>
  <c r="J837" i="18"/>
  <c r="J213" i="18"/>
  <c r="J892" i="18"/>
  <c r="J111" i="18"/>
  <c r="J911" i="18"/>
  <c r="J587" i="18"/>
  <c r="J898" i="18"/>
  <c r="J574" i="18"/>
  <c r="J60" i="18"/>
  <c r="J847" i="18"/>
  <c r="J207" i="18"/>
  <c r="J1692" i="18"/>
  <c r="J832" i="18"/>
  <c r="J64" i="18"/>
  <c r="J887" i="18"/>
  <c r="J227" i="18"/>
  <c r="J1711" i="18"/>
  <c r="J828" i="18"/>
  <c r="J204" i="18"/>
  <c r="J1707" i="18"/>
  <c r="J1751" i="18"/>
  <c r="J1754" i="18"/>
  <c r="J840" i="18"/>
  <c r="J44" i="18"/>
  <c r="J838" i="18"/>
  <c r="J206" i="18"/>
  <c r="J1691" i="18"/>
  <c r="J104" i="18"/>
  <c r="J904" i="18"/>
  <c r="J588" i="18"/>
  <c r="J899" i="18"/>
  <c r="J567" i="18"/>
  <c r="J45" i="18"/>
  <c r="J570" i="18"/>
  <c r="J1703" i="18"/>
  <c r="J641" i="18"/>
  <c r="J106" i="18"/>
  <c r="J620" i="18"/>
  <c r="J62" i="18"/>
  <c r="J885" i="18"/>
  <c r="J225" i="18"/>
  <c r="J1709" i="18"/>
  <c r="J826" i="18"/>
  <c r="J210" i="18"/>
  <c r="J897" i="18"/>
  <c r="J581" i="18"/>
  <c r="J59" i="18"/>
  <c r="J846" i="18"/>
  <c r="J214" i="18"/>
  <c r="J1699" i="18"/>
  <c r="J1748" i="18"/>
  <c r="J156" i="18"/>
  <c r="J159" i="18"/>
  <c r="J1745" i="18"/>
  <c r="J1690" i="18"/>
  <c r="J224" i="18"/>
  <c r="J1708" i="18"/>
  <c r="J639" i="18"/>
  <c r="J1696" i="18"/>
  <c r="J634" i="18"/>
  <c r="J107" i="18"/>
  <c r="J585" i="18"/>
  <c r="J55" i="18"/>
  <c r="J850" i="18"/>
  <c r="J58" i="18"/>
  <c r="J829" i="18"/>
  <c r="J205" i="18"/>
  <c r="J884" i="18"/>
  <c r="J103" i="18"/>
  <c r="J903" i="18"/>
  <c r="J579" i="18"/>
  <c r="J49" i="18"/>
  <c r="J844" i="18"/>
  <c r="J220" i="18"/>
  <c r="J1705" i="18"/>
  <c r="J627" i="18"/>
  <c r="J100" i="18"/>
  <c r="J1698" i="18"/>
  <c r="J568" i="18"/>
  <c r="J1716" i="18"/>
  <c r="J825" i="18"/>
  <c r="J165" i="18"/>
  <c r="J167" i="18"/>
  <c r="J170" i="18"/>
  <c r="J1757" i="18"/>
  <c r="G480" i="1"/>
  <c r="J384" i="18"/>
  <c r="J782" i="1"/>
  <c r="I782" i="18"/>
  <c r="J777" i="18"/>
  <c r="J389" i="1"/>
  <c r="I389" i="18"/>
  <c r="J486" i="18"/>
  <c r="G409" i="18"/>
  <c r="G412" i="1"/>
  <c r="J413" i="1"/>
  <c r="I413" i="18"/>
  <c r="G484" i="18"/>
  <c r="G406" i="18"/>
  <c r="G396" i="18"/>
  <c r="G402" i="1"/>
  <c r="I491" i="18"/>
  <c r="G382" i="18"/>
  <c r="J1043" i="18"/>
  <c r="J1405" i="18"/>
  <c r="J1402" i="18"/>
  <c r="J1329" i="18"/>
  <c r="J1063" i="18"/>
  <c r="J1171" i="18"/>
  <c r="J1044" i="18"/>
  <c r="J1141" i="18"/>
  <c r="J1421" i="18"/>
  <c r="J977" i="18"/>
  <c r="J1584" i="18"/>
  <c r="J1146" i="18"/>
  <c r="J1575" i="18"/>
  <c r="J1517" i="18"/>
  <c r="J1224" i="18"/>
  <c r="J1002" i="18"/>
  <c r="J1546" i="18"/>
  <c r="J1110" i="18"/>
  <c r="J1579" i="18"/>
  <c r="J1093" i="18"/>
  <c r="J1395" i="18"/>
  <c r="J1445" i="18"/>
  <c r="J1457" i="18"/>
  <c r="J1366" i="18"/>
  <c r="J1530" i="18"/>
  <c r="J1459" i="18"/>
  <c r="J1341" i="18"/>
  <c r="J995" i="18"/>
  <c r="J1102" i="18"/>
  <c r="J938" i="18"/>
  <c r="J1500" i="18"/>
  <c r="J1761" i="18"/>
  <c r="J1837" i="18"/>
  <c r="J1925" i="18"/>
  <c r="J1594" i="18"/>
  <c r="J1846" i="18"/>
  <c r="J1910" i="18"/>
  <c r="J1855" i="18"/>
  <c r="J1919" i="18"/>
  <c r="J1832" i="18"/>
  <c r="J1825" i="18"/>
  <c r="J1889" i="18"/>
  <c r="J1622" i="18"/>
  <c r="J1866" i="18"/>
  <c r="J1599" i="18"/>
  <c r="J1867" i="18"/>
  <c r="J1592" i="18"/>
  <c r="J1836" i="18"/>
  <c r="J2511" i="18"/>
  <c r="M2511" i="18" s="1"/>
  <c r="N2511" i="18" s="1"/>
  <c r="S2511" i="18" s="1"/>
  <c r="J2505" i="18"/>
  <c r="M2505" i="18" s="1"/>
  <c r="N2505" i="18" s="1"/>
  <c r="Q2505" i="18" s="1"/>
  <c r="J532" i="18"/>
  <c r="J1259" i="18"/>
  <c r="J1410" i="18"/>
  <c r="J1342" i="18"/>
  <c r="J1463" i="18"/>
  <c r="J981" i="18"/>
  <c r="J1509" i="18"/>
  <c r="J1548" i="18"/>
  <c r="J1104" i="18"/>
  <c r="J1241" i="18"/>
  <c r="J1336" i="18"/>
  <c r="J127" i="18"/>
  <c r="J1160" i="18"/>
  <c r="J980" i="18"/>
  <c r="J992" i="18"/>
  <c r="J1203" i="18"/>
  <c r="J925" i="18"/>
  <c r="J996" i="18"/>
  <c r="J1489" i="18"/>
  <c r="J1561" i="18"/>
  <c r="J1212" i="18"/>
  <c r="J1072" i="18"/>
  <c r="J1293" i="18"/>
  <c r="J1497" i="18"/>
  <c r="J1025" i="18"/>
  <c r="J1175" i="18"/>
  <c r="J985" i="18"/>
  <c r="J1466" i="18"/>
  <c r="J1210" i="18"/>
  <c r="J1425" i="18"/>
  <c r="J1406" i="18"/>
  <c r="J1504" i="18"/>
  <c r="J1602" i="18"/>
  <c r="J1918" i="18"/>
  <c r="J1927" i="18"/>
  <c r="J1833" i="18"/>
  <c r="J1897" i="18"/>
  <c r="J1607" i="18"/>
  <c r="J1600" i="18"/>
  <c r="J1961" i="18"/>
  <c r="J34" i="18"/>
  <c r="M34" i="18" s="1"/>
  <c r="J41" i="18"/>
  <c r="J198" i="18"/>
  <c r="J143" i="18"/>
  <c r="J177" i="18"/>
  <c r="J560" i="18"/>
  <c r="J553" i="18"/>
  <c r="J530" i="18"/>
  <c r="J531" i="18"/>
  <c r="J1067" i="18"/>
  <c r="J1531" i="18"/>
  <c r="J1298" i="18"/>
  <c r="J1245" i="18"/>
  <c r="J993" i="18"/>
  <c r="J926" i="18"/>
  <c r="J1172" i="18"/>
  <c r="J1393" i="18"/>
  <c r="J1570" i="18"/>
  <c r="J1493" i="18"/>
  <c r="J920" i="18"/>
  <c r="J1545" i="18"/>
  <c r="J1462" i="18"/>
  <c r="J940" i="18"/>
  <c r="J1494" i="18"/>
  <c r="J1484" i="18"/>
  <c r="J1471" i="18"/>
  <c r="J1276" i="18"/>
  <c r="J1048" i="18"/>
  <c r="J1083" i="18"/>
  <c r="J1205" i="18"/>
  <c r="J1149" i="18"/>
  <c r="J1124" i="18"/>
  <c r="J1394" i="18"/>
  <c r="J1232" i="18"/>
  <c r="J1479" i="18"/>
  <c r="J1321" i="18"/>
  <c r="J961" i="18"/>
  <c r="J1225" i="18"/>
  <c r="J1066" i="18"/>
  <c r="J1166" i="18"/>
  <c r="J1474" i="18"/>
  <c r="J1031" i="18"/>
  <c r="J1151" i="18"/>
  <c r="J1097" i="18"/>
  <c r="J1316" i="18"/>
  <c r="J1100" i="18"/>
  <c r="J1231" i="18"/>
  <c r="J1348" i="18"/>
  <c r="J1183" i="18"/>
  <c r="J1589" i="18"/>
  <c r="J932" i="18"/>
  <c r="J1230" i="18"/>
  <c r="J1376" i="18"/>
  <c r="J1487" i="18"/>
  <c r="J1027" i="18"/>
  <c r="J1578" i="18"/>
  <c r="J1204" i="18"/>
  <c r="J1426" i="18"/>
  <c r="J1496" i="18"/>
  <c r="J1382" i="18"/>
  <c r="J1505" i="18"/>
  <c r="J1510" i="18"/>
  <c r="J1238" i="18"/>
  <c r="J1255" i="18"/>
  <c r="J1069" i="18"/>
  <c r="J1540" i="18"/>
  <c r="J1553" i="18"/>
  <c r="J1018" i="18"/>
  <c r="J1057" i="18"/>
  <c r="J1533" i="18"/>
  <c r="J1132" i="18"/>
  <c r="J1187" i="18"/>
  <c r="J1440" i="18"/>
  <c r="J1564" i="18"/>
  <c r="J1314" i="18"/>
  <c r="J1296" i="18"/>
  <c r="J1285" i="18"/>
  <c r="J1068" i="18"/>
  <c r="J1488" i="18"/>
  <c r="J1310" i="18"/>
  <c r="J1490" i="18"/>
  <c r="J1518" i="18"/>
  <c r="J1221" i="18"/>
  <c r="J1161" i="18"/>
  <c r="J1419" i="18"/>
  <c r="J1539" i="18"/>
  <c r="J971" i="18"/>
  <c r="J1374" i="18"/>
  <c r="J1191" i="18"/>
  <c r="J1007" i="18"/>
  <c r="J1108" i="18"/>
  <c r="J1019" i="18"/>
  <c r="J1453" i="18"/>
  <c r="J915" i="18"/>
  <c r="J1617" i="18"/>
  <c r="J1593" i="18"/>
  <c r="J1610" i="18"/>
  <c r="J1862" i="18"/>
  <c r="J1926" i="18"/>
  <c r="J1871" i="18"/>
  <c r="J1596" i="18"/>
  <c r="J1597" i="18"/>
  <c r="J1841" i="18"/>
  <c r="J1905" i="18"/>
  <c r="J1818" i="18"/>
  <c r="J1882" i="18"/>
  <c r="J1615" i="18"/>
  <c r="J1883" i="18"/>
  <c r="J1608" i="18"/>
  <c r="J1941" i="18"/>
  <c r="J2503" i="18"/>
  <c r="M2503" i="18" s="1"/>
  <c r="N2503" i="18" s="1"/>
  <c r="S2503" i="18" s="1"/>
  <c r="G492" i="1"/>
  <c r="J152" i="18"/>
  <c r="J1456" i="18"/>
  <c r="J1142" i="18"/>
  <c r="J1404" i="18"/>
  <c r="J1549" i="18"/>
  <c r="J1535" i="18"/>
  <c r="J1536" i="18"/>
  <c r="J1054" i="18"/>
  <c r="J963" i="18"/>
  <c r="J1435" i="18"/>
  <c r="J1339" i="18"/>
  <c r="J1455" i="18"/>
  <c r="J1253" i="18"/>
  <c r="J956" i="18"/>
  <c r="J1315" i="18"/>
  <c r="J182" i="18"/>
  <c r="J522" i="18"/>
  <c r="J1239" i="18"/>
  <c r="J1587" i="18"/>
  <c r="J1585" i="18"/>
  <c r="J1126" i="18"/>
  <c r="J974" i="18"/>
  <c r="J918" i="18"/>
  <c r="J1266" i="18"/>
  <c r="J1568" i="18"/>
  <c r="J1249" i="18"/>
  <c r="J1219" i="18"/>
  <c r="J1547" i="18"/>
  <c r="J1450" i="18"/>
  <c r="J1176" i="18"/>
  <c r="J1123" i="18"/>
  <c r="J1144" i="18"/>
  <c r="J1223" i="18"/>
  <c r="J1131" i="18"/>
  <c r="J1038" i="18"/>
  <c r="J1157" i="18"/>
  <c r="J1094" i="18"/>
  <c r="J986" i="18"/>
  <c r="J1560" i="18"/>
  <c r="J953" i="18"/>
  <c r="J929" i="18"/>
  <c r="J1351" i="18"/>
  <c r="J1070" i="18"/>
  <c r="J1901" i="18"/>
  <c r="J1869" i="18"/>
  <c r="J1854" i="18"/>
  <c r="J1863" i="18"/>
  <c r="J1840" i="18"/>
  <c r="J1778" i="18"/>
  <c r="J1874" i="18"/>
  <c r="J1875" i="18"/>
  <c r="J2507" i="18"/>
  <c r="M2507" i="18" s="1"/>
  <c r="N2507" i="18" s="1"/>
  <c r="S2507" i="18" s="1"/>
  <c r="J2513" i="18"/>
  <c r="M2513" i="18" s="1"/>
  <c r="N2513" i="18" s="1"/>
  <c r="R2513" i="18" s="1"/>
  <c r="J173" i="18"/>
  <c r="J78" i="18"/>
  <c r="J175" i="18"/>
  <c r="J558" i="18"/>
  <c r="J519" i="18"/>
  <c r="J193" i="18"/>
  <c r="J81" i="18"/>
  <c r="J1557" i="18"/>
  <c r="J1213" i="18"/>
  <c r="J949" i="18"/>
  <c r="J1334" i="18"/>
  <c r="J1415" i="18"/>
  <c r="J1261" i="18"/>
  <c r="J1269" i="18"/>
  <c r="J1424" i="18"/>
  <c r="J1324" i="18"/>
  <c r="J1158" i="18"/>
  <c r="J1446" i="18"/>
  <c r="J1014" i="18"/>
  <c r="J1383" i="18"/>
  <c r="J1196" i="18"/>
  <c r="J1055" i="18"/>
  <c r="J1476" i="18"/>
  <c r="J1528" i="18"/>
  <c r="J994" i="18"/>
  <c r="J1498" i="18"/>
  <c r="J1026" i="18"/>
  <c r="J1309" i="18"/>
  <c r="J1364" i="18"/>
  <c r="J1005" i="18"/>
  <c r="J930" i="18"/>
  <c r="J997" i="18"/>
  <c r="J1073" i="18"/>
  <c r="J935" i="18"/>
  <c r="J1304" i="18"/>
  <c r="J1573" i="18"/>
  <c r="J1460" i="18"/>
  <c r="J1303" i="18"/>
  <c r="J928" i="18"/>
  <c r="J945" i="18"/>
  <c r="J1148" i="18"/>
  <c r="J1004" i="18"/>
  <c r="J1422" i="18"/>
  <c r="J1217" i="18"/>
  <c r="J1274" i="18"/>
  <c r="J1198" i="18"/>
  <c r="J1344" i="18"/>
  <c r="J1244" i="18"/>
  <c r="J1563" i="18"/>
  <c r="J1143" i="18"/>
  <c r="J1369" i="18"/>
  <c r="J1081" i="18"/>
  <c r="J1051" i="18"/>
  <c r="J1180" i="18"/>
  <c r="J1011" i="18"/>
  <c r="J1486" i="18"/>
  <c r="J1332" i="18"/>
  <c r="J1242" i="18"/>
  <c r="J1357" i="18"/>
  <c r="J1119" i="18"/>
  <c r="J1156" i="18"/>
  <c r="J1297" i="18"/>
  <c r="J1103" i="18"/>
  <c r="J1022" i="18"/>
  <c r="J1448" i="18"/>
  <c r="J1061" i="18"/>
  <c r="J1098" i="18"/>
  <c r="J1078" i="18"/>
  <c r="J1035" i="18"/>
  <c r="J1513" i="18"/>
  <c r="J1281" i="18"/>
  <c r="J1532" i="18"/>
  <c r="J1163" i="18"/>
  <c r="J1214" i="18"/>
  <c r="J1389" i="18"/>
  <c r="J1323" i="18"/>
  <c r="J998" i="18"/>
  <c r="J1347" i="18"/>
  <c r="J960" i="18"/>
  <c r="J1165" i="18"/>
  <c r="J1023" i="18"/>
  <c r="J1280" i="18"/>
  <c r="J1567" i="18"/>
  <c r="J1418" i="18"/>
  <c r="J942" i="18"/>
  <c r="J950" i="18"/>
  <c r="J1360" i="18"/>
  <c r="J1436" i="18"/>
  <c r="J1305" i="18"/>
  <c r="J1391" i="18"/>
  <c r="J1077" i="18"/>
  <c r="J1408" i="18"/>
  <c r="J808" i="18"/>
  <c r="J1845" i="18"/>
  <c r="J1821" i="18"/>
  <c r="J1618" i="18"/>
  <c r="J1870" i="18"/>
  <c r="J1595" i="18"/>
  <c r="J1879" i="18"/>
  <c r="J1604" i="18"/>
  <c r="J1605" i="18"/>
  <c r="J1849" i="18"/>
  <c r="J1913" i="18"/>
  <c r="J1826" i="18"/>
  <c r="J1890" i="18"/>
  <c r="J1623" i="18"/>
  <c r="J1891" i="18"/>
  <c r="J1616" i="18"/>
  <c r="J2510" i="18"/>
  <c r="M2510" i="18" s="1"/>
  <c r="N2510" i="18" s="1"/>
  <c r="R2510" i="18" s="1"/>
  <c r="J2512" i="18"/>
  <c r="M2512" i="18" s="1"/>
  <c r="N2512" i="18" s="1"/>
  <c r="R2512" i="18" s="1"/>
  <c r="G420" i="1"/>
  <c r="J443" i="1"/>
  <c r="I443" i="18"/>
  <c r="J438" i="18"/>
  <c r="J80" i="18"/>
  <c r="J1338" i="18"/>
  <c r="J1555" i="18"/>
  <c r="J1162" i="18"/>
  <c r="J1125" i="18"/>
  <c r="J1326" i="18"/>
  <c r="J1208" i="18"/>
  <c r="J1000" i="18"/>
  <c r="J1577" i="18"/>
  <c r="J969" i="18"/>
  <c r="J1566" i="18"/>
  <c r="J552" i="18"/>
  <c r="J1429" i="18"/>
  <c r="J1222" i="18"/>
  <c r="J1010" i="18"/>
  <c r="J1277" i="18"/>
  <c r="J946" i="18"/>
  <c r="J1397" i="18"/>
  <c r="J1137" i="18"/>
  <c r="J1451" i="18"/>
  <c r="J1138" i="18"/>
  <c r="J1586" i="18"/>
  <c r="J1353" i="18"/>
  <c r="J1101" i="18"/>
  <c r="J1227" i="18"/>
  <c r="J1264" i="18"/>
  <c r="J1412" i="18"/>
  <c r="J1432" i="18"/>
  <c r="J556" i="18"/>
  <c r="J527" i="18"/>
  <c r="J147" i="18"/>
  <c r="J1335" i="18"/>
  <c r="J1469" i="18"/>
  <c r="J1386" i="18"/>
  <c r="J1537" i="18"/>
  <c r="J933" i="18"/>
  <c r="J1464" i="18"/>
  <c r="J1311" i="18"/>
  <c r="J1295" i="18"/>
  <c r="J1179" i="18"/>
  <c r="J1092" i="18"/>
  <c r="J968" i="18"/>
  <c r="J921" i="18"/>
  <c r="J1030" i="18"/>
  <c r="J1041" i="18"/>
  <c r="J1398" i="18"/>
  <c r="J1240" i="18"/>
  <c r="J1112" i="18"/>
  <c r="J1114" i="18"/>
  <c r="J1284" i="18"/>
  <c r="J1572" i="18"/>
  <c r="J1228" i="18"/>
  <c r="J1036" i="18"/>
  <c r="J1028" i="18"/>
  <c r="J1096" i="18"/>
  <c r="J1199" i="18"/>
  <c r="J1371" i="18"/>
  <c r="J1387" i="18"/>
  <c r="J1319" i="18"/>
  <c r="J1565" i="18"/>
  <c r="J1268" i="18"/>
  <c r="J1195" i="18"/>
  <c r="J1177" i="18"/>
  <c r="J1454" i="18"/>
  <c r="J1442" i="18"/>
  <c r="J1256" i="18"/>
  <c r="J1170" i="18"/>
  <c r="J1122" i="18"/>
  <c r="J1356" i="18"/>
  <c r="J1080" i="18"/>
  <c r="J1058" i="18"/>
  <c r="J1047" i="18"/>
  <c r="J1417" i="18"/>
  <c r="J1016" i="18"/>
  <c r="J1290" i="18"/>
  <c r="J1399" i="18"/>
  <c r="J1379" i="18"/>
  <c r="J999" i="18"/>
  <c r="J1003" i="18"/>
  <c r="J1267" i="18"/>
  <c r="J957" i="18"/>
  <c r="J1473" i="18"/>
  <c r="J1388" i="18"/>
  <c r="J1544" i="18"/>
  <c r="J1477" i="18"/>
  <c r="J1400" i="18"/>
  <c r="J922" i="18"/>
  <c r="J958" i="18"/>
  <c r="J1328" i="18"/>
  <c r="J1299" i="18"/>
  <c r="J1467" i="18"/>
  <c r="J1527" i="18"/>
  <c r="J1257" i="18"/>
  <c r="J1032" i="18"/>
  <c r="J1318" i="18"/>
  <c r="J1407" i="18"/>
  <c r="J1283" i="18"/>
  <c r="J1289" i="18"/>
  <c r="J1167" i="18"/>
  <c r="J1478" i="18"/>
  <c r="J1233" i="18"/>
  <c r="J1438" i="18"/>
  <c r="J1201" i="18"/>
  <c r="J947" i="18"/>
  <c r="J927" i="18"/>
  <c r="J951" i="18"/>
  <c r="J1052" i="18"/>
  <c r="J1320" i="18"/>
  <c r="J1667" i="18"/>
  <c r="J1909" i="18"/>
  <c r="J1885" i="18"/>
  <c r="J1814" i="18"/>
  <c r="J1878" i="18"/>
  <c r="J1603" i="18"/>
  <c r="J1887" i="18"/>
  <c r="J1612" i="18"/>
  <c r="J1613" i="18"/>
  <c r="J1857" i="18"/>
  <c r="J1921" i="18"/>
  <c r="J1834" i="18"/>
  <c r="J1898" i="18"/>
  <c r="J1779" i="18"/>
  <c r="J1899" i="18"/>
  <c r="J1624" i="18"/>
  <c r="J2514" i="18"/>
  <c r="M2514" i="18" s="1"/>
  <c r="N2514" i="18" s="1"/>
  <c r="J2506" i="18"/>
  <c r="M2506" i="18" s="1"/>
  <c r="N2506" i="18" s="1"/>
  <c r="G496" i="18"/>
  <c r="J824" i="18"/>
  <c r="J149" i="18"/>
  <c r="J36" i="18"/>
  <c r="J525" i="18"/>
  <c r="J191" i="18"/>
  <c r="J87" i="18"/>
  <c r="J146" i="18"/>
  <c r="J179" i="18"/>
  <c r="J554" i="18"/>
  <c r="J979" i="18"/>
  <c r="J943" i="18"/>
  <c r="J1118" i="18"/>
  <c r="J1116" i="18"/>
  <c r="J1430" i="18"/>
  <c r="J1150" i="18"/>
  <c r="J1526" i="18"/>
  <c r="J1111" i="18"/>
  <c r="J1443" i="18"/>
  <c r="J1020" i="18"/>
  <c r="J1017" i="18"/>
  <c r="J1254" i="18"/>
  <c r="J934" i="18"/>
  <c r="J1423" i="18"/>
  <c r="J1159" i="18"/>
  <c r="J1470" i="18"/>
  <c r="J1441" i="18"/>
  <c r="J1001" i="18"/>
  <c r="J1152" i="18"/>
  <c r="J939" i="18"/>
  <c r="J1270" i="18"/>
  <c r="J1082" i="18"/>
  <c r="J1558" i="18"/>
  <c r="J1071" i="18"/>
  <c r="J931" i="18"/>
  <c r="J1013" i="18"/>
  <c r="J1481" i="18"/>
  <c r="J1512" i="18"/>
  <c r="J1350" i="18"/>
  <c r="J1307" i="18"/>
  <c r="J1006" i="18"/>
  <c r="J1117" i="18"/>
  <c r="J1368" i="18"/>
  <c r="J1543" i="18"/>
  <c r="J1449" i="18"/>
  <c r="J1420" i="18"/>
  <c r="J1164" i="18"/>
  <c r="J1401" i="18"/>
  <c r="J1200" i="18"/>
  <c r="J978" i="18"/>
  <c r="J1538" i="18"/>
  <c r="J1502" i="18"/>
  <c r="J1507" i="18"/>
  <c r="J1085" i="18"/>
  <c r="J1169" i="18"/>
  <c r="J1250" i="18"/>
  <c r="J1411" i="18"/>
  <c r="J1147" i="18"/>
  <c r="J1279" i="18"/>
  <c r="J991" i="18"/>
  <c r="J1580" i="18"/>
  <c r="J1458" i="18"/>
  <c r="J1189" i="18"/>
  <c r="J1551" i="18"/>
  <c r="J1516" i="18"/>
  <c r="J1034" i="18"/>
  <c r="J1511" i="18"/>
  <c r="J1333" i="18"/>
  <c r="J1074" i="18"/>
  <c r="J1359" i="18"/>
  <c r="J1482" i="18"/>
  <c r="J1574" i="18"/>
  <c r="J1515" i="18"/>
  <c r="J1079" i="18"/>
  <c r="J1243" i="18"/>
  <c r="J1475" i="18"/>
  <c r="J1186" i="18"/>
  <c r="J1294" i="18"/>
  <c r="J1129" i="18"/>
  <c r="J919" i="18"/>
  <c r="J964" i="18"/>
  <c r="J1403" i="18"/>
  <c r="J1237" i="18"/>
  <c r="J1480" i="18"/>
  <c r="J1306" i="18"/>
  <c r="J1288" i="18"/>
  <c r="J1039" i="18"/>
  <c r="J1581" i="18"/>
  <c r="J1352" i="18"/>
  <c r="J1182" i="18"/>
  <c r="J972" i="18"/>
  <c r="J1260" i="18"/>
  <c r="J1059" i="18"/>
  <c r="J1355" i="18"/>
  <c r="J1215" i="18"/>
  <c r="J1666" i="18"/>
  <c r="J1813" i="18"/>
  <c r="J1853" i="18"/>
  <c r="J1601" i="18"/>
  <c r="J1822" i="18"/>
  <c r="J1886" i="18"/>
  <c r="J1611" i="18"/>
  <c r="J1895" i="18"/>
  <c r="J1620" i="18"/>
  <c r="J1621" i="18"/>
  <c r="J1865" i="18"/>
  <c r="J1598" i="18"/>
  <c r="J1842" i="18"/>
  <c r="J1906" i="18"/>
  <c r="J1843" i="18"/>
  <c r="J1907" i="18"/>
  <c r="J1812" i="18"/>
  <c r="J2518" i="18"/>
  <c r="J2509" i="18"/>
  <c r="M2509" i="18" s="1"/>
  <c r="N2509" i="18" s="1"/>
  <c r="S2509" i="18" s="1"/>
  <c r="G432" i="1"/>
  <c r="J822" i="18"/>
  <c r="M822" i="18" s="1"/>
  <c r="N822" i="18" s="1"/>
  <c r="J557" i="18"/>
  <c r="J1008" i="18"/>
  <c r="J1190" i="18"/>
  <c r="J955" i="18"/>
  <c r="J1325" i="18"/>
  <c r="J1499" i="18"/>
  <c r="J1588" i="18"/>
  <c r="J526" i="18"/>
  <c r="J153" i="18"/>
  <c r="J1235" i="18"/>
  <c r="J1029" i="18"/>
  <c r="J1090" i="18"/>
  <c r="J1287" i="18"/>
  <c r="J973" i="18"/>
  <c r="J1109" i="18"/>
  <c r="J1583" i="18"/>
  <c r="J1492" i="18"/>
  <c r="J954" i="18"/>
  <c r="J1046" i="18"/>
  <c r="J79" i="18"/>
  <c r="J1193" i="18"/>
  <c r="J1501" i="18"/>
  <c r="J181" i="18"/>
  <c r="J126" i="18"/>
  <c r="J199" i="18"/>
  <c r="J520" i="18"/>
  <c r="J178" i="18"/>
  <c r="J195" i="18"/>
  <c r="J1130" i="18"/>
  <c r="J1040" i="18"/>
  <c r="J1361" i="18"/>
  <c r="J1075" i="18"/>
  <c r="J1049" i="18"/>
  <c r="J984" i="18"/>
  <c r="J1056" i="18"/>
  <c r="J1523" i="18"/>
  <c r="J990" i="18"/>
  <c r="J1091" i="18"/>
  <c r="J1247" i="18"/>
  <c r="J1542" i="18"/>
  <c r="J1409" i="18"/>
  <c r="J952" i="18"/>
  <c r="J1345" i="18"/>
  <c r="J1065" i="18"/>
  <c r="J1015" i="18"/>
  <c r="J1556" i="18"/>
  <c r="J1211" i="18"/>
  <c r="J948" i="18"/>
  <c r="J1271" i="18"/>
  <c r="J1372" i="18"/>
  <c r="J1373" i="18"/>
  <c r="J1076" i="18"/>
  <c r="J988" i="18"/>
  <c r="J1262" i="18"/>
  <c r="J1562" i="18"/>
  <c r="J941" i="18"/>
  <c r="J1522" i="18"/>
  <c r="J1519" i="18"/>
  <c r="J1115" i="18"/>
  <c r="J1251" i="18"/>
  <c r="J1209" i="18"/>
  <c r="J1145" i="18"/>
  <c r="J1037" i="18"/>
  <c r="J1416" i="18"/>
  <c r="J1246" i="18"/>
  <c r="J967" i="18"/>
  <c r="J1483" i="18"/>
  <c r="J1185" i="18"/>
  <c r="J1062" i="18"/>
  <c r="J1095" i="18"/>
  <c r="J1330" i="18"/>
  <c r="J1154" i="18"/>
  <c r="J1136" i="18"/>
  <c r="J1385" i="18"/>
  <c r="J1050" i="18"/>
  <c r="J1346" i="18"/>
  <c r="J1135" i="18"/>
  <c r="J1428" i="18"/>
  <c r="J1021" i="18"/>
  <c r="J1291" i="18"/>
  <c r="J1322" i="18"/>
  <c r="J1153" i="18"/>
  <c r="J1576" i="18"/>
  <c r="J1340" i="18"/>
  <c r="J1113" i="18"/>
  <c r="J1550" i="18"/>
  <c r="J1468" i="18"/>
  <c r="J1431" i="18"/>
  <c r="J944" i="18"/>
  <c r="J1437" i="18"/>
  <c r="J1354" i="18"/>
  <c r="J1362" i="18"/>
  <c r="J1503" i="18"/>
  <c r="J1226" i="18"/>
  <c r="J1060" i="18"/>
  <c r="J1331" i="18"/>
  <c r="J1216" i="18"/>
  <c r="J1252" i="18"/>
  <c r="J1139" i="18"/>
  <c r="J1265" i="18"/>
  <c r="J1377" i="18"/>
  <c r="J1317" i="18"/>
  <c r="J1133" i="18"/>
  <c r="J1313" i="18"/>
  <c r="J1263" i="18"/>
  <c r="J1236" i="18"/>
  <c r="J1491" i="18"/>
  <c r="J1375" i="18"/>
  <c r="J1220" i="18"/>
  <c r="J1300" i="18"/>
  <c r="J1485" i="18"/>
  <c r="J1012" i="18"/>
  <c r="J1758" i="18"/>
  <c r="M1758" i="18" s="1"/>
  <c r="N1758" i="18" s="1"/>
  <c r="J1760" i="18"/>
  <c r="J1877" i="18"/>
  <c r="J1917" i="18"/>
  <c r="J1829" i="18"/>
  <c r="J1830" i="18"/>
  <c r="J1894" i="18"/>
  <c r="J1619" i="18"/>
  <c r="J1903" i="18"/>
  <c r="J1816" i="18"/>
  <c r="J1777" i="18"/>
  <c r="J1873" i="18"/>
  <c r="J1606" i="18"/>
  <c r="J1850" i="18"/>
  <c r="J1914" i="18"/>
  <c r="J1851" i="18"/>
  <c r="J1915" i="18"/>
  <c r="J1820" i="18"/>
  <c r="J2508" i="18"/>
  <c r="J2517" i="18"/>
  <c r="G424" i="18"/>
  <c r="J823" i="18"/>
  <c r="J174" i="18"/>
  <c r="J529" i="18"/>
  <c r="J1495" i="18"/>
  <c r="J1590" i="18"/>
  <c r="J1529" i="18"/>
  <c r="J1273" i="18"/>
  <c r="J1286" i="18"/>
  <c r="J1552" i="18"/>
  <c r="J1447" i="18"/>
  <c r="J1024" i="18"/>
  <c r="J966" i="18"/>
  <c r="J1173" i="18"/>
  <c r="J1308" i="18"/>
  <c r="J1370" i="18"/>
  <c r="J1571" i="18"/>
  <c r="J125" i="18"/>
  <c r="J192" i="18"/>
  <c r="J523" i="18"/>
  <c r="J1174" i="18"/>
  <c r="J1168" i="18"/>
  <c r="J1275" i="18"/>
  <c r="J1434" i="18"/>
  <c r="J1524" i="18"/>
  <c r="J1084" i="18"/>
  <c r="J1365" i="18"/>
  <c r="J1120" i="18"/>
  <c r="J1207" i="18"/>
  <c r="J1413" i="18"/>
  <c r="J1045" i="18"/>
  <c r="J1559" i="18"/>
  <c r="J35" i="18"/>
  <c r="J183" i="18"/>
  <c r="J555" i="18"/>
  <c r="J1292" i="18"/>
  <c r="J917" i="18"/>
  <c r="J1181" i="18"/>
  <c r="J970" i="18"/>
  <c r="J1349" i="18"/>
  <c r="J1282" i="18"/>
  <c r="G364" i="1"/>
  <c r="J524" i="18"/>
  <c r="J150" i="18"/>
  <c r="J144" i="18"/>
  <c r="J559" i="18"/>
  <c r="J528" i="18"/>
  <c r="J521" i="18"/>
  <c r="J196" i="18"/>
  <c r="J1433" i="18"/>
  <c r="J1089" i="18"/>
  <c r="J1053" i="18"/>
  <c r="J1439" i="18"/>
  <c r="J1042" i="18"/>
  <c r="J1278" i="18"/>
  <c r="J1506" i="18"/>
  <c r="J1009" i="18"/>
  <c r="J1534" i="18"/>
  <c r="J1140" i="18"/>
  <c r="J1087" i="18"/>
  <c r="J1229" i="18"/>
  <c r="J975" i="18"/>
  <c r="J1202" i="18"/>
  <c r="J1088" i="18"/>
  <c r="J1106" i="18"/>
  <c r="J1444" i="18"/>
  <c r="J1155" i="18"/>
  <c r="J1521" i="18"/>
  <c r="J1099" i="18"/>
  <c r="J965" i="18"/>
  <c r="J962" i="18"/>
  <c r="J1381" i="18"/>
  <c r="J1363" i="18"/>
  <c r="J1378" i="18"/>
  <c r="J987" i="18"/>
  <c r="J1134" i="18"/>
  <c r="J1367" i="18"/>
  <c r="J1188" i="18"/>
  <c r="J1121" i="18"/>
  <c r="J1525" i="18"/>
  <c r="J1384" i="18"/>
  <c r="J1206" i="18"/>
  <c r="J1248" i="18"/>
  <c r="J936" i="18"/>
  <c r="J1520" i="18"/>
  <c r="J1514" i="18"/>
  <c r="J1380" i="18"/>
  <c r="J1234" i="18"/>
  <c r="J1472" i="18"/>
  <c r="J1302" i="18"/>
  <c r="J1327" i="18"/>
  <c r="J1086" i="18"/>
  <c r="J1508" i="18"/>
  <c r="J1033" i="18"/>
  <c r="J959" i="18"/>
  <c r="J1414" i="18"/>
  <c r="J1465" i="18"/>
  <c r="J1337" i="18"/>
  <c r="J923" i="18"/>
  <c r="J1461" i="18"/>
  <c r="J1392" i="18"/>
  <c r="J982" i="18"/>
  <c r="J1272" i="18"/>
  <c r="J916" i="18"/>
  <c r="J1064" i="18"/>
  <c r="J1192" i="18"/>
  <c r="J1301" i="18"/>
  <c r="J1452" i="18"/>
  <c r="J1343" i="18"/>
  <c r="J1128" i="18"/>
  <c r="J976" i="18"/>
  <c r="J1197" i="18"/>
  <c r="J924" i="18"/>
  <c r="J1105" i="18"/>
  <c r="J1427" i="18"/>
  <c r="J1107" i="18"/>
  <c r="J1569" i="18"/>
  <c r="J989" i="18"/>
  <c r="J1127" i="18"/>
  <c r="J1541" i="18"/>
  <c r="J983" i="18"/>
  <c r="J1218" i="18"/>
  <c r="J1178" i="18"/>
  <c r="J1312" i="18"/>
  <c r="J1194" i="18"/>
  <c r="J937" i="18"/>
  <c r="J1358" i="18"/>
  <c r="J1258" i="18"/>
  <c r="J1184" i="18"/>
  <c r="J1390" i="18"/>
  <c r="J1554" i="18"/>
  <c r="J1582" i="18"/>
  <c r="J1396" i="18"/>
  <c r="J1759" i="18"/>
  <c r="J1665" i="18"/>
  <c r="J662" i="18"/>
  <c r="J1609" i="18"/>
  <c r="J1861" i="18"/>
  <c r="J1893" i="18"/>
  <c r="J1838" i="18"/>
  <c r="J1902" i="18"/>
  <c r="J1847" i="18"/>
  <c r="J1911" i="18"/>
  <c r="J1824" i="18"/>
  <c r="J1817" i="18"/>
  <c r="J1881" i="18"/>
  <c r="J1614" i="18"/>
  <c r="J1858" i="18"/>
  <c r="J1922" i="18"/>
  <c r="J1859" i="18"/>
  <c r="J1923" i="18"/>
  <c r="J1828" i="18"/>
  <c r="J2516" i="18"/>
  <c r="J2504" i="18"/>
  <c r="M2504" i="18" s="1"/>
  <c r="N2504" i="18" s="1"/>
  <c r="S2504" i="18" s="1"/>
  <c r="J821" i="18"/>
  <c r="J509" i="18"/>
  <c r="J474" i="18"/>
  <c r="J122" i="18"/>
  <c r="J546" i="18"/>
  <c r="J1815" i="18"/>
  <c r="J1774" i="18"/>
  <c r="J1639" i="18"/>
  <c r="J543" i="18"/>
  <c r="J504" i="18"/>
  <c r="J1827" i="18"/>
  <c r="J1746" i="18"/>
  <c r="J1640" i="18"/>
  <c r="J1632" i="18"/>
  <c r="J533" i="18"/>
  <c r="J128" i="18"/>
  <c r="J551" i="18"/>
  <c r="J124" i="18"/>
  <c r="J1835" i="18"/>
  <c r="J1799" i="18"/>
  <c r="J659" i="18"/>
  <c r="J658" i="18"/>
  <c r="G378" i="18"/>
  <c r="J549" i="18"/>
  <c r="J330" i="18"/>
  <c r="J498" i="18"/>
  <c r="J1755" i="18"/>
  <c r="J1740" i="18"/>
  <c r="J652" i="18"/>
  <c r="J426" i="18"/>
  <c r="J129" i="18"/>
  <c r="J544" i="18"/>
  <c r="J514" i="18"/>
  <c r="J324" i="18"/>
  <c r="J1823" i="18"/>
  <c r="J1819" i="18"/>
  <c r="J753" i="18"/>
  <c r="J661" i="18"/>
  <c r="J1641" i="18"/>
  <c r="J548" i="18"/>
  <c r="J545" i="18"/>
  <c r="J1743" i="18"/>
  <c r="J1831" i="18"/>
  <c r="J759" i="18"/>
  <c r="J723" i="18"/>
  <c r="J1776" i="18"/>
  <c r="J1638" i="18"/>
  <c r="J550" i="18"/>
  <c r="J200" i="18"/>
  <c r="J1749" i="18"/>
  <c r="J747" i="18"/>
  <c r="J729" i="18"/>
  <c r="J654" i="18"/>
  <c r="J660" i="18"/>
  <c r="J348" i="18"/>
  <c r="J123" i="18"/>
  <c r="J538" i="18"/>
  <c r="J547" i="18"/>
  <c r="J1752" i="18"/>
  <c r="J1634" i="18"/>
  <c r="J1633" i="18"/>
  <c r="J653" i="18"/>
  <c r="M653" i="18" s="1"/>
  <c r="N653" i="18" s="1"/>
  <c r="N34" i="18"/>
  <c r="M425" i="18"/>
  <c r="N425" i="18" s="1"/>
  <c r="M695" i="18"/>
  <c r="S1721" i="18"/>
  <c r="R1721" i="18"/>
  <c r="Q1721" i="18"/>
  <c r="S1626" i="18"/>
  <c r="R1626" i="18"/>
  <c r="Q1626" i="18"/>
  <c r="S602" i="18"/>
  <c r="R602" i="18"/>
  <c r="Q602" i="18"/>
  <c r="S77" i="18"/>
  <c r="R77" i="18"/>
  <c r="Q77" i="18"/>
  <c r="S694" i="18"/>
  <c r="R694" i="18"/>
  <c r="Q694" i="18"/>
  <c r="S420" i="18"/>
  <c r="P424" i="18"/>
  <c r="R420" i="18"/>
  <c r="Q420" i="18"/>
  <c r="P423" i="18"/>
  <c r="P422" i="18"/>
  <c r="P425" i="18"/>
  <c r="P421" i="18"/>
  <c r="S2518" i="18"/>
  <c r="R2518" i="18"/>
  <c r="Q2518" i="18"/>
  <c r="S1591" i="18"/>
  <c r="R1591" i="18"/>
  <c r="Q1591" i="18"/>
  <c r="P769" i="18"/>
  <c r="R765" i="18"/>
  <c r="Q765" i="18"/>
  <c r="P768" i="18"/>
  <c r="P767" i="18"/>
  <c r="P770" i="18"/>
  <c r="P766" i="18"/>
  <c r="S765" i="18"/>
  <c r="P1857" i="18"/>
  <c r="S1856" i="18"/>
  <c r="R1856" i="18"/>
  <c r="P1859" i="18"/>
  <c r="Q1856" i="18"/>
  <c r="P1858" i="18"/>
  <c r="Q2516" i="18"/>
  <c r="P2515" i="18"/>
  <c r="S2516" i="18"/>
  <c r="R2516" i="18"/>
  <c r="I503" i="1"/>
  <c r="I734" i="1"/>
  <c r="I728" i="1"/>
  <c r="I329" i="1"/>
  <c r="I752" i="1"/>
  <c r="I764" i="1"/>
  <c r="I758" i="1"/>
  <c r="I335" i="1"/>
  <c r="I353" i="1"/>
  <c r="I479" i="1"/>
  <c r="I431" i="1"/>
  <c r="P2467" i="18" l="1"/>
  <c r="R2505" i="18"/>
  <c r="S2505" i="18"/>
  <c r="Q2511" i="18"/>
  <c r="R2511" i="18"/>
  <c r="Q2510" i="18"/>
  <c r="S2512" i="18"/>
  <c r="S2510" i="18"/>
  <c r="Q881" i="18"/>
  <c r="S881" i="18"/>
  <c r="R881" i="18"/>
  <c r="P880" i="18"/>
  <c r="R2474" i="18"/>
  <c r="Q2474" i="18"/>
  <c r="S2474" i="18"/>
  <c r="S2470" i="18"/>
  <c r="R2470" i="18"/>
  <c r="Q2470" i="18"/>
  <c r="S2471" i="18"/>
  <c r="R2471" i="18"/>
  <c r="Q2471" i="18"/>
  <c r="Q2512" i="18"/>
  <c r="Q2507" i="18"/>
  <c r="R2507" i="18"/>
  <c r="Q2503" i="18"/>
  <c r="R2503" i="18"/>
  <c r="R92" i="18"/>
  <c r="Q92" i="18"/>
  <c r="S92" i="18"/>
  <c r="P91" i="18"/>
  <c r="Q2504" i="18"/>
  <c r="R2504" i="18"/>
  <c r="R2467" i="18"/>
  <c r="Q2467" i="18"/>
  <c r="S2467" i="18"/>
  <c r="S2513" i="18"/>
  <c r="Q2513" i="18"/>
  <c r="Q2509" i="18"/>
  <c r="R2509" i="18"/>
  <c r="S653" i="18"/>
  <c r="R653" i="18"/>
  <c r="Q653" i="18"/>
  <c r="S822" i="18"/>
  <c r="R822" i="18"/>
  <c r="P820" i="18"/>
  <c r="Q822" i="18"/>
  <c r="Q1758" i="18"/>
  <c r="S1758" i="18"/>
  <c r="R1758" i="18"/>
  <c r="S2506" i="18"/>
  <c r="R2506" i="18"/>
  <c r="Q2506" i="18"/>
  <c r="J788" i="18"/>
  <c r="J467" i="18"/>
  <c r="J455" i="18"/>
  <c r="J461" i="18"/>
  <c r="J449" i="18"/>
  <c r="J419" i="18"/>
  <c r="J395" i="18"/>
  <c r="G480" i="18"/>
  <c r="G364" i="18"/>
  <c r="G360" i="1"/>
  <c r="G420" i="18"/>
  <c r="J782" i="18"/>
  <c r="J389" i="18"/>
  <c r="G408" i="1"/>
  <c r="G412" i="18"/>
  <c r="G402" i="18"/>
  <c r="J413" i="18"/>
  <c r="J491" i="18"/>
  <c r="G492" i="18"/>
  <c r="G432" i="18"/>
  <c r="R34" i="18"/>
  <c r="J443" i="18"/>
  <c r="I764" i="18"/>
  <c r="I758" i="18"/>
  <c r="I752" i="18"/>
  <c r="J503" i="1"/>
  <c r="I503" i="18"/>
  <c r="J329" i="1"/>
  <c r="I329" i="18"/>
  <c r="J431" i="1"/>
  <c r="I431" i="18"/>
  <c r="I728" i="18"/>
  <c r="J353" i="1"/>
  <c r="I353" i="18"/>
  <c r="J479" i="1"/>
  <c r="I479" i="18"/>
  <c r="I734" i="18"/>
  <c r="J335" i="1"/>
  <c r="I335" i="18"/>
  <c r="S34" i="18"/>
  <c r="Q34" i="18"/>
  <c r="N695" i="18"/>
  <c r="R422" i="18"/>
  <c r="S422" i="18"/>
  <c r="Q422" i="18"/>
  <c r="S1859" i="18"/>
  <c r="Q1859" i="18"/>
  <c r="R1859" i="18"/>
  <c r="Q766" i="18"/>
  <c r="S766" i="18"/>
  <c r="R766" i="18"/>
  <c r="S423" i="18"/>
  <c r="Q423" i="18"/>
  <c r="R423" i="18"/>
  <c r="S770" i="18"/>
  <c r="Q770" i="18"/>
  <c r="R770" i="18"/>
  <c r="S767" i="18"/>
  <c r="R767" i="18"/>
  <c r="Q767" i="18"/>
  <c r="R1857" i="18"/>
  <c r="S1857" i="18"/>
  <c r="Q1857" i="18"/>
  <c r="R768" i="18"/>
  <c r="S768" i="18"/>
  <c r="Q768" i="18"/>
  <c r="S424" i="18"/>
  <c r="Q424" i="18"/>
  <c r="R424" i="18"/>
  <c r="R2515" i="18"/>
  <c r="S2515" i="18"/>
  <c r="Q2515" i="18"/>
  <c r="R421" i="18"/>
  <c r="S421" i="18"/>
  <c r="Q421" i="18"/>
  <c r="R1858" i="18"/>
  <c r="S1858" i="18"/>
  <c r="Q1858" i="18"/>
  <c r="R769" i="18"/>
  <c r="S769" i="18"/>
  <c r="Q769" i="18"/>
  <c r="S425" i="18"/>
  <c r="Q425" i="18"/>
  <c r="R425" i="18"/>
  <c r="J764" i="1"/>
  <c r="J752" i="1"/>
  <c r="J758" i="1"/>
  <c r="J728" i="1"/>
  <c r="J734" i="1"/>
  <c r="S880" i="18" l="1"/>
  <c r="R880" i="18"/>
  <c r="Q880" i="18"/>
  <c r="S91" i="18"/>
  <c r="Q91" i="18"/>
  <c r="R91" i="18"/>
  <c r="R820" i="18"/>
  <c r="S820" i="18"/>
  <c r="Q820" i="18"/>
  <c r="G360" i="18"/>
  <c r="I408" i="1"/>
  <c r="G408" i="18"/>
  <c r="J335" i="18"/>
  <c r="J752" i="18"/>
  <c r="J764" i="18"/>
  <c r="J353" i="18"/>
  <c r="J479" i="18"/>
  <c r="J503" i="18"/>
  <c r="J734" i="18"/>
  <c r="J329" i="18"/>
  <c r="J728" i="18"/>
  <c r="J758" i="18"/>
  <c r="J431" i="18"/>
  <c r="R695" i="18"/>
  <c r="S695" i="18"/>
  <c r="Q695" i="18"/>
  <c r="S869" i="18"/>
  <c r="R869" i="18"/>
  <c r="Q869" i="18"/>
  <c r="S74" i="18"/>
  <c r="R74" i="18"/>
  <c r="Q74" i="18"/>
  <c r="S592" i="18"/>
  <c r="R592" i="18"/>
  <c r="Q592" i="18"/>
  <c r="S2514" i="18"/>
  <c r="R2514" i="18"/>
  <c r="Q2514" i="18"/>
  <c r="S1729" i="18"/>
  <c r="R1729" i="18"/>
  <c r="Q1729" i="18"/>
  <c r="S1640" i="18"/>
  <c r="R1640" i="18"/>
  <c r="Q1640" i="18"/>
  <c r="R2502" i="18"/>
  <c r="Q2502" i="18"/>
  <c r="S2502" i="18"/>
  <c r="S231" i="18"/>
  <c r="R231" i="18"/>
  <c r="Q231" i="18"/>
  <c r="S35" i="18"/>
  <c r="R35" i="18"/>
  <c r="Q35" i="18"/>
  <c r="S650" i="18"/>
  <c r="R650" i="18"/>
  <c r="Q650" i="18"/>
  <c r="S230" i="18"/>
  <c r="R230" i="18"/>
  <c r="Q230" i="18"/>
  <c r="S118" i="18"/>
  <c r="R118" i="18"/>
  <c r="Q118" i="18"/>
  <c r="O913" i="18"/>
  <c r="N2553" i="18"/>
  <c r="I408" i="18" l="1"/>
  <c r="J408" i="1"/>
  <c r="O2553" i="18"/>
  <c r="P913" i="18"/>
  <c r="F346" i="1"/>
  <c r="F340" i="1"/>
  <c r="F322" i="1"/>
  <c r="F316" i="1"/>
  <c r="F310" i="1"/>
  <c r="A19" i="11"/>
  <c r="A18" i="11"/>
  <c r="A17" i="11"/>
  <c r="A16" i="11"/>
  <c r="A15" i="11"/>
  <c r="A14" i="11"/>
  <c r="A13" i="11"/>
  <c r="A12" i="11"/>
  <c r="A11" i="11"/>
  <c r="A10" i="11"/>
  <c r="A9" i="11"/>
  <c r="N24" i="11"/>
  <c r="M24" i="11"/>
  <c r="L24" i="11"/>
  <c r="F24" i="11"/>
  <c r="K3" i="11"/>
  <c r="I3" i="11"/>
  <c r="G8" i="11" s="1"/>
  <c r="F310" i="18" l="1"/>
  <c r="F316" i="18"/>
  <c r="F322" i="18"/>
  <c r="F340" i="18"/>
  <c r="F346" i="18"/>
  <c r="J408" i="18"/>
  <c r="G310" i="1"/>
  <c r="G306" i="1" s="1"/>
  <c r="G316" i="1"/>
  <c r="G322" i="1"/>
  <c r="G322" i="18" s="1"/>
  <c r="G346" i="1"/>
  <c r="G340" i="1"/>
  <c r="G336" i="1" s="1"/>
  <c r="R913" i="18"/>
  <c r="S913" i="18"/>
  <c r="Q913" i="18"/>
  <c r="H7" i="11"/>
  <c r="H8" i="11" s="1"/>
  <c r="I7" i="11" s="1"/>
  <c r="I8" i="11" s="1"/>
  <c r="J7" i="11" s="1"/>
  <c r="J8" i="11" s="1"/>
  <c r="K7" i="11" s="1"/>
  <c r="K8" i="11" s="1"/>
  <c r="L7" i="11" s="1"/>
  <c r="L8" i="11" s="1"/>
  <c r="M7" i="11" s="1"/>
  <c r="M8" i="11" s="1"/>
  <c r="N7" i="11" s="1"/>
  <c r="N8" i="11" s="1"/>
  <c r="O7" i="11" s="1"/>
  <c r="O8" i="11" s="1"/>
  <c r="P7" i="11" s="1"/>
  <c r="P8" i="11" s="1"/>
  <c r="Q7" i="11" s="1"/>
  <c r="Q8" i="11" s="1"/>
  <c r="H24" i="11"/>
  <c r="I24" i="11"/>
  <c r="Q24" i="11"/>
  <c r="J24" i="11"/>
  <c r="P24" i="11"/>
  <c r="K24" i="11"/>
  <c r="G24" i="11"/>
  <c r="O24" i="11"/>
  <c r="G310" i="18" l="1"/>
  <c r="G340" i="18"/>
  <c r="G346" i="18"/>
  <c r="G312" i="1"/>
  <c r="G342" i="1"/>
  <c r="G318" i="1"/>
  <c r="G316" i="18"/>
  <c r="G306" i="18"/>
  <c r="G336" i="18"/>
  <c r="I432" i="1"/>
  <c r="I480" i="1"/>
  <c r="I485" i="1"/>
  <c r="I425" i="1"/>
  <c r="I420" i="1"/>
  <c r="I437" i="1"/>
  <c r="W9" i="11"/>
  <c r="G312" i="18" l="1"/>
  <c r="G342" i="18"/>
  <c r="G318" i="18"/>
  <c r="J425" i="1"/>
  <c r="I425" i="18"/>
  <c r="J485" i="1"/>
  <c r="I485" i="18"/>
  <c r="J480" i="1"/>
  <c r="I480" i="18"/>
  <c r="J432" i="1"/>
  <c r="I432" i="18"/>
  <c r="I437" i="18"/>
  <c r="J420" i="1"/>
  <c r="I420" i="18"/>
  <c r="J485" i="18" l="1"/>
  <c r="J480" i="18"/>
  <c r="J437" i="18"/>
  <c r="M437" i="18" s="1"/>
  <c r="N437" i="18" s="1"/>
  <c r="J420" i="18"/>
  <c r="J432" i="18"/>
  <c r="M432" i="18" s="1"/>
  <c r="N432" i="18" s="1"/>
  <c r="J425" i="18"/>
  <c r="P434" i="18" l="1"/>
  <c r="P437" i="18"/>
  <c r="P436" i="18"/>
  <c r="P433" i="18"/>
  <c r="P435" i="18"/>
  <c r="S432" i="18"/>
  <c r="R432" i="18"/>
  <c r="Q432" i="18"/>
  <c r="W65" i="2"/>
  <c r="W64" i="2"/>
  <c r="W63" i="2"/>
  <c r="W50" i="2"/>
  <c r="W49" i="2"/>
  <c r="W48" i="2"/>
  <c r="W47" i="2"/>
  <c r="W46" i="2"/>
  <c r="W26" i="2"/>
  <c r="W20" i="2"/>
  <c r="W19" i="2"/>
  <c r="W18" i="2"/>
  <c r="W17" i="2"/>
  <c r="W16" i="2"/>
  <c r="W28" i="2" s="1"/>
  <c r="W15" i="2"/>
  <c r="W27" i="2" s="1"/>
  <c r="W13" i="2"/>
  <c r="W25" i="2" s="1"/>
  <c r="S435" i="18" l="1"/>
  <c r="R435" i="18"/>
  <c r="Q435" i="18"/>
  <c r="S433" i="18"/>
  <c r="R433" i="18"/>
  <c r="Q433" i="18"/>
  <c r="Q436" i="18"/>
  <c r="R436" i="18"/>
  <c r="S436" i="18"/>
  <c r="S437" i="18"/>
  <c r="Q437" i="18"/>
  <c r="R437" i="18"/>
  <c r="Q434" i="18"/>
  <c r="S434" i="18"/>
  <c r="R434" i="18"/>
  <c r="I372" i="1"/>
  <c r="I366" i="1"/>
  <c r="I377" i="1"/>
  <c r="I401" i="1"/>
  <c r="I371" i="1"/>
  <c r="I396" i="1"/>
  <c r="I1669" i="1"/>
  <c r="J1669" i="1" l="1"/>
  <c r="I1669" i="18"/>
  <c r="J401" i="1"/>
  <c r="I401" i="18"/>
  <c r="J396" i="1"/>
  <c r="I396" i="18"/>
  <c r="J366" i="1"/>
  <c r="I366" i="18"/>
  <c r="J371" i="1"/>
  <c r="I371" i="18"/>
  <c r="J377" i="1"/>
  <c r="I377" i="18"/>
  <c r="J372" i="1"/>
  <c r="I372" i="18"/>
  <c r="I651" i="1"/>
  <c r="J651" i="1" l="1"/>
  <c r="I651" i="18"/>
  <c r="J1669" i="18"/>
  <c r="J396" i="18"/>
  <c r="J366" i="18"/>
  <c r="J371" i="18"/>
  <c r="J377" i="18"/>
  <c r="J372" i="18"/>
  <c r="J401" i="18"/>
  <c r="B12" i="9"/>
  <c r="B13" i="8"/>
  <c r="B9" i="8"/>
  <c r="B7" i="8"/>
  <c r="J651" i="18" l="1"/>
  <c r="M651" i="18" s="1"/>
  <c r="N651" i="18" s="1"/>
  <c r="I717" i="1"/>
  <c r="I735" i="1"/>
  <c r="I741" i="1"/>
  <c r="I705" i="1"/>
  <c r="I711" i="1"/>
  <c r="I765" i="1"/>
  <c r="I716" i="1"/>
  <c r="I771" i="1"/>
  <c r="I776" i="1"/>
  <c r="I746" i="1"/>
  <c r="I722" i="1"/>
  <c r="I740" i="1"/>
  <c r="I770" i="1"/>
  <c r="Q651" i="18" l="1"/>
  <c r="S651" i="18"/>
  <c r="R651" i="18"/>
  <c r="I765" i="18"/>
  <c r="I770" i="18"/>
  <c r="I741" i="18"/>
  <c r="I716" i="18"/>
  <c r="I740" i="18"/>
  <c r="I722" i="18"/>
  <c r="I735" i="18"/>
  <c r="I771" i="18"/>
  <c r="I711" i="18"/>
  <c r="I705" i="18"/>
  <c r="I746" i="18"/>
  <c r="I776" i="18"/>
  <c r="I717" i="18"/>
  <c r="J746" i="1"/>
  <c r="J740" i="1"/>
  <c r="J717" i="1"/>
  <c r="J705" i="1"/>
  <c r="J711" i="1"/>
  <c r="J741" i="1"/>
  <c r="J776" i="1"/>
  <c r="J716" i="1"/>
  <c r="J770" i="1"/>
  <c r="J722" i="1"/>
  <c r="J771" i="1"/>
  <c r="J765" i="1"/>
  <c r="J735" i="1"/>
  <c r="I710" i="1"/>
  <c r="I317" i="1"/>
  <c r="I347" i="1"/>
  <c r="I342" i="1"/>
  <c r="I312" i="1"/>
  <c r="J740" i="18" l="1"/>
  <c r="J746" i="18"/>
  <c r="J312" i="1"/>
  <c r="I312" i="18"/>
  <c r="J342" i="1"/>
  <c r="I342" i="18"/>
  <c r="J776" i="18"/>
  <c r="J722" i="18"/>
  <c r="J741" i="18"/>
  <c r="J347" i="1"/>
  <c r="I347" i="18"/>
  <c r="J735" i="18"/>
  <c r="J711" i="18"/>
  <c r="J716" i="18"/>
  <c r="I710" i="18"/>
  <c r="J765" i="18"/>
  <c r="J705" i="18"/>
  <c r="J770" i="18"/>
  <c r="J317" i="1"/>
  <c r="I317" i="18"/>
  <c r="J771" i="18"/>
  <c r="J717" i="18"/>
  <c r="J710" i="1"/>
  <c r="I311" i="1"/>
  <c r="I306" i="1"/>
  <c r="J317" i="18" l="1"/>
  <c r="J306" i="1"/>
  <c r="I306" i="18"/>
  <c r="J347" i="18"/>
  <c r="J312" i="18"/>
  <c r="J342" i="18"/>
  <c r="J311" i="1"/>
  <c r="I311" i="18"/>
  <c r="J710" i="18"/>
  <c r="J311" i="18" l="1"/>
  <c r="J306" i="18"/>
  <c r="I378" i="1" l="1"/>
  <c r="I383" i="1"/>
  <c r="J383" i="1" l="1"/>
  <c r="I383" i="18"/>
  <c r="J378" i="1"/>
  <c r="I378" i="18"/>
  <c r="I697" i="1"/>
  <c r="I701" i="1"/>
  <c r="I704" i="1"/>
  <c r="I702" i="1"/>
  <c r="I694" i="1"/>
  <c r="I696" i="1"/>
  <c r="I700" i="1"/>
  <c r="I696" i="18" l="1"/>
  <c r="I694" i="18"/>
  <c r="I700" i="18"/>
  <c r="J378" i="18"/>
  <c r="M378" i="18" s="1"/>
  <c r="N378" i="18" s="1"/>
  <c r="I701" i="18"/>
  <c r="I702" i="18"/>
  <c r="I697" i="18"/>
  <c r="I704" i="18"/>
  <c r="J383" i="18"/>
  <c r="M383" i="18" s="1"/>
  <c r="N383" i="18" s="1"/>
  <c r="J702" i="1"/>
  <c r="J700" i="1"/>
  <c r="J694" i="1"/>
  <c r="J701" i="1"/>
  <c r="J696" i="1"/>
  <c r="J704" i="1"/>
  <c r="J697" i="1"/>
  <c r="P383" i="18" l="1"/>
  <c r="P379" i="18"/>
  <c r="S378" i="18"/>
  <c r="P382" i="18"/>
  <c r="R378" i="18"/>
  <c r="P381" i="18"/>
  <c r="Q378" i="18"/>
  <c r="P380" i="18"/>
  <c r="J700" i="18"/>
  <c r="J696" i="18"/>
  <c r="J694" i="18"/>
  <c r="J701" i="18"/>
  <c r="J697" i="18"/>
  <c r="J702" i="18"/>
  <c r="J704" i="18"/>
  <c r="I699" i="1"/>
  <c r="I695" i="1"/>
  <c r="I698" i="1"/>
  <c r="Q379" i="18" l="1"/>
  <c r="R379" i="18"/>
  <c r="S379" i="18"/>
  <c r="Q380" i="18"/>
  <c r="S380" i="18"/>
  <c r="R380" i="18"/>
  <c r="S381" i="18"/>
  <c r="R381" i="18"/>
  <c r="Q381" i="18"/>
  <c r="Q382" i="18"/>
  <c r="R382" i="18"/>
  <c r="S382" i="18"/>
  <c r="Q383" i="18"/>
  <c r="S383" i="18"/>
  <c r="R383" i="18"/>
  <c r="I698" i="18"/>
  <c r="I699" i="18"/>
  <c r="I695" i="18"/>
  <c r="J698" i="1"/>
  <c r="J695" i="1"/>
  <c r="J699" i="1"/>
  <c r="I284" i="1"/>
  <c r="I290" i="1"/>
  <c r="I341" i="1"/>
  <c r="I359" i="1"/>
  <c r="I299" i="1"/>
  <c r="I296" i="1"/>
  <c r="I323" i="1"/>
  <c r="I293" i="1"/>
  <c r="I287" i="1"/>
  <c r="I305" i="1"/>
  <c r="I281" i="1"/>
  <c r="I302" i="1"/>
  <c r="I365" i="1"/>
  <c r="I473" i="1"/>
  <c r="I407" i="1"/>
  <c r="I497" i="1"/>
  <c r="J698" i="18" l="1"/>
  <c r="J296" i="1"/>
  <c r="I296" i="18"/>
  <c r="J299" i="1"/>
  <c r="I299" i="18"/>
  <c r="J281" i="1"/>
  <c r="I281" i="18"/>
  <c r="J341" i="1"/>
  <c r="I341" i="18"/>
  <c r="J473" i="1"/>
  <c r="I473" i="18"/>
  <c r="J305" i="1"/>
  <c r="I305" i="18"/>
  <c r="J290" i="1"/>
  <c r="I290" i="18"/>
  <c r="J302" i="1"/>
  <c r="I302" i="18"/>
  <c r="J287" i="1"/>
  <c r="I287" i="18"/>
  <c r="J284" i="1"/>
  <c r="I284" i="18"/>
  <c r="J359" i="1"/>
  <c r="I359" i="18"/>
  <c r="J497" i="1"/>
  <c r="I497" i="18"/>
  <c r="J293" i="1"/>
  <c r="I293" i="18"/>
  <c r="J699" i="18"/>
  <c r="J365" i="1"/>
  <c r="I365" i="18"/>
  <c r="J407" i="1"/>
  <c r="I407" i="18"/>
  <c r="J323" i="1"/>
  <c r="I323" i="18"/>
  <c r="J695" i="18"/>
  <c r="I278" i="1"/>
  <c r="J323" i="18" l="1"/>
  <c r="J284" i="18"/>
  <c r="J299" i="18"/>
  <c r="J359" i="18"/>
  <c r="J281" i="18"/>
  <c r="J497" i="18"/>
  <c r="J341" i="18"/>
  <c r="J293" i="18"/>
  <c r="J473" i="18"/>
  <c r="J305" i="18"/>
  <c r="J290" i="18"/>
  <c r="J278" i="1"/>
  <c r="I278" i="18"/>
  <c r="J365" i="18"/>
  <c r="J302" i="18"/>
  <c r="J407" i="18"/>
  <c r="M407" i="18" s="1"/>
  <c r="N407" i="18" s="1"/>
  <c r="J287" i="18"/>
  <c r="J296" i="18"/>
  <c r="I260" i="1"/>
  <c r="I275" i="1"/>
  <c r="I265" i="1"/>
  <c r="I270" i="1"/>
  <c r="J265" i="1" l="1"/>
  <c r="I265" i="18"/>
  <c r="J275" i="1"/>
  <c r="I275" i="18"/>
  <c r="J260" i="1"/>
  <c r="I260" i="18"/>
  <c r="J278" i="18"/>
  <c r="J270" i="1"/>
  <c r="I270" i="18"/>
  <c r="I233" i="1"/>
  <c r="I235" i="1"/>
  <c r="I237" i="1"/>
  <c r="J275" i="18" l="1"/>
  <c r="J260" i="18"/>
  <c r="J270" i="18"/>
  <c r="J235" i="1"/>
  <c r="I235" i="18"/>
  <c r="J237" i="1"/>
  <c r="I237" i="18"/>
  <c r="J233" i="1"/>
  <c r="I233" i="18"/>
  <c r="J265" i="18"/>
  <c r="I231" i="1"/>
  <c r="J235" i="18" l="1"/>
  <c r="J231" i="1"/>
  <c r="I231" i="18"/>
  <c r="J237" i="18"/>
  <c r="M237" i="18" s="1"/>
  <c r="N237" i="18" s="1"/>
  <c r="J233" i="18"/>
  <c r="M233" i="18" s="1"/>
  <c r="N233" i="18" s="1"/>
  <c r="G2139" i="1"/>
  <c r="R237" i="18" l="1"/>
  <c r="Q237" i="18"/>
  <c r="S237" i="18"/>
  <c r="S233" i="18"/>
  <c r="R233" i="18"/>
  <c r="Q233" i="18"/>
  <c r="G2139" i="18"/>
  <c r="J231" i="18"/>
  <c r="I1788" i="1"/>
  <c r="I1892" i="1"/>
  <c r="I1795" i="1"/>
  <c r="I1791" i="1"/>
  <c r="I1916" i="1"/>
  <c r="I2028" i="1"/>
  <c r="I1928" i="1"/>
  <c r="I2088" i="1"/>
  <c r="I1924" i="1"/>
  <c r="I1773" i="1"/>
  <c r="I1856" i="1"/>
  <c r="I1781" i="1"/>
  <c r="I2078" i="1"/>
  <c r="I1900" i="1"/>
  <c r="I2083" i="1"/>
  <c r="I2098" i="1"/>
  <c r="I1848" i="1"/>
  <c r="I2000" i="1"/>
  <c r="I2044" i="1"/>
  <c r="I1868" i="1"/>
  <c r="I1984" i="1"/>
  <c r="I1936" i="1"/>
  <c r="I1932" i="1"/>
  <c r="I1876" i="1"/>
  <c r="I1872" i="1"/>
  <c r="I1772" i="1"/>
  <c r="I1920" i="1"/>
  <c r="I1775" i="1"/>
  <c r="I1956" i="1"/>
  <c r="I2036" i="1"/>
  <c r="I2068" i="1"/>
  <c r="I1904" i="1"/>
  <c r="I1880" i="1"/>
  <c r="I1988" i="1"/>
  <c r="I2048" i="1"/>
  <c r="I2020" i="1"/>
  <c r="I2032" i="1"/>
  <c r="I1803" i="1"/>
  <c r="I1896" i="1"/>
  <c r="I1864" i="1"/>
  <c r="I2058" i="1"/>
  <c r="I2012" i="1"/>
  <c r="I2004" i="1"/>
  <c r="I1811" i="1"/>
  <c r="J1781" i="1" l="1"/>
  <c r="I1781" i="18"/>
  <c r="J1772" i="1"/>
  <c r="I1772" i="18"/>
  <c r="J1773" i="1"/>
  <c r="I1773" i="18"/>
  <c r="J1892" i="1"/>
  <c r="I1892" i="18"/>
  <c r="J2058" i="1"/>
  <c r="I2058" i="18"/>
  <c r="J1924" i="1"/>
  <c r="I1924" i="18"/>
  <c r="J1788" i="1"/>
  <c r="I1788" i="18"/>
  <c r="J1864" i="1"/>
  <c r="I1864" i="18"/>
  <c r="J2088" i="1"/>
  <c r="I2088" i="18"/>
  <c r="J2012" i="1"/>
  <c r="I2012" i="18"/>
  <c r="J1872" i="1"/>
  <c r="I1872" i="18"/>
  <c r="J2083" i="1"/>
  <c r="I2083" i="18"/>
  <c r="J1928" i="1"/>
  <c r="I1928" i="18"/>
  <c r="J1988" i="1"/>
  <c r="I1988" i="18"/>
  <c r="J1904" i="1"/>
  <c r="I1904" i="18"/>
  <c r="J1803" i="1"/>
  <c r="I1803" i="18"/>
  <c r="J1900" i="1"/>
  <c r="I1900" i="18"/>
  <c r="J2028" i="1"/>
  <c r="I2028" i="18"/>
  <c r="J2000" i="1"/>
  <c r="I2000" i="18"/>
  <c r="J2098" i="1"/>
  <c r="I2098" i="18"/>
  <c r="J1896" i="1"/>
  <c r="I1896" i="18"/>
  <c r="J2032" i="1"/>
  <c r="I2032" i="18"/>
  <c r="J1956" i="1"/>
  <c r="I1956" i="18"/>
  <c r="J1984" i="1"/>
  <c r="I1984" i="18"/>
  <c r="J2078" i="1"/>
  <c r="I2078" i="18"/>
  <c r="J1916" i="1"/>
  <c r="I1916" i="18"/>
  <c r="J1848" i="1"/>
  <c r="I1848" i="18"/>
  <c r="J1932" i="1"/>
  <c r="I1932" i="18"/>
  <c r="J2036" i="1"/>
  <c r="I2036" i="18"/>
  <c r="J2020" i="1"/>
  <c r="I2020" i="18"/>
  <c r="J1775" i="1"/>
  <c r="I1775" i="18"/>
  <c r="J1868" i="1"/>
  <c r="I1868" i="18"/>
  <c r="J1791" i="1"/>
  <c r="I1791" i="18"/>
  <c r="J1880" i="1"/>
  <c r="I1880" i="18"/>
  <c r="J1876" i="1"/>
  <c r="I1876" i="18"/>
  <c r="J2068" i="1"/>
  <c r="I2068" i="18"/>
  <c r="J1936" i="1"/>
  <c r="I1936" i="18"/>
  <c r="J1811" i="1"/>
  <c r="I1811" i="18"/>
  <c r="J2004" i="1"/>
  <c r="I2004" i="18"/>
  <c r="J2048" i="1"/>
  <c r="I2048" i="18"/>
  <c r="J1920" i="1"/>
  <c r="I1920" i="18"/>
  <c r="J2044" i="1"/>
  <c r="I2044" i="18"/>
  <c r="J1856" i="1"/>
  <c r="I1856" i="18"/>
  <c r="J1795" i="1"/>
  <c r="I1795" i="18"/>
  <c r="I2040" i="1"/>
  <c r="I2024" i="1"/>
  <c r="I2073" i="1"/>
  <c r="I2016" i="1"/>
  <c r="I2053" i="1"/>
  <c r="I1908" i="1"/>
  <c r="I1765" i="1"/>
  <c r="I1852" i="1"/>
  <c r="I1764" i="1"/>
  <c r="I1860" i="1"/>
  <c r="I1884" i="1"/>
  <c r="I1912" i="1"/>
  <c r="I1785" i="1"/>
  <c r="I1782" i="1"/>
  <c r="I1768" i="1"/>
  <c r="I1839" i="1"/>
  <c r="I1780" i="1"/>
  <c r="I2008" i="1"/>
  <c r="I1766" i="1"/>
  <c r="I2093" i="1"/>
  <c r="I1976" i="1"/>
  <c r="I1980" i="1"/>
  <c r="I1888" i="1"/>
  <c r="I1767" i="1"/>
  <c r="I1972" i="1"/>
  <c r="I1807" i="1"/>
  <c r="I1763" i="1"/>
  <c r="I1960" i="1"/>
  <c r="I1948" i="1"/>
  <c r="I1992" i="1"/>
  <c r="I1968" i="1"/>
  <c r="I1844" i="1"/>
  <c r="I2063" i="1"/>
  <c r="I1940" i="1"/>
  <c r="J1763" i="1" l="1"/>
  <c r="I1763" i="18"/>
  <c r="J1766" i="1"/>
  <c r="I1766" i="18"/>
  <c r="J1780" i="1"/>
  <c r="I1780" i="18"/>
  <c r="J1764" i="1"/>
  <c r="I1764" i="18"/>
  <c r="J1767" i="1"/>
  <c r="I1767" i="18"/>
  <c r="J1765" i="1"/>
  <c r="I1765" i="18"/>
  <c r="J1781" i="18"/>
  <c r="J1976" i="1"/>
  <c r="I1976" i="18"/>
  <c r="J1785" i="1"/>
  <c r="I1785" i="18"/>
  <c r="J2053" i="1"/>
  <c r="I2053" i="18"/>
  <c r="J1856" i="18"/>
  <c r="J1876" i="18"/>
  <c r="J1848" i="18"/>
  <c r="J2000" i="18"/>
  <c r="J1872" i="18"/>
  <c r="J1773" i="18"/>
  <c r="J1912" i="1"/>
  <c r="I1912" i="18"/>
  <c r="J2016" i="1"/>
  <c r="I2016" i="18"/>
  <c r="J1795" i="18"/>
  <c r="J2068" i="18"/>
  <c r="J1932" i="18"/>
  <c r="J2098" i="18"/>
  <c r="J2083" i="18"/>
  <c r="M2083" i="18" s="1"/>
  <c r="N2083" i="18" s="1"/>
  <c r="J1892" i="18"/>
  <c r="M1892" i="18" s="1"/>
  <c r="N1892" i="18" s="1"/>
  <c r="J2073" i="1"/>
  <c r="I2073" i="18"/>
  <c r="J1936" i="18"/>
  <c r="J2036" i="18"/>
  <c r="J1896" i="18"/>
  <c r="J1928" i="18"/>
  <c r="J2058" i="18"/>
  <c r="M2058" i="18" s="1"/>
  <c r="N2058" i="18" s="1"/>
  <c r="J2093" i="1"/>
  <c r="I2093" i="18"/>
  <c r="J1940" i="1"/>
  <c r="I1940" i="18"/>
  <c r="J1807" i="1"/>
  <c r="I1807" i="18"/>
  <c r="J2008" i="1"/>
  <c r="I2008" i="18"/>
  <c r="J1860" i="1"/>
  <c r="I1860" i="18"/>
  <c r="J2024" i="1"/>
  <c r="I2024" i="18"/>
  <c r="J1811" i="18"/>
  <c r="J2020" i="18"/>
  <c r="J2032" i="18"/>
  <c r="J1988" i="18"/>
  <c r="J1924" i="18"/>
  <c r="J1948" i="1"/>
  <c r="I1948" i="18"/>
  <c r="J1884" i="1"/>
  <c r="I1884" i="18"/>
  <c r="J2063" i="1"/>
  <c r="I2063" i="18"/>
  <c r="J1972" i="1"/>
  <c r="I1972" i="18"/>
  <c r="J2040" i="1"/>
  <c r="I2040" i="18"/>
  <c r="J2004" i="18"/>
  <c r="J1775" i="18"/>
  <c r="J1956" i="18"/>
  <c r="J1904" i="18"/>
  <c r="J1788" i="18"/>
  <c r="M1788" i="18" s="1"/>
  <c r="N1788" i="18" s="1"/>
  <c r="J1960" i="1"/>
  <c r="I1960" i="18"/>
  <c r="J1844" i="1"/>
  <c r="I1844" i="18"/>
  <c r="J1839" i="1"/>
  <c r="I1839" i="18"/>
  <c r="J1852" i="1"/>
  <c r="I1852" i="18"/>
  <c r="J2048" i="18"/>
  <c r="J1868" i="18"/>
  <c r="J1984" i="18"/>
  <c r="M1984" i="18" s="1"/>
  <c r="N1984" i="18" s="1"/>
  <c r="J1803" i="18"/>
  <c r="J1864" i="18"/>
  <c r="J1968" i="1"/>
  <c r="I1968" i="18"/>
  <c r="J1888" i="1"/>
  <c r="I1888" i="18"/>
  <c r="J1768" i="1"/>
  <c r="I1768" i="18"/>
  <c r="J1920" i="18"/>
  <c r="J1791" i="18"/>
  <c r="J2078" i="18"/>
  <c r="M2078" i="18" s="1"/>
  <c r="N2078" i="18" s="1"/>
  <c r="J1900" i="18"/>
  <c r="J2088" i="18"/>
  <c r="J1992" i="1"/>
  <c r="I1992" i="18"/>
  <c r="J1980" i="1"/>
  <c r="I1980" i="18"/>
  <c r="J1782" i="1"/>
  <c r="I1782" i="18"/>
  <c r="J1908" i="1"/>
  <c r="I1908" i="18"/>
  <c r="J2044" i="18"/>
  <c r="J1880" i="18"/>
  <c r="J1916" i="18"/>
  <c r="M1916" i="18" s="1"/>
  <c r="N1916" i="18" s="1"/>
  <c r="J2028" i="18"/>
  <c r="J2012" i="18"/>
  <c r="J1772" i="18"/>
  <c r="I1996" i="1"/>
  <c r="I1952" i="1"/>
  <c r="I1944" i="1"/>
  <c r="I1964" i="1"/>
  <c r="S1892" i="18" l="1"/>
  <c r="R1892" i="18"/>
  <c r="Q1892" i="18"/>
  <c r="P1895" i="18"/>
  <c r="P1893" i="18"/>
  <c r="P1894" i="18"/>
  <c r="P1986" i="18"/>
  <c r="Q1984" i="18"/>
  <c r="P1985" i="18"/>
  <c r="S1984" i="18"/>
  <c r="P1987" i="18"/>
  <c r="R1984" i="18"/>
  <c r="S1916" i="18"/>
  <c r="R1916" i="18"/>
  <c r="P1919" i="18"/>
  <c r="Q1916" i="18"/>
  <c r="P1918" i="18"/>
  <c r="P1917" i="18"/>
  <c r="S2078" i="18"/>
  <c r="P2081" i="18"/>
  <c r="R2078" i="18"/>
  <c r="Q2078" i="18"/>
  <c r="P2079" i="18"/>
  <c r="P2080" i="18"/>
  <c r="P2082" i="18"/>
  <c r="P2060" i="18"/>
  <c r="P2059" i="18"/>
  <c r="P2062" i="18"/>
  <c r="S2058" i="18"/>
  <c r="Q2058" i="18"/>
  <c r="P2061" i="18"/>
  <c r="R2058" i="18"/>
  <c r="S2083" i="18"/>
  <c r="Q2083" i="18"/>
  <c r="R2083" i="18"/>
  <c r="P2085" i="18"/>
  <c r="P2087" i="18"/>
  <c r="P2084" i="18"/>
  <c r="P2086" i="18"/>
  <c r="S1788" i="18"/>
  <c r="R1788" i="18"/>
  <c r="Q1788" i="18"/>
  <c r="P1790" i="18"/>
  <c r="P1789" i="18"/>
  <c r="J1766" i="18"/>
  <c r="J1780" i="18"/>
  <c r="J1764" i="18"/>
  <c r="J1767" i="18"/>
  <c r="J1765" i="18"/>
  <c r="J1763" i="18"/>
  <c r="J1992" i="18"/>
  <c r="J1852" i="18"/>
  <c r="J2063" i="18"/>
  <c r="J1807" i="18"/>
  <c r="J1785" i="18"/>
  <c r="J1980" i="18"/>
  <c r="J1972" i="18"/>
  <c r="J2008" i="18"/>
  <c r="J2053" i="18"/>
  <c r="J1782" i="18"/>
  <c r="J2040" i="18"/>
  <c r="J1860" i="18"/>
  <c r="J1908" i="18"/>
  <c r="M1908" i="18" s="1"/>
  <c r="N1908" i="18" s="1"/>
  <c r="J1968" i="18"/>
  <c r="M1968" i="18" s="1"/>
  <c r="N1968" i="18" s="1"/>
  <c r="J2024" i="18"/>
  <c r="J2073" i="18"/>
  <c r="J1964" i="1"/>
  <c r="I1964" i="18"/>
  <c r="J1996" i="1"/>
  <c r="I1996" i="18"/>
  <c r="J1888" i="18"/>
  <c r="J1768" i="18"/>
  <c r="J1960" i="18"/>
  <c r="M1960" i="18" s="1"/>
  <c r="N1960" i="18" s="1"/>
  <c r="J1912" i="18"/>
  <c r="M1912" i="18" s="1"/>
  <c r="N1912" i="18" s="1"/>
  <c r="J1952" i="1"/>
  <c r="I1952" i="18"/>
  <c r="J1844" i="18"/>
  <c r="J1948" i="18"/>
  <c r="M1948" i="18" s="1"/>
  <c r="N1948" i="18" s="1"/>
  <c r="J2093" i="18"/>
  <c r="J2016" i="18"/>
  <c r="J1944" i="1"/>
  <c r="I1944" i="18"/>
  <c r="J1839" i="18"/>
  <c r="J1884" i="18"/>
  <c r="J1940" i="18"/>
  <c r="M1940" i="18" s="1"/>
  <c r="N1940" i="18" s="1"/>
  <c r="J1976" i="18"/>
  <c r="M1976" i="18" s="1"/>
  <c r="N1976" i="18" s="1"/>
  <c r="I1683" i="1"/>
  <c r="R1894" i="18" l="1"/>
  <c r="Q1894" i="18"/>
  <c r="S1894" i="18"/>
  <c r="R1893" i="18"/>
  <c r="S1893" i="18"/>
  <c r="Q1893" i="18"/>
  <c r="R1895" i="18"/>
  <c r="S1895" i="18"/>
  <c r="Q1895" i="18"/>
  <c r="R1976" i="18"/>
  <c r="Q1976" i="18"/>
  <c r="P1979" i="18"/>
  <c r="P1977" i="18"/>
  <c r="P1978" i="18"/>
  <c r="S1976" i="18"/>
  <c r="Q1986" i="18"/>
  <c r="S1986" i="18"/>
  <c r="R1986" i="18"/>
  <c r="Q1987" i="18"/>
  <c r="R1987" i="18"/>
  <c r="S1987" i="18"/>
  <c r="P1914" i="18"/>
  <c r="Q1912" i="18"/>
  <c r="P1913" i="18"/>
  <c r="P1915" i="18"/>
  <c r="S1912" i="18"/>
  <c r="R1912" i="18"/>
  <c r="P1963" i="18"/>
  <c r="R1960" i="18"/>
  <c r="P1962" i="18"/>
  <c r="P1961" i="18"/>
  <c r="S1960" i="18"/>
  <c r="Q1960" i="18"/>
  <c r="S1985" i="18"/>
  <c r="Q1985" i="18"/>
  <c r="R1985" i="18"/>
  <c r="Q1968" i="18"/>
  <c r="P1970" i="18"/>
  <c r="P1969" i="18"/>
  <c r="S1968" i="18"/>
  <c r="R1968" i="18"/>
  <c r="P1971" i="18"/>
  <c r="R1917" i="18"/>
  <c r="S1917" i="18"/>
  <c r="Q1917" i="18"/>
  <c r="R1918" i="18"/>
  <c r="S1918" i="18"/>
  <c r="Q1918" i="18"/>
  <c r="P1910" i="18"/>
  <c r="P1909" i="18"/>
  <c r="P1911" i="18"/>
  <c r="S1908" i="18"/>
  <c r="R1908" i="18"/>
  <c r="Q1908" i="18"/>
  <c r="R1919" i="18"/>
  <c r="S1919" i="18"/>
  <c r="Q1919" i="18"/>
  <c r="R2082" i="18"/>
  <c r="S2082" i="18"/>
  <c r="Q2082" i="18"/>
  <c r="R2080" i="18"/>
  <c r="Q2080" i="18"/>
  <c r="S2080" i="18"/>
  <c r="S2086" i="18"/>
  <c r="R2086" i="18"/>
  <c r="Q2086" i="18"/>
  <c r="R2061" i="18"/>
  <c r="S2061" i="18"/>
  <c r="Q2061" i="18"/>
  <c r="S2079" i="18"/>
  <c r="Q2079" i="18"/>
  <c r="R2079" i="18"/>
  <c r="S2084" i="18"/>
  <c r="R2084" i="18"/>
  <c r="Q2084" i="18"/>
  <c r="Q2060" i="18"/>
  <c r="S2060" i="18"/>
  <c r="R2060" i="18"/>
  <c r="R2087" i="18"/>
  <c r="S2087" i="18"/>
  <c r="Q2087" i="18"/>
  <c r="R1789" i="18"/>
  <c r="S1789" i="18"/>
  <c r="Q1789" i="18"/>
  <c r="S2085" i="18"/>
  <c r="R2085" i="18"/>
  <c r="Q2085" i="18"/>
  <c r="S2062" i="18"/>
  <c r="R2062" i="18"/>
  <c r="Q2062" i="18"/>
  <c r="R2081" i="18"/>
  <c r="Q2081" i="18"/>
  <c r="S2081" i="18"/>
  <c r="S1790" i="18"/>
  <c r="Q1790" i="18"/>
  <c r="R1790" i="18"/>
  <c r="S2059" i="18"/>
  <c r="R2059" i="18"/>
  <c r="Q2059" i="18"/>
  <c r="S1948" i="18"/>
  <c r="P1951" i="18"/>
  <c r="R1948" i="18"/>
  <c r="Q1948" i="18"/>
  <c r="P1950" i="18"/>
  <c r="P1949" i="18"/>
  <c r="P1941" i="18"/>
  <c r="P1943" i="18"/>
  <c r="S1940" i="18"/>
  <c r="R1940" i="18"/>
  <c r="Q1940" i="18"/>
  <c r="P1942" i="18"/>
  <c r="J1964" i="18"/>
  <c r="J1996" i="18"/>
  <c r="J1944" i="18"/>
  <c r="J1952" i="18"/>
  <c r="J1683" i="1"/>
  <c r="I1683" i="18"/>
  <c r="I1591" i="1"/>
  <c r="R1915" i="18" l="1"/>
  <c r="Q1915" i="18"/>
  <c r="S1915" i="18"/>
  <c r="Q1961" i="18"/>
  <c r="R1961" i="18"/>
  <c r="S1961" i="18"/>
  <c r="Q1962" i="18"/>
  <c r="S1962" i="18"/>
  <c r="R1962" i="18"/>
  <c r="Q1914" i="18"/>
  <c r="S1914" i="18"/>
  <c r="R1914" i="18"/>
  <c r="Q1978" i="18"/>
  <c r="R1978" i="18"/>
  <c r="S1978" i="18"/>
  <c r="Q1913" i="18"/>
  <c r="S1913" i="18"/>
  <c r="R1913" i="18"/>
  <c r="S1977" i="18"/>
  <c r="Q1977" i="18"/>
  <c r="R1977" i="18"/>
  <c r="Q1963" i="18"/>
  <c r="S1963" i="18"/>
  <c r="R1963" i="18"/>
  <c r="Q1979" i="18"/>
  <c r="S1979" i="18"/>
  <c r="R1979" i="18"/>
  <c r="R1971" i="18"/>
  <c r="Q1971" i="18"/>
  <c r="S1971" i="18"/>
  <c r="R1969" i="18"/>
  <c r="S1969" i="18"/>
  <c r="Q1969" i="18"/>
  <c r="S1970" i="18"/>
  <c r="R1970" i="18"/>
  <c r="Q1970" i="18"/>
  <c r="R1909" i="18"/>
  <c r="S1909" i="18"/>
  <c r="Q1909" i="18"/>
  <c r="Q1910" i="18"/>
  <c r="S1910" i="18"/>
  <c r="R1910" i="18"/>
  <c r="R1911" i="18"/>
  <c r="Q1911" i="18"/>
  <c r="S1911" i="18"/>
  <c r="S1951" i="18"/>
  <c r="R1951" i="18"/>
  <c r="Q1951" i="18"/>
  <c r="S1942" i="18"/>
  <c r="R1942" i="18"/>
  <c r="Q1942" i="18"/>
  <c r="S1949" i="18"/>
  <c r="R1949" i="18"/>
  <c r="Q1949" i="18"/>
  <c r="Q1950" i="18"/>
  <c r="R1950" i="18"/>
  <c r="S1950" i="18"/>
  <c r="S1943" i="18"/>
  <c r="Q1943" i="18"/>
  <c r="R1943" i="18"/>
  <c r="R1941" i="18"/>
  <c r="S1941" i="18"/>
  <c r="Q1941" i="18"/>
  <c r="J1591" i="1"/>
  <c r="I1591" i="18"/>
  <c r="J1683" i="18"/>
  <c r="I1677" i="1"/>
  <c r="I1679" i="1"/>
  <c r="I1725" i="1"/>
  <c r="I1678" i="1"/>
  <c r="I1727" i="1"/>
  <c r="I1726" i="1"/>
  <c r="I1728" i="1"/>
  <c r="J1727" i="1" l="1"/>
  <c r="I1727" i="18"/>
  <c r="J1728" i="1"/>
  <c r="I1728" i="18"/>
  <c r="J1678" i="1"/>
  <c r="I1678" i="18"/>
  <c r="J1679" i="1"/>
  <c r="I1679" i="18"/>
  <c r="J1726" i="1"/>
  <c r="I1726" i="18"/>
  <c r="J1725" i="1"/>
  <c r="I1725" i="18"/>
  <c r="J1677" i="1"/>
  <c r="I1677" i="18"/>
  <c r="J1591" i="18"/>
  <c r="I675" i="1"/>
  <c r="I669" i="1"/>
  <c r="I673" i="1"/>
  <c r="I676" i="1"/>
  <c r="I677" i="1"/>
  <c r="J1678" i="18" l="1"/>
  <c r="J1679" i="18"/>
  <c r="J1726" i="18"/>
  <c r="J1725" i="18"/>
  <c r="J1677" i="18"/>
  <c r="J1728" i="18"/>
  <c r="J1727" i="18"/>
  <c r="I673" i="18"/>
  <c r="I669" i="18"/>
  <c r="I677" i="18"/>
  <c r="I676" i="18"/>
  <c r="I675" i="18"/>
  <c r="I671" i="1"/>
  <c r="I672" i="1"/>
  <c r="I668" i="1"/>
  <c r="I667" i="1"/>
  <c r="I672" i="18" l="1"/>
  <c r="I671" i="18"/>
  <c r="I667" i="18"/>
  <c r="I668" i="18"/>
  <c r="I131" i="1" l="1"/>
  <c r="I590" i="1"/>
  <c r="I590" i="18" l="1"/>
  <c r="J131" i="1"/>
  <c r="I131" i="18"/>
  <c r="J590" i="1"/>
  <c r="D2461" i="1"/>
  <c r="D2455" i="1"/>
  <c r="D2449" i="1"/>
  <c r="D2443" i="1"/>
  <c r="D2437" i="1"/>
  <c r="D2431" i="1"/>
  <c r="D2425" i="1"/>
  <c r="D2419" i="1"/>
  <c r="D2413" i="1"/>
  <c r="D2407" i="1"/>
  <c r="J590" i="18" l="1"/>
  <c r="J131" i="18"/>
  <c r="I868" i="1"/>
  <c r="I868" i="18" l="1"/>
  <c r="J868" i="1"/>
  <c r="I232" i="1"/>
  <c r="J232" i="1" l="1"/>
  <c r="I232" i="18"/>
  <c r="J868" i="18"/>
  <c r="I29" i="1"/>
  <c r="I2502" i="1"/>
  <c r="I2501" i="1"/>
  <c r="J2502" i="1" l="1"/>
  <c r="I2502" i="18"/>
  <c r="J2501" i="1"/>
  <c r="I2501" i="18"/>
  <c r="J232" i="18"/>
  <c r="M232" i="18" s="1"/>
  <c r="N232" i="18" s="1"/>
  <c r="J29" i="1"/>
  <c r="I29" i="18"/>
  <c r="I689" i="1"/>
  <c r="I300" i="1"/>
  <c r="I692" i="1"/>
  <c r="I793" i="1"/>
  <c r="I230" i="1"/>
  <c r="I693" i="1"/>
  <c r="I242" i="1"/>
  <c r="I138" i="1"/>
  <c r="I1762" i="1"/>
  <c r="I1737" i="1"/>
  <c r="I1673" i="1"/>
  <c r="I1672" i="1"/>
  <c r="I2555" i="1"/>
  <c r="S232" i="18" l="1"/>
  <c r="R232" i="18"/>
  <c r="Q232" i="18"/>
  <c r="J230" i="1"/>
  <c r="I230" i="18"/>
  <c r="J2501" i="18"/>
  <c r="M2501" i="18" s="1"/>
  <c r="N2501" i="18" s="1"/>
  <c r="J138" i="1"/>
  <c r="I138" i="18"/>
  <c r="J1762" i="1"/>
  <c r="I1762" i="18"/>
  <c r="J2502" i="18"/>
  <c r="J242" i="1"/>
  <c r="I242" i="18"/>
  <c r="J793" i="1"/>
  <c r="I793" i="18"/>
  <c r="J689" i="1"/>
  <c r="I689" i="18"/>
  <c r="J693" i="1"/>
  <c r="I693" i="18"/>
  <c r="J1673" i="1"/>
  <c r="I1673" i="18"/>
  <c r="J692" i="1"/>
  <c r="I692" i="18"/>
  <c r="J1672" i="1"/>
  <c r="I1672" i="18"/>
  <c r="J1737" i="1"/>
  <c r="I1737" i="18"/>
  <c r="J300" i="1"/>
  <c r="I300" i="18"/>
  <c r="J29" i="18"/>
  <c r="I878" i="1"/>
  <c r="I592" i="1"/>
  <c r="I201" i="1"/>
  <c r="I189" i="1"/>
  <c r="I194" i="1"/>
  <c r="I187" i="1"/>
  <c r="I184" i="1"/>
  <c r="I197" i="1"/>
  <c r="I28" i="1"/>
  <c r="I27" i="1"/>
  <c r="I25" i="1"/>
  <c r="I24" i="1"/>
  <c r="I26" i="1"/>
  <c r="I869" i="1"/>
  <c r="I1668" i="1"/>
  <c r="S2501" i="18" l="1"/>
  <c r="R2501" i="18"/>
  <c r="Q2501" i="18"/>
  <c r="O2499" i="18"/>
  <c r="N2556" i="18"/>
  <c r="I1668" i="18"/>
  <c r="J138" i="18"/>
  <c r="J1762" i="18"/>
  <c r="J869" i="1"/>
  <c r="I869" i="18"/>
  <c r="I878" i="18"/>
  <c r="J230" i="18"/>
  <c r="J793" i="18"/>
  <c r="J689" i="18"/>
  <c r="J693" i="18"/>
  <c r="J27" i="1"/>
  <c r="I27" i="18"/>
  <c r="J184" i="1"/>
  <c r="I184" i="18"/>
  <c r="J1673" i="18"/>
  <c r="J28" i="1"/>
  <c r="I28" i="18"/>
  <c r="J692" i="18"/>
  <c r="J197" i="1"/>
  <c r="I197" i="18"/>
  <c r="J26" i="1"/>
  <c r="I26" i="18"/>
  <c r="J194" i="1"/>
  <c r="I194" i="18"/>
  <c r="J1672" i="18"/>
  <c r="J592" i="1"/>
  <c r="I592" i="18"/>
  <c r="J24" i="1"/>
  <c r="I24" i="18"/>
  <c r="J189" i="1"/>
  <c r="I189" i="18"/>
  <c r="J1737" i="18"/>
  <c r="J187" i="1"/>
  <c r="I187" i="18"/>
  <c r="J25" i="1"/>
  <c r="I25" i="18"/>
  <c r="J201" i="1"/>
  <c r="I201" i="18"/>
  <c r="J300" i="18"/>
  <c r="J242" i="18"/>
  <c r="J878" i="1"/>
  <c r="J1668" i="1"/>
  <c r="P2499" i="18" l="1"/>
  <c r="O2556" i="18"/>
  <c r="J1668" i="18"/>
  <c r="J878" i="18"/>
  <c r="J869" i="18"/>
  <c r="J201" i="18"/>
  <c r="J592" i="18"/>
  <c r="J28" i="18"/>
  <c r="J24" i="18"/>
  <c r="J189" i="18"/>
  <c r="M189" i="18" s="1"/>
  <c r="N189" i="18" s="1"/>
  <c r="J197" i="18"/>
  <c r="M197" i="18" s="1"/>
  <c r="N197" i="18" s="1"/>
  <c r="J26" i="18"/>
  <c r="J27" i="18"/>
  <c r="J187" i="18"/>
  <c r="J194" i="18"/>
  <c r="J184" i="18"/>
  <c r="J25" i="18"/>
  <c r="M25" i="18" s="1"/>
  <c r="N25" i="18" s="1"/>
  <c r="I806" i="1"/>
  <c r="S25" i="18" l="1"/>
  <c r="R25" i="18"/>
  <c r="Q25" i="18"/>
  <c r="O19" i="18"/>
  <c r="P19" i="18" s="1"/>
  <c r="R189" i="18"/>
  <c r="Q189" i="18"/>
  <c r="S189" i="18"/>
  <c r="P2500" i="18"/>
  <c r="Q2499" i="18"/>
  <c r="R2499" i="18"/>
  <c r="S2499" i="18"/>
  <c r="P199" i="18"/>
  <c r="P198" i="18"/>
  <c r="S197" i="18"/>
  <c r="R197" i="18"/>
  <c r="Q197" i="18"/>
  <c r="I806" i="18"/>
  <c r="J806" i="1"/>
  <c r="I2466" i="1"/>
  <c r="I2426" i="1"/>
  <c r="I2424" i="1"/>
  <c r="I2423" i="1"/>
  <c r="I2422" i="1"/>
  <c r="I2421" i="1"/>
  <c r="I2420" i="1"/>
  <c r="I2418" i="1"/>
  <c r="I2417" i="1"/>
  <c r="I2416" i="1"/>
  <c r="I2415" i="1"/>
  <c r="I2414" i="1"/>
  <c r="I2412" i="1"/>
  <c r="I2411" i="1"/>
  <c r="I2410" i="1"/>
  <c r="I2409" i="1"/>
  <c r="I2408" i="1"/>
  <c r="I1736" i="1"/>
  <c r="I1735" i="1"/>
  <c r="I1734" i="1"/>
  <c r="I1733" i="1"/>
  <c r="I1732" i="1"/>
  <c r="I1731" i="1"/>
  <c r="I1730" i="1"/>
  <c r="I1729" i="1"/>
  <c r="I1724" i="1"/>
  <c r="I1723" i="1"/>
  <c r="I1722" i="1"/>
  <c r="I1721" i="1"/>
  <c r="R19" i="18" l="1"/>
  <c r="S19" i="18"/>
  <c r="Q19" i="18"/>
  <c r="R198" i="18"/>
  <c r="Q198" i="18"/>
  <c r="S198" i="18"/>
  <c r="Q199" i="18"/>
  <c r="R199" i="18"/>
  <c r="S199" i="18"/>
  <c r="Q2500" i="18"/>
  <c r="S2500" i="18"/>
  <c r="R2500" i="18"/>
  <c r="I1724" i="18"/>
  <c r="J1729" i="1"/>
  <c r="I1729" i="18"/>
  <c r="I1736" i="18"/>
  <c r="I1730" i="18"/>
  <c r="J1721" i="1"/>
  <c r="I1721" i="18"/>
  <c r="I1733" i="18"/>
  <c r="I1731" i="18"/>
  <c r="I1732" i="18"/>
  <c r="I1722" i="18"/>
  <c r="I1734" i="18"/>
  <c r="I1723" i="18"/>
  <c r="I1735" i="18"/>
  <c r="I2416" i="18"/>
  <c r="I2426" i="18"/>
  <c r="I2466" i="18"/>
  <c r="J806" i="18"/>
  <c r="I2420" i="18"/>
  <c r="I2417" i="18"/>
  <c r="I2421" i="18"/>
  <c r="I2409" i="18"/>
  <c r="I2422" i="18"/>
  <c r="I2418" i="18"/>
  <c r="I2411" i="18"/>
  <c r="I2423" i="18"/>
  <c r="I2408" i="18"/>
  <c r="I2410" i="18"/>
  <c r="I2412" i="18"/>
  <c r="I2414" i="18"/>
  <c r="I2415" i="18"/>
  <c r="I2424" i="18"/>
  <c r="J1736" i="1"/>
  <c r="J1735" i="1"/>
  <c r="J1723" i="1"/>
  <c r="J1730" i="1"/>
  <c r="J1731" i="1"/>
  <c r="J1724" i="1"/>
  <c r="J1732" i="1"/>
  <c r="J1733" i="1"/>
  <c r="J1722" i="1"/>
  <c r="J1734" i="1"/>
  <c r="J1733" i="18" l="1"/>
  <c r="J1729" i="18"/>
  <c r="J1732" i="18"/>
  <c r="J1724" i="18"/>
  <c r="J1722" i="18"/>
  <c r="M1722" i="18" s="1"/>
  <c r="N1722" i="18" s="1"/>
  <c r="J1731" i="18"/>
  <c r="J1736" i="18"/>
  <c r="J1730" i="18"/>
  <c r="J1723" i="18"/>
  <c r="J1721" i="18"/>
  <c r="J1734" i="18"/>
  <c r="J1735" i="18"/>
  <c r="S1722" i="18" l="1"/>
  <c r="R1722" i="18"/>
  <c r="Q1722" i="18"/>
  <c r="I89" i="1"/>
  <c r="I1682" i="1"/>
  <c r="I1681" i="1"/>
  <c r="I1680" i="1"/>
  <c r="I1676" i="1"/>
  <c r="I1676" i="18" l="1"/>
  <c r="I1682" i="18"/>
  <c r="I1680" i="18"/>
  <c r="I1681" i="18"/>
  <c r="J89" i="1"/>
  <c r="I89" i="18"/>
  <c r="J1680" i="1"/>
  <c r="J1681" i="1"/>
  <c r="J1676" i="1"/>
  <c r="J1682" i="1"/>
  <c r="J1680" i="18" l="1"/>
  <c r="J1676" i="18"/>
  <c r="J1682" i="18"/>
  <c r="J1681" i="18"/>
  <c r="J89" i="18"/>
  <c r="I2554" i="1"/>
  <c r="I2553" i="1"/>
  <c r="I1671" i="1" l="1"/>
  <c r="I1674" i="1"/>
  <c r="I914" i="1"/>
  <c r="I1674" i="18" l="1"/>
  <c r="I914" i="18"/>
  <c r="I1671" i="18"/>
  <c r="J914" i="1"/>
  <c r="J1674" i="1"/>
  <c r="J1671" i="1"/>
  <c r="I1629" i="1"/>
  <c r="I1642" i="1"/>
  <c r="I1658" i="1"/>
  <c r="I1654" i="1"/>
  <c r="I1650" i="1"/>
  <c r="I1646" i="1"/>
  <c r="I1629" i="18" l="1"/>
  <c r="J1671" i="18"/>
  <c r="M1671" i="18" s="1"/>
  <c r="N1671" i="18" s="1"/>
  <c r="J1674" i="18"/>
  <c r="J914" i="18"/>
  <c r="I1654" i="18"/>
  <c r="I1642" i="18"/>
  <c r="I1658" i="18"/>
  <c r="I1650" i="18"/>
  <c r="I1646" i="18"/>
  <c r="J1646" i="1"/>
  <c r="J1650" i="1"/>
  <c r="J1654" i="1"/>
  <c r="J1658" i="1"/>
  <c r="J1642" i="1"/>
  <c r="J1629" i="1"/>
  <c r="R1671" i="18" l="1"/>
  <c r="Q1671" i="18"/>
  <c r="S1671" i="18"/>
  <c r="N2554" i="18"/>
  <c r="O1625" i="18"/>
  <c r="J1629" i="18"/>
  <c r="J1658" i="18"/>
  <c r="J1654" i="18"/>
  <c r="J1650" i="18"/>
  <c r="J1642" i="18"/>
  <c r="J1646" i="18"/>
  <c r="O2554" i="18" l="1"/>
  <c r="P1625" i="18"/>
  <c r="I40" i="1"/>
  <c r="I39" i="1"/>
  <c r="I38" i="1"/>
  <c r="Q1625" i="18" l="1"/>
  <c r="R1625" i="18"/>
  <c r="S1625" i="18"/>
  <c r="J38" i="1"/>
  <c r="I38" i="18"/>
  <c r="J39" i="1"/>
  <c r="I39" i="18"/>
  <c r="J40" i="1"/>
  <c r="I40" i="18"/>
  <c r="J39" i="18" l="1"/>
  <c r="J38" i="18"/>
  <c r="J40" i="18"/>
  <c r="I866" i="1"/>
  <c r="I865" i="1"/>
  <c r="I864" i="1"/>
  <c r="I867" i="1"/>
  <c r="I862" i="1"/>
  <c r="I810" i="1"/>
  <c r="I809" i="1"/>
  <c r="I811" i="1"/>
  <c r="I865" i="18" l="1"/>
  <c r="J866" i="1"/>
  <c r="I866" i="18"/>
  <c r="I809" i="18"/>
  <c r="I864" i="18"/>
  <c r="I810" i="18"/>
  <c r="I862" i="18"/>
  <c r="I811" i="18"/>
  <c r="J867" i="1"/>
  <c r="I867" i="18"/>
  <c r="J809" i="1"/>
  <c r="J811" i="1"/>
  <c r="J864" i="1"/>
  <c r="J865" i="1"/>
  <c r="J810" i="1"/>
  <c r="J862" i="1"/>
  <c r="I813" i="1"/>
  <c r="I647" i="1"/>
  <c r="I646" i="1"/>
  <c r="I645" i="1"/>
  <c r="J866" i="18" l="1"/>
  <c r="J811" i="18"/>
  <c r="M811" i="18" s="1"/>
  <c r="N811" i="18" s="1"/>
  <c r="J810" i="18"/>
  <c r="J867" i="18"/>
  <c r="M867" i="18" s="1"/>
  <c r="N867" i="18" s="1"/>
  <c r="J865" i="18"/>
  <c r="M865" i="18" s="1"/>
  <c r="N865" i="18" s="1"/>
  <c r="J864" i="18"/>
  <c r="I813" i="18"/>
  <c r="J809" i="18"/>
  <c r="J862" i="18"/>
  <c r="I646" i="18"/>
  <c r="I645" i="18"/>
  <c r="I647" i="18"/>
  <c r="J647" i="1"/>
  <c r="J813" i="1"/>
  <c r="J645" i="1"/>
  <c r="J646" i="1"/>
  <c r="I687" i="1"/>
  <c r="I858" i="1"/>
  <c r="I686" i="1"/>
  <c r="I854" i="1"/>
  <c r="I691" i="1"/>
  <c r="S865" i="18" l="1"/>
  <c r="R865" i="18"/>
  <c r="Q865" i="18"/>
  <c r="S811" i="18"/>
  <c r="R811" i="18"/>
  <c r="Q811" i="18"/>
  <c r="S867" i="18"/>
  <c r="R867" i="18"/>
  <c r="Q867" i="18"/>
  <c r="J813" i="18"/>
  <c r="J858" i="1"/>
  <c r="I858" i="18"/>
  <c r="I686" i="18"/>
  <c r="J645" i="18"/>
  <c r="J646" i="18"/>
  <c r="I691" i="18"/>
  <c r="I687" i="18"/>
  <c r="J854" i="1"/>
  <c r="I854" i="18"/>
  <c r="J647" i="18"/>
  <c r="J691" i="1"/>
  <c r="J687" i="1"/>
  <c r="J686" i="1"/>
  <c r="I690" i="1"/>
  <c r="I648" i="1"/>
  <c r="J687" i="18" l="1"/>
  <c r="J691" i="18"/>
  <c r="J686" i="18"/>
  <c r="I648" i="18"/>
  <c r="J854" i="18"/>
  <c r="I690" i="18"/>
  <c r="J858" i="18"/>
  <c r="J648" i="1"/>
  <c r="J690" i="1"/>
  <c r="I132" i="1"/>
  <c r="I76" i="1"/>
  <c r="I84" i="1"/>
  <c r="I83" i="1"/>
  <c r="I82" i="1"/>
  <c r="I21" i="1"/>
  <c r="I20" i="1"/>
  <c r="I42" i="1"/>
  <c r="I37" i="1"/>
  <c r="I33" i="1"/>
  <c r="I32" i="1"/>
  <c r="I31" i="1"/>
  <c r="I30" i="1"/>
  <c r="J42" i="1" l="1"/>
  <c r="I42" i="18"/>
  <c r="J82" i="1"/>
  <c r="I82" i="18"/>
  <c r="J83" i="1"/>
  <c r="I83" i="18"/>
  <c r="J21" i="1"/>
  <c r="I21" i="18"/>
  <c r="J84" i="1"/>
  <c r="I84" i="18"/>
  <c r="J30" i="1"/>
  <c r="I30" i="18"/>
  <c r="J31" i="1"/>
  <c r="I31" i="18"/>
  <c r="J33" i="1"/>
  <c r="I33" i="18"/>
  <c r="J76" i="1"/>
  <c r="I76" i="18"/>
  <c r="J20" i="1"/>
  <c r="I20" i="18"/>
  <c r="J32" i="1"/>
  <c r="I32" i="18"/>
  <c r="J37" i="1"/>
  <c r="I37" i="18"/>
  <c r="J132" i="1"/>
  <c r="I132" i="18"/>
  <c r="J690" i="18"/>
  <c r="J648" i="18"/>
  <c r="I185" i="1"/>
  <c r="I77" i="1"/>
  <c r="I134" i="1"/>
  <c r="I130" i="1"/>
  <c r="J32" i="18" l="1"/>
  <c r="J83" i="18"/>
  <c r="J37" i="18"/>
  <c r="J21" i="18"/>
  <c r="J82" i="18"/>
  <c r="J132" i="18"/>
  <c r="J84" i="18"/>
  <c r="J20" i="18"/>
  <c r="J30" i="18"/>
  <c r="J31" i="18"/>
  <c r="J33" i="18"/>
  <c r="J77" i="1"/>
  <c r="I77" i="18"/>
  <c r="J76" i="18"/>
  <c r="J42" i="18"/>
  <c r="J134" i="1"/>
  <c r="I134" i="18"/>
  <c r="J130" i="1"/>
  <c r="I130" i="18"/>
  <c r="J185" i="1"/>
  <c r="I185" i="18"/>
  <c r="J77" i="18" l="1"/>
  <c r="J130" i="18"/>
  <c r="J185" i="18"/>
  <c r="J134" i="18"/>
  <c r="I255" i="1"/>
  <c r="I804" i="1"/>
  <c r="I800" i="1"/>
  <c r="I802" i="1"/>
  <c r="I819" i="1"/>
  <c r="I818" i="1"/>
  <c r="I817" i="1"/>
  <c r="I816" i="1"/>
  <c r="I812" i="1"/>
  <c r="I807" i="1"/>
  <c r="I792" i="1"/>
  <c r="I791" i="1"/>
  <c r="I683" i="1"/>
  <c r="I682" i="1"/>
  <c r="I650" i="1"/>
  <c r="I649" i="1"/>
  <c r="I872" i="1"/>
  <c r="I870" i="1"/>
  <c r="I863" i="1"/>
  <c r="I137" i="1"/>
  <c r="I135" i="1"/>
  <c r="I136" i="1"/>
  <c r="I70" i="1"/>
  <c r="I72" i="1"/>
  <c r="I73" i="1"/>
  <c r="I71" i="1"/>
  <c r="I88" i="1"/>
  <c r="I75" i="1"/>
  <c r="I74" i="1"/>
  <c r="I819" i="18" l="1"/>
  <c r="J75" i="1"/>
  <c r="I75" i="18"/>
  <c r="I792" i="18"/>
  <c r="I870" i="18"/>
  <c r="I807" i="18"/>
  <c r="J137" i="1"/>
  <c r="I137" i="18"/>
  <c r="J71" i="1"/>
  <c r="I71" i="18"/>
  <c r="I872" i="18"/>
  <c r="I812" i="18"/>
  <c r="I683" i="18"/>
  <c r="I791" i="18"/>
  <c r="J73" i="1"/>
  <c r="I73" i="18"/>
  <c r="I816" i="18"/>
  <c r="J136" i="1"/>
  <c r="I136" i="18"/>
  <c r="J650" i="1"/>
  <c r="I650" i="18"/>
  <c r="I817" i="18"/>
  <c r="J88" i="1"/>
  <c r="I88" i="18"/>
  <c r="I863" i="18"/>
  <c r="J72" i="1"/>
  <c r="I72" i="18"/>
  <c r="I649" i="18"/>
  <c r="I74" i="18"/>
  <c r="J135" i="1"/>
  <c r="I135" i="18"/>
  <c r="I682" i="18"/>
  <c r="I818" i="18"/>
  <c r="J70" i="1"/>
  <c r="I70" i="18"/>
  <c r="I800" i="18"/>
  <c r="I804" i="18"/>
  <c r="J255" i="1"/>
  <c r="I255" i="18"/>
  <c r="I802" i="18"/>
  <c r="J649" i="1"/>
  <c r="J816" i="1"/>
  <c r="J817" i="1"/>
  <c r="J863" i="1"/>
  <c r="J682" i="1"/>
  <c r="J818" i="1"/>
  <c r="J870" i="1"/>
  <c r="J683" i="1"/>
  <c r="J819" i="1"/>
  <c r="J872" i="1"/>
  <c r="J791" i="1"/>
  <c r="J802" i="1"/>
  <c r="J792" i="1"/>
  <c r="J800" i="1"/>
  <c r="J74" i="1"/>
  <c r="J807" i="1"/>
  <c r="J804" i="1"/>
  <c r="J812" i="1"/>
  <c r="I799" i="1"/>
  <c r="I801" i="1"/>
  <c r="I805" i="1"/>
  <c r="I798" i="1"/>
  <c r="I803" i="1"/>
  <c r="I796" i="1"/>
  <c r="I238" i="1"/>
  <c r="I90" i="1"/>
  <c r="I85" i="1"/>
  <c r="I86" i="1"/>
  <c r="I789" i="1"/>
  <c r="I790" i="1"/>
  <c r="I120" i="1"/>
  <c r="I663" i="1"/>
  <c r="I664" i="1"/>
  <c r="I665" i="1"/>
  <c r="I688" i="1"/>
  <c r="F2417" i="1"/>
  <c r="I234" i="1"/>
  <c r="I875" i="1"/>
  <c r="I873" i="1"/>
  <c r="I874" i="1"/>
  <c r="I876" i="1"/>
  <c r="I877" i="1"/>
  <c r="I871" i="1"/>
  <c r="I879" i="1"/>
  <c r="I236" i="1"/>
  <c r="I229" i="1"/>
  <c r="F2417" i="18" l="1"/>
  <c r="J663" i="1"/>
  <c r="I663" i="18"/>
  <c r="I873" i="18"/>
  <c r="J807" i="18"/>
  <c r="J819" i="18"/>
  <c r="M819" i="18" s="1"/>
  <c r="N819" i="18" s="1"/>
  <c r="J816" i="18"/>
  <c r="J75" i="18"/>
  <c r="J872" i="18"/>
  <c r="J229" i="1"/>
  <c r="I229" i="18"/>
  <c r="I875" i="18"/>
  <c r="J74" i="18"/>
  <c r="J683" i="18"/>
  <c r="J649" i="18"/>
  <c r="J137" i="18"/>
  <c r="J234" i="1"/>
  <c r="I234" i="18"/>
  <c r="J870" i="18"/>
  <c r="J135" i="18"/>
  <c r="M135" i="18" s="1"/>
  <c r="N135" i="18" s="1"/>
  <c r="J88" i="18"/>
  <c r="J71" i="18"/>
  <c r="G2417" i="1"/>
  <c r="J86" i="1"/>
  <c r="I86" i="18"/>
  <c r="J818" i="18"/>
  <c r="J73" i="18"/>
  <c r="J236" i="1"/>
  <c r="I236" i="18"/>
  <c r="I871" i="18"/>
  <c r="J85" i="1"/>
  <c r="I85" i="18"/>
  <c r="J792" i="18"/>
  <c r="J682" i="18"/>
  <c r="I874" i="18"/>
  <c r="I879" i="18"/>
  <c r="I877" i="18"/>
  <c r="I665" i="18"/>
  <c r="J90" i="1"/>
  <c r="I90" i="18"/>
  <c r="J863" i="18"/>
  <c r="J72" i="18"/>
  <c r="J650" i="18"/>
  <c r="I876" i="18"/>
  <c r="I664" i="18"/>
  <c r="J812" i="18"/>
  <c r="J791" i="18"/>
  <c r="J817" i="18"/>
  <c r="J136" i="18"/>
  <c r="I803" i="18"/>
  <c r="J120" i="1"/>
  <c r="I120" i="18"/>
  <c r="J800" i="18"/>
  <c r="I790" i="18"/>
  <c r="I799" i="18"/>
  <c r="J255" i="18"/>
  <c r="I789" i="18"/>
  <c r="J802" i="18"/>
  <c r="I805" i="18"/>
  <c r="I688" i="18"/>
  <c r="J238" i="1"/>
  <c r="I238" i="18"/>
  <c r="I798" i="18"/>
  <c r="I796" i="18"/>
  <c r="J804" i="18"/>
  <c r="J70" i="18"/>
  <c r="I801" i="18"/>
  <c r="J871" i="1"/>
  <c r="J876" i="1"/>
  <c r="J790" i="1"/>
  <c r="J798" i="1"/>
  <c r="J877" i="1"/>
  <c r="J874" i="1"/>
  <c r="J789" i="1"/>
  <c r="J805" i="1"/>
  <c r="J879" i="1"/>
  <c r="J873" i="1"/>
  <c r="J688" i="1"/>
  <c r="J801" i="1"/>
  <c r="J875" i="1"/>
  <c r="J665" i="1"/>
  <c r="J799" i="1"/>
  <c r="J664" i="1"/>
  <c r="J796" i="1"/>
  <c r="J803" i="1"/>
  <c r="I795" i="1"/>
  <c r="I794" i="1"/>
  <c r="I670" i="1"/>
  <c r="I666" i="1"/>
  <c r="I674" i="1"/>
  <c r="I685" i="1"/>
  <c r="I684" i="1"/>
  <c r="I797" i="1"/>
  <c r="S135" i="18" l="1"/>
  <c r="Q135" i="18"/>
  <c r="R135" i="18"/>
  <c r="O117" i="18"/>
  <c r="P117" i="18" s="1"/>
  <c r="Q819" i="18"/>
  <c r="S819" i="18"/>
  <c r="R819" i="18"/>
  <c r="J874" i="18"/>
  <c r="M874" i="18" s="1"/>
  <c r="N874" i="18" s="1"/>
  <c r="J875" i="18"/>
  <c r="J877" i="18"/>
  <c r="J85" i="18"/>
  <c r="M85" i="18" s="1"/>
  <c r="N85" i="18" s="1"/>
  <c r="J86" i="18"/>
  <c r="J873" i="18"/>
  <c r="J876" i="18"/>
  <c r="J229" i="18"/>
  <c r="M229" i="18" s="1"/>
  <c r="N229" i="18" s="1"/>
  <c r="J879" i="18"/>
  <c r="J871" i="18"/>
  <c r="M871" i="18" s="1"/>
  <c r="N871" i="18" s="1"/>
  <c r="G2417" i="18"/>
  <c r="J665" i="18"/>
  <c r="J664" i="18"/>
  <c r="J90" i="18"/>
  <c r="M90" i="18" s="1"/>
  <c r="N90" i="18" s="1"/>
  <c r="J236" i="18"/>
  <c r="M236" i="18" s="1"/>
  <c r="N236" i="18" s="1"/>
  <c r="J234" i="18"/>
  <c r="J663" i="18"/>
  <c r="I684" i="18"/>
  <c r="J803" i="18"/>
  <c r="J796" i="18"/>
  <c r="J120" i="18"/>
  <c r="J805" i="18"/>
  <c r="J238" i="18"/>
  <c r="J789" i="18"/>
  <c r="I670" i="18"/>
  <c r="I794" i="18"/>
  <c r="I685" i="18"/>
  <c r="J799" i="18"/>
  <c r="I795" i="18"/>
  <c r="J798" i="18"/>
  <c r="I674" i="18"/>
  <c r="I666" i="18"/>
  <c r="I797" i="18"/>
  <c r="J688" i="18"/>
  <c r="J790" i="18"/>
  <c r="J801" i="18"/>
  <c r="J797" i="1"/>
  <c r="J795" i="1"/>
  <c r="J684" i="1"/>
  <c r="J685" i="1"/>
  <c r="J674" i="1"/>
  <c r="J666" i="1"/>
  <c r="J670" i="1"/>
  <c r="J794" i="1"/>
  <c r="I678" i="1"/>
  <c r="S874" i="18" l="1"/>
  <c r="R874" i="18"/>
  <c r="Q874" i="18"/>
  <c r="Q871" i="18"/>
  <c r="S871" i="18"/>
  <c r="R871" i="18"/>
  <c r="O853" i="18"/>
  <c r="P853" i="18" s="1"/>
  <c r="S90" i="18"/>
  <c r="R90" i="18"/>
  <c r="Q90" i="18"/>
  <c r="Q229" i="18"/>
  <c r="S229" i="18"/>
  <c r="R229" i="18"/>
  <c r="R117" i="18"/>
  <c r="S117" i="18"/>
  <c r="Q117" i="18"/>
  <c r="S85" i="18"/>
  <c r="R85" i="18"/>
  <c r="Q85" i="18"/>
  <c r="O69" i="18"/>
  <c r="P69" i="18" s="1"/>
  <c r="S236" i="18"/>
  <c r="R236" i="18"/>
  <c r="Q236" i="18"/>
  <c r="I678" i="18"/>
  <c r="J685" i="18"/>
  <c r="J684" i="18"/>
  <c r="J797" i="18"/>
  <c r="J795" i="18"/>
  <c r="J794" i="18"/>
  <c r="J674" i="18"/>
  <c r="J670" i="18"/>
  <c r="J666" i="18"/>
  <c r="M666" i="18" s="1"/>
  <c r="N666" i="18" s="1"/>
  <c r="J678" i="1"/>
  <c r="S853" i="18" l="1"/>
  <c r="Q853" i="18"/>
  <c r="R853" i="18"/>
  <c r="R69" i="18"/>
  <c r="Q69" i="18"/>
  <c r="S69" i="18"/>
  <c r="P667" i="18"/>
  <c r="S666" i="18"/>
  <c r="R666" i="18"/>
  <c r="Q666" i="18"/>
  <c r="P669" i="18"/>
  <c r="P668" i="18"/>
  <c r="O644" i="18"/>
  <c r="N2552" i="18"/>
  <c r="J678" i="18"/>
  <c r="I2552" i="1"/>
  <c r="I2556" i="1"/>
  <c r="P644" i="18" l="1"/>
  <c r="O2552" i="18"/>
  <c r="R669" i="18"/>
  <c r="S669" i="18"/>
  <c r="Q669" i="18"/>
  <c r="S668" i="18"/>
  <c r="Q668" i="18"/>
  <c r="R668" i="18"/>
  <c r="Q667" i="18"/>
  <c r="R667" i="18"/>
  <c r="S667" i="18"/>
  <c r="F2466" i="1"/>
  <c r="F2464" i="1"/>
  <c r="F2463" i="1"/>
  <c r="F2462" i="1"/>
  <c r="F2465" i="1"/>
  <c r="F2460" i="1"/>
  <c r="F2458" i="1"/>
  <c r="F2457" i="1"/>
  <c r="F2456" i="1"/>
  <c r="F2459" i="1"/>
  <c r="F2454" i="1"/>
  <c r="F2452" i="1"/>
  <c r="F2451" i="1"/>
  <c r="F2450" i="1"/>
  <c r="F2453" i="1"/>
  <c r="F2448" i="1"/>
  <c r="F2446" i="1"/>
  <c r="F2445" i="1"/>
  <c r="F2444" i="1"/>
  <c r="F2447" i="1"/>
  <c r="F2442" i="1"/>
  <c r="F2440" i="1"/>
  <c r="F2439" i="1"/>
  <c r="F2438" i="1"/>
  <c r="F2441" i="1"/>
  <c r="F2436" i="1"/>
  <c r="F2434" i="1"/>
  <c r="F2433" i="1"/>
  <c r="F2432" i="1"/>
  <c r="F2435" i="1"/>
  <c r="F2430" i="1"/>
  <c r="F2428" i="1"/>
  <c r="F2427" i="1"/>
  <c r="F2426" i="1"/>
  <c r="F2429" i="1"/>
  <c r="F2424" i="1"/>
  <c r="F2422" i="1"/>
  <c r="F2421" i="1"/>
  <c r="F2420" i="1"/>
  <c r="F2423" i="1"/>
  <c r="F2418" i="1"/>
  <c r="F2416" i="1"/>
  <c r="F2415" i="1"/>
  <c r="F2414" i="1"/>
  <c r="S644" i="18" l="1"/>
  <c r="R644" i="18"/>
  <c r="Q644" i="18"/>
  <c r="F2435" i="18"/>
  <c r="F2440" i="18"/>
  <c r="F2450" i="18"/>
  <c r="F2460" i="18"/>
  <c r="F2422" i="18"/>
  <c r="F2432" i="18"/>
  <c r="F2442" i="18"/>
  <c r="F2451" i="18"/>
  <c r="F2465" i="18"/>
  <c r="F2424" i="18"/>
  <c r="F2433" i="18"/>
  <c r="F2447" i="18"/>
  <c r="F2452" i="18"/>
  <c r="F2462" i="18"/>
  <c r="F2421" i="18"/>
  <c r="F2429" i="18"/>
  <c r="F2434" i="18"/>
  <c r="F2444" i="18"/>
  <c r="F2454" i="18"/>
  <c r="F2463" i="18"/>
  <c r="F2416" i="18"/>
  <c r="F2426" i="18"/>
  <c r="F2436" i="18"/>
  <c r="F2445" i="18"/>
  <c r="F2459" i="18"/>
  <c r="F2464" i="18"/>
  <c r="F2418" i="18"/>
  <c r="F2427" i="18"/>
  <c r="F2441" i="18"/>
  <c r="F2446" i="18"/>
  <c r="F2456" i="18"/>
  <c r="F2466" i="18"/>
  <c r="F2415" i="18"/>
  <c r="F2423" i="18"/>
  <c r="F2428" i="18"/>
  <c r="F2438" i="18"/>
  <c r="F2448" i="18"/>
  <c r="F2457" i="18"/>
  <c r="F2414" i="18"/>
  <c r="F2420" i="18"/>
  <c r="F2430" i="18"/>
  <c r="F2439" i="18"/>
  <c r="F2453" i="18"/>
  <c r="F2458" i="18"/>
  <c r="H2413" i="18"/>
  <c r="G2429" i="1"/>
  <c r="G2433" i="1"/>
  <c r="H2437" i="18"/>
  <c r="G2453" i="1"/>
  <c r="G2453" i="18" s="1"/>
  <c r="G2457" i="1"/>
  <c r="G2457" i="18" s="1"/>
  <c r="H2461" i="18"/>
  <c r="G2418" i="1"/>
  <c r="G2458" i="1"/>
  <c r="G2466" i="1"/>
  <c r="G2466" i="18" s="1"/>
  <c r="G2426" i="1"/>
  <c r="G2426" i="18" s="1"/>
  <c r="G2450" i="1"/>
  <c r="G2450" i="18" s="1"/>
  <c r="G2427" i="1"/>
  <c r="G2427" i="18" s="1"/>
  <c r="H2431" i="18"/>
  <c r="G2447" i="1"/>
  <c r="G2451" i="1"/>
  <c r="H2455" i="18"/>
  <c r="G2442" i="1"/>
  <c r="G2420" i="1"/>
  <c r="G2420" i="18" s="1"/>
  <c r="G2428" i="1"/>
  <c r="G2436" i="1"/>
  <c r="G2436" i="18" s="1"/>
  <c r="G2444" i="1"/>
  <c r="G2452" i="1"/>
  <c r="G2460" i="1"/>
  <c r="G2460" i="18" s="1"/>
  <c r="G2434" i="1"/>
  <c r="G2434" i="18" s="1"/>
  <c r="G2423" i="1"/>
  <c r="G2421" i="1"/>
  <c r="H2425" i="18"/>
  <c r="G2441" i="1"/>
  <c r="G2445" i="1"/>
  <c r="H2449" i="18"/>
  <c r="G2465" i="1"/>
  <c r="G2430" i="1"/>
  <c r="G2438" i="1"/>
  <c r="G2446" i="1"/>
  <c r="G2454" i="1"/>
  <c r="G2462" i="1"/>
  <c r="G2422" i="1"/>
  <c r="G2415" i="1"/>
  <c r="G2415" i="18" s="1"/>
  <c r="H2419" i="18"/>
  <c r="G2435" i="1"/>
  <c r="G2435" i="18" s="1"/>
  <c r="G2439" i="1"/>
  <c r="H2443" i="18"/>
  <c r="G2459" i="1"/>
  <c r="G2459" i="18" s="1"/>
  <c r="G2463" i="1"/>
  <c r="G2463" i="18" s="1"/>
  <c r="G2414" i="1"/>
  <c r="G2414" i="18" s="1"/>
  <c r="G2416" i="1"/>
  <c r="G2416" i="18" s="1"/>
  <c r="G2424" i="1"/>
  <c r="G2432" i="1"/>
  <c r="G2432" i="18" s="1"/>
  <c r="G2440" i="1"/>
  <c r="G2448" i="1"/>
  <c r="G2448" i="18" s="1"/>
  <c r="G2456" i="1"/>
  <c r="G2464" i="1"/>
  <c r="G2421" i="18"/>
  <c r="G2438" i="18" l="1"/>
  <c r="G2430" i="18"/>
  <c r="G2424" i="18"/>
  <c r="G2428" i="18"/>
  <c r="G2441" i="18"/>
  <c r="G2413" i="1"/>
  <c r="I2413" i="1" s="1"/>
  <c r="G2442" i="18"/>
  <c r="G2423" i="18"/>
  <c r="G2455" i="1"/>
  <c r="G2464" i="18"/>
  <c r="G2422" i="18"/>
  <c r="G2456" i="18"/>
  <c r="G2445" i="18"/>
  <c r="G2452" i="18"/>
  <c r="G2461" i="1"/>
  <c r="I2461" i="1" s="1"/>
  <c r="G2425" i="1"/>
  <c r="G2444" i="18"/>
  <c r="G2447" i="18"/>
  <c r="G2418" i="18"/>
  <c r="G2429" i="18"/>
  <c r="G2454" i="18"/>
  <c r="G2443" i="1"/>
  <c r="G2419" i="1"/>
  <c r="G2433" i="18"/>
  <c r="G2446" i="18"/>
  <c r="G2465" i="18"/>
  <c r="G2451" i="18"/>
  <c r="G2458" i="18"/>
  <c r="G2440" i="18"/>
  <c r="G2462" i="18"/>
  <c r="G2449" i="1"/>
  <c r="G2439" i="18"/>
  <c r="G2437" i="1"/>
  <c r="G2437" i="18" s="1"/>
  <c r="G2431" i="1"/>
  <c r="G2425" i="18" l="1"/>
  <c r="G2455" i="18"/>
  <c r="I2455" i="1"/>
  <c r="I2455" i="18" s="1"/>
  <c r="G2413" i="18"/>
  <c r="I2419" i="1"/>
  <c r="J2419" i="1" s="1"/>
  <c r="J2419" i="18" s="1"/>
  <c r="I2449" i="1"/>
  <c r="I2425" i="1"/>
  <c r="J2425" i="1" s="1"/>
  <c r="G2461" i="18"/>
  <c r="I2443" i="1"/>
  <c r="J2443" i="1" s="1"/>
  <c r="J2443" i="18" s="1"/>
  <c r="G2443" i="18"/>
  <c r="G2419" i="18"/>
  <c r="G2449" i="18"/>
  <c r="I2431" i="1"/>
  <c r="J2431" i="1" s="1"/>
  <c r="J2431" i="18" s="1"/>
  <c r="I2437" i="1"/>
  <c r="G2431" i="18"/>
  <c r="I2461" i="18"/>
  <c r="I2413" i="18"/>
  <c r="J2413" i="1"/>
  <c r="J2461" i="1"/>
  <c r="J2455" i="1" l="1"/>
  <c r="J2455" i="18" s="1"/>
  <c r="I2419" i="18"/>
  <c r="J2449" i="1"/>
  <c r="J2449" i="18" s="1"/>
  <c r="I2449" i="18"/>
  <c r="I2425" i="18"/>
  <c r="I2437" i="18"/>
  <c r="J2437" i="1"/>
  <c r="J2437" i="18" s="1"/>
  <c r="I2443" i="18"/>
  <c r="I2431" i="18"/>
  <c r="J2425" i="18"/>
  <c r="J2461" i="18"/>
  <c r="J2413" i="18"/>
  <c r="I188" i="1"/>
  <c r="I602" i="1"/>
  <c r="I612" i="1"/>
  <c r="I607" i="1"/>
  <c r="I617" i="1"/>
  <c r="I597" i="1"/>
  <c r="J612" i="1" l="1"/>
  <c r="I612" i="18"/>
  <c r="I617" i="18"/>
  <c r="J602" i="1"/>
  <c r="I602" i="18"/>
  <c r="I597" i="18"/>
  <c r="I607" i="18"/>
  <c r="J188" i="1"/>
  <c r="I188" i="18"/>
  <c r="J597" i="1"/>
  <c r="J607" i="1"/>
  <c r="J617" i="1"/>
  <c r="J602" i="18" l="1"/>
  <c r="J597" i="18"/>
  <c r="J607" i="18"/>
  <c r="J617" i="18"/>
  <c r="J188" i="18"/>
  <c r="J612" i="18"/>
  <c r="I190" i="1"/>
  <c r="J190" i="1" l="1"/>
  <c r="I190" i="18"/>
  <c r="J190" i="18" l="1"/>
  <c r="I121" i="1" l="1"/>
  <c r="I2551" i="1"/>
  <c r="F248" i="1"/>
  <c r="F247" i="1"/>
  <c r="F246" i="1"/>
  <c r="F245" i="1"/>
  <c r="F244" i="1"/>
  <c r="F243" i="1"/>
  <c r="F2106" i="1"/>
  <c r="N5" i="2"/>
  <c r="T5" i="2"/>
  <c r="F2112" i="1"/>
  <c r="N6" i="2"/>
  <c r="O6" i="2"/>
  <c r="F2118" i="1"/>
  <c r="N7" i="2"/>
  <c r="T7" i="2"/>
  <c r="F2124" i="1"/>
  <c r="N8" i="2"/>
  <c r="T8" i="2"/>
  <c r="R9" i="2"/>
  <c r="F2132" i="1"/>
  <c r="F2133" i="1"/>
  <c r="F2134" i="1"/>
  <c r="R11" i="2"/>
  <c r="R12" i="2"/>
  <c r="P13" i="2"/>
  <c r="R13" i="2"/>
  <c r="R25" i="2" s="1"/>
  <c r="N14" i="2"/>
  <c r="P14" i="2"/>
  <c r="P15" i="2"/>
  <c r="R15" i="2"/>
  <c r="R27" i="2" s="1"/>
  <c r="P16" i="2"/>
  <c r="R16" i="2"/>
  <c r="R28" i="2" s="1"/>
  <c r="P17" i="2"/>
  <c r="R17" i="2"/>
  <c r="P18" i="2"/>
  <c r="R18" i="2"/>
  <c r="P19" i="2"/>
  <c r="R19" i="2"/>
  <c r="P20" i="2"/>
  <c r="R20" i="2"/>
  <c r="P21" i="2"/>
  <c r="P22" i="2"/>
  <c r="R22" i="2"/>
  <c r="P23" i="2"/>
  <c r="P24" i="2"/>
  <c r="R26" i="2"/>
  <c r="N29" i="2"/>
  <c r="O29" i="2"/>
  <c r="T29" i="2"/>
  <c r="N30" i="2"/>
  <c r="O30" i="2"/>
  <c r="T30" i="2"/>
  <c r="N31" i="2"/>
  <c r="O31" i="2"/>
  <c r="T31" i="2"/>
  <c r="N32" i="2"/>
  <c r="R32" i="2" s="1"/>
  <c r="O32" i="2"/>
  <c r="T32" i="2"/>
  <c r="N33" i="2"/>
  <c r="O33" i="2"/>
  <c r="T33" i="2"/>
  <c r="R34" i="2"/>
  <c r="R35" i="2"/>
  <c r="R36" i="2"/>
  <c r="R37" i="2"/>
  <c r="R38" i="2"/>
  <c r="N39" i="2"/>
  <c r="R39" i="2"/>
  <c r="N40" i="2"/>
  <c r="R40" i="2"/>
  <c r="N41" i="2"/>
  <c r="R41" i="2"/>
  <c r="N42" i="2"/>
  <c r="R42" i="2"/>
  <c r="N43" i="2"/>
  <c r="R43" i="2"/>
  <c r="N44" i="2"/>
  <c r="R44" i="2"/>
  <c r="N45" i="2"/>
  <c r="R45" i="2"/>
  <c r="N46" i="2"/>
  <c r="J46" i="2" s="1"/>
  <c r="O46" i="2"/>
  <c r="R46" i="2"/>
  <c r="T46" i="2"/>
  <c r="N47" i="2"/>
  <c r="O47" i="2"/>
  <c r="R47" i="2"/>
  <c r="T47" i="2"/>
  <c r="N48" i="2"/>
  <c r="O48" i="2"/>
  <c r="Q48" i="2"/>
  <c r="R48" i="2"/>
  <c r="T48" i="2"/>
  <c r="N49" i="2"/>
  <c r="J49" i="2" s="1"/>
  <c r="O49" i="2"/>
  <c r="R49" i="2"/>
  <c r="T49" i="2"/>
  <c r="N50" i="2"/>
  <c r="O50" i="2"/>
  <c r="R50" i="2"/>
  <c r="T50" i="2"/>
  <c r="P51" i="2"/>
  <c r="P52" i="2"/>
  <c r="O53" i="2"/>
  <c r="P53" i="2"/>
  <c r="Q53" i="2"/>
  <c r="T53" i="2"/>
  <c r="P54" i="2"/>
  <c r="P55" i="2"/>
  <c r="N56" i="2"/>
  <c r="R56" i="2"/>
  <c r="N57" i="2"/>
  <c r="R57" i="2"/>
  <c r="N58" i="2"/>
  <c r="O58" i="2"/>
  <c r="Q58" i="2"/>
  <c r="R58" i="2"/>
  <c r="W58" i="2" s="1"/>
  <c r="N59" i="2"/>
  <c r="R59" i="2"/>
  <c r="N60" i="2"/>
  <c r="R60" i="2"/>
  <c r="P61" i="2"/>
  <c r="N63" i="2"/>
  <c r="R63" i="2"/>
  <c r="N64" i="2"/>
  <c r="R64" i="2"/>
  <c r="N65" i="2"/>
  <c r="R65" i="2"/>
  <c r="F2384" i="1"/>
  <c r="F2385" i="1"/>
  <c r="F2386" i="1"/>
  <c r="N66" i="2"/>
  <c r="J66" i="2" s="1"/>
  <c r="F2388" i="1"/>
  <c r="F2389" i="1"/>
  <c r="F2390" i="1"/>
  <c r="N67" i="2"/>
  <c r="J67" i="2" s="1"/>
  <c r="F2392" i="1"/>
  <c r="F2393" i="1"/>
  <c r="F2394" i="1"/>
  <c r="N68" i="2"/>
  <c r="J68" i="2" s="1"/>
  <c r="F2396" i="1"/>
  <c r="F2397" i="1"/>
  <c r="F2398" i="1"/>
  <c r="N69" i="2"/>
  <c r="J69" i="2" s="1"/>
  <c r="F2400" i="1"/>
  <c r="F2401" i="1"/>
  <c r="F2402" i="1"/>
  <c r="N70" i="2"/>
  <c r="J70" i="2" s="1"/>
  <c r="F2404" i="1"/>
  <c r="F2405" i="1"/>
  <c r="F2406" i="1"/>
  <c r="N71" i="2"/>
  <c r="J71" i="2" s="1"/>
  <c r="F2411" i="1"/>
  <c r="F2408" i="1"/>
  <c r="F2409" i="1"/>
  <c r="F2410" i="1"/>
  <c r="F2412" i="1"/>
  <c r="I1664" i="1"/>
  <c r="I1685" i="1"/>
  <c r="I1686" i="1"/>
  <c r="I241" i="1"/>
  <c r="R52" i="2"/>
  <c r="N37" i="2"/>
  <c r="N36" i="2"/>
  <c r="N38" i="2"/>
  <c r="O7" i="2"/>
  <c r="I22" i="1"/>
  <c r="I1662" i="1"/>
  <c r="I1684" i="1"/>
  <c r="I1663" i="1"/>
  <c r="I240" i="1"/>
  <c r="I591" i="1"/>
  <c r="I1670" i="1"/>
  <c r="I119" i="1"/>
  <c r="I1631" i="1"/>
  <c r="I23" i="1"/>
  <c r="J64" i="2" l="1"/>
  <c r="J47" i="2"/>
  <c r="H19" i="2"/>
  <c r="J65" i="2"/>
  <c r="J58" i="2"/>
  <c r="J48" i="2"/>
  <c r="J63" i="2"/>
  <c r="J14" i="2"/>
  <c r="J50" i="2"/>
  <c r="J7" i="2"/>
  <c r="J6" i="2"/>
  <c r="F2405" i="18"/>
  <c r="F2397" i="18"/>
  <c r="F2389" i="18"/>
  <c r="F2134" i="18"/>
  <c r="F2404" i="18"/>
  <c r="F2388" i="18"/>
  <c r="F2133" i="18"/>
  <c r="F2118" i="18"/>
  <c r="F2396" i="18"/>
  <c r="F2410" i="18"/>
  <c r="F2132" i="18"/>
  <c r="F2409" i="18"/>
  <c r="F2402" i="18"/>
  <c r="F2394" i="18"/>
  <c r="F2386" i="18"/>
  <c r="F2408" i="18"/>
  <c r="F2401" i="18"/>
  <c r="F2393" i="18"/>
  <c r="F2385" i="18"/>
  <c r="F2112" i="18"/>
  <c r="F2411" i="18"/>
  <c r="F2392" i="18"/>
  <c r="F2384" i="18"/>
  <c r="F2400" i="18"/>
  <c r="F2124" i="18"/>
  <c r="F2412" i="18"/>
  <c r="F2406" i="18"/>
  <c r="F2398" i="18"/>
  <c r="F2390" i="18"/>
  <c r="F2106" i="18"/>
  <c r="R53" i="2"/>
  <c r="H63" i="2"/>
  <c r="F2374" i="1" s="1"/>
  <c r="F63" i="2"/>
  <c r="F2372" i="1" s="1"/>
  <c r="G63" i="2"/>
  <c r="H58" i="2"/>
  <c r="F2320" i="1"/>
  <c r="G2320" i="1" s="1"/>
  <c r="H50" i="2"/>
  <c r="H43" i="2"/>
  <c r="G43" i="2"/>
  <c r="F2283" i="1" s="1"/>
  <c r="F43" i="2"/>
  <c r="F2282" i="1" s="1"/>
  <c r="W43" i="2"/>
  <c r="J43" i="2" s="1"/>
  <c r="H39" i="2"/>
  <c r="G39" i="2"/>
  <c r="F39" i="2"/>
  <c r="F2266" i="1" s="1"/>
  <c r="W39" i="2"/>
  <c r="J39" i="2" s="1"/>
  <c r="F15" i="2"/>
  <c r="F2152" i="1" s="1"/>
  <c r="G15" i="2"/>
  <c r="H15" i="2"/>
  <c r="G58" i="2"/>
  <c r="F58" i="2"/>
  <c r="E58" i="2"/>
  <c r="L58" i="2"/>
  <c r="F50" i="2"/>
  <c r="F2318" i="1" s="1"/>
  <c r="E50" i="2"/>
  <c r="G50" i="2"/>
  <c r="F2319" i="1" s="1"/>
  <c r="L50" i="2"/>
  <c r="F2322" i="1" s="1"/>
  <c r="G2322" i="1" s="1"/>
  <c r="H48" i="2"/>
  <c r="H46" i="2"/>
  <c r="F2296" i="1" s="1"/>
  <c r="G2296" i="1" s="1"/>
  <c r="E33" i="2"/>
  <c r="F2243" i="1" s="1"/>
  <c r="G2243" i="1" s="1"/>
  <c r="L33" i="2"/>
  <c r="F2244" i="1" s="1"/>
  <c r="F14" i="2"/>
  <c r="G14" i="2"/>
  <c r="F2149" i="1" s="1"/>
  <c r="H14" i="2"/>
  <c r="F2150" i="1" s="1"/>
  <c r="F6" i="2"/>
  <c r="F2110" i="1" s="1"/>
  <c r="E6" i="2"/>
  <c r="G6" i="2"/>
  <c r="L6" i="2"/>
  <c r="F2114" i="1" s="1"/>
  <c r="G48" i="2"/>
  <c r="F2307" i="1" s="1"/>
  <c r="F48" i="2"/>
  <c r="E48" i="2"/>
  <c r="L48" i="2"/>
  <c r="G46" i="2"/>
  <c r="F46" i="2"/>
  <c r="E46" i="2"/>
  <c r="F2297" i="1" s="1"/>
  <c r="L46" i="2"/>
  <c r="F2298" i="1" s="1"/>
  <c r="G42" i="2"/>
  <c r="F2279" i="1" s="1"/>
  <c r="H42" i="2"/>
  <c r="F42" i="2"/>
  <c r="W42" i="2"/>
  <c r="J42" i="2" s="1"/>
  <c r="E30" i="2"/>
  <c r="F2225" i="1" s="1"/>
  <c r="L30" i="2"/>
  <c r="H18" i="2"/>
  <c r="H9" i="2"/>
  <c r="F2130" i="1" s="1"/>
  <c r="G9" i="2"/>
  <c r="F2129" i="1" s="1"/>
  <c r="F9" i="2"/>
  <c r="G60" i="2"/>
  <c r="H60" i="2"/>
  <c r="F2362" i="1" s="1"/>
  <c r="F60" i="2"/>
  <c r="W60" i="2"/>
  <c r="J60" i="2" s="1"/>
  <c r="H57" i="2"/>
  <c r="F2350" i="1" s="1"/>
  <c r="G2350" i="1" s="1"/>
  <c r="G57" i="2"/>
  <c r="F2349" i="1" s="1"/>
  <c r="F57" i="2"/>
  <c r="W57" i="2"/>
  <c r="J57" i="2" s="1"/>
  <c r="H53" i="2"/>
  <c r="G38" i="2"/>
  <c r="F2263" i="1" s="1"/>
  <c r="G2263" i="1" s="1"/>
  <c r="H38" i="2"/>
  <c r="F2264" i="1" s="1"/>
  <c r="F38" i="2"/>
  <c r="F2262" i="1" s="1"/>
  <c r="G2262" i="1" s="1"/>
  <c r="H22" i="2"/>
  <c r="F2190" i="1" s="1"/>
  <c r="F22" i="2"/>
  <c r="F2188" i="1" s="1"/>
  <c r="G2188" i="1" s="1"/>
  <c r="G2188" i="18" s="1"/>
  <c r="G22" i="2"/>
  <c r="F2189" i="1" s="1"/>
  <c r="H65" i="2"/>
  <c r="G65" i="2"/>
  <c r="F65" i="2"/>
  <c r="F2380" i="1" s="1"/>
  <c r="G53" i="2"/>
  <c r="F2333" i="1" s="1"/>
  <c r="F53" i="2"/>
  <c r="E53" i="2"/>
  <c r="L53" i="2"/>
  <c r="H49" i="2"/>
  <c r="F2314" i="1" s="1"/>
  <c r="H45" i="2"/>
  <c r="F2292" i="1" s="1"/>
  <c r="G45" i="2"/>
  <c r="F2291" i="1" s="1"/>
  <c r="F45" i="2"/>
  <c r="W45" i="2"/>
  <c r="J45" i="2" s="1"/>
  <c r="H41" i="2"/>
  <c r="F41" i="2"/>
  <c r="F2274" i="1" s="1"/>
  <c r="G41" i="2"/>
  <c r="F2275" i="1" s="1"/>
  <c r="W41" i="2"/>
  <c r="J41" i="2" s="1"/>
  <c r="H37" i="2"/>
  <c r="G37" i="2"/>
  <c r="F2259" i="1" s="1"/>
  <c r="F37" i="2"/>
  <c r="G32" i="2"/>
  <c r="F32" i="2"/>
  <c r="F2234" i="1" s="1"/>
  <c r="E32" i="2"/>
  <c r="F2237" i="1" s="1"/>
  <c r="L32" i="2"/>
  <c r="F2238" i="1" s="1"/>
  <c r="H17" i="2"/>
  <c r="G13" i="2"/>
  <c r="F13" i="2"/>
  <c r="H13" i="2"/>
  <c r="F2146" i="1" s="1"/>
  <c r="H59" i="2"/>
  <c r="F2358" i="1" s="1"/>
  <c r="F59" i="2"/>
  <c r="F2356" i="1" s="1"/>
  <c r="G59" i="2"/>
  <c r="W59" i="2"/>
  <c r="J59" i="2" s="1"/>
  <c r="G56" i="2"/>
  <c r="F2345" i="1" s="1"/>
  <c r="H56" i="2"/>
  <c r="F2346" i="1" s="1"/>
  <c r="F56" i="2"/>
  <c r="F2344" i="1" s="1"/>
  <c r="W56" i="2"/>
  <c r="J56" i="2" s="1"/>
  <c r="H52" i="2"/>
  <c r="F2330" i="1" s="1"/>
  <c r="G52" i="2"/>
  <c r="F52" i="2"/>
  <c r="G49" i="2"/>
  <c r="F2313" i="1" s="1"/>
  <c r="F49" i="2"/>
  <c r="F2312" i="1" s="1"/>
  <c r="E49" i="2"/>
  <c r="L49" i="2"/>
  <c r="H47" i="2"/>
  <c r="F2302" i="1" s="1"/>
  <c r="H36" i="2"/>
  <c r="F2256" i="1" s="1"/>
  <c r="G36" i="2"/>
  <c r="F2255" i="1" s="1"/>
  <c r="F36" i="2"/>
  <c r="E29" i="2"/>
  <c r="F2219" i="1" s="1"/>
  <c r="L29" i="2"/>
  <c r="F2220" i="1" s="1"/>
  <c r="G2220" i="1" s="1"/>
  <c r="G2220" i="18" s="1"/>
  <c r="G12" i="2"/>
  <c r="H12" i="2"/>
  <c r="F12" i="2"/>
  <c r="F2140" i="1" s="1"/>
  <c r="G7" i="2"/>
  <c r="F2117" i="1" s="1"/>
  <c r="F7" i="2"/>
  <c r="E7" i="2"/>
  <c r="L7" i="2"/>
  <c r="H32" i="2"/>
  <c r="F2236" i="1" s="1"/>
  <c r="W32" i="2"/>
  <c r="W37" i="2" s="1"/>
  <c r="J37" i="2" s="1"/>
  <c r="H64" i="2"/>
  <c r="F64" i="2"/>
  <c r="F2376" i="1" s="1"/>
  <c r="G64" i="2"/>
  <c r="F2377" i="1" s="1"/>
  <c r="G47" i="2"/>
  <c r="F47" i="2"/>
  <c r="E47" i="2"/>
  <c r="F2303" i="1" s="1"/>
  <c r="L47" i="2"/>
  <c r="F2304" i="1" s="1"/>
  <c r="H44" i="2"/>
  <c r="G44" i="2"/>
  <c r="F44" i="2"/>
  <c r="F2286" i="1" s="1"/>
  <c r="W44" i="2"/>
  <c r="J44" i="2" s="1"/>
  <c r="G40" i="2"/>
  <c r="F2271" i="1" s="1"/>
  <c r="H40" i="2"/>
  <c r="F2272" i="1" s="1"/>
  <c r="F40" i="2"/>
  <c r="W40" i="2"/>
  <c r="J40" i="2" s="1"/>
  <c r="F35" i="2"/>
  <c r="H35" i="2"/>
  <c r="F2252" i="1" s="1"/>
  <c r="G35" i="2"/>
  <c r="F2251" i="1" s="1"/>
  <c r="H20" i="2"/>
  <c r="F16" i="2"/>
  <c r="H16" i="2"/>
  <c r="G16" i="2"/>
  <c r="H11" i="2"/>
  <c r="F2138" i="1" s="1"/>
  <c r="G2138" i="1" s="1"/>
  <c r="F11" i="2"/>
  <c r="F2136" i="1" s="1"/>
  <c r="G11" i="2"/>
  <c r="F2137" i="1" s="1"/>
  <c r="F34" i="2"/>
  <c r="F2246" i="1" s="1"/>
  <c r="H34" i="2"/>
  <c r="G34" i="2"/>
  <c r="E31" i="2"/>
  <c r="F2231" i="1" s="1"/>
  <c r="G2231" i="1" s="1"/>
  <c r="G2231" i="18" s="1"/>
  <c r="L31" i="2"/>
  <c r="F2232" i="1" s="1"/>
  <c r="I1684" i="18"/>
  <c r="I1686" i="18"/>
  <c r="G2410" i="1"/>
  <c r="G2133" i="1"/>
  <c r="G2133" i="18" s="1"/>
  <c r="G2118" i="1"/>
  <c r="G244" i="1"/>
  <c r="F244" i="18"/>
  <c r="G2406" i="1"/>
  <c r="G2406" i="18" s="1"/>
  <c r="G2409" i="1"/>
  <c r="G2402" i="1"/>
  <c r="G2402" i="18" s="1"/>
  <c r="G2394" i="1"/>
  <c r="G2386" i="1"/>
  <c r="G2132" i="1"/>
  <c r="G245" i="1"/>
  <c r="F245" i="18"/>
  <c r="G2390" i="1"/>
  <c r="J23" i="1"/>
  <c r="I23" i="18"/>
  <c r="I1662" i="18"/>
  <c r="I1685" i="18"/>
  <c r="J22" i="1"/>
  <c r="I22" i="18"/>
  <c r="I1664" i="18"/>
  <c r="G2408" i="1"/>
  <c r="G2401" i="1"/>
  <c r="G2393" i="1"/>
  <c r="G2393" i="18" s="1"/>
  <c r="G2385" i="1"/>
  <c r="G246" i="1"/>
  <c r="I246" i="1" s="1"/>
  <c r="F246" i="18"/>
  <c r="G2411" i="1"/>
  <c r="G2400" i="1"/>
  <c r="G2392" i="1"/>
  <c r="G2384" i="1"/>
  <c r="G2384" i="18" s="1"/>
  <c r="G2112" i="1"/>
  <c r="G247" i="1"/>
  <c r="G247" i="18" s="1"/>
  <c r="F247" i="18"/>
  <c r="G2398" i="1"/>
  <c r="J119" i="1"/>
  <c r="I119" i="18"/>
  <c r="I1670" i="18"/>
  <c r="G248" i="1"/>
  <c r="G248" i="18" s="1"/>
  <c r="F248" i="18"/>
  <c r="I591" i="18"/>
  <c r="G2124" i="1"/>
  <c r="G2124" i="18" s="1"/>
  <c r="G2405" i="1"/>
  <c r="G2397" i="1"/>
  <c r="G2389" i="1"/>
  <c r="G2389" i="18" s="1"/>
  <c r="G2106" i="1"/>
  <c r="J240" i="1"/>
  <c r="I240" i="18"/>
  <c r="I1663" i="18"/>
  <c r="J241" i="1"/>
  <c r="I241" i="18"/>
  <c r="G2412" i="1"/>
  <c r="G2404" i="1"/>
  <c r="G2396" i="1"/>
  <c r="G2388" i="1"/>
  <c r="G2388" i="18" s="1"/>
  <c r="G2134" i="1"/>
  <c r="G243" i="1"/>
  <c r="F243" i="18"/>
  <c r="H2407" i="18"/>
  <c r="I1631" i="18"/>
  <c r="J121" i="1"/>
  <c r="I121" i="18"/>
  <c r="J1663" i="1"/>
  <c r="J1686" i="1"/>
  <c r="J1662" i="1"/>
  <c r="J1685" i="1"/>
  <c r="J1631" i="1"/>
  <c r="J1664" i="1"/>
  <c r="J1684" i="1"/>
  <c r="J1670" i="1"/>
  <c r="J591" i="1"/>
  <c r="F2168" i="1"/>
  <c r="F2378" i="1"/>
  <c r="F2354" i="1"/>
  <c r="F2254" i="1"/>
  <c r="F2174" i="1"/>
  <c r="N54" i="2"/>
  <c r="N52" i="2"/>
  <c r="J52" i="2" s="1"/>
  <c r="N51" i="2"/>
  <c r="R29" i="2"/>
  <c r="F29" i="2" s="1"/>
  <c r="F2216" i="1" s="1"/>
  <c r="F2250" i="1"/>
  <c r="F2373" i="1"/>
  <c r="R61" i="2"/>
  <c r="G61" i="2" s="1"/>
  <c r="N35" i="2"/>
  <c r="N34" i="2"/>
  <c r="R31" i="2"/>
  <c r="N20" i="2"/>
  <c r="N18" i="2"/>
  <c r="F2381" i="1"/>
  <c r="R30" i="2"/>
  <c r="F30" i="2" s="1"/>
  <c r="N19" i="2"/>
  <c r="R33" i="2"/>
  <c r="N13" i="2"/>
  <c r="J13" i="2" s="1"/>
  <c r="N17" i="2"/>
  <c r="I239" i="1"/>
  <c r="I561" i="1"/>
  <c r="I254" i="1"/>
  <c r="I139" i="1"/>
  <c r="I562" i="1"/>
  <c r="I1630" i="1"/>
  <c r="I253" i="1"/>
  <c r="I1628" i="1"/>
  <c r="I141" i="1"/>
  <c r="I249" i="1"/>
  <c r="I1675" i="1"/>
  <c r="I118" i="1"/>
  <c r="I1626" i="1"/>
  <c r="I251" i="1"/>
  <c r="I250" i="1"/>
  <c r="I252" i="1"/>
  <c r="I1627" i="1"/>
  <c r="I133" i="1"/>
  <c r="I140" i="1"/>
  <c r="F2226" i="1"/>
  <c r="F2360" i="1"/>
  <c r="F2348" i="1"/>
  <c r="O19" i="2"/>
  <c r="F2119" i="1"/>
  <c r="F2260" i="1"/>
  <c r="F2382" i="1"/>
  <c r="P26" i="2"/>
  <c r="F2154" i="1"/>
  <c r="F2111" i="1"/>
  <c r="F2113" i="1"/>
  <c r="I186" i="1"/>
  <c r="F2295" i="1"/>
  <c r="F2301" i="1"/>
  <c r="F2180" i="1"/>
  <c r="R21" i="2"/>
  <c r="G21" i="2" s="1"/>
  <c r="F2185" i="1" s="1"/>
  <c r="F2128" i="1"/>
  <c r="F2321" i="1"/>
  <c r="F2158" i="1"/>
  <c r="P28" i="2"/>
  <c r="F2153" i="1"/>
  <c r="F2294" i="1"/>
  <c r="F2157" i="1"/>
  <c r="F2148" i="1"/>
  <c r="F2156" i="1"/>
  <c r="F2352" i="1"/>
  <c r="F2353" i="1"/>
  <c r="R23" i="2"/>
  <c r="G23" i="2" s="1"/>
  <c r="F2193" i="1" s="1"/>
  <c r="F2258" i="1"/>
  <c r="N26" i="2"/>
  <c r="J26" i="2" s="1"/>
  <c r="F2116" i="1"/>
  <c r="F2120" i="1"/>
  <c r="F2235" i="1"/>
  <c r="P62" i="2"/>
  <c r="N53" i="2"/>
  <c r="J53" i="2" s="1"/>
  <c r="R51" i="2"/>
  <c r="F51" i="2" s="1"/>
  <c r="O5" i="2"/>
  <c r="J5" i="2" s="1"/>
  <c r="O8" i="2"/>
  <c r="J8" i="2" s="1"/>
  <c r="F2145" i="1"/>
  <c r="F2144" i="1"/>
  <c r="F2284" i="1"/>
  <c r="F2361" i="1"/>
  <c r="R55" i="2"/>
  <c r="H55" i="2" s="1"/>
  <c r="F2162" i="1"/>
  <c r="P27" i="2"/>
  <c r="F2310" i="1"/>
  <c r="F2309" i="1"/>
  <c r="F2267" i="1"/>
  <c r="F2268" i="1"/>
  <c r="F2334" i="1"/>
  <c r="F2306" i="1"/>
  <c r="F2308" i="1"/>
  <c r="N61" i="2"/>
  <c r="N55" i="2"/>
  <c r="J55" i="2" s="1"/>
  <c r="F2357" i="1"/>
  <c r="F2316" i="1"/>
  <c r="F2315" i="1"/>
  <c r="F2300" i="1"/>
  <c r="F2328" i="1"/>
  <c r="F2332" i="1"/>
  <c r="F2288" i="1"/>
  <c r="F2287" i="1"/>
  <c r="F2329" i="1"/>
  <c r="R54" i="2"/>
  <c r="F54" i="2" s="1"/>
  <c r="F2247" i="1"/>
  <c r="F2248" i="1"/>
  <c r="F2290" i="1"/>
  <c r="F2278" i="1"/>
  <c r="F2280" i="1"/>
  <c r="N15" i="2"/>
  <c r="J15" i="2" s="1"/>
  <c r="N16" i="2"/>
  <c r="J16" i="2" s="1"/>
  <c r="N10" i="2"/>
  <c r="J10" i="2" s="1"/>
  <c r="F2276" i="1"/>
  <c r="F2141" i="1"/>
  <c r="R24" i="2"/>
  <c r="G24" i="2" s="1"/>
  <c r="F2142" i="1"/>
  <c r="F2270" i="1"/>
  <c r="P25" i="2"/>
  <c r="O18" i="2"/>
  <c r="G246" i="18" l="1"/>
  <c r="J18" i="2"/>
  <c r="J54" i="2"/>
  <c r="J19" i="2"/>
  <c r="J51" i="2"/>
  <c r="J32" i="2"/>
  <c r="I248" i="1"/>
  <c r="J248" i="1" s="1"/>
  <c r="G2396" i="18"/>
  <c r="G2132" i="18"/>
  <c r="I244" i="1"/>
  <c r="J244" i="1" s="1"/>
  <c r="G244" i="18"/>
  <c r="G2385" i="18"/>
  <c r="G2320" i="18"/>
  <c r="G2400" i="18"/>
  <c r="G2394" i="18"/>
  <c r="F2276" i="18"/>
  <c r="F2247" i="18"/>
  <c r="F2303" i="18"/>
  <c r="F2309" i="18"/>
  <c r="F2144" i="18"/>
  <c r="F2258" i="18"/>
  <c r="F2236" i="18"/>
  <c r="F2321" i="18"/>
  <c r="F2111" i="18"/>
  <c r="F2256" i="18"/>
  <c r="F2372" i="18"/>
  <c r="F2254" i="18"/>
  <c r="F2136" i="18"/>
  <c r="F2259" i="18"/>
  <c r="F2263" i="18"/>
  <c r="F2362" i="18"/>
  <c r="F2150" i="18"/>
  <c r="F2142" i="18"/>
  <c r="F2300" i="18"/>
  <c r="F2310" i="18"/>
  <c r="F2145" i="18"/>
  <c r="F2117" i="18"/>
  <c r="F2193" i="18"/>
  <c r="F2148" i="18"/>
  <c r="F2128" i="18"/>
  <c r="F2154" i="18"/>
  <c r="F2348" i="18"/>
  <c r="F2381" i="18"/>
  <c r="F2373" i="18"/>
  <c r="F2354" i="18"/>
  <c r="F2138" i="18"/>
  <c r="F2220" i="18"/>
  <c r="F2292" i="18"/>
  <c r="F2270" i="18"/>
  <c r="F2329" i="18"/>
  <c r="F2304" i="18"/>
  <c r="F2308" i="18"/>
  <c r="F2149" i="18"/>
  <c r="F2157" i="18"/>
  <c r="F2185" i="18"/>
  <c r="F2271" i="18"/>
  <c r="F2250" i="18"/>
  <c r="F2378" i="18"/>
  <c r="F2219" i="18"/>
  <c r="F2345" i="18"/>
  <c r="F2314" i="18"/>
  <c r="F2189" i="18"/>
  <c r="F2283" i="18"/>
  <c r="G2374" i="1"/>
  <c r="F2374" i="18"/>
  <c r="F2280" i="18"/>
  <c r="F2315" i="18"/>
  <c r="F2306" i="18"/>
  <c r="F2162" i="18"/>
  <c r="F2235" i="18"/>
  <c r="F2146" i="18"/>
  <c r="F2294" i="18"/>
  <c r="F2180" i="18"/>
  <c r="F2382" i="18"/>
  <c r="F2360" i="18"/>
  <c r="F2216" i="18"/>
  <c r="F2168" i="18"/>
  <c r="F2231" i="18"/>
  <c r="F2272" i="18"/>
  <c r="F2238" i="18"/>
  <c r="F2188" i="18"/>
  <c r="F2129" i="18"/>
  <c r="F2279" i="18"/>
  <c r="F2307" i="18"/>
  <c r="F2244" i="18"/>
  <c r="F2318" i="18"/>
  <c r="F2152" i="18"/>
  <c r="F2287" i="18"/>
  <c r="F2278" i="18"/>
  <c r="F2288" i="18"/>
  <c r="F2313" i="18"/>
  <c r="F2333" i="18"/>
  <c r="F2114" i="18"/>
  <c r="F2120" i="18"/>
  <c r="F2232" i="18"/>
  <c r="F2153" i="18"/>
  <c r="F2301" i="18"/>
  <c r="F2260" i="18"/>
  <c r="F2225" i="18"/>
  <c r="F2274" i="18"/>
  <c r="F2190" i="18"/>
  <c r="F2349" i="18"/>
  <c r="F2130" i="18"/>
  <c r="F2298" i="18"/>
  <c r="F2243" i="18"/>
  <c r="F2322" i="18"/>
  <c r="F2141" i="18"/>
  <c r="F2291" i="18"/>
  <c r="F2319" i="18"/>
  <c r="F2316" i="18"/>
  <c r="F2334" i="18"/>
  <c r="F2361" i="18"/>
  <c r="F2116" i="18"/>
  <c r="F2353" i="18"/>
  <c r="F2295" i="18"/>
  <c r="F2119" i="18"/>
  <c r="F2226" i="18"/>
  <c r="F2377" i="18"/>
  <c r="F2356" i="18"/>
  <c r="F2234" i="18"/>
  <c r="F2262" i="18"/>
  <c r="F2350" i="18"/>
  <c r="F2266" i="18"/>
  <c r="F2320" i="18"/>
  <c r="F2290" i="18"/>
  <c r="F2332" i="18"/>
  <c r="F2357" i="18"/>
  <c r="F2268" i="18"/>
  <c r="F2284" i="18"/>
  <c r="F2346" i="18"/>
  <c r="F2312" i="18"/>
  <c r="F2352" i="18"/>
  <c r="F2158" i="18"/>
  <c r="F2246" i="18"/>
  <c r="F2251" i="18"/>
  <c r="F2286" i="18"/>
  <c r="F2376" i="18"/>
  <c r="F2140" i="18"/>
  <c r="F2255" i="18"/>
  <c r="F2330" i="18"/>
  <c r="G2264" i="1"/>
  <c r="F2264" i="18"/>
  <c r="F2296" i="18"/>
  <c r="F2275" i="18"/>
  <c r="F2248" i="18"/>
  <c r="F2328" i="18"/>
  <c r="F2358" i="18"/>
  <c r="F2267" i="18"/>
  <c r="F2282" i="18"/>
  <c r="F2344" i="18"/>
  <c r="F2156" i="18"/>
  <c r="F2297" i="18"/>
  <c r="F2113" i="18"/>
  <c r="F2237" i="18"/>
  <c r="F2174" i="18"/>
  <c r="F2137" i="18"/>
  <c r="F2252" i="18"/>
  <c r="F2302" i="18"/>
  <c r="F2380" i="18"/>
  <c r="G2110" i="1"/>
  <c r="G2110" i="18" s="1"/>
  <c r="F2110" i="18"/>
  <c r="I245" i="1"/>
  <c r="G245" i="18"/>
  <c r="I243" i="1"/>
  <c r="I243" i="18" s="1"/>
  <c r="G2136" i="1"/>
  <c r="G2136" i="18" s="1"/>
  <c r="G2259" i="1"/>
  <c r="G2374" i="18"/>
  <c r="G2266" i="1"/>
  <c r="G2397" i="18"/>
  <c r="G2255" i="1"/>
  <c r="G2362" i="1"/>
  <c r="G2189" i="1"/>
  <c r="G2405" i="18"/>
  <c r="G2409" i="18"/>
  <c r="G2390" i="18"/>
  <c r="G2410" i="18"/>
  <c r="G2345" i="1"/>
  <c r="G2272" i="1"/>
  <c r="G2219" i="1"/>
  <c r="G2150" i="1"/>
  <c r="G2380" i="1"/>
  <c r="G2292" i="1"/>
  <c r="G2252" i="1"/>
  <c r="G2377" i="1"/>
  <c r="G2238" i="1"/>
  <c r="G2314" i="1"/>
  <c r="G2314" i="18" s="1"/>
  <c r="G2130" i="1"/>
  <c r="G2244" i="1"/>
  <c r="G2298" i="1"/>
  <c r="G2302" i="1"/>
  <c r="H24" i="2"/>
  <c r="G54" i="2"/>
  <c r="G25" i="2"/>
  <c r="F25" i="2"/>
  <c r="F2200" i="1" s="1"/>
  <c r="H25" i="2"/>
  <c r="H33" i="2"/>
  <c r="F2242" i="1" s="1"/>
  <c r="G2242" i="1" s="1"/>
  <c r="G2242" i="18" s="1"/>
  <c r="W33" i="2"/>
  <c r="W38" i="2" s="1"/>
  <c r="J38" i="2" s="1"/>
  <c r="F24" i="2"/>
  <c r="H54" i="2"/>
  <c r="G8" i="2"/>
  <c r="F8" i="2"/>
  <c r="F2122" i="1" s="1"/>
  <c r="E8" i="2"/>
  <c r="F2125" i="1" s="1"/>
  <c r="L8" i="2"/>
  <c r="F2175" i="1"/>
  <c r="G2175" i="1" s="1"/>
  <c r="E19" i="2"/>
  <c r="G19" i="2"/>
  <c r="F2173" i="1" s="1"/>
  <c r="F19" i="2"/>
  <c r="L19" i="2"/>
  <c r="F2176" i="1" s="1"/>
  <c r="H29" i="2"/>
  <c r="F2218" i="1" s="1"/>
  <c r="W29" i="2"/>
  <c r="J29" i="2" s="1"/>
  <c r="G29" i="2"/>
  <c r="F2217" i="1" s="1"/>
  <c r="G2217" i="1" s="1"/>
  <c r="G30" i="2"/>
  <c r="F61" i="2"/>
  <c r="F2364" i="1" s="1"/>
  <c r="F33" i="2"/>
  <c r="F2240" i="1" s="1"/>
  <c r="F5" i="2"/>
  <c r="E5" i="2"/>
  <c r="F2107" i="1" s="1"/>
  <c r="G5" i="2"/>
  <c r="L5" i="2"/>
  <c r="F2108" i="1" s="1"/>
  <c r="G28" i="2"/>
  <c r="F2213" i="1" s="1"/>
  <c r="G2213" i="1" s="1"/>
  <c r="H28" i="2"/>
  <c r="F2214" i="1" s="1"/>
  <c r="F28" i="2"/>
  <c r="H31" i="2"/>
  <c r="W31" i="2"/>
  <c r="W36" i="2" s="1"/>
  <c r="J36" i="2" s="1"/>
  <c r="H21" i="2"/>
  <c r="F2186" i="1" s="1"/>
  <c r="G33" i="2"/>
  <c r="G18" i="2"/>
  <c r="F2167" i="1" s="1"/>
  <c r="F18" i="2"/>
  <c r="E18" i="2"/>
  <c r="L18" i="2"/>
  <c r="F2170" i="1" s="1"/>
  <c r="H30" i="2"/>
  <c r="W30" i="2"/>
  <c r="W35" i="2" s="1"/>
  <c r="J35" i="2" s="1"/>
  <c r="W61" i="2"/>
  <c r="J61" i="2" s="1"/>
  <c r="F21" i="2"/>
  <c r="F2184" i="1" s="1"/>
  <c r="G2184" i="1" s="1"/>
  <c r="H61" i="2"/>
  <c r="F2366" i="1" s="1"/>
  <c r="G2246" i="1"/>
  <c r="F31" i="2"/>
  <c r="F2228" i="1" s="1"/>
  <c r="G51" i="2"/>
  <c r="F2325" i="1" s="1"/>
  <c r="G26" i="2"/>
  <c r="F2205" i="1" s="1"/>
  <c r="H26" i="2"/>
  <c r="F2206" i="1" s="1"/>
  <c r="F26" i="2"/>
  <c r="G31" i="2"/>
  <c r="F2229" i="1" s="1"/>
  <c r="G2229" i="1" s="1"/>
  <c r="G55" i="2"/>
  <c r="F2341" i="1" s="1"/>
  <c r="H51" i="2"/>
  <c r="F2326" i="1" s="1"/>
  <c r="F23" i="2"/>
  <c r="F2192" i="1" s="1"/>
  <c r="G2192" i="1" s="1"/>
  <c r="H27" i="2"/>
  <c r="F2210" i="1" s="1"/>
  <c r="G27" i="2"/>
  <c r="F2209" i="1" s="1"/>
  <c r="G2209" i="1" s="1"/>
  <c r="F27" i="2"/>
  <c r="F2208" i="1" s="1"/>
  <c r="F55" i="2"/>
  <c r="F2340" i="1" s="1"/>
  <c r="H23" i="2"/>
  <c r="F2194" i="1" s="1"/>
  <c r="I247" i="1"/>
  <c r="G2138" i="18"/>
  <c r="G2296" i="18"/>
  <c r="G243" i="18"/>
  <c r="G2255" i="18"/>
  <c r="G2118" i="18"/>
  <c r="G2404" i="18"/>
  <c r="G2403" i="1"/>
  <c r="I2403" i="1" s="1"/>
  <c r="G2131" i="1"/>
  <c r="G2131" i="18" s="1"/>
  <c r="G2112" i="18"/>
  <c r="G2134" i="18"/>
  <c r="G2322" i="18"/>
  <c r="G2243" i="18"/>
  <c r="G2392" i="18"/>
  <c r="G2106" i="18"/>
  <c r="G2412" i="18"/>
  <c r="G2391" i="1"/>
  <c r="I2391" i="1" s="1"/>
  <c r="G2262" i="18"/>
  <c r="G2399" i="1"/>
  <c r="I2399" i="1" s="1"/>
  <c r="G2408" i="18"/>
  <c r="G2407" i="1"/>
  <c r="I2407" i="1" s="1"/>
  <c r="G2387" i="1"/>
  <c r="I2387" i="1" s="1"/>
  <c r="G2383" i="1"/>
  <c r="G2263" i="18"/>
  <c r="G2395" i="1"/>
  <c r="G2395" i="18" s="1"/>
  <c r="G2398" i="18"/>
  <c r="G2386" i="18"/>
  <c r="G2350" i="18"/>
  <c r="G2401" i="18"/>
  <c r="G2411" i="18"/>
  <c r="G2315" i="1"/>
  <c r="G2156" i="1"/>
  <c r="H2387" i="18"/>
  <c r="G2290" i="1"/>
  <c r="G2152" i="1"/>
  <c r="G2146" i="1"/>
  <c r="G2129" i="1"/>
  <c r="G2260" i="1"/>
  <c r="G2271" i="1"/>
  <c r="I1675" i="18"/>
  <c r="J139" i="1"/>
  <c r="I139" i="18"/>
  <c r="H2299" i="18"/>
  <c r="H2277" i="18"/>
  <c r="G2250" i="1"/>
  <c r="G2174" i="1"/>
  <c r="G2378" i="1"/>
  <c r="J1684" i="18"/>
  <c r="J240" i="18"/>
  <c r="J23" i="18"/>
  <c r="G2309" i="1"/>
  <c r="G2180" i="1"/>
  <c r="G2333" i="1"/>
  <c r="G2157" i="1"/>
  <c r="G2288" i="1"/>
  <c r="G2288" i="18" s="1"/>
  <c r="G2358" i="1"/>
  <c r="G2334" i="1"/>
  <c r="G2334" i="18" s="1"/>
  <c r="G2162" i="1"/>
  <c r="G2162" i="18" s="1"/>
  <c r="G2145" i="1"/>
  <c r="G2232" i="1"/>
  <c r="G2232" i="18" s="1"/>
  <c r="G2294" i="1"/>
  <c r="G2321" i="1"/>
  <c r="G2376" i="1"/>
  <c r="G2119" i="1"/>
  <c r="G2119" i="18" s="1"/>
  <c r="G2360" i="1"/>
  <c r="H2317" i="18"/>
  <c r="H2293" i="18"/>
  <c r="H2281" i="18"/>
  <c r="H2379" i="18"/>
  <c r="G2254" i="1"/>
  <c r="H2375" i="18"/>
  <c r="J1664" i="18"/>
  <c r="G2218" i="1"/>
  <c r="G2218" i="18" s="1"/>
  <c r="J1686" i="18"/>
  <c r="G2276" i="1"/>
  <c r="G2186" i="1"/>
  <c r="G2144" i="1"/>
  <c r="G2270" i="1"/>
  <c r="G2318" i="1"/>
  <c r="G2318" i="18" s="1"/>
  <c r="G2303" i="1"/>
  <c r="G2356" i="1"/>
  <c r="G2356" i="18" s="1"/>
  <c r="G2216" i="1"/>
  <c r="G2193" i="1"/>
  <c r="G2330" i="1"/>
  <c r="G2153" i="1"/>
  <c r="G2128" i="1"/>
  <c r="G2225" i="1"/>
  <c r="G2225" i="18" s="1"/>
  <c r="J141" i="1"/>
  <c r="I141" i="18"/>
  <c r="H2311" i="18"/>
  <c r="G2251" i="1"/>
  <c r="G2354" i="1"/>
  <c r="H2391" i="18"/>
  <c r="G2154" i="1"/>
  <c r="G2287" i="1"/>
  <c r="G2312" i="1"/>
  <c r="G2312" i="18" s="1"/>
  <c r="G2142" i="1"/>
  <c r="G2247" i="1"/>
  <c r="G2319" i="1"/>
  <c r="G2300" i="1"/>
  <c r="G2268" i="1"/>
  <c r="G2361" i="1"/>
  <c r="G2117" i="1"/>
  <c r="G2353" i="1"/>
  <c r="G2234" i="1"/>
  <c r="G2113" i="1"/>
  <c r="G2190" i="1"/>
  <c r="G2226" i="1"/>
  <c r="G2226" i="18" s="1"/>
  <c r="I1628" i="18"/>
  <c r="H2115" i="18"/>
  <c r="H2305" i="18"/>
  <c r="H2383" i="18"/>
  <c r="H2399" i="18"/>
  <c r="J1685" i="18"/>
  <c r="J241" i="18"/>
  <c r="G2278" i="1"/>
  <c r="G2357" i="1"/>
  <c r="G2357" i="18" s="1"/>
  <c r="G2297" i="1"/>
  <c r="G2248" i="1"/>
  <c r="G2248" i="18" s="1"/>
  <c r="G2141" i="1"/>
  <c r="G2280" i="1"/>
  <c r="G2332" i="1"/>
  <c r="G2332" i="18" s="1"/>
  <c r="G2304" i="1"/>
  <c r="G2267" i="1"/>
  <c r="G2185" i="1"/>
  <c r="G2114" i="1"/>
  <c r="G2258" i="1"/>
  <c r="G2352" i="1"/>
  <c r="G2111" i="1"/>
  <c r="G2111" i="18" s="1"/>
  <c r="G2237" i="1"/>
  <c r="G2237" i="18" s="1"/>
  <c r="J140" i="1"/>
  <c r="I140" i="18"/>
  <c r="H2351" i="18"/>
  <c r="H2371" i="18"/>
  <c r="G2168" i="1"/>
  <c r="J1662" i="18"/>
  <c r="J119" i="18"/>
  <c r="J22" i="18"/>
  <c r="G2140" i="1"/>
  <c r="G2284" i="1"/>
  <c r="G2256" i="1"/>
  <c r="G2256" i="18" s="1"/>
  <c r="G2274" i="1"/>
  <c r="G2279" i="1"/>
  <c r="G2307" i="1"/>
  <c r="G2313" i="1"/>
  <c r="G2308" i="1"/>
  <c r="G2310" i="1"/>
  <c r="G2283" i="1"/>
  <c r="G2283" i="18" s="1"/>
  <c r="G2346" i="1"/>
  <c r="G2120" i="1"/>
  <c r="G2236" i="1"/>
  <c r="G2137" i="1"/>
  <c r="G2137" i="18" s="1"/>
  <c r="G2301" i="1"/>
  <c r="G2349" i="1"/>
  <c r="I1627" i="18"/>
  <c r="H2147" i="18"/>
  <c r="G2381" i="1"/>
  <c r="G2372" i="1"/>
  <c r="H2395" i="18"/>
  <c r="J591" i="18"/>
  <c r="J1663" i="18"/>
  <c r="G2329" i="1"/>
  <c r="G2235" i="1"/>
  <c r="H2347" i="18"/>
  <c r="G2275" i="1"/>
  <c r="G2291" i="1"/>
  <c r="G2286" i="1"/>
  <c r="G2328" i="1"/>
  <c r="G2316" i="1"/>
  <c r="G2306" i="1"/>
  <c r="G2282" i="1"/>
  <c r="G2282" i="18" s="1"/>
  <c r="G2344" i="1"/>
  <c r="G2116" i="1"/>
  <c r="G2149" i="1"/>
  <c r="G2148" i="1"/>
  <c r="G2158" i="1"/>
  <c r="G2295" i="1"/>
  <c r="G2295" i="18" s="1"/>
  <c r="G2382" i="1"/>
  <c r="G2382" i="18" s="1"/>
  <c r="G2348" i="1"/>
  <c r="J118" i="1"/>
  <c r="I118" i="18"/>
  <c r="H2109" i="18"/>
  <c r="H2273" i="18"/>
  <c r="G2373" i="1"/>
  <c r="H2403" i="18"/>
  <c r="J1670" i="18"/>
  <c r="I1626" i="18"/>
  <c r="I1630" i="18"/>
  <c r="J252" i="1"/>
  <c r="I252" i="18"/>
  <c r="J562" i="1"/>
  <c r="I562" i="18"/>
  <c r="G2407" i="18"/>
  <c r="J245" i="1"/>
  <c r="I245" i="18"/>
  <c r="J250" i="1"/>
  <c r="I250" i="18"/>
  <c r="J249" i="1"/>
  <c r="I249" i="18"/>
  <c r="J254" i="1"/>
  <c r="I254" i="18"/>
  <c r="J121" i="18"/>
  <c r="J186" i="1"/>
  <c r="I186" i="18"/>
  <c r="J1631" i="18"/>
  <c r="G2268" i="18"/>
  <c r="J561" i="1"/>
  <c r="I561" i="18"/>
  <c r="J253" i="1"/>
  <c r="I253" i="18"/>
  <c r="J239" i="1"/>
  <c r="I239" i="18"/>
  <c r="G2315" i="18"/>
  <c r="J133" i="1"/>
  <c r="I133" i="18"/>
  <c r="J251" i="1"/>
  <c r="I251" i="18"/>
  <c r="J246" i="1"/>
  <c r="I246" i="18"/>
  <c r="G2403" i="18"/>
  <c r="J1628" i="1"/>
  <c r="J1627" i="1"/>
  <c r="J1626" i="1"/>
  <c r="J1630" i="1"/>
  <c r="J1675" i="1"/>
  <c r="F2204" i="1"/>
  <c r="F2365" i="1"/>
  <c r="R62" i="2"/>
  <c r="W62" i="2" s="1"/>
  <c r="F2222" i="1"/>
  <c r="N9" i="2"/>
  <c r="J9" i="2" s="1"/>
  <c r="O17" i="2"/>
  <c r="J17" i="2" s="1"/>
  <c r="F2172" i="1"/>
  <c r="F2241" i="1"/>
  <c r="F2223" i="1"/>
  <c r="F2230" i="1"/>
  <c r="F2224" i="1"/>
  <c r="N25" i="2"/>
  <c r="J25" i="2" s="1"/>
  <c r="I297" i="1"/>
  <c r="I276" i="1"/>
  <c r="I176" i="1"/>
  <c r="I468" i="1"/>
  <c r="I603" i="1"/>
  <c r="I151" i="1"/>
  <c r="I168" i="1"/>
  <c r="I291" i="1"/>
  <c r="I261" i="1"/>
  <c r="I279" i="1"/>
  <c r="I360" i="1"/>
  <c r="I160" i="1"/>
  <c r="I145" i="1"/>
  <c r="I180" i="1"/>
  <c r="I266" i="1"/>
  <c r="I172" i="1"/>
  <c r="I285" i="1"/>
  <c r="I154" i="1"/>
  <c r="I256" i="1"/>
  <c r="I608" i="1"/>
  <c r="I157" i="1"/>
  <c r="I598" i="1"/>
  <c r="I148" i="1"/>
  <c r="I354" i="1"/>
  <c r="I294" i="1"/>
  <c r="I318" i="1"/>
  <c r="I402" i="1"/>
  <c r="I492" i="1"/>
  <c r="I271" i="1"/>
  <c r="I593" i="1"/>
  <c r="I142" i="1"/>
  <c r="I303" i="1"/>
  <c r="I288" i="1"/>
  <c r="I164" i="1"/>
  <c r="F2126" i="1"/>
  <c r="F2212" i="1"/>
  <c r="F2342" i="1"/>
  <c r="I613" i="1"/>
  <c r="F2104" i="1"/>
  <c r="F2105" i="1"/>
  <c r="O20" i="2"/>
  <c r="J20" i="2" s="1"/>
  <c r="F2123" i="1"/>
  <c r="F2324" i="1"/>
  <c r="F2201" i="1"/>
  <c r="F2202" i="1"/>
  <c r="F2197" i="1"/>
  <c r="F2198" i="1"/>
  <c r="F2196" i="1"/>
  <c r="N22" i="2"/>
  <c r="J22" i="2" s="1"/>
  <c r="F2337" i="1"/>
  <c r="N11" i="2"/>
  <c r="J11" i="2" s="1"/>
  <c r="N27" i="2"/>
  <c r="J27" i="2" s="1"/>
  <c r="F2338" i="1"/>
  <c r="F2169" i="1"/>
  <c r="F2166" i="1"/>
  <c r="N12" i="2"/>
  <c r="J12" i="2" s="1"/>
  <c r="N28" i="2"/>
  <c r="J28" i="2" s="1"/>
  <c r="F2336" i="1"/>
  <c r="N62" i="2"/>
  <c r="J62" i="2" s="1"/>
  <c r="I244" i="18" l="1"/>
  <c r="G2387" i="18"/>
  <c r="I248" i="18"/>
  <c r="J243" i="1"/>
  <c r="J30" i="2"/>
  <c r="J33" i="2"/>
  <c r="J31" i="2"/>
  <c r="G2391" i="18"/>
  <c r="G2294" i="18"/>
  <c r="G2259" i="18"/>
  <c r="G2302" i="18"/>
  <c r="G2184" i="18"/>
  <c r="G2261" i="1"/>
  <c r="G2261" i="18" s="1"/>
  <c r="G2260" i="18"/>
  <c r="G2264" i="18"/>
  <c r="G2193" i="18"/>
  <c r="G2346" i="18"/>
  <c r="G2129" i="18"/>
  <c r="F2337" i="18"/>
  <c r="F2324" i="18"/>
  <c r="F2172" i="18"/>
  <c r="F2206" i="18"/>
  <c r="F2184" i="18"/>
  <c r="F2213" i="18"/>
  <c r="F2217" i="18"/>
  <c r="F2166" i="18"/>
  <c r="F2325" i="18"/>
  <c r="F2340" i="18"/>
  <c r="F2240" i="18"/>
  <c r="F2170" i="18"/>
  <c r="F2196" i="18"/>
  <c r="F2122" i="18"/>
  <c r="F2342" i="18"/>
  <c r="F2209" i="18"/>
  <c r="F2364" i="18"/>
  <c r="F2186" i="18"/>
  <c r="F2218" i="18"/>
  <c r="F2169" i="18"/>
  <c r="F2198" i="18"/>
  <c r="F2123" i="18"/>
  <c r="F2208" i="18"/>
  <c r="F2224" i="18"/>
  <c r="F2210" i="18"/>
  <c r="F2205" i="18"/>
  <c r="F2176" i="18"/>
  <c r="F2167" i="18"/>
  <c r="F2197" i="18"/>
  <c r="F2212" i="18"/>
  <c r="F2228" i="18"/>
  <c r="F2222" i="18"/>
  <c r="F2192" i="18"/>
  <c r="F2338" i="18"/>
  <c r="F2202" i="18"/>
  <c r="F2105" i="18"/>
  <c r="F2107" i="18"/>
  <c r="F2230" i="18"/>
  <c r="F2326" i="18"/>
  <c r="F2173" i="18"/>
  <c r="F2336" i="18"/>
  <c r="F2201" i="18"/>
  <c r="F2104" i="18"/>
  <c r="F2125" i="18"/>
  <c r="F2223" i="18"/>
  <c r="F2365" i="18"/>
  <c r="F2341" i="18"/>
  <c r="F2214" i="18"/>
  <c r="F2200" i="18"/>
  <c r="F2108" i="18"/>
  <c r="F2126" i="18"/>
  <c r="F2241" i="18"/>
  <c r="F2204" i="18"/>
  <c r="F2194" i="18"/>
  <c r="F2229" i="18"/>
  <c r="F2366" i="18"/>
  <c r="F2175" i="18"/>
  <c r="F2242" i="18"/>
  <c r="G2144" i="18"/>
  <c r="G2377" i="18"/>
  <c r="G2292" i="18"/>
  <c r="G2381" i="18"/>
  <c r="H2285" i="18"/>
  <c r="G2344" i="18"/>
  <c r="G2205" i="1"/>
  <c r="G2186" i="18"/>
  <c r="G2349" i="18"/>
  <c r="G2364" i="1"/>
  <c r="G2275" i="18"/>
  <c r="G2366" i="1"/>
  <c r="G2173" i="1"/>
  <c r="G2173" i="18" s="1"/>
  <c r="G2214" i="1"/>
  <c r="G2214" i="18" s="1"/>
  <c r="G2252" i="18"/>
  <c r="G2278" i="18"/>
  <c r="G2343" i="1"/>
  <c r="G2187" i="1"/>
  <c r="G2333" i="18"/>
  <c r="G2304" i="18"/>
  <c r="G2209" i="18"/>
  <c r="G2190" i="18"/>
  <c r="G2300" i="18"/>
  <c r="G2274" i="18"/>
  <c r="I2383" i="1"/>
  <c r="G2266" i="18"/>
  <c r="J247" i="1"/>
  <c r="I247" i="18"/>
  <c r="G2189" i="18"/>
  <c r="G2362" i="18"/>
  <c r="G2348" i="18"/>
  <c r="G2347" i="1"/>
  <c r="G2176" i="1"/>
  <c r="G2380" i="18"/>
  <c r="G2213" i="18"/>
  <c r="G2345" i="18"/>
  <c r="G2194" i="1"/>
  <c r="G2326" i="1"/>
  <c r="G2341" i="1"/>
  <c r="G2210" i="1"/>
  <c r="G2210" i="18" s="1"/>
  <c r="F62" i="2"/>
  <c r="F2368" i="1" s="1"/>
  <c r="H62" i="2"/>
  <c r="F2370" i="1" s="1"/>
  <c r="G2244" i="18"/>
  <c r="G2238" i="18"/>
  <c r="G2150" i="18"/>
  <c r="G2246" i="18"/>
  <c r="G62" i="2"/>
  <c r="F2369" i="1" s="1"/>
  <c r="G2298" i="18"/>
  <c r="G2130" i="18"/>
  <c r="G2219" i="18"/>
  <c r="G20" i="2"/>
  <c r="F20" i="2"/>
  <c r="E20" i="2"/>
  <c r="L20" i="2"/>
  <c r="F2182" i="1" s="1"/>
  <c r="F17" i="2"/>
  <c r="F2160" i="1" s="1"/>
  <c r="E17" i="2"/>
  <c r="F2163" i="1" s="1"/>
  <c r="G17" i="2"/>
  <c r="L17" i="2"/>
  <c r="F2164" i="1" s="1"/>
  <c r="G2272" i="18"/>
  <c r="G2354" i="18"/>
  <c r="G2360" i="18"/>
  <c r="G2383" i="18"/>
  <c r="G2145" i="18"/>
  <c r="G2257" i="1"/>
  <c r="G2175" i="18"/>
  <c r="G2290" i="18"/>
  <c r="G2313" i="18"/>
  <c r="G2258" i="18"/>
  <c r="G2142" i="18"/>
  <c r="G2135" i="1"/>
  <c r="G2375" i="1"/>
  <c r="G2375" i="18" s="1"/>
  <c r="G2273" i="1"/>
  <c r="G2273" i="18" s="1"/>
  <c r="G2280" i="18"/>
  <c r="G2399" i="18"/>
  <c r="G2276" i="18"/>
  <c r="G2146" i="18"/>
  <c r="G2143" i="1"/>
  <c r="G2217" i="18"/>
  <c r="G2319" i="18"/>
  <c r="G2174" i="18"/>
  <c r="G2286" i="18"/>
  <c r="G2331" i="1"/>
  <c r="G2185" i="18"/>
  <c r="G2153" i="18"/>
  <c r="G2376" i="18"/>
  <c r="G2183" i="1"/>
  <c r="G2287" i="18"/>
  <c r="G2309" i="18"/>
  <c r="G2117" i="18"/>
  <c r="G2285" i="1"/>
  <c r="G2285" i="18" s="1"/>
  <c r="G2149" i="18"/>
  <c r="I2395" i="1"/>
  <c r="J2395" i="1" s="1"/>
  <c r="G2269" i="1"/>
  <c r="G2355" i="1"/>
  <c r="G2156" i="18"/>
  <c r="G2361" i="18"/>
  <c r="G2289" i="1"/>
  <c r="G2267" i="18"/>
  <c r="G2358" i="18"/>
  <c r="G2359" i="1"/>
  <c r="G2154" i="18"/>
  <c r="G2271" i="18"/>
  <c r="G2116" i="18"/>
  <c r="G2265" i="1"/>
  <c r="G2265" i="18" s="1"/>
  <c r="G2270" i="18"/>
  <c r="G2321" i="18"/>
  <c r="G2379" i="1"/>
  <c r="I2379" i="1" s="1"/>
  <c r="G2330" i="18"/>
  <c r="G2250" i="18"/>
  <c r="G2291" i="18"/>
  <c r="G2120" i="18"/>
  <c r="G2279" i="18"/>
  <c r="G2301" i="18"/>
  <c r="G2216" i="18"/>
  <c r="G2352" i="18"/>
  <c r="G2140" i="18"/>
  <c r="G2157" i="18"/>
  <c r="G2253" i="1"/>
  <c r="G2254" i="18"/>
  <c r="G2192" i="18"/>
  <c r="G2371" i="1"/>
  <c r="G2141" i="18"/>
  <c r="G2247" i="18"/>
  <c r="G2152" i="18"/>
  <c r="G2372" i="18"/>
  <c r="G2151" i="1"/>
  <c r="G2235" i="18"/>
  <c r="G2306" i="18"/>
  <c r="G2234" i="18"/>
  <c r="G2373" i="18"/>
  <c r="G2308" i="18"/>
  <c r="G2245" i="1"/>
  <c r="G2245" i="18" s="1"/>
  <c r="G2180" i="18"/>
  <c r="G2378" i="18"/>
  <c r="G2233" i="1"/>
  <c r="G2233" i="18" s="1"/>
  <c r="G2311" i="1"/>
  <c r="G2229" i="18"/>
  <c r="G2127" i="1"/>
  <c r="G2148" i="18"/>
  <c r="G2329" i="18"/>
  <c r="G2114" i="18"/>
  <c r="G2353" i="18"/>
  <c r="G2158" i="18"/>
  <c r="G2147" i="1"/>
  <c r="G2147" i="18" s="1"/>
  <c r="G2293" i="1"/>
  <c r="I2293" i="1" s="1"/>
  <c r="G2249" i="1"/>
  <c r="G2327" i="1"/>
  <c r="G2115" i="1"/>
  <c r="G2251" i="18"/>
  <c r="G2128" i="18"/>
  <c r="G2297" i="18"/>
  <c r="G2307" i="18"/>
  <c r="G2303" i="18"/>
  <c r="G2328" i="18"/>
  <c r="G2299" i="1"/>
  <c r="I2299" i="1" s="1"/>
  <c r="G2316" i="18"/>
  <c r="G2236" i="18"/>
  <c r="G2351" i="1"/>
  <c r="G2351" i="18" s="1"/>
  <c r="G2155" i="1"/>
  <c r="J1627" i="18"/>
  <c r="G2201" i="1"/>
  <c r="G2123" i="1"/>
  <c r="G2123" i="18" s="1"/>
  <c r="G2208" i="1"/>
  <c r="G2240" i="1"/>
  <c r="H2339" i="18"/>
  <c r="H2343" i="18"/>
  <c r="H2269" i="18"/>
  <c r="G2277" i="1"/>
  <c r="J140" i="18"/>
  <c r="G2223" i="1"/>
  <c r="G2337" i="1"/>
  <c r="G2200" i="1"/>
  <c r="G2200" i="18" s="1"/>
  <c r="G2212" i="1"/>
  <c r="G2224" i="1"/>
  <c r="H2355" i="18"/>
  <c r="H2289" i="18"/>
  <c r="H2323" i="18"/>
  <c r="G2198" i="1"/>
  <c r="H2171" i="18"/>
  <c r="G2166" i="1"/>
  <c r="G2105" i="1"/>
  <c r="G2107" i="1"/>
  <c r="H2143" i="18"/>
  <c r="H2151" i="18"/>
  <c r="H2327" i="18"/>
  <c r="H2165" i="18"/>
  <c r="J1675" i="18"/>
  <c r="G2284" i="18"/>
  <c r="G2365" i="1"/>
  <c r="G2324" i="1"/>
  <c r="G2170" i="1"/>
  <c r="G2325" i="1"/>
  <c r="G2104" i="1"/>
  <c r="G2104" i="18" s="1"/>
  <c r="G2125" i="1"/>
  <c r="G2228" i="1"/>
  <c r="H2103" i="18"/>
  <c r="H2261" i="18"/>
  <c r="H2257" i="18"/>
  <c r="G2317" i="1"/>
  <c r="G2215" i="1"/>
  <c r="J139" i="18"/>
  <c r="G2169" i="1"/>
  <c r="G2196" i="1"/>
  <c r="G2196" i="18" s="1"/>
  <c r="G2122" i="1"/>
  <c r="G2108" i="1"/>
  <c r="G2126" i="1"/>
  <c r="G2230" i="1"/>
  <c r="H2233" i="18"/>
  <c r="H2335" i="18"/>
  <c r="H2359" i="18"/>
  <c r="G2305" i="1"/>
  <c r="J141" i="18"/>
  <c r="G2167" i="1"/>
  <c r="H2203" i="18"/>
  <c r="G2338" i="1"/>
  <c r="G2340" i="1"/>
  <c r="G2241" i="1"/>
  <c r="G2241" i="18" s="1"/>
  <c r="G2222" i="1"/>
  <c r="H2331" i="18"/>
  <c r="H2265" i="18"/>
  <c r="G2206" i="1"/>
  <c r="G2281" i="1"/>
  <c r="J1628" i="18"/>
  <c r="G2168" i="18"/>
  <c r="G2113" i="18"/>
  <c r="G2310" i="18"/>
  <c r="G2204" i="1"/>
  <c r="G2197" i="1"/>
  <c r="G2336" i="1"/>
  <c r="G2202" i="1"/>
  <c r="G2342" i="1"/>
  <c r="G2172" i="1"/>
  <c r="H2121" i="18"/>
  <c r="H2155" i="18"/>
  <c r="H2131" i="18"/>
  <c r="G2109" i="1"/>
  <c r="J118" i="18"/>
  <c r="J142" i="1"/>
  <c r="I142" i="18"/>
  <c r="J266" i="1"/>
  <c r="I266" i="18"/>
  <c r="J180" i="1"/>
  <c r="I180" i="18"/>
  <c r="J151" i="1"/>
  <c r="I151" i="18"/>
  <c r="J2399" i="1"/>
  <c r="I2399" i="18"/>
  <c r="J271" i="1"/>
  <c r="I271" i="18"/>
  <c r="J157" i="1"/>
  <c r="I157" i="18"/>
  <c r="J145" i="1"/>
  <c r="I145" i="18"/>
  <c r="J2383" i="1"/>
  <c r="I2383" i="18"/>
  <c r="J246" i="18"/>
  <c r="J248" i="18"/>
  <c r="J250" i="18"/>
  <c r="J492" i="1"/>
  <c r="I492" i="18"/>
  <c r="J160" i="1"/>
  <c r="I160" i="18"/>
  <c r="J468" i="1"/>
  <c r="I468" i="18"/>
  <c r="J2403" i="1"/>
  <c r="I2403" i="18"/>
  <c r="J1630" i="18"/>
  <c r="J247" i="18"/>
  <c r="J249" i="18"/>
  <c r="J245" i="18"/>
  <c r="J402" i="1"/>
  <c r="I402" i="18"/>
  <c r="J256" i="1"/>
  <c r="I256" i="18"/>
  <c r="J360" i="1"/>
  <c r="I360" i="18"/>
  <c r="J176" i="1"/>
  <c r="I176" i="18"/>
  <c r="J1626" i="18"/>
  <c r="J254" i="18"/>
  <c r="J2407" i="1"/>
  <c r="I2407" i="18"/>
  <c r="J164" i="1"/>
  <c r="I164" i="18"/>
  <c r="J318" i="1"/>
  <c r="I318" i="18"/>
  <c r="J154" i="1"/>
  <c r="I154" i="18"/>
  <c r="J279" i="1"/>
  <c r="I279" i="18"/>
  <c r="J276" i="1"/>
  <c r="I276" i="18"/>
  <c r="J186" i="18"/>
  <c r="J288" i="1"/>
  <c r="I288" i="18"/>
  <c r="J294" i="1"/>
  <c r="I294" i="18"/>
  <c r="J285" i="1"/>
  <c r="I285" i="18"/>
  <c r="J261" i="1"/>
  <c r="I261" i="18"/>
  <c r="J297" i="1"/>
  <c r="I297" i="18"/>
  <c r="J2391" i="1"/>
  <c r="I2391" i="18"/>
  <c r="J354" i="1"/>
  <c r="I354" i="18"/>
  <c r="J172" i="1"/>
  <c r="I172" i="18"/>
  <c r="J291" i="1"/>
  <c r="I291" i="18"/>
  <c r="J2387" i="1"/>
  <c r="I2387" i="18"/>
  <c r="J243" i="18"/>
  <c r="J244" i="18"/>
  <c r="G2198" i="18"/>
  <c r="J168" i="1"/>
  <c r="I168" i="18"/>
  <c r="I2285" i="1"/>
  <c r="J133" i="18"/>
  <c r="J253" i="18"/>
  <c r="J561" i="18"/>
  <c r="M561" i="18" s="1"/>
  <c r="N561" i="18" s="1"/>
  <c r="J252" i="18"/>
  <c r="J303" i="1"/>
  <c r="I303" i="18"/>
  <c r="J148" i="1"/>
  <c r="I148" i="18"/>
  <c r="J251" i="18"/>
  <c r="J239" i="18"/>
  <c r="J562" i="18"/>
  <c r="I608" i="18"/>
  <c r="I613" i="18"/>
  <c r="I603" i="18"/>
  <c r="I598" i="18"/>
  <c r="I593" i="18"/>
  <c r="J593" i="1"/>
  <c r="J598" i="1"/>
  <c r="J603" i="1"/>
  <c r="J608" i="1"/>
  <c r="J613" i="1"/>
  <c r="I2131" i="1"/>
  <c r="I2261" i="1"/>
  <c r="N21" i="2"/>
  <c r="J21" i="2" s="1"/>
  <c r="F2161" i="1"/>
  <c r="F2181" i="1"/>
  <c r="F2178" i="1"/>
  <c r="F2179" i="1"/>
  <c r="N24" i="2"/>
  <c r="J24" i="2" s="1"/>
  <c r="N23" i="2"/>
  <c r="J23" i="2" s="1"/>
  <c r="I2265" i="1" l="1"/>
  <c r="I2375" i="1"/>
  <c r="J2375" i="1" s="1"/>
  <c r="I2273" i="1"/>
  <c r="J2273" i="1" s="1"/>
  <c r="G2211" i="1"/>
  <c r="Q561" i="18"/>
  <c r="S561" i="18"/>
  <c r="R561" i="18"/>
  <c r="I2347" i="1"/>
  <c r="I2347" i="18" s="1"/>
  <c r="I2269" i="1"/>
  <c r="I2269" i="18" s="1"/>
  <c r="G2347" i="18"/>
  <c r="G2205" i="18"/>
  <c r="G2364" i="18"/>
  <c r="F2161" i="18"/>
  <c r="F2369" i="18"/>
  <c r="F2160" i="18"/>
  <c r="G2163" i="1"/>
  <c r="F2163" i="18"/>
  <c r="F2179" i="18"/>
  <c r="F2178" i="18"/>
  <c r="F2164" i="18"/>
  <c r="G2370" i="1"/>
  <c r="G2370" i="18" s="1"/>
  <c r="F2370" i="18"/>
  <c r="F2181" i="18"/>
  <c r="F2368" i="18"/>
  <c r="F2182" i="18"/>
  <c r="I2331" i="1"/>
  <c r="J2331" i="1" s="1"/>
  <c r="G2331" i="18"/>
  <c r="G2183" i="18"/>
  <c r="G2191" i="1"/>
  <c r="G2191" i="18" s="1"/>
  <c r="G2369" i="1"/>
  <c r="G2194" i="18"/>
  <c r="H2363" i="18"/>
  <c r="G2135" i="18"/>
  <c r="G2187" i="18"/>
  <c r="H2239" i="18"/>
  <c r="G2366" i="18"/>
  <c r="G2341" i="18"/>
  <c r="G2368" i="1"/>
  <c r="G2368" i="18" s="1"/>
  <c r="I2343" i="1"/>
  <c r="J2343" i="1" s="1"/>
  <c r="G2343" i="18"/>
  <c r="I2257" i="1"/>
  <c r="J2257" i="1" s="1"/>
  <c r="G2257" i="18"/>
  <c r="G2299" i="18"/>
  <c r="G2164" i="1"/>
  <c r="G2176" i="18"/>
  <c r="G2326" i="18"/>
  <c r="G2317" i="18"/>
  <c r="I2327" i="1"/>
  <c r="J2327" i="1" s="1"/>
  <c r="G2327" i="18"/>
  <c r="I2311" i="1"/>
  <c r="J2311" i="1" s="1"/>
  <c r="G2108" i="18"/>
  <c r="G2125" i="18"/>
  <c r="I2317" i="1"/>
  <c r="G2311" i="18"/>
  <c r="G2224" i="18"/>
  <c r="G2365" i="18"/>
  <c r="G2363" i="1"/>
  <c r="I2363" i="1" s="1"/>
  <c r="I2363" i="18" s="1"/>
  <c r="G2201" i="18"/>
  <c r="G2325" i="18"/>
  <c r="G2151" i="18"/>
  <c r="G2338" i="18"/>
  <c r="I2395" i="18"/>
  <c r="G2289" i="18"/>
  <c r="I2289" i="1"/>
  <c r="I2233" i="1"/>
  <c r="G2208" i="18"/>
  <c r="I2359" i="1"/>
  <c r="G2269" i="18"/>
  <c r="G2127" i="18"/>
  <c r="G2166" i="18"/>
  <c r="I2355" i="1"/>
  <c r="I2355" i="18" s="1"/>
  <c r="G2355" i="18"/>
  <c r="G2253" i="18"/>
  <c r="G2359" i="18"/>
  <c r="G2324" i="18"/>
  <c r="I2151" i="1"/>
  <c r="G2323" i="1"/>
  <c r="I2323" i="1" s="1"/>
  <c r="G2277" i="18"/>
  <c r="I2143" i="1"/>
  <c r="G2143" i="18"/>
  <c r="G2223" i="18"/>
  <c r="G2171" i="1"/>
  <c r="I2171" i="1" s="1"/>
  <c r="J2171" i="1" s="1"/>
  <c r="G2340" i="18"/>
  <c r="I2281" i="1"/>
  <c r="G2172" i="18"/>
  <c r="G2281" i="18"/>
  <c r="G2230" i="18"/>
  <c r="G2167" i="18"/>
  <c r="G2169" i="18"/>
  <c r="G2379" i="18"/>
  <c r="I2379" i="18"/>
  <c r="I2147" i="1"/>
  <c r="J2379" i="1"/>
  <c r="J2379" i="18" s="1"/>
  <c r="G2107" i="18"/>
  <c r="G2197" i="18"/>
  <c r="G2335" i="1"/>
  <c r="G2240" i="18"/>
  <c r="J2293" i="1"/>
  <c r="G2105" i="18"/>
  <c r="G2293" i="18"/>
  <c r="G2207" i="1"/>
  <c r="I2351" i="1"/>
  <c r="I2293" i="18"/>
  <c r="G2170" i="18"/>
  <c r="G2165" i="1"/>
  <c r="G2204" i="18"/>
  <c r="I2305" i="1"/>
  <c r="I2155" i="1"/>
  <c r="G2155" i="18"/>
  <c r="I2371" i="1"/>
  <c r="I2371" i="18" s="1"/>
  <c r="G2249" i="18"/>
  <c r="G2371" i="18"/>
  <c r="G2227" i="1"/>
  <c r="I2227" i="1" s="1"/>
  <c r="G2121" i="1"/>
  <c r="G2121" i="18" s="1"/>
  <c r="G2202" i="18"/>
  <c r="G2239" i="1"/>
  <c r="G2239" i="18" s="1"/>
  <c r="I2115" i="1"/>
  <c r="G2215" i="18"/>
  <c r="G2103" i="1"/>
  <c r="I2103" i="1" s="1"/>
  <c r="G2115" i="18"/>
  <c r="G2122" i="18"/>
  <c r="G2337" i="18"/>
  <c r="G2199" i="1"/>
  <c r="I2199" i="1" s="1"/>
  <c r="G2195" i="1"/>
  <c r="G2336" i="18"/>
  <c r="G2203" i="1"/>
  <c r="I2277" i="1"/>
  <c r="I2277" i="18" s="1"/>
  <c r="G2228" i="18"/>
  <c r="G2212" i="18"/>
  <c r="G2221" i="1"/>
  <c r="G2222" i="18"/>
  <c r="H2207" i="18"/>
  <c r="H2159" i="18"/>
  <c r="G2109" i="18"/>
  <c r="G2206" i="18"/>
  <c r="G2126" i="18"/>
  <c r="H2199" i="18"/>
  <c r="G2182" i="1"/>
  <c r="H2227" i="18"/>
  <c r="H2187" i="18"/>
  <c r="G2342" i="18"/>
  <c r="G2161" i="1"/>
  <c r="H2367" i="18"/>
  <c r="G2339" i="1"/>
  <c r="G2305" i="18"/>
  <c r="H2221" i="18"/>
  <c r="H2177" i="18"/>
  <c r="G2181" i="1"/>
  <c r="G2160" i="1"/>
  <c r="H2249" i="18"/>
  <c r="I2109" i="1"/>
  <c r="H2135" i="18"/>
  <c r="H2139" i="18"/>
  <c r="G2179" i="1"/>
  <c r="G2178" i="1"/>
  <c r="H2127" i="18"/>
  <c r="H2211" i="18"/>
  <c r="I2299" i="18"/>
  <c r="J2131" i="1"/>
  <c r="I2131" i="18"/>
  <c r="J276" i="18"/>
  <c r="J360" i="18"/>
  <c r="J160" i="18"/>
  <c r="J157" i="18"/>
  <c r="J180" i="18"/>
  <c r="J354" i="18"/>
  <c r="J2407" i="18"/>
  <c r="J176" i="18"/>
  <c r="J468" i="18"/>
  <c r="J145" i="18"/>
  <c r="J151" i="18"/>
  <c r="J142" i="18"/>
  <c r="J148" i="18"/>
  <c r="J172" i="18"/>
  <c r="J2383" i="18"/>
  <c r="J266" i="18"/>
  <c r="J168" i="18"/>
  <c r="J291" i="18"/>
  <c r="J288" i="18"/>
  <c r="J294" i="18"/>
  <c r="J164" i="18"/>
  <c r="J2403" i="18"/>
  <c r="J2399" i="18"/>
  <c r="J285" i="18"/>
  <c r="J318" i="18"/>
  <c r="J2359" i="1"/>
  <c r="J2395" i="18"/>
  <c r="J2285" i="1"/>
  <c r="I2285" i="18"/>
  <c r="J2391" i="18"/>
  <c r="J261" i="18"/>
  <c r="J154" i="18"/>
  <c r="J402" i="18"/>
  <c r="M402" i="18" s="1"/>
  <c r="N402" i="18" s="1"/>
  <c r="I2261" i="18"/>
  <c r="I2265" i="18"/>
  <c r="J303" i="18"/>
  <c r="J2387" i="18"/>
  <c r="J297" i="18"/>
  <c r="J279" i="18"/>
  <c r="J256" i="18"/>
  <c r="J492" i="18"/>
  <c r="J271" i="18"/>
  <c r="G2211" i="18"/>
  <c r="J608" i="18"/>
  <c r="J603" i="18"/>
  <c r="J598" i="18"/>
  <c r="M598" i="18" s="1"/>
  <c r="N598" i="18" s="1"/>
  <c r="J613" i="18"/>
  <c r="J593" i="18"/>
  <c r="J2299" i="1"/>
  <c r="J2265" i="1"/>
  <c r="J2261" i="1"/>
  <c r="I2211" i="1"/>
  <c r="I2207" i="1"/>
  <c r="I2187" i="1"/>
  <c r="I2139" i="1"/>
  <c r="I2127" i="1"/>
  <c r="I2135" i="1"/>
  <c r="I2249" i="1"/>
  <c r="G2323" i="18" l="1"/>
  <c r="J2347" i="1"/>
  <c r="I2273" i="18"/>
  <c r="J2269" i="1"/>
  <c r="I2327" i="18"/>
  <c r="I2331" i="18"/>
  <c r="I2375" i="18"/>
  <c r="I2343" i="18"/>
  <c r="I2311" i="18"/>
  <c r="J2355" i="1"/>
  <c r="J2355" i="18" s="1"/>
  <c r="I2257" i="18"/>
  <c r="G2171" i="18"/>
  <c r="I2171" i="18"/>
  <c r="G2367" i="1"/>
  <c r="G2367" i="18" s="1"/>
  <c r="P406" i="18"/>
  <c r="R402" i="18"/>
  <c r="Q402" i="18"/>
  <c r="P405" i="18"/>
  <c r="P404" i="18"/>
  <c r="P407" i="18"/>
  <c r="P403" i="18"/>
  <c r="S402" i="18"/>
  <c r="O228" i="18"/>
  <c r="P228" i="18" s="1"/>
  <c r="G2163" i="18"/>
  <c r="G2369" i="18"/>
  <c r="S598" i="18"/>
  <c r="R598" i="18"/>
  <c r="P601" i="18"/>
  <c r="Q598" i="18"/>
  <c r="P600" i="18"/>
  <c r="P599" i="18"/>
  <c r="O589" i="18"/>
  <c r="N2551" i="18"/>
  <c r="G2227" i="18"/>
  <c r="I2359" i="18"/>
  <c r="G2164" i="18"/>
  <c r="I2143" i="18"/>
  <c r="I2289" i="18"/>
  <c r="I2203" i="1"/>
  <c r="J2203" i="1" s="1"/>
  <c r="G2221" i="18"/>
  <c r="J2155" i="1"/>
  <c r="J2155" i="18" s="1"/>
  <c r="G2203" i="18"/>
  <c r="J2293" i="18"/>
  <c r="I2221" i="1"/>
  <c r="J2143" i="1"/>
  <c r="I2155" i="18"/>
  <c r="J2289" i="1"/>
  <c r="I2317" i="18"/>
  <c r="G2182" i="18"/>
  <c r="J2317" i="1"/>
  <c r="J2363" i="1"/>
  <c r="G2363" i="18"/>
  <c r="J2351" i="1"/>
  <c r="J2351" i="18" s="1"/>
  <c r="G2165" i="18"/>
  <c r="I2165" i="1"/>
  <c r="I2351" i="18"/>
  <c r="J2151" i="1"/>
  <c r="J2151" i="18" s="1"/>
  <c r="J2147" i="1"/>
  <c r="I2151" i="18"/>
  <c r="I2233" i="18"/>
  <c r="J2233" i="1"/>
  <c r="J2305" i="1"/>
  <c r="I2305" i="18"/>
  <c r="G2199" i="18"/>
  <c r="G2339" i="18"/>
  <c r="G2160" i="18"/>
  <c r="G2195" i="18"/>
  <c r="J2281" i="1"/>
  <c r="J2281" i="18" s="1"/>
  <c r="G2179" i="18"/>
  <c r="J2277" i="1"/>
  <c r="I2147" i="18"/>
  <c r="I2281" i="18"/>
  <c r="I2335" i="1"/>
  <c r="J2109" i="1"/>
  <c r="G2335" i="18"/>
  <c r="I2121" i="1"/>
  <c r="I2109" i="18"/>
  <c r="G2207" i="18"/>
  <c r="I2239" i="1"/>
  <c r="I2239" i="18" s="1"/>
  <c r="G2178" i="18"/>
  <c r="G2159" i="1"/>
  <c r="G2103" i="18"/>
  <c r="G2177" i="1"/>
  <c r="G2161" i="18"/>
  <c r="G2181" i="18"/>
  <c r="J2371" i="1"/>
  <c r="J2115" i="1"/>
  <c r="I2115" i="18"/>
  <c r="I2339" i="1"/>
  <c r="I2339" i="18" s="1"/>
  <c r="I2139" i="18"/>
  <c r="H2195" i="18"/>
  <c r="H2191" i="18"/>
  <c r="H2183" i="18"/>
  <c r="H2253" i="18"/>
  <c r="J2211" i="1"/>
  <c r="I2211" i="18"/>
  <c r="J2187" i="1"/>
  <c r="I2187" i="18"/>
  <c r="I2227" i="18"/>
  <c r="J2343" i="18"/>
  <c r="J2347" i="18"/>
  <c r="J2257" i="18"/>
  <c r="J2359" i="18"/>
  <c r="J2311" i="18"/>
  <c r="J2103" i="1"/>
  <c r="I2103" i="18"/>
  <c r="J2131" i="18"/>
  <c r="J2269" i="18"/>
  <c r="J2327" i="18"/>
  <c r="J2331" i="18"/>
  <c r="I2207" i="18"/>
  <c r="J2299" i="18"/>
  <c r="I2323" i="18"/>
  <c r="J2171" i="18"/>
  <c r="J2273" i="18"/>
  <c r="J2135" i="1"/>
  <c r="I2135" i="18"/>
  <c r="J2265" i="18"/>
  <c r="I2127" i="18"/>
  <c r="J2375" i="18"/>
  <c r="I2249" i="18"/>
  <c r="I2199" i="18"/>
  <c r="J2261" i="18"/>
  <c r="J2285" i="18"/>
  <c r="J2207" i="1"/>
  <c r="J2323" i="1"/>
  <c r="J2127" i="1"/>
  <c r="J2249" i="1"/>
  <c r="J2227" i="1"/>
  <c r="J2139" i="1"/>
  <c r="J2199" i="1"/>
  <c r="I2183" i="1"/>
  <c r="I2191" i="1"/>
  <c r="I2253" i="1"/>
  <c r="I2195" i="1"/>
  <c r="I2203" i="18" l="1"/>
  <c r="I2367" i="1"/>
  <c r="S403" i="18"/>
  <c r="R403" i="18"/>
  <c r="Q403" i="18"/>
  <c r="S407" i="18"/>
  <c r="R407" i="18"/>
  <c r="Q407" i="18"/>
  <c r="R404" i="18"/>
  <c r="S404" i="18"/>
  <c r="Q404" i="18"/>
  <c r="Q405" i="18"/>
  <c r="R405" i="18"/>
  <c r="S405" i="18"/>
  <c r="R228" i="18"/>
  <c r="Q228" i="18"/>
  <c r="S228" i="18"/>
  <c r="S406" i="18"/>
  <c r="R406" i="18"/>
  <c r="Q406" i="18"/>
  <c r="J2221" i="1"/>
  <c r="J2221" i="18" s="1"/>
  <c r="M2221" i="18" s="1"/>
  <c r="N2221" i="18" s="1"/>
  <c r="J2239" i="1"/>
  <c r="J2239" i="18" s="1"/>
  <c r="J2165" i="1"/>
  <c r="J2165" i="18" s="1"/>
  <c r="I2221" i="18"/>
  <c r="P589" i="18"/>
  <c r="O2551" i="18"/>
  <c r="J2143" i="18"/>
  <c r="J2289" i="18"/>
  <c r="I2165" i="18"/>
  <c r="Q599" i="18"/>
  <c r="S599" i="18"/>
  <c r="R599" i="18"/>
  <c r="J2233" i="18"/>
  <c r="S600" i="18"/>
  <c r="R600" i="18"/>
  <c r="Q600" i="18"/>
  <c r="S601" i="18"/>
  <c r="R601" i="18"/>
  <c r="Q601" i="18"/>
  <c r="J2317" i="18"/>
  <c r="J2339" i="1"/>
  <c r="J2363" i="18"/>
  <c r="J2147" i="18"/>
  <c r="J2305" i="18"/>
  <c r="G2177" i="18"/>
  <c r="J2335" i="1"/>
  <c r="I2335" i="18"/>
  <c r="J2371" i="18"/>
  <c r="I2177" i="1"/>
  <c r="I2121" i="18"/>
  <c r="J2115" i="18"/>
  <c r="J2121" i="1"/>
  <c r="J2121" i="18" s="1"/>
  <c r="J2109" i="18"/>
  <c r="J2277" i="18"/>
  <c r="I2159" i="1"/>
  <c r="G2159" i="18"/>
  <c r="J2139" i="18"/>
  <c r="J2207" i="18"/>
  <c r="J2103" i="18"/>
  <c r="M2103" i="18" s="1"/>
  <c r="N2103" i="18" s="1"/>
  <c r="J2195" i="1"/>
  <c r="I2195" i="18"/>
  <c r="J2187" i="18"/>
  <c r="I2253" i="18"/>
  <c r="J2135" i="18"/>
  <c r="J2227" i="18"/>
  <c r="J2249" i="18"/>
  <c r="I2191" i="18"/>
  <c r="J2127" i="18"/>
  <c r="J2183" i="1"/>
  <c r="I2183" i="18"/>
  <c r="J2203" i="18"/>
  <c r="J2199" i="18"/>
  <c r="J2323" i="18"/>
  <c r="J2211" i="18"/>
  <c r="J2253" i="1"/>
  <c r="J2191" i="1"/>
  <c r="J2367" i="1" l="1"/>
  <c r="J2367" i="18" s="1"/>
  <c r="I2367" i="18"/>
  <c r="J2339" i="18"/>
  <c r="S2221" i="18"/>
  <c r="R2221" i="18"/>
  <c r="P2224" i="18"/>
  <c r="Q2221" i="18"/>
  <c r="P2223" i="18"/>
  <c r="P2226" i="18"/>
  <c r="P2225" i="18"/>
  <c r="P2222" i="18"/>
  <c r="Q2103" i="18"/>
  <c r="P2105" i="18"/>
  <c r="P2108" i="18"/>
  <c r="P2107" i="18"/>
  <c r="P2104" i="18"/>
  <c r="P2106" i="18"/>
  <c r="S2103" i="18"/>
  <c r="R2103" i="18"/>
  <c r="N2555" i="18"/>
  <c r="O1720" i="18"/>
  <c r="S18" i="11" s="1"/>
  <c r="N2560" i="18"/>
  <c r="N2550" i="18"/>
  <c r="S589" i="18"/>
  <c r="R589" i="18"/>
  <c r="Q589" i="18"/>
  <c r="J2335" i="18"/>
  <c r="J2177" i="1"/>
  <c r="I2177" i="18"/>
  <c r="J2159" i="1"/>
  <c r="J2159" i="18" s="1"/>
  <c r="I2159" i="18"/>
  <c r="J2195" i="18"/>
  <c r="J2191" i="18"/>
  <c r="J2183" i="18"/>
  <c r="J2253" i="18"/>
  <c r="R2104" i="18" l="1"/>
  <c r="S2104" i="18"/>
  <c r="Q2104" i="18"/>
  <c r="Q2107" i="18"/>
  <c r="S2107" i="18"/>
  <c r="R2107" i="18"/>
  <c r="S2223" i="18"/>
  <c r="Q2223" i="18"/>
  <c r="R2223" i="18"/>
  <c r="S2222" i="18"/>
  <c r="R2222" i="18"/>
  <c r="Q2222" i="18"/>
  <c r="R2224" i="18"/>
  <c r="Q2224" i="18"/>
  <c r="S2224" i="18"/>
  <c r="O2555" i="18"/>
  <c r="P1720" i="18"/>
  <c r="O2548" i="18"/>
  <c r="O2557" i="18" s="1"/>
  <c r="O2560" i="18"/>
  <c r="R2105" i="18"/>
  <c r="Q2105" i="18"/>
  <c r="S2105" i="18"/>
  <c r="R2226" i="18"/>
  <c r="Q2226" i="18"/>
  <c r="S2226" i="18"/>
  <c r="S2106" i="18"/>
  <c r="Q2106" i="18"/>
  <c r="R2106" i="18"/>
  <c r="Q2108" i="18"/>
  <c r="S2108" i="18"/>
  <c r="R2108" i="18"/>
  <c r="R2225" i="18"/>
  <c r="S2225" i="18"/>
  <c r="Q2225" i="18"/>
  <c r="J2177" i="18"/>
  <c r="R1720" i="18" l="1"/>
  <c r="S1720" i="18"/>
  <c r="Q1720" i="18"/>
  <c r="I282" i="1"/>
  <c r="J282" i="1" l="1"/>
  <c r="I282" i="18"/>
  <c r="J282" i="18" l="1"/>
  <c r="I336" i="1"/>
  <c r="J336" i="1" l="1"/>
  <c r="I336" i="18"/>
  <c r="W34" i="2"/>
  <c r="J34" i="2" s="1"/>
  <c r="J336" i="18" l="1"/>
  <c r="H2245" i="18" l="1"/>
  <c r="H2215" i="18"/>
  <c r="I2215" i="1"/>
  <c r="I2245" i="1"/>
  <c r="J2245" i="1" l="1"/>
  <c r="I2245" i="18"/>
  <c r="J2215" i="1"/>
  <c r="I2215" i="18"/>
  <c r="I814" i="1"/>
  <c r="J814" i="1" l="1"/>
  <c r="I814" i="18"/>
  <c r="J2215" i="18"/>
  <c r="J2245" i="18"/>
  <c r="I815" i="1"/>
  <c r="J814" i="18" l="1"/>
  <c r="I815" i="18"/>
  <c r="J815" i="1"/>
  <c r="J815" i="18" l="1"/>
  <c r="F417" i="1" l="1"/>
  <c r="M180" i="25"/>
  <c r="G417" i="1" l="1"/>
  <c r="G417" i="18" s="1"/>
  <c r="F417" i="18"/>
  <c r="F418" i="1"/>
  <c r="F418" i="18" l="1"/>
  <c r="G418" i="1"/>
  <c r="G418" i="18" l="1"/>
  <c r="G414" i="1"/>
  <c r="I414" i="1" l="1"/>
  <c r="G414" i="18"/>
  <c r="J414" i="1" l="1"/>
  <c r="I414" i="18"/>
  <c r="J414" i="18" l="1"/>
  <c r="L20" i="1"/>
  <c r="M20" i="1" s="1"/>
  <c r="V20" i="1"/>
  <c r="L21" i="1"/>
  <c r="M21" i="1" s="1"/>
  <c r="V21" i="1"/>
  <c r="L22" i="1"/>
  <c r="M22" i="1" s="1"/>
  <c r="V22" i="1"/>
  <c r="L23" i="1"/>
  <c r="M23" i="1" s="1"/>
  <c r="V23" i="1"/>
  <c r="L24" i="1"/>
  <c r="M24" i="1" s="1"/>
  <c r="V24" i="1"/>
  <c r="L25" i="1"/>
  <c r="M25" i="1" s="1"/>
  <c r="V25" i="1"/>
  <c r="L26" i="1"/>
  <c r="M26" i="1" s="1"/>
  <c r="V26" i="1"/>
  <c r="L27" i="1"/>
  <c r="M27" i="1" s="1"/>
  <c r="V27" i="1"/>
  <c r="L28" i="1"/>
  <c r="M28" i="1" s="1"/>
  <c r="V28" i="1"/>
  <c r="L29" i="1"/>
  <c r="M29" i="1" s="1"/>
  <c r="V29" i="1"/>
  <c r="L30" i="1"/>
  <c r="M30" i="1" s="1"/>
  <c r="V30" i="1"/>
  <c r="L31" i="1"/>
  <c r="M31" i="1" s="1"/>
  <c r="V31" i="1"/>
  <c r="L32" i="1"/>
  <c r="M32" i="1" s="1"/>
  <c r="V32" i="1"/>
  <c r="L33" i="1"/>
  <c r="M33" i="1" s="1"/>
  <c r="V33" i="1"/>
  <c r="L34" i="1"/>
  <c r="M34" i="1" s="1"/>
  <c r="V34" i="1"/>
  <c r="L35" i="1"/>
  <c r="M35" i="1" s="1"/>
  <c r="V35" i="1"/>
  <c r="L36" i="1"/>
  <c r="M36" i="1" s="1"/>
  <c r="V36" i="1"/>
  <c r="L37" i="1"/>
  <c r="M37" i="1" s="1"/>
  <c r="V37" i="1"/>
  <c r="L38" i="1"/>
  <c r="M38" i="1" s="1"/>
  <c r="V38" i="1"/>
  <c r="L39" i="1"/>
  <c r="M39" i="1" s="1"/>
  <c r="V39" i="1"/>
  <c r="L40" i="1"/>
  <c r="M40" i="1" s="1"/>
  <c r="V40" i="1"/>
  <c r="L41" i="1"/>
  <c r="M41" i="1" s="1"/>
  <c r="V41" i="1"/>
  <c r="L42" i="1"/>
  <c r="M42" i="1" s="1"/>
  <c r="V42" i="1"/>
  <c r="L43" i="1"/>
  <c r="M43" i="1" s="1"/>
  <c r="V43" i="1"/>
  <c r="L44" i="1"/>
  <c r="V44" i="1"/>
  <c r="L45" i="1"/>
  <c r="V45" i="1"/>
  <c r="L46" i="1"/>
  <c r="V46" i="1"/>
  <c r="L47" i="1"/>
  <c r="V47" i="1"/>
  <c r="L48" i="1"/>
  <c r="V48" i="1"/>
  <c r="L49" i="1"/>
  <c r="V49" i="1"/>
  <c r="L50" i="1"/>
  <c r="V50" i="1"/>
  <c r="L51" i="1"/>
  <c r="V51" i="1"/>
  <c r="L52" i="1"/>
  <c r="V52" i="1"/>
  <c r="L53" i="1"/>
  <c r="V53" i="1"/>
  <c r="L54" i="1"/>
  <c r="V54" i="1"/>
  <c r="L55" i="1"/>
  <c r="V55" i="1"/>
  <c r="L56" i="1"/>
  <c r="V56" i="1"/>
  <c r="L57" i="1"/>
  <c r="V57" i="1"/>
  <c r="L58" i="1"/>
  <c r="V58" i="1"/>
  <c r="L59" i="1"/>
  <c r="V59" i="1"/>
  <c r="L60" i="1"/>
  <c r="V60" i="1"/>
  <c r="L61" i="1"/>
  <c r="V61" i="1"/>
  <c r="L62" i="1"/>
  <c r="V62" i="1"/>
  <c r="L63" i="1"/>
  <c r="V63" i="1"/>
  <c r="L64" i="1"/>
  <c r="V64" i="1"/>
  <c r="L65" i="1"/>
  <c r="V65" i="1"/>
  <c r="L66" i="1"/>
  <c r="V66" i="1"/>
  <c r="L67" i="1"/>
  <c r="V67" i="1"/>
  <c r="L68" i="1"/>
  <c r="V68" i="1"/>
  <c r="L69" i="1"/>
  <c r="V69" i="1"/>
  <c r="L70" i="1"/>
  <c r="M70" i="1" s="1"/>
  <c r="V70" i="1"/>
  <c r="L71" i="1"/>
  <c r="M71" i="1" s="1"/>
  <c r="V71" i="1"/>
  <c r="L72" i="1"/>
  <c r="M72" i="1" s="1"/>
  <c r="V72" i="1"/>
  <c r="L73" i="1"/>
  <c r="M73" i="1" s="1"/>
  <c r="V73" i="1"/>
  <c r="L74" i="1"/>
  <c r="M74" i="1" s="1"/>
  <c r="V74" i="1"/>
  <c r="L75" i="1"/>
  <c r="M75" i="1" s="1"/>
  <c r="V75" i="1"/>
  <c r="L76" i="1"/>
  <c r="M76" i="1" s="1"/>
  <c r="V76" i="1"/>
  <c r="L77" i="1"/>
  <c r="M77" i="1" s="1"/>
  <c r="V77" i="1"/>
  <c r="L78" i="1"/>
  <c r="M78" i="1" s="1"/>
  <c r="V78" i="1"/>
  <c r="L79" i="1"/>
  <c r="M79" i="1" s="1"/>
  <c r="V79" i="1"/>
  <c r="L80" i="1"/>
  <c r="M80" i="1" s="1"/>
  <c r="V80" i="1"/>
  <c r="L81" i="1"/>
  <c r="M81" i="1" s="1"/>
  <c r="V81" i="1"/>
  <c r="L82" i="1"/>
  <c r="M82" i="1" s="1"/>
  <c r="V82" i="1"/>
  <c r="L83" i="1"/>
  <c r="M83" i="1" s="1"/>
  <c r="V83" i="1"/>
  <c r="L84" i="1"/>
  <c r="M84" i="1" s="1"/>
  <c r="V84" i="1"/>
  <c r="L85" i="1"/>
  <c r="M85" i="1" s="1"/>
  <c r="V85" i="1"/>
  <c r="L86" i="1"/>
  <c r="M86" i="1" s="1"/>
  <c r="V86" i="1"/>
  <c r="L87" i="1"/>
  <c r="M87" i="1" s="1"/>
  <c r="V87" i="1"/>
  <c r="L88" i="1"/>
  <c r="M88" i="1" s="1"/>
  <c r="V88" i="1"/>
  <c r="L89" i="1"/>
  <c r="M89" i="1" s="1"/>
  <c r="V89" i="1"/>
  <c r="L90" i="1"/>
  <c r="M90" i="1" s="1"/>
  <c r="V90" i="1"/>
  <c r="L91" i="1"/>
  <c r="M91" i="1" s="1"/>
  <c r="V91" i="1"/>
  <c r="L92" i="1"/>
  <c r="M92" i="1" s="1"/>
  <c r="N92" i="1" s="1"/>
  <c r="V92" i="1"/>
  <c r="L93" i="1"/>
  <c r="M93" i="1" s="1"/>
  <c r="N93" i="1" s="1"/>
  <c r="V93" i="1"/>
  <c r="L94" i="1"/>
  <c r="M94" i="1" s="1"/>
  <c r="N94" i="1" s="1"/>
  <c r="V94" i="1"/>
  <c r="L95" i="1"/>
  <c r="M95" i="1" s="1"/>
  <c r="N95" i="1" s="1"/>
  <c r="V95" i="1"/>
  <c r="L96" i="1"/>
  <c r="M96" i="1" s="1"/>
  <c r="N96" i="1" s="1"/>
  <c r="V96" i="1"/>
  <c r="L97" i="1"/>
  <c r="M97" i="1" s="1"/>
  <c r="N97" i="1" s="1"/>
  <c r="V97" i="1"/>
  <c r="L98" i="1"/>
  <c r="M98" i="1" s="1"/>
  <c r="N98" i="1" s="1"/>
  <c r="V98" i="1"/>
  <c r="L99" i="1"/>
  <c r="M99" i="1" s="1"/>
  <c r="N99" i="1" s="1"/>
  <c r="V99" i="1"/>
  <c r="L100" i="1"/>
  <c r="M100" i="1" s="1"/>
  <c r="N100" i="1" s="1"/>
  <c r="V100" i="1"/>
  <c r="L101" i="1"/>
  <c r="M101" i="1" s="1"/>
  <c r="N101" i="1" s="1"/>
  <c r="V101" i="1"/>
  <c r="L102" i="1"/>
  <c r="M102" i="1" s="1"/>
  <c r="N102" i="1" s="1"/>
  <c r="V102" i="1"/>
  <c r="L103" i="1"/>
  <c r="M103" i="1" s="1"/>
  <c r="N103" i="1" s="1"/>
  <c r="V103" i="1"/>
  <c r="L104" i="1"/>
  <c r="M104" i="1" s="1"/>
  <c r="N104" i="1" s="1"/>
  <c r="V104" i="1"/>
  <c r="L105" i="1"/>
  <c r="M105" i="1" s="1"/>
  <c r="N105" i="1" s="1"/>
  <c r="V105" i="1"/>
  <c r="L106" i="1"/>
  <c r="M106" i="1" s="1"/>
  <c r="N106" i="1" s="1"/>
  <c r="V106" i="1"/>
  <c r="L107" i="1"/>
  <c r="M107" i="1" s="1"/>
  <c r="N107" i="1" s="1"/>
  <c r="V107" i="1"/>
  <c r="L108" i="1"/>
  <c r="M108" i="1" s="1"/>
  <c r="N108" i="1" s="1"/>
  <c r="V108" i="1"/>
  <c r="L109" i="1"/>
  <c r="M109" i="1" s="1"/>
  <c r="N109" i="1" s="1"/>
  <c r="V109" i="1"/>
  <c r="L110" i="1"/>
  <c r="M110" i="1" s="1"/>
  <c r="N110" i="1" s="1"/>
  <c r="V110" i="1"/>
  <c r="L111" i="1"/>
  <c r="M111" i="1" s="1"/>
  <c r="N111" i="1" s="1"/>
  <c r="V111" i="1"/>
  <c r="L112" i="1"/>
  <c r="M112" i="1" s="1"/>
  <c r="N112" i="1" s="1"/>
  <c r="V112" i="1"/>
  <c r="L113" i="1"/>
  <c r="M113" i="1" s="1"/>
  <c r="N113" i="1" s="1"/>
  <c r="V113" i="1"/>
  <c r="L114" i="1"/>
  <c r="M114" i="1" s="1"/>
  <c r="N114" i="1" s="1"/>
  <c r="V114" i="1"/>
  <c r="L115" i="1"/>
  <c r="M115" i="1" s="1"/>
  <c r="N115" i="1" s="1"/>
  <c r="V115" i="1"/>
  <c r="L116" i="1"/>
  <c r="M116" i="1" s="1"/>
  <c r="N116" i="1" s="1"/>
  <c r="V116" i="1"/>
  <c r="L117" i="1"/>
  <c r="L118" i="1"/>
  <c r="M118" i="1" s="1"/>
  <c r="V118" i="1"/>
  <c r="L119" i="1"/>
  <c r="M119" i="1" s="1"/>
  <c r="V119" i="1"/>
  <c r="L120" i="1"/>
  <c r="M120" i="1" s="1"/>
  <c r="V120" i="1"/>
  <c r="L121" i="1"/>
  <c r="M121" i="1" s="1"/>
  <c r="V121" i="1"/>
  <c r="L122" i="1"/>
  <c r="M122" i="1" s="1"/>
  <c r="V122" i="1"/>
  <c r="L123" i="1"/>
  <c r="M123" i="1" s="1"/>
  <c r="V123" i="1"/>
  <c r="L124" i="1"/>
  <c r="M124" i="1" s="1"/>
  <c r="V124" i="1"/>
  <c r="L125" i="1"/>
  <c r="M125" i="1" s="1"/>
  <c r="V125" i="1"/>
  <c r="L126" i="1"/>
  <c r="M126" i="1" s="1"/>
  <c r="V126" i="1"/>
  <c r="L127" i="1"/>
  <c r="M127" i="1" s="1"/>
  <c r="N127" i="1" s="1"/>
  <c r="V127" i="1"/>
  <c r="L128" i="1"/>
  <c r="M128" i="1" s="1"/>
  <c r="N128" i="1" s="1"/>
  <c r="V128" i="1"/>
  <c r="L129" i="1"/>
  <c r="M129" i="1" s="1"/>
  <c r="N129" i="1" s="1"/>
  <c r="V129" i="1"/>
  <c r="L130" i="1"/>
  <c r="M130" i="1" s="1"/>
  <c r="N130" i="1" s="1"/>
  <c r="V130" i="1"/>
  <c r="L131" i="1"/>
  <c r="M131" i="1" s="1"/>
  <c r="N131" i="1" s="1"/>
  <c r="V131" i="1"/>
  <c r="L132" i="1"/>
  <c r="M132" i="1" s="1"/>
  <c r="N132" i="1" s="1"/>
  <c r="V132" i="1"/>
  <c r="L133" i="1"/>
  <c r="M133" i="1" s="1"/>
  <c r="V133" i="1"/>
  <c r="L134" i="1"/>
  <c r="M134" i="1" s="1"/>
  <c r="N134" i="1" s="1"/>
  <c r="V134" i="1"/>
  <c r="L135" i="1"/>
  <c r="V135" i="1"/>
  <c r="L136" i="1"/>
  <c r="M136" i="1" s="1"/>
  <c r="V136" i="1"/>
  <c r="L137" i="1"/>
  <c r="M137" i="1" s="1"/>
  <c r="V137" i="1"/>
  <c r="L138" i="1"/>
  <c r="M138" i="1" s="1"/>
  <c r="V138" i="1"/>
  <c r="L139" i="1"/>
  <c r="M139" i="1" s="1"/>
  <c r="V139" i="1"/>
  <c r="L140" i="1"/>
  <c r="M140" i="1" s="1"/>
  <c r="V140" i="1"/>
  <c r="L141" i="1"/>
  <c r="M141" i="1" s="1"/>
  <c r="N141" i="1" s="1"/>
  <c r="V141" i="1"/>
  <c r="L142" i="1"/>
  <c r="M142" i="1" s="1"/>
  <c r="V142" i="1"/>
  <c r="L143" i="1"/>
  <c r="M143" i="1" s="1"/>
  <c r="V143" i="1"/>
  <c r="L144" i="1"/>
  <c r="M144" i="1" s="1"/>
  <c r="V144" i="1"/>
  <c r="L145" i="1"/>
  <c r="M145" i="1" s="1"/>
  <c r="N145" i="1" s="1"/>
  <c r="V145" i="1"/>
  <c r="L146" i="1"/>
  <c r="M146" i="1" s="1"/>
  <c r="N146" i="1" s="1"/>
  <c r="V146" i="1"/>
  <c r="L147" i="1"/>
  <c r="M147" i="1" s="1"/>
  <c r="N147" i="1" s="1"/>
  <c r="V147" i="1"/>
  <c r="L148" i="1"/>
  <c r="V148" i="1"/>
  <c r="L149" i="1"/>
  <c r="V149" i="1"/>
  <c r="L150" i="1"/>
  <c r="M150" i="1" s="1"/>
  <c r="V150" i="1"/>
  <c r="L151" i="1"/>
  <c r="M151" i="1" s="1"/>
  <c r="V151" i="1"/>
  <c r="L152" i="1"/>
  <c r="M152" i="1" s="1"/>
  <c r="V152" i="1"/>
  <c r="L153" i="1"/>
  <c r="M153" i="1" s="1"/>
  <c r="N153" i="1" s="1"/>
  <c r="V153" i="1"/>
  <c r="L154" i="1"/>
  <c r="M154" i="1" s="1"/>
  <c r="N154" i="1" s="1"/>
  <c r="V154" i="1"/>
  <c r="L155" i="1"/>
  <c r="M155" i="1" s="1"/>
  <c r="V155" i="1"/>
  <c r="L156" i="1"/>
  <c r="M156" i="1" s="1"/>
  <c r="V156" i="1"/>
  <c r="L157" i="1"/>
  <c r="M157" i="1" s="1"/>
  <c r="N157" i="1" s="1"/>
  <c r="V157" i="1"/>
  <c r="L158" i="1"/>
  <c r="M158" i="1" s="1"/>
  <c r="N158" i="1" s="1"/>
  <c r="V158" i="1"/>
  <c r="L159" i="1"/>
  <c r="M159" i="1" s="1"/>
  <c r="N159" i="1" s="1"/>
  <c r="V159" i="1"/>
  <c r="L160" i="1"/>
  <c r="V160" i="1"/>
  <c r="L161" i="1"/>
  <c r="V161" i="1"/>
  <c r="L162" i="1"/>
  <c r="M162" i="1" s="1"/>
  <c r="V162" i="1"/>
  <c r="L163" i="1"/>
  <c r="M163" i="1" s="1"/>
  <c r="V163" i="1"/>
  <c r="L164" i="1"/>
  <c r="M164" i="1" s="1"/>
  <c r="V164" i="1"/>
  <c r="L165" i="1"/>
  <c r="M165" i="1" s="1"/>
  <c r="N165" i="1" s="1"/>
  <c r="V165" i="1"/>
  <c r="L166" i="1"/>
  <c r="M166" i="1" s="1"/>
  <c r="N166" i="1" s="1"/>
  <c r="V166" i="1"/>
  <c r="L167" i="1"/>
  <c r="M167" i="1" s="1"/>
  <c r="V167" i="1"/>
  <c r="L168" i="1"/>
  <c r="M168" i="1" s="1"/>
  <c r="N168" i="1" s="1"/>
  <c r="V168" i="1"/>
  <c r="L169" i="1"/>
  <c r="M169" i="1" s="1"/>
  <c r="N169" i="1" s="1"/>
  <c r="V169" i="1"/>
  <c r="L170" i="1"/>
  <c r="M170" i="1" s="1"/>
  <c r="N170" i="1" s="1"/>
  <c r="V170" i="1"/>
  <c r="L171" i="1"/>
  <c r="V171" i="1"/>
  <c r="L172" i="1"/>
  <c r="M172" i="1" s="1"/>
  <c r="V172" i="1"/>
  <c r="L173" i="1"/>
  <c r="M173" i="1" s="1"/>
  <c r="V173" i="1"/>
  <c r="L174" i="1"/>
  <c r="M174" i="1" s="1"/>
  <c r="V174" i="1"/>
  <c r="L175" i="1"/>
  <c r="M175" i="1" s="1"/>
  <c r="N175" i="1" s="1"/>
  <c r="V175" i="1"/>
  <c r="L176" i="1"/>
  <c r="M176" i="1" s="1"/>
  <c r="V176" i="1"/>
  <c r="L177" i="1"/>
  <c r="M177" i="1" s="1"/>
  <c r="V177" i="1"/>
  <c r="L178" i="1"/>
  <c r="M178" i="1" s="1"/>
  <c r="V178" i="1"/>
  <c r="L179" i="1"/>
  <c r="M179" i="1" s="1"/>
  <c r="N179" i="1" s="1"/>
  <c r="V179" i="1"/>
  <c r="L180" i="1"/>
  <c r="M180" i="1" s="1"/>
  <c r="N180" i="1" s="1"/>
  <c r="V180" i="1"/>
  <c r="L181" i="1"/>
  <c r="M181" i="1" s="1"/>
  <c r="N181" i="1" s="1"/>
  <c r="V181" i="1"/>
  <c r="L182" i="1"/>
  <c r="V182" i="1"/>
  <c r="L183" i="1"/>
  <c r="M183" i="1" s="1"/>
  <c r="V183" i="1"/>
  <c r="L184" i="1"/>
  <c r="M184" i="1" s="1"/>
  <c r="N184" i="1" s="1"/>
  <c r="S184" i="1" s="1"/>
  <c r="V184" i="1"/>
  <c r="L185" i="1"/>
  <c r="M185" i="1" s="1"/>
  <c r="N185" i="1" s="1"/>
  <c r="V185" i="1"/>
  <c r="L186" i="1"/>
  <c r="M186" i="1" s="1"/>
  <c r="N186" i="1" s="1"/>
  <c r="V186" i="1"/>
  <c r="L187" i="1"/>
  <c r="M187" i="1" s="1"/>
  <c r="N187" i="1" s="1"/>
  <c r="R187" i="1" s="1"/>
  <c r="V187" i="1"/>
  <c r="L188" i="1"/>
  <c r="M188" i="1" s="1"/>
  <c r="N188" i="1" s="1"/>
  <c r="R188" i="1" s="1"/>
  <c r="V188" i="1"/>
  <c r="V189" i="1"/>
  <c r="L190" i="1"/>
  <c r="M190" i="1" s="1"/>
  <c r="N190" i="1" s="1"/>
  <c r="P192" i="1" s="1"/>
  <c r="V190" i="1"/>
  <c r="L191" i="1"/>
  <c r="M191" i="1" s="1"/>
  <c r="V191" i="1"/>
  <c r="L192" i="1"/>
  <c r="M192" i="1" s="1"/>
  <c r="V192" i="1"/>
  <c r="L193" i="1"/>
  <c r="M193" i="1" s="1"/>
  <c r="V193" i="1"/>
  <c r="L194" i="1"/>
  <c r="M194" i="1" s="1"/>
  <c r="V194" i="1"/>
  <c r="L195" i="1"/>
  <c r="M195" i="1" s="1"/>
  <c r="V195" i="1"/>
  <c r="L196" i="1"/>
  <c r="M196" i="1" s="1"/>
  <c r="V196" i="1"/>
  <c r="V197" i="1"/>
  <c r="L198" i="1"/>
  <c r="M198" i="1" s="1"/>
  <c r="N198" i="1" s="1"/>
  <c r="V198" i="1"/>
  <c r="L199" i="1"/>
  <c r="V199" i="1"/>
  <c r="L200" i="1"/>
  <c r="M200" i="1" s="1"/>
  <c r="V200" i="1"/>
  <c r="L201" i="1"/>
  <c r="V201" i="1"/>
  <c r="L202" i="1"/>
  <c r="V202" i="1"/>
  <c r="L203" i="1"/>
  <c r="M203" i="1" s="1"/>
  <c r="N203" i="1" s="1"/>
  <c r="Q203" i="1" s="1"/>
  <c r="V203" i="1"/>
  <c r="L204" i="1"/>
  <c r="M204" i="1" s="1"/>
  <c r="N204" i="1" s="1"/>
  <c r="V204" i="1"/>
  <c r="L205" i="1"/>
  <c r="M205" i="1" s="1"/>
  <c r="V205" i="1"/>
  <c r="L206" i="1"/>
  <c r="M206" i="1" s="1"/>
  <c r="V206" i="1"/>
  <c r="L207" i="1"/>
  <c r="V207" i="1"/>
  <c r="L208" i="1"/>
  <c r="V208" i="1"/>
  <c r="L209" i="1"/>
  <c r="M209" i="1" s="1"/>
  <c r="V209" i="1"/>
  <c r="L210" i="1"/>
  <c r="M210" i="1" s="1"/>
  <c r="V210" i="1"/>
  <c r="L211" i="1"/>
  <c r="M211" i="1" s="1"/>
  <c r="V211" i="1"/>
  <c r="L212" i="1"/>
  <c r="M212" i="1" s="1"/>
  <c r="V212" i="1"/>
  <c r="L213" i="1"/>
  <c r="M213" i="1" s="1"/>
  <c r="V213" i="1"/>
  <c r="L214" i="1"/>
  <c r="M214" i="1" s="1"/>
  <c r="V214" i="1"/>
  <c r="L215" i="1"/>
  <c r="M215" i="1" s="1"/>
  <c r="V215" i="1"/>
  <c r="L216" i="1"/>
  <c r="M216" i="1" s="1"/>
  <c r="V216" i="1"/>
  <c r="L217" i="1"/>
  <c r="M217" i="1" s="1"/>
  <c r="V217" i="1"/>
  <c r="L218" i="1"/>
  <c r="M218" i="1" s="1"/>
  <c r="V218" i="1"/>
  <c r="L219" i="1"/>
  <c r="M219" i="1" s="1"/>
  <c r="V219" i="1"/>
  <c r="L220" i="1"/>
  <c r="M220" i="1" s="1"/>
  <c r="V220" i="1"/>
  <c r="L221" i="1"/>
  <c r="M221" i="1" s="1"/>
  <c r="V221" i="1"/>
  <c r="L222" i="1"/>
  <c r="M222" i="1" s="1"/>
  <c r="V222" i="1"/>
  <c r="L223" i="1"/>
  <c r="M223" i="1" s="1"/>
  <c r="V223" i="1"/>
  <c r="L224" i="1"/>
  <c r="M224" i="1" s="1"/>
  <c r="V224" i="1"/>
  <c r="L225" i="1"/>
  <c r="M225" i="1" s="1"/>
  <c r="V225" i="1"/>
  <c r="L226" i="1"/>
  <c r="M226" i="1" s="1"/>
  <c r="N226" i="1" s="1"/>
  <c r="V226" i="1"/>
  <c r="L227" i="1"/>
  <c r="M227" i="1" s="1"/>
  <c r="N227" i="1" s="1"/>
  <c r="V227" i="1"/>
  <c r="L228" i="1"/>
  <c r="M228" i="1" s="1"/>
  <c r="V228" i="1"/>
  <c r="L229" i="1"/>
  <c r="M229" i="1" s="1"/>
  <c r="N229" i="1" s="1"/>
  <c r="V229" i="1"/>
  <c r="L230" i="1"/>
  <c r="M230" i="1" s="1"/>
  <c r="N230" i="1" s="1"/>
  <c r="V230" i="1"/>
  <c r="L231" i="1"/>
  <c r="M231" i="1" s="1"/>
  <c r="N231" i="1" s="1"/>
  <c r="V231" i="1"/>
  <c r="V232" i="1"/>
  <c r="V233" i="1"/>
  <c r="L234" i="1"/>
  <c r="M234" i="1" s="1"/>
  <c r="V234" i="1"/>
  <c r="L235" i="1"/>
  <c r="V235" i="1"/>
  <c r="M236" i="1"/>
  <c r="V236" i="1"/>
  <c r="M237" i="1"/>
  <c r="V237" i="1"/>
  <c r="L238" i="1"/>
  <c r="M238" i="1" s="1"/>
  <c r="V238" i="1"/>
  <c r="L239" i="1"/>
  <c r="M239" i="1" s="1"/>
  <c r="V239" i="1"/>
  <c r="L240" i="1"/>
  <c r="M240" i="1" s="1"/>
  <c r="V240" i="1"/>
  <c r="L241" i="1"/>
  <c r="M241" i="1" s="1"/>
  <c r="V241" i="1"/>
  <c r="L242" i="1"/>
  <c r="M242" i="1" s="1"/>
  <c r="V242" i="1"/>
  <c r="L243" i="1"/>
  <c r="V243" i="1"/>
  <c r="L244" i="1"/>
  <c r="M244" i="1" s="1"/>
  <c r="V244" i="1"/>
  <c r="L245" i="1"/>
  <c r="M245" i="1" s="1"/>
  <c r="V245" i="1"/>
  <c r="L246" i="1"/>
  <c r="M246" i="1" s="1"/>
  <c r="V246" i="1"/>
  <c r="L247" i="1"/>
  <c r="M247" i="1" s="1"/>
  <c r="V247" i="1"/>
  <c r="L248" i="1"/>
  <c r="M248" i="1" s="1"/>
  <c r="V248" i="1"/>
  <c r="L249" i="1"/>
  <c r="M249" i="1" s="1"/>
  <c r="V249" i="1"/>
  <c r="L250" i="1"/>
  <c r="M250" i="1" s="1"/>
  <c r="V250" i="1"/>
  <c r="L251" i="1"/>
  <c r="M251" i="1" s="1"/>
  <c r="V251" i="1"/>
  <c r="L252" i="1"/>
  <c r="M252" i="1" s="1"/>
  <c r="V252" i="1"/>
  <c r="L253" i="1"/>
  <c r="M253" i="1" s="1"/>
  <c r="V253" i="1"/>
  <c r="L254" i="1"/>
  <c r="M254" i="1" s="1"/>
  <c r="V254" i="1"/>
  <c r="L255" i="1"/>
  <c r="M255" i="1" s="1"/>
  <c r="V255" i="1"/>
  <c r="L256" i="1"/>
  <c r="M256" i="1" s="1"/>
  <c r="V256" i="1"/>
  <c r="L257" i="1"/>
  <c r="M257" i="1" s="1"/>
  <c r="V257" i="1"/>
  <c r="L258" i="1"/>
  <c r="M258" i="1" s="1"/>
  <c r="N258" i="1" s="1"/>
  <c r="V258" i="1"/>
  <c r="L259" i="1"/>
  <c r="M259" i="1" s="1"/>
  <c r="N259" i="1" s="1"/>
  <c r="V259" i="1"/>
  <c r="L260" i="1"/>
  <c r="V260" i="1"/>
  <c r="L261" i="1"/>
  <c r="M261" i="1" s="1"/>
  <c r="N261" i="1" s="1"/>
  <c r="V261" i="1"/>
  <c r="L262" i="1"/>
  <c r="M262" i="1" s="1"/>
  <c r="N262" i="1" s="1"/>
  <c r="V262" i="1"/>
  <c r="L263" i="1"/>
  <c r="M263" i="1" s="1"/>
  <c r="V263" i="1"/>
  <c r="L264" i="1"/>
  <c r="M264" i="1" s="1"/>
  <c r="V264" i="1"/>
  <c r="L265" i="1"/>
  <c r="M265" i="1" s="1"/>
  <c r="N265" i="1" s="1"/>
  <c r="V265" i="1"/>
  <c r="L266" i="1"/>
  <c r="M266" i="1" s="1"/>
  <c r="V266" i="1"/>
  <c r="L267" i="1"/>
  <c r="M267" i="1" s="1"/>
  <c r="V267" i="1"/>
  <c r="L268" i="1"/>
  <c r="M268" i="1" s="1"/>
  <c r="N268" i="1" s="1"/>
  <c r="V268" i="1"/>
  <c r="L269" i="1"/>
  <c r="M269" i="1" s="1"/>
  <c r="N269" i="1" s="1"/>
  <c r="V269" i="1"/>
  <c r="L270" i="1"/>
  <c r="V270" i="1"/>
  <c r="L271" i="1"/>
  <c r="M271" i="1" s="1"/>
  <c r="N271" i="1" s="1"/>
  <c r="V271" i="1"/>
  <c r="L272" i="1"/>
  <c r="M272" i="1" s="1"/>
  <c r="N272" i="1" s="1"/>
  <c r="V272" i="1"/>
  <c r="L273" i="1"/>
  <c r="M273" i="1" s="1"/>
  <c r="V273" i="1"/>
  <c r="L274" i="1"/>
  <c r="M274" i="1" s="1"/>
  <c r="V274" i="1"/>
  <c r="L275" i="1"/>
  <c r="M275" i="1" s="1"/>
  <c r="N275" i="1" s="1"/>
  <c r="V275" i="1"/>
  <c r="L276" i="1"/>
  <c r="M276" i="1" s="1"/>
  <c r="V276" i="1"/>
  <c r="L277" i="1"/>
  <c r="M277" i="1" s="1"/>
  <c r="V277" i="1"/>
  <c r="L278" i="1"/>
  <c r="M278" i="1" s="1"/>
  <c r="N278" i="1" s="1"/>
  <c r="V278" i="1"/>
  <c r="L279" i="1"/>
  <c r="M279" i="1" s="1"/>
  <c r="N279" i="1" s="1"/>
  <c r="V279" i="1"/>
  <c r="L280" i="1"/>
  <c r="M280" i="1" s="1"/>
  <c r="N280" i="1" s="1"/>
  <c r="V280" i="1"/>
  <c r="L281" i="1"/>
  <c r="V281" i="1"/>
  <c r="L282" i="1"/>
  <c r="M282" i="1" s="1"/>
  <c r="N282" i="1" s="1"/>
  <c r="V282" i="1"/>
  <c r="L283" i="1"/>
  <c r="M283" i="1" s="1"/>
  <c r="N283" i="1" s="1"/>
  <c r="V283" i="1"/>
  <c r="L284" i="1"/>
  <c r="M284" i="1" s="1"/>
  <c r="V284" i="1"/>
  <c r="L285" i="1"/>
  <c r="M285" i="1" s="1"/>
  <c r="V285" i="1"/>
  <c r="L286" i="1"/>
  <c r="M286" i="1" s="1"/>
  <c r="V286" i="1"/>
  <c r="L287" i="1"/>
  <c r="M287" i="1" s="1"/>
  <c r="N287" i="1" s="1"/>
  <c r="V287" i="1"/>
  <c r="L288" i="1"/>
  <c r="M288" i="1" s="1"/>
  <c r="V288" i="1"/>
  <c r="L289" i="1"/>
  <c r="M289" i="1" s="1"/>
  <c r="V289" i="1"/>
  <c r="L290" i="1"/>
  <c r="M290" i="1" s="1"/>
  <c r="N290" i="1" s="1"/>
  <c r="V290" i="1"/>
  <c r="L291" i="1"/>
  <c r="M291" i="1" s="1"/>
  <c r="N291" i="1" s="1"/>
  <c r="V291" i="1"/>
  <c r="L292" i="1"/>
  <c r="M292" i="1" s="1"/>
  <c r="N292" i="1" s="1"/>
  <c r="V292" i="1"/>
  <c r="L293" i="1"/>
  <c r="V293" i="1"/>
  <c r="L294" i="1"/>
  <c r="M294" i="1" s="1"/>
  <c r="N294" i="1" s="1"/>
  <c r="V294" i="1"/>
  <c r="L295" i="1"/>
  <c r="M295" i="1" s="1"/>
  <c r="N295" i="1" s="1"/>
  <c r="V295" i="1"/>
  <c r="L296" i="1"/>
  <c r="M296" i="1" s="1"/>
  <c r="V296" i="1"/>
  <c r="L297" i="1"/>
  <c r="M297" i="1" s="1"/>
  <c r="V297" i="1"/>
  <c r="L298" i="1"/>
  <c r="M298" i="1" s="1"/>
  <c r="V298" i="1"/>
  <c r="L299" i="1"/>
  <c r="M299" i="1" s="1"/>
  <c r="N299" i="1" s="1"/>
  <c r="V299" i="1"/>
  <c r="L300" i="1"/>
  <c r="M300" i="1" s="1"/>
  <c r="V300" i="1"/>
  <c r="L301" i="1"/>
  <c r="M301" i="1" s="1"/>
  <c r="V301" i="1"/>
  <c r="L302" i="1"/>
  <c r="M302" i="1" s="1"/>
  <c r="N302" i="1" s="1"/>
  <c r="V302" i="1"/>
  <c r="L303" i="1"/>
  <c r="M303" i="1" s="1"/>
  <c r="N303" i="1" s="1"/>
  <c r="V303" i="1"/>
  <c r="L304" i="1"/>
  <c r="M304" i="1" s="1"/>
  <c r="N304" i="1" s="1"/>
  <c r="V304" i="1"/>
  <c r="L305" i="1"/>
  <c r="V305" i="1"/>
  <c r="L306" i="1"/>
  <c r="M306" i="1" s="1"/>
  <c r="N306" i="1" s="1"/>
  <c r="V306" i="1"/>
  <c r="L307" i="1"/>
  <c r="M307" i="1" s="1"/>
  <c r="N307" i="1" s="1"/>
  <c r="V307" i="1"/>
  <c r="L308" i="1"/>
  <c r="M308" i="1" s="1"/>
  <c r="V308" i="1"/>
  <c r="L309" i="1"/>
  <c r="M309" i="1" s="1"/>
  <c r="V309" i="1"/>
  <c r="L310" i="1"/>
  <c r="M310" i="1" s="1"/>
  <c r="V310" i="1"/>
  <c r="L311" i="1"/>
  <c r="M311" i="1" s="1"/>
  <c r="V311" i="1"/>
  <c r="L312" i="1"/>
  <c r="M312" i="1" s="1"/>
  <c r="N312" i="1" s="1"/>
  <c r="V312" i="1"/>
  <c r="L313" i="1"/>
  <c r="M313" i="1" s="1"/>
  <c r="N313" i="1" s="1"/>
  <c r="V313" i="1"/>
  <c r="L314" i="1"/>
  <c r="M314" i="1" s="1"/>
  <c r="N314" i="1" s="1"/>
  <c r="V314" i="1"/>
  <c r="L315" i="1"/>
  <c r="V315" i="1"/>
  <c r="L316" i="1"/>
  <c r="M316" i="1" s="1"/>
  <c r="N316" i="1" s="1"/>
  <c r="V316" i="1"/>
  <c r="L317" i="1"/>
  <c r="M317" i="1" s="1"/>
  <c r="V317" i="1"/>
  <c r="L318" i="1"/>
  <c r="M318" i="1" s="1"/>
  <c r="V318" i="1"/>
  <c r="L319" i="1"/>
  <c r="M319" i="1" s="1"/>
  <c r="V319" i="1"/>
  <c r="L320" i="1"/>
  <c r="M320" i="1" s="1"/>
  <c r="V320" i="1"/>
  <c r="L321" i="1"/>
  <c r="M321" i="1" s="1"/>
  <c r="V321" i="1"/>
  <c r="L322" i="1"/>
  <c r="M322" i="1" s="1"/>
  <c r="N322" i="1" s="1"/>
  <c r="V322" i="1"/>
  <c r="L323" i="1"/>
  <c r="M323" i="1" s="1"/>
  <c r="N323" i="1" s="1"/>
  <c r="V323" i="1"/>
  <c r="L324" i="1"/>
  <c r="V324" i="1"/>
  <c r="L325" i="1"/>
  <c r="V325" i="1"/>
  <c r="L326" i="1"/>
  <c r="M326" i="1" s="1"/>
  <c r="N326" i="1" s="1"/>
  <c r="V326" i="1"/>
  <c r="L327" i="1"/>
  <c r="M327" i="1" s="1"/>
  <c r="N327" i="1" s="1"/>
  <c r="V327" i="1"/>
  <c r="L328" i="1"/>
  <c r="M328" i="1" s="1"/>
  <c r="V328" i="1"/>
  <c r="L329" i="1"/>
  <c r="M329" i="1" s="1"/>
  <c r="V329" i="1"/>
  <c r="L330" i="1"/>
  <c r="M330" i="1" s="1"/>
  <c r="V330" i="1"/>
  <c r="L331" i="1"/>
  <c r="M331" i="1" s="1"/>
  <c r="V331" i="1"/>
  <c r="L332" i="1"/>
  <c r="M332" i="1" s="1"/>
  <c r="N332" i="1" s="1"/>
  <c r="V332" i="1"/>
  <c r="L333" i="1"/>
  <c r="M333" i="1" s="1"/>
  <c r="N333" i="1" s="1"/>
  <c r="V333" i="1"/>
  <c r="L334" i="1"/>
  <c r="V334" i="1"/>
  <c r="L335" i="1"/>
  <c r="M335" i="1" s="1"/>
  <c r="N335" i="1" s="1"/>
  <c r="V335" i="1"/>
  <c r="L336" i="1"/>
  <c r="M336" i="1" s="1"/>
  <c r="N336" i="1" s="1"/>
  <c r="V336" i="1"/>
  <c r="L337" i="1"/>
  <c r="M337" i="1" s="1"/>
  <c r="N337" i="1" s="1"/>
  <c r="V337" i="1"/>
  <c r="L338" i="1"/>
  <c r="M338" i="1" s="1"/>
  <c r="V338" i="1"/>
  <c r="L339" i="1"/>
  <c r="M339" i="1" s="1"/>
  <c r="V339" i="1"/>
  <c r="L340" i="1"/>
  <c r="M340" i="1" s="1"/>
  <c r="V340" i="1"/>
  <c r="L341" i="1"/>
  <c r="M341" i="1" s="1"/>
  <c r="N341" i="1" s="1"/>
  <c r="V341" i="1"/>
  <c r="L342" i="1"/>
  <c r="M342" i="1" s="1"/>
  <c r="N342" i="1" s="1"/>
  <c r="V342" i="1"/>
  <c r="L343" i="1"/>
  <c r="M343" i="1" s="1"/>
  <c r="N343" i="1" s="1"/>
  <c r="V343" i="1"/>
  <c r="L344" i="1"/>
  <c r="V344" i="1"/>
  <c r="L345" i="1"/>
  <c r="M345" i="1" s="1"/>
  <c r="N345" i="1" s="1"/>
  <c r="V345" i="1"/>
  <c r="L346" i="1"/>
  <c r="M346" i="1" s="1"/>
  <c r="V346" i="1"/>
  <c r="L347" i="1"/>
  <c r="M347" i="1" s="1"/>
  <c r="V347" i="1"/>
  <c r="L348" i="1"/>
  <c r="M348" i="1" s="1"/>
  <c r="V348" i="1"/>
  <c r="L349" i="1"/>
  <c r="M349" i="1" s="1"/>
  <c r="V349" i="1"/>
  <c r="L350" i="1"/>
  <c r="M350" i="1" s="1"/>
  <c r="V350" i="1"/>
  <c r="L351" i="1"/>
  <c r="M351" i="1" s="1"/>
  <c r="N351" i="1" s="1"/>
  <c r="V351" i="1"/>
  <c r="L352" i="1"/>
  <c r="M352" i="1" s="1"/>
  <c r="N352" i="1" s="1"/>
  <c r="V352" i="1"/>
  <c r="L353" i="1"/>
  <c r="V353" i="1"/>
  <c r="L354" i="1"/>
  <c r="M354" i="1" s="1"/>
  <c r="N354" i="1" s="1"/>
  <c r="V354" i="1"/>
  <c r="L355" i="1"/>
  <c r="M355" i="1" s="1"/>
  <c r="N355" i="1" s="1"/>
  <c r="V355" i="1"/>
  <c r="L356" i="1"/>
  <c r="M356" i="1" s="1"/>
  <c r="N356" i="1" s="1"/>
  <c r="V356" i="1"/>
  <c r="L357" i="1"/>
  <c r="M357" i="1" s="1"/>
  <c r="V357" i="1"/>
  <c r="L358" i="1"/>
  <c r="M358" i="1" s="1"/>
  <c r="V358" i="1"/>
  <c r="L359" i="1"/>
  <c r="M359" i="1" s="1"/>
  <c r="V359" i="1"/>
  <c r="L360" i="1"/>
  <c r="M360" i="1" s="1"/>
  <c r="N360" i="1" s="1"/>
  <c r="R360" i="1" s="1"/>
  <c r="V360" i="1"/>
  <c r="L361" i="1"/>
  <c r="M361" i="1" s="1"/>
  <c r="N361" i="1" s="1"/>
  <c r="V361" i="1"/>
  <c r="L362" i="1"/>
  <c r="M362" i="1" s="1"/>
  <c r="N362" i="1" s="1"/>
  <c r="V362" i="1"/>
  <c r="L363" i="1"/>
  <c r="V363" i="1"/>
  <c r="L364" i="1"/>
  <c r="M364" i="1" s="1"/>
  <c r="V364" i="1"/>
  <c r="L365" i="1"/>
  <c r="M365" i="1" s="1"/>
  <c r="N365" i="1" s="1"/>
  <c r="V365" i="1"/>
  <c r="L366" i="1"/>
  <c r="M366" i="1" s="1"/>
  <c r="V366" i="1"/>
  <c r="L367" i="1"/>
  <c r="M367" i="1" s="1"/>
  <c r="V367" i="1"/>
  <c r="L368" i="1"/>
  <c r="M368" i="1" s="1"/>
  <c r="V368" i="1"/>
  <c r="L369" i="1"/>
  <c r="M369" i="1" s="1"/>
  <c r="V369" i="1"/>
  <c r="L370" i="1"/>
  <c r="M370" i="1" s="1"/>
  <c r="V370" i="1"/>
  <c r="L371" i="1"/>
  <c r="M371" i="1" s="1"/>
  <c r="N371" i="1" s="1"/>
  <c r="V371" i="1"/>
  <c r="L372" i="1"/>
  <c r="V372" i="1"/>
  <c r="L373" i="1"/>
  <c r="V373" i="1"/>
  <c r="L374" i="1"/>
  <c r="M374" i="1" s="1"/>
  <c r="V374" i="1"/>
  <c r="L375" i="1"/>
  <c r="M375" i="1" s="1"/>
  <c r="N375" i="1" s="1"/>
  <c r="V375" i="1"/>
  <c r="L376" i="1"/>
  <c r="M376" i="1" s="1"/>
  <c r="V376" i="1"/>
  <c r="L377" i="1"/>
  <c r="M377" i="1" s="1"/>
  <c r="V377" i="1"/>
  <c r="M378" i="1"/>
  <c r="V378" i="1"/>
  <c r="L379" i="1"/>
  <c r="M379" i="1" s="1"/>
  <c r="V379" i="1"/>
  <c r="L380" i="1"/>
  <c r="M380" i="1" s="1"/>
  <c r="N380" i="1" s="1"/>
  <c r="V380" i="1"/>
  <c r="L381" i="1"/>
  <c r="M381" i="1" s="1"/>
  <c r="N381" i="1" s="1"/>
  <c r="V381" i="1"/>
  <c r="L382" i="1"/>
  <c r="V382" i="1"/>
  <c r="M383" i="1"/>
  <c r="V383" i="1"/>
  <c r="L384" i="1"/>
  <c r="M384" i="1" s="1"/>
  <c r="N384" i="1" s="1"/>
  <c r="V384" i="1"/>
  <c r="L385" i="1"/>
  <c r="M385" i="1" s="1"/>
  <c r="V385" i="1"/>
  <c r="L386" i="1"/>
  <c r="M386" i="1" s="1"/>
  <c r="V386" i="1"/>
  <c r="L387" i="1"/>
  <c r="V387" i="1"/>
  <c r="L388" i="1"/>
  <c r="M388" i="1" s="1"/>
  <c r="V388" i="1"/>
  <c r="L389" i="1"/>
  <c r="M389" i="1" s="1"/>
  <c r="N389" i="1" s="1"/>
  <c r="V389" i="1"/>
  <c r="L390" i="1"/>
  <c r="M390" i="1" s="1"/>
  <c r="N390" i="1" s="1"/>
  <c r="V390" i="1"/>
  <c r="L391" i="1"/>
  <c r="M391" i="1" s="1"/>
  <c r="N391" i="1" s="1"/>
  <c r="V391" i="1"/>
  <c r="L392" i="1"/>
  <c r="V392" i="1"/>
  <c r="L393" i="1"/>
  <c r="M393" i="1" s="1"/>
  <c r="V393" i="1"/>
  <c r="L394" i="1"/>
  <c r="V394" i="1"/>
  <c r="L395" i="1"/>
  <c r="M395" i="1" s="1"/>
  <c r="V395" i="1"/>
  <c r="L396" i="1"/>
  <c r="M396" i="1" s="1"/>
  <c r="V396" i="1"/>
  <c r="L397" i="1"/>
  <c r="M397" i="1" s="1"/>
  <c r="V397" i="1"/>
  <c r="L398" i="1"/>
  <c r="M398" i="1" s="1"/>
  <c r="V398" i="1"/>
  <c r="L399" i="1"/>
  <c r="M399" i="1" s="1"/>
  <c r="V399" i="1"/>
  <c r="L400" i="1"/>
  <c r="M400" i="1" s="1"/>
  <c r="N400" i="1" s="1"/>
  <c r="V400" i="1"/>
  <c r="L401" i="1"/>
  <c r="V401" i="1"/>
  <c r="L402" i="1"/>
  <c r="M402" i="1" s="1"/>
  <c r="V402" i="1"/>
  <c r="L403" i="1"/>
  <c r="M403" i="1" s="1"/>
  <c r="V403" i="1"/>
  <c r="L404" i="1"/>
  <c r="M404" i="1" s="1"/>
  <c r="V404" i="1"/>
  <c r="L405" i="1"/>
  <c r="M405" i="1" s="1"/>
  <c r="V405" i="1"/>
  <c r="L406" i="1"/>
  <c r="M406" i="1" s="1"/>
  <c r="V406" i="1"/>
  <c r="L407" i="1"/>
  <c r="M407" i="1" s="1"/>
  <c r="V407" i="1"/>
  <c r="L408" i="1"/>
  <c r="M408" i="1" s="1"/>
  <c r="V408" i="1"/>
  <c r="L409" i="1"/>
  <c r="M409" i="1" s="1"/>
  <c r="N409" i="1" s="1"/>
  <c r="V409" i="1"/>
  <c r="L410" i="1"/>
  <c r="M410" i="1" s="1"/>
  <c r="N410" i="1" s="1"/>
  <c r="V410" i="1"/>
  <c r="L411" i="1"/>
  <c r="V411" i="1"/>
  <c r="L412" i="1"/>
  <c r="M412" i="1" s="1"/>
  <c r="V412" i="1"/>
  <c r="L413" i="1"/>
  <c r="M413" i="1" s="1"/>
  <c r="V413" i="1"/>
  <c r="L414" i="1"/>
  <c r="M414" i="1" s="1"/>
  <c r="N414" i="1" s="1"/>
  <c r="V414" i="1"/>
  <c r="L415" i="1"/>
  <c r="M415" i="1" s="1"/>
  <c r="N415" i="1" s="1"/>
  <c r="V415" i="1"/>
  <c r="L416" i="1"/>
  <c r="M416" i="1" s="1"/>
  <c r="V416" i="1"/>
  <c r="L417" i="1"/>
  <c r="M417" i="1" s="1"/>
  <c r="V417" i="1"/>
  <c r="L418" i="1"/>
  <c r="M418" i="1" s="1"/>
  <c r="V418" i="1"/>
  <c r="L419" i="1"/>
  <c r="M419" i="1" s="1"/>
  <c r="N419" i="1" s="1"/>
  <c r="V419" i="1"/>
  <c r="L420" i="1"/>
  <c r="V420" i="1"/>
  <c r="L421" i="1"/>
  <c r="V421" i="1"/>
  <c r="L422" i="1"/>
  <c r="M422" i="1" s="1"/>
  <c r="V422" i="1"/>
  <c r="L423" i="1"/>
  <c r="M423" i="1" s="1"/>
  <c r="V423" i="1"/>
  <c r="L424" i="1"/>
  <c r="M424" i="1" s="1"/>
  <c r="N424" i="1" s="1"/>
  <c r="V424" i="1"/>
  <c r="L425" i="1"/>
  <c r="M425" i="1" s="1"/>
  <c r="V425" i="1"/>
  <c r="L426" i="1"/>
  <c r="M426" i="1" s="1"/>
  <c r="V426" i="1"/>
  <c r="L427" i="1"/>
  <c r="M427" i="1" s="1"/>
  <c r="V427" i="1"/>
  <c r="L428" i="1"/>
  <c r="M428" i="1" s="1"/>
  <c r="N428" i="1" s="1"/>
  <c r="V428" i="1"/>
  <c r="L429" i="1"/>
  <c r="M429" i="1" s="1"/>
  <c r="N429" i="1" s="1"/>
  <c r="V429" i="1"/>
  <c r="L430" i="1"/>
  <c r="V430" i="1"/>
  <c r="L431" i="1"/>
  <c r="M431" i="1" s="1"/>
  <c r="V431" i="1"/>
  <c r="M432" i="1"/>
  <c r="V432" i="1"/>
  <c r="M433" i="1"/>
  <c r="V433" i="1"/>
  <c r="M434" i="1"/>
  <c r="N434" i="1" s="1"/>
  <c r="V434" i="1"/>
  <c r="M435" i="1"/>
  <c r="V435" i="1"/>
  <c r="M436" i="1"/>
  <c r="V436" i="1"/>
  <c r="M437" i="1"/>
  <c r="N437" i="1" s="1"/>
  <c r="V437" i="1"/>
  <c r="L438" i="1"/>
  <c r="M438" i="1" s="1"/>
  <c r="N438" i="1" s="1"/>
  <c r="V438" i="1"/>
  <c r="L439" i="1"/>
  <c r="M439" i="1" s="1"/>
  <c r="N439" i="1" s="1"/>
  <c r="V439" i="1"/>
  <c r="L440" i="1"/>
  <c r="V440" i="1"/>
  <c r="L441" i="1"/>
  <c r="M441" i="1" s="1"/>
  <c r="V441" i="1"/>
  <c r="L442" i="1"/>
  <c r="M442" i="1" s="1"/>
  <c r="V442" i="1"/>
  <c r="L443" i="1"/>
  <c r="M443" i="1" s="1"/>
  <c r="N443" i="1" s="1"/>
  <c r="V443" i="1"/>
  <c r="L444" i="1"/>
  <c r="M444" i="1" s="1"/>
  <c r="V444" i="1"/>
  <c r="L445" i="1"/>
  <c r="M445" i="1" s="1"/>
  <c r="V445" i="1"/>
  <c r="L446" i="1"/>
  <c r="M446" i="1" s="1"/>
  <c r="V446" i="1"/>
  <c r="L447" i="1"/>
  <c r="M447" i="1" s="1"/>
  <c r="N447" i="1" s="1"/>
  <c r="V447" i="1"/>
  <c r="L448" i="1"/>
  <c r="M448" i="1" s="1"/>
  <c r="N448" i="1" s="1"/>
  <c r="V448" i="1"/>
  <c r="L449" i="1"/>
  <c r="V449" i="1"/>
  <c r="L450" i="1"/>
  <c r="M450" i="1" s="1"/>
  <c r="V450" i="1"/>
  <c r="L451" i="1"/>
  <c r="M451" i="1" s="1"/>
  <c r="V451" i="1"/>
  <c r="L452" i="1"/>
  <c r="M452" i="1" s="1"/>
  <c r="V452" i="1"/>
  <c r="L453" i="1"/>
  <c r="M453" i="1" s="1"/>
  <c r="V453" i="1"/>
  <c r="L454" i="1"/>
  <c r="M454" i="1" s="1"/>
  <c r="V454" i="1"/>
  <c r="L455" i="1"/>
  <c r="M455" i="1" s="1"/>
  <c r="V455" i="1"/>
  <c r="L456" i="1"/>
  <c r="M456" i="1" s="1"/>
  <c r="V456" i="1"/>
  <c r="L457" i="1"/>
  <c r="M457" i="1" s="1"/>
  <c r="N457" i="1" s="1"/>
  <c r="V457" i="1"/>
  <c r="L458" i="1"/>
  <c r="M458" i="1" s="1"/>
  <c r="N458" i="1" s="1"/>
  <c r="V458" i="1"/>
  <c r="L459" i="1"/>
  <c r="V459" i="1"/>
  <c r="L460" i="1"/>
  <c r="M460" i="1" s="1"/>
  <c r="V460" i="1"/>
  <c r="L461" i="1"/>
  <c r="M461" i="1" s="1"/>
  <c r="V461" i="1"/>
  <c r="L462" i="1"/>
  <c r="M462" i="1" s="1"/>
  <c r="V462" i="1"/>
  <c r="L463" i="1"/>
  <c r="M463" i="1" s="1"/>
  <c r="V463" i="1"/>
  <c r="L464" i="1"/>
  <c r="M464" i="1" s="1"/>
  <c r="V464" i="1"/>
  <c r="L465" i="1"/>
  <c r="M465" i="1" s="1"/>
  <c r="V465" i="1"/>
  <c r="L466" i="1"/>
  <c r="M466" i="1" s="1"/>
  <c r="N466" i="1" s="1"/>
  <c r="V466" i="1"/>
  <c r="L467" i="1"/>
  <c r="M467" i="1" s="1"/>
  <c r="N467" i="1" s="1"/>
  <c r="V467" i="1"/>
  <c r="L468" i="1"/>
  <c r="V468" i="1"/>
  <c r="L469" i="1"/>
  <c r="V469" i="1"/>
  <c r="L470" i="1"/>
  <c r="M470" i="1" s="1"/>
  <c r="V470" i="1"/>
  <c r="L471" i="1"/>
  <c r="M471" i="1" s="1"/>
  <c r="V471" i="1"/>
  <c r="L472" i="1"/>
  <c r="M472" i="1" s="1"/>
  <c r="V472" i="1"/>
  <c r="L473" i="1"/>
  <c r="M473" i="1" s="1"/>
  <c r="V473" i="1"/>
  <c r="L474" i="1"/>
  <c r="M474" i="1" s="1"/>
  <c r="V474" i="1"/>
  <c r="L475" i="1"/>
  <c r="M475" i="1" s="1"/>
  <c r="V475" i="1"/>
  <c r="L476" i="1"/>
  <c r="M476" i="1" s="1"/>
  <c r="N476" i="1" s="1"/>
  <c r="V476" i="1"/>
  <c r="L477" i="1"/>
  <c r="M477" i="1" s="1"/>
  <c r="N477" i="1" s="1"/>
  <c r="V477" i="1"/>
  <c r="L478" i="1"/>
  <c r="V478" i="1"/>
  <c r="L479" i="1"/>
  <c r="M479" i="1" s="1"/>
  <c r="V479" i="1"/>
  <c r="L480" i="1"/>
  <c r="M480" i="1" s="1"/>
  <c r="V480" i="1"/>
  <c r="L481" i="1"/>
  <c r="M481" i="1" s="1"/>
  <c r="V481" i="1"/>
  <c r="L482" i="1"/>
  <c r="M482" i="1" s="1"/>
  <c r="V482" i="1"/>
  <c r="L483" i="1"/>
  <c r="M483" i="1" s="1"/>
  <c r="V483" i="1"/>
  <c r="L484" i="1"/>
  <c r="M484" i="1" s="1"/>
  <c r="V484" i="1"/>
  <c r="L485" i="1"/>
  <c r="M485" i="1" s="1"/>
  <c r="N485" i="1" s="1"/>
  <c r="V485" i="1"/>
  <c r="L486" i="1"/>
  <c r="M486" i="1" s="1"/>
  <c r="N486" i="1" s="1"/>
  <c r="V486" i="1"/>
  <c r="L487" i="1"/>
  <c r="M487" i="1" s="1"/>
  <c r="N487" i="1" s="1"/>
  <c r="V487" i="1"/>
  <c r="L488" i="1"/>
  <c r="V488" i="1"/>
  <c r="L489" i="1"/>
  <c r="M489" i="1" s="1"/>
  <c r="V489" i="1"/>
  <c r="L490" i="1"/>
  <c r="M490" i="1" s="1"/>
  <c r="V490" i="1"/>
  <c r="L491" i="1"/>
  <c r="M491" i="1" s="1"/>
  <c r="N491" i="1" s="1"/>
  <c r="V491" i="1"/>
  <c r="L492" i="1"/>
  <c r="M492" i="1" s="1"/>
  <c r="V492" i="1"/>
  <c r="L493" i="1"/>
  <c r="M493" i="1" s="1"/>
  <c r="V493" i="1"/>
  <c r="L494" i="1"/>
  <c r="M494" i="1" s="1"/>
  <c r="V494" i="1"/>
  <c r="L495" i="1"/>
  <c r="M495" i="1" s="1"/>
  <c r="V495" i="1"/>
  <c r="L496" i="1"/>
  <c r="M496" i="1" s="1"/>
  <c r="N496" i="1" s="1"/>
  <c r="V496" i="1"/>
  <c r="L497" i="1"/>
  <c r="V497" i="1"/>
  <c r="L498" i="1"/>
  <c r="M498" i="1" s="1"/>
  <c r="V498" i="1"/>
  <c r="L499" i="1"/>
  <c r="M499" i="1" s="1"/>
  <c r="V499" i="1"/>
  <c r="L500" i="1"/>
  <c r="M500" i="1" s="1"/>
  <c r="V500" i="1"/>
  <c r="L501" i="1"/>
  <c r="M501" i="1" s="1"/>
  <c r="V501" i="1"/>
  <c r="L502" i="1"/>
  <c r="M502" i="1" s="1"/>
  <c r="V502" i="1"/>
  <c r="L503" i="1"/>
  <c r="M503" i="1" s="1"/>
  <c r="V503" i="1"/>
  <c r="L504" i="1"/>
  <c r="M504" i="1" s="1"/>
  <c r="V504" i="1"/>
  <c r="L505" i="1"/>
  <c r="M505" i="1" s="1"/>
  <c r="V505" i="1"/>
  <c r="L506" i="1"/>
  <c r="M506" i="1" s="1"/>
  <c r="N506" i="1" s="1"/>
  <c r="V506" i="1"/>
  <c r="L507" i="1"/>
  <c r="V507" i="1"/>
  <c r="L508" i="1"/>
  <c r="M508" i="1" s="1"/>
  <c r="V508" i="1"/>
  <c r="L509" i="1"/>
  <c r="M509" i="1" s="1"/>
  <c r="V509" i="1"/>
  <c r="L510" i="1"/>
  <c r="M510" i="1" s="1"/>
  <c r="V510" i="1"/>
  <c r="L511" i="1"/>
  <c r="M511" i="1" s="1"/>
  <c r="V511" i="1"/>
  <c r="L512" i="1"/>
  <c r="M512" i="1" s="1"/>
  <c r="V512" i="1"/>
  <c r="L513" i="1"/>
  <c r="M513" i="1" s="1"/>
  <c r="V513" i="1"/>
  <c r="L514" i="1"/>
  <c r="M514" i="1" s="1"/>
  <c r="V514" i="1"/>
  <c r="L515" i="1"/>
  <c r="M515" i="1" s="1"/>
  <c r="N515" i="1" s="1"/>
  <c r="V515" i="1"/>
  <c r="L516" i="1"/>
  <c r="M516" i="1" s="1"/>
  <c r="N516" i="1" s="1"/>
  <c r="V516" i="1"/>
  <c r="L517" i="1"/>
  <c r="V517" i="1"/>
  <c r="L518" i="1"/>
  <c r="M518" i="1" s="1"/>
  <c r="V518" i="1"/>
  <c r="L519" i="1"/>
  <c r="M519" i="1" s="1"/>
  <c r="V519" i="1"/>
  <c r="L520" i="1"/>
  <c r="M520" i="1" s="1"/>
  <c r="V520" i="1"/>
  <c r="L521" i="1"/>
  <c r="M521" i="1" s="1"/>
  <c r="V521" i="1"/>
  <c r="L522" i="1"/>
  <c r="M522" i="1" s="1"/>
  <c r="V522" i="1"/>
  <c r="L523" i="1"/>
  <c r="M523" i="1" s="1"/>
  <c r="V523" i="1"/>
  <c r="L524" i="1"/>
  <c r="M524" i="1" s="1"/>
  <c r="V524" i="1"/>
  <c r="L525" i="1"/>
  <c r="M525" i="1" s="1"/>
  <c r="V525" i="1"/>
  <c r="L526" i="1"/>
  <c r="M526" i="1" s="1"/>
  <c r="V526" i="1"/>
  <c r="L527" i="1"/>
  <c r="M527" i="1" s="1"/>
  <c r="V527" i="1"/>
  <c r="L528" i="1"/>
  <c r="M528" i="1" s="1"/>
  <c r="V528" i="1"/>
  <c r="L529" i="1"/>
  <c r="M529" i="1" s="1"/>
  <c r="V529" i="1"/>
  <c r="L530" i="1"/>
  <c r="M530" i="1" s="1"/>
  <c r="V530" i="1"/>
  <c r="L531" i="1"/>
  <c r="M531" i="1" s="1"/>
  <c r="V531" i="1"/>
  <c r="L532" i="1"/>
  <c r="M532" i="1" s="1"/>
  <c r="V532" i="1"/>
  <c r="L533" i="1"/>
  <c r="M533" i="1" s="1"/>
  <c r="V533" i="1"/>
  <c r="L534" i="1"/>
  <c r="M534" i="1" s="1"/>
  <c r="V534" i="1"/>
  <c r="L535" i="1"/>
  <c r="M535" i="1" s="1"/>
  <c r="V535" i="1"/>
  <c r="L536" i="1"/>
  <c r="M536" i="1" s="1"/>
  <c r="V536" i="1"/>
  <c r="L537" i="1"/>
  <c r="M537" i="1" s="1"/>
  <c r="V537" i="1"/>
  <c r="L538" i="1"/>
  <c r="M538" i="1" s="1"/>
  <c r="N538" i="1" s="1"/>
  <c r="V538" i="1"/>
  <c r="L539" i="1"/>
  <c r="M539" i="1" s="1"/>
  <c r="N539" i="1" s="1"/>
  <c r="V539" i="1"/>
  <c r="L540" i="1"/>
  <c r="M540" i="1" s="1"/>
  <c r="N540" i="1" s="1"/>
  <c r="V540" i="1"/>
  <c r="L541" i="1"/>
  <c r="V541" i="1"/>
  <c r="L542" i="1"/>
  <c r="M542" i="1" s="1"/>
  <c r="V542" i="1"/>
  <c r="L543" i="1"/>
  <c r="M543" i="1" s="1"/>
  <c r="V543" i="1"/>
  <c r="L544" i="1"/>
  <c r="M544" i="1" s="1"/>
  <c r="V544" i="1"/>
  <c r="L545" i="1"/>
  <c r="M545" i="1" s="1"/>
  <c r="V545" i="1"/>
  <c r="L546" i="1"/>
  <c r="M546" i="1" s="1"/>
  <c r="V546" i="1"/>
  <c r="L547" i="1"/>
  <c r="M547" i="1" s="1"/>
  <c r="V547" i="1"/>
  <c r="L548" i="1"/>
  <c r="M548" i="1" s="1"/>
  <c r="V548" i="1"/>
  <c r="L549" i="1"/>
  <c r="M549" i="1" s="1"/>
  <c r="V549" i="1"/>
  <c r="L550" i="1"/>
  <c r="M550" i="1" s="1"/>
  <c r="V550" i="1"/>
  <c r="L551" i="1"/>
  <c r="M551" i="1" s="1"/>
  <c r="V551" i="1"/>
  <c r="L552" i="1"/>
  <c r="M552" i="1" s="1"/>
  <c r="V552" i="1"/>
  <c r="L553" i="1"/>
  <c r="V553" i="1"/>
  <c r="L554" i="1"/>
  <c r="V554" i="1"/>
  <c r="L555" i="1"/>
  <c r="V555" i="1"/>
  <c r="L556" i="1"/>
  <c r="V556" i="1"/>
  <c r="L557" i="1"/>
  <c r="V557" i="1"/>
  <c r="L558" i="1"/>
  <c r="V558" i="1"/>
  <c r="L559" i="1"/>
  <c r="V559" i="1"/>
  <c r="L560" i="1"/>
  <c r="V560" i="1"/>
  <c r="V561" i="1"/>
  <c r="L562" i="1"/>
  <c r="V562" i="1"/>
  <c r="L563" i="1"/>
  <c r="V563" i="1"/>
  <c r="L564" i="1"/>
  <c r="M564" i="1" s="1"/>
  <c r="V564" i="1"/>
  <c r="L565" i="1"/>
  <c r="M565" i="1" s="1"/>
  <c r="N565" i="1" s="1"/>
  <c r="V565" i="1"/>
  <c r="L566" i="1"/>
  <c r="M566" i="1" s="1"/>
  <c r="V566" i="1"/>
  <c r="L567" i="1"/>
  <c r="M567" i="1" s="1"/>
  <c r="N567" i="1" s="1"/>
  <c r="V567" i="1"/>
  <c r="L568" i="1"/>
  <c r="M568" i="1" s="1"/>
  <c r="N568" i="1" s="1"/>
  <c r="S568" i="1" s="1"/>
  <c r="V568" i="1"/>
  <c r="L569" i="1"/>
  <c r="M569" i="1" s="1"/>
  <c r="V569" i="1"/>
  <c r="L570" i="1"/>
  <c r="M570" i="1" s="1"/>
  <c r="V570" i="1"/>
  <c r="L571" i="1"/>
  <c r="M571" i="1" s="1"/>
  <c r="V571" i="1"/>
  <c r="L572" i="1"/>
  <c r="M572" i="1" s="1"/>
  <c r="V572" i="1"/>
  <c r="L573" i="1"/>
  <c r="M573" i="1" s="1"/>
  <c r="V573" i="1"/>
  <c r="L574" i="1"/>
  <c r="M574" i="1" s="1"/>
  <c r="V574" i="1"/>
  <c r="L575" i="1"/>
  <c r="M575" i="1" s="1"/>
  <c r="V575" i="1"/>
  <c r="L576" i="1"/>
  <c r="M576" i="1" s="1"/>
  <c r="V576" i="1"/>
  <c r="L577" i="1"/>
  <c r="M577" i="1" s="1"/>
  <c r="V577" i="1"/>
  <c r="L578" i="1"/>
  <c r="V578" i="1"/>
  <c r="L579" i="1"/>
  <c r="V579" i="1"/>
  <c r="L580" i="1"/>
  <c r="V580" i="1"/>
  <c r="L581" i="1"/>
  <c r="V581" i="1"/>
  <c r="L582" i="1"/>
  <c r="V582" i="1"/>
  <c r="L583" i="1"/>
  <c r="V583" i="1"/>
  <c r="L584" i="1"/>
  <c r="V584" i="1"/>
  <c r="L585" i="1"/>
  <c r="V585" i="1"/>
  <c r="L586" i="1"/>
  <c r="V586" i="1"/>
  <c r="L587" i="1"/>
  <c r="V587" i="1"/>
  <c r="L588" i="1"/>
  <c r="V588" i="1"/>
  <c r="L589" i="1"/>
  <c r="V589" i="1"/>
  <c r="L590" i="1"/>
  <c r="M590" i="1" s="1"/>
  <c r="N590" i="1" s="1"/>
  <c r="V590" i="1"/>
  <c r="L591" i="1"/>
  <c r="M591" i="1" s="1"/>
  <c r="N591" i="1" s="1"/>
  <c r="V591" i="1"/>
  <c r="L592" i="1"/>
  <c r="M592" i="1" s="1"/>
  <c r="V592" i="1"/>
  <c r="L593" i="1"/>
  <c r="M593" i="1" s="1"/>
  <c r="V593" i="1"/>
  <c r="L594" i="1"/>
  <c r="M594" i="1" s="1"/>
  <c r="V594" i="1"/>
  <c r="L595" i="1"/>
  <c r="M595" i="1" s="1"/>
  <c r="V595" i="1"/>
  <c r="L596" i="1"/>
  <c r="M596" i="1" s="1"/>
  <c r="V596" i="1"/>
  <c r="L597" i="1"/>
  <c r="M597" i="1" s="1"/>
  <c r="N597" i="1" s="1"/>
  <c r="V597" i="1"/>
  <c r="L598" i="1"/>
  <c r="M598" i="1" s="1"/>
  <c r="N598" i="1" s="1"/>
  <c r="V598" i="1"/>
  <c r="L599" i="1"/>
  <c r="M599" i="1" s="1"/>
  <c r="N599" i="1" s="1"/>
  <c r="V599" i="1"/>
  <c r="L600" i="1"/>
  <c r="M600" i="1" s="1"/>
  <c r="N600" i="1" s="1"/>
  <c r="V600" i="1"/>
  <c r="L601" i="1"/>
  <c r="M601" i="1" s="1"/>
  <c r="V601" i="1"/>
  <c r="L602" i="1"/>
  <c r="M602" i="1" s="1"/>
  <c r="N602" i="1" s="1"/>
  <c r="V602" i="1"/>
  <c r="L603" i="1"/>
  <c r="M603" i="1" s="1"/>
  <c r="N603" i="1" s="1"/>
  <c r="V603" i="1"/>
  <c r="L604" i="1"/>
  <c r="M604" i="1" s="1"/>
  <c r="N604" i="1" s="1"/>
  <c r="V604" i="1"/>
  <c r="L605" i="1"/>
  <c r="M605" i="1" s="1"/>
  <c r="V605" i="1"/>
  <c r="L606" i="1"/>
  <c r="M606" i="1" s="1"/>
  <c r="V606" i="1"/>
  <c r="L607" i="1"/>
  <c r="M607" i="1" s="1"/>
  <c r="V607" i="1"/>
  <c r="L608" i="1"/>
  <c r="M608" i="1" s="1"/>
  <c r="V608" i="1"/>
  <c r="L609" i="1"/>
  <c r="M609" i="1" s="1"/>
  <c r="V609" i="1"/>
  <c r="L610" i="1"/>
  <c r="M610" i="1" s="1"/>
  <c r="V610" i="1"/>
  <c r="L611" i="1"/>
  <c r="M611" i="1" s="1"/>
  <c r="N611" i="1" s="1"/>
  <c r="V611" i="1"/>
  <c r="L612" i="1"/>
  <c r="M612" i="1" s="1"/>
  <c r="N612" i="1" s="1"/>
  <c r="V612" i="1"/>
  <c r="L613" i="1"/>
  <c r="M613" i="1" s="1"/>
  <c r="N613" i="1" s="1"/>
  <c r="V613" i="1"/>
  <c r="L614" i="1"/>
  <c r="M614" i="1" s="1"/>
  <c r="N614" i="1" s="1"/>
  <c r="V614" i="1"/>
  <c r="L615" i="1"/>
  <c r="M615" i="1" s="1"/>
  <c r="V615" i="1"/>
  <c r="L616" i="1"/>
  <c r="M616" i="1" s="1"/>
  <c r="N616" i="1" s="1"/>
  <c r="V616" i="1"/>
  <c r="L617" i="1"/>
  <c r="M617" i="1" s="1"/>
  <c r="N617" i="1" s="1"/>
  <c r="Q617" i="1" s="1"/>
  <c r="V617" i="1"/>
  <c r="L618" i="1"/>
  <c r="M618" i="1" s="1"/>
  <c r="N618" i="1" s="1"/>
  <c r="V618" i="1"/>
  <c r="L619" i="1"/>
  <c r="V619" i="1"/>
  <c r="L620" i="1"/>
  <c r="M620" i="1" s="1"/>
  <c r="V620" i="1"/>
  <c r="L621" i="1"/>
  <c r="M621" i="1" s="1"/>
  <c r="V621" i="1"/>
  <c r="L622" i="1"/>
  <c r="M622" i="1" s="1"/>
  <c r="V622" i="1"/>
  <c r="L623" i="1"/>
  <c r="M623" i="1" s="1"/>
  <c r="V623" i="1"/>
  <c r="L624" i="1"/>
  <c r="M624" i="1" s="1"/>
  <c r="V624" i="1"/>
  <c r="L625" i="1"/>
  <c r="M625" i="1" s="1"/>
  <c r="V625" i="1"/>
  <c r="L626" i="1"/>
  <c r="M626" i="1" s="1"/>
  <c r="V626" i="1"/>
  <c r="L627" i="1"/>
  <c r="M627" i="1" s="1"/>
  <c r="V627" i="1"/>
  <c r="L628" i="1"/>
  <c r="M628" i="1" s="1"/>
  <c r="V628" i="1"/>
  <c r="L629" i="1"/>
  <c r="M629" i="1" s="1"/>
  <c r="V629" i="1"/>
  <c r="L630" i="1"/>
  <c r="M630" i="1" s="1"/>
  <c r="V630" i="1"/>
  <c r="L631" i="1"/>
  <c r="M631" i="1" s="1"/>
  <c r="V631" i="1"/>
  <c r="L632" i="1"/>
  <c r="M632" i="1" s="1"/>
  <c r="V632" i="1"/>
  <c r="L633" i="1"/>
  <c r="M633" i="1" s="1"/>
  <c r="V633" i="1"/>
  <c r="L634" i="1"/>
  <c r="M634" i="1" s="1"/>
  <c r="V634" i="1"/>
  <c r="L635" i="1"/>
  <c r="M635" i="1" s="1"/>
  <c r="V635" i="1"/>
  <c r="L636" i="1"/>
  <c r="M636" i="1" s="1"/>
  <c r="V636" i="1"/>
  <c r="L637" i="1"/>
  <c r="M637" i="1" s="1"/>
  <c r="V637" i="1"/>
  <c r="L638" i="1"/>
  <c r="M638" i="1" s="1"/>
  <c r="V638" i="1"/>
  <c r="L639" i="1"/>
  <c r="M639" i="1" s="1"/>
  <c r="V639" i="1"/>
  <c r="L640" i="1"/>
  <c r="M640" i="1" s="1"/>
  <c r="V640" i="1"/>
  <c r="L641" i="1"/>
  <c r="M641" i="1" s="1"/>
  <c r="V641" i="1"/>
  <c r="L642" i="1"/>
  <c r="M642" i="1" s="1"/>
  <c r="V642" i="1"/>
  <c r="L643" i="1"/>
  <c r="M643" i="1" s="1"/>
  <c r="V643" i="1"/>
  <c r="L644" i="1"/>
  <c r="M644" i="1" s="1"/>
  <c r="V644" i="1"/>
  <c r="L645" i="1"/>
  <c r="M645" i="1" s="1"/>
  <c r="N645" i="1" s="1"/>
  <c r="V645" i="1"/>
  <c r="L646" i="1"/>
  <c r="M646" i="1" s="1"/>
  <c r="N646" i="1" s="1"/>
  <c r="V646" i="1"/>
  <c r="L647" i="1"/>
  <c r="M647" i="1" s="1"/>
  <c r="N647" i="1" s="1"/>
  <c r="V647" i="1"/>
  <c r="L648" i="1"/>
  <c r="M648" i="1" s="1"/>
  <c r="N648" i="1" s="1"/>
  <c r="V648" i="1"/>
  <c r="L649" i="1"/>
  <c r="M649" i="1" s="1"/>
  <c r="V649" i="1"/>
  <c r="L650" i="1"/>
  <c r="M650" i="1" s="1"/>
  <c r="V650" i="1"/>
  <c r="L651" i="1"/>
  <c r="M651" i="1" s="1"/>
  <c r="V651" i="1"/>
  <c r="L652" i="1"/>
  <c r="M652" i="1" s="1"/>
  <c r="V652" i="1"/>
  <c r="L653" i="1"/>
  <c r="M653" i="1" s="1"/>
  <c r="V653" i="1"/>
  <c r="L654" i="1"/>
  <c r="M654" i="1" s="1"/>
  <c r="V654" i="1"/>
  <c r="L655" i="1"/>
  <c r="M655" i="1" s="1"/>
  <c r="V655" i="1"/>
  <c r="L656" i="1"/>
  <c r="M656" i="1" s="1"/>
  <c r="N656" i="1" s="1"/>
  <c r="V656" i="1"/>
  <c r="L657" i="1"/>
  <c r="M657" i="1" s="1"/>
  <c r="N657" i="1" s="1"/>
  <c r="V657" i="1"/>
  <c r="L658" i="1"/>
  <c r="M658" i="1" s="1"/>
  <c r="V658" i="1"/>
  <c r="L659" i="1"/>
  <c r="M659" i="1" s="1"/>
  <c r="V659" i="1"/>
  <c r="L660" i="1"/>
  <c r="M660" i="1" s="1"/>
  <c r="V660" i="1"/>
  <c r="L661" i="1"/>
  <c r="M661" i="1" s="1"/>
  <c r="V661" i="1"/>
  <c r="L662" i="1"/>
  <c r="M662" i="1" s="1"/>
  <c r="V662" i="1"/>
  <c r="L663" i="1"/>
  <c r="M663" i="1" s="1"/>
  <c r="V663" i="1"/>
  <c r="L664" i="1"/>
  <c r="M664" i="1" s="1"/>
  <c r="V664" i="1"/>
  <c r="L665" i="1"/>
  <c r="M665" i="1" s="1"/>
  <c r="V665" i="1"/>
  <c r="L666" i="1"/>
  <c r="M666" i="1" s="1"/>
  <c r="V666" i="1"/>
  <c r="L667" i="1"/>
  <c r="M667" i="1" s="1"/>
  <c r="V667" i="1"/>
  <c r="L668" i="1"/>
  <c r="M668" i="1" s="1"/>
  <c r="N668" i="1" s="1"/>
  <c r="V668" i="1"/>
  <c r="L669" i="1"/>
  <c r="M669" i="1" s="1"/>
  <c r="N669" i="1" s="1"/>
  <c r="V669" i="1"/>
  <c r="L670" i="1"/>
  <c r="M670" i="1" s="1"/>
  <c r="V670" i="1"/>
  <c r="L671" i="1"/>
  <c r="M671" i="1" s="1"/>
  <c r="V671" i="1"/>
  <c r="L672" i="1"/>
  <c r="M672" i="1" s="1"/>
  <c r="N672" i="1" s="1"/>
  <c r="V672" i="1"/>
  <c r="L673" i="1"/>
  <c r="M673" i="1" s="1"/>
  <c r="V673" i="1"/>
  <c r="L674" i="1"/>
  <c r="M674" i="1" s="1"/>
  <c r="N674" i="1" s="1"/>
  <c r="V674" i="1"/>
  <c r="L675" i="1"/>
  <c r="M675" i="1" s="1"/>
  <c r="N675" i="1" s="1"/>
  <c r="V675" i="1"/>
  <c r="L676" i="1"/>
  <c r="M676" i="1" s="1"/>
  <c r="V676" i="1"/>
  <c r="L677" i="1"/>
  <c r="M677" i="1" s="1"/>
  <c r="V677" i="1"/>
  <c r="L678" i="1"/>
  <c r="M678" i="1" s="1"/>
  <c r="N678" i="1" s="1"/>
  <c r="V678" i="1"/>
  <c r="L679" i="1"/>
  <c r="M679" i="1" s="1"/>
  <c r="N679" i="1" s="1"/>
  <c r="V679" i="1"/>
  <c r="L680" i="1"/>
  <c r="M680" i="1" s="1"/>
  <c r="N680" i="1" s="1"/>
  <c r="V680" i="1"/>
  <c r="L681" i="1"/>
  <c r="M681" i="1" s="1"/>
  <c r="V681" i="1"/>
  <c r="L682" i="1"/>
  <c r="M682" i="1" s="1"/>
  <c r="N682" i="1" s="1"/>
  <c r="V682" i="1"/>
  <c r="L683" i="1"/>
  <c r="M683" i="1" s="1"/>
  <c r="N683" i="1" s="1"/>
  <c r="V683" i="1"/>
  <c r="L684" i="1"/>
  <c r="M684" i="1" s="1"/>
  <c r="N684" i="1" s="1"/>
  <c r="V684" i="1"/>
  <c r="L685" i="1"/>
  <c r="M685" i="1" s="1"/>
  <c r="N685" i="1" s="1"/>
  <c r="V685" i="1"/>
  <c r="L686" i="1"/>
  <c r="M686" i="1" s="1"/>
  <c r="N686" i="1" s="1"/>
  <c r="V686" i="1"/>
  <c r="L687" i="1"/>
  <c r="M687" i="1" s="1"/>
  <c r="N687" i="1" s="1"/>
  <c r="V687" i="1"/>
  <c r="L688" i="1"/>
  <c r="M688" i="1" s="1"/>
  <c r="N688" i="1" s="1"/>
  <c r="V688" i="1"/>
  <c r="L689" i="1"/>
  <c r="M689" i="1" s="1"/>
  <c r="N689" i="1" s="1"/>
  <c r="V689" i="1"/>
  <c r="L690" i="1"/>
  <c r="M690" i="1" s="1"/>
  <c r="N690" i="1" s="1"/>
  <c r="V690" i="1"/>
  <c r="L691" i="1"/>
  <c r="M691" i="1" s="1"/>
  <c r="N691" i="1" s="1"/>
  <c r="V691" i="1"/>
  <c r="L692" i="1"/>
  <c r="M692" i="1" s="1"/>
  <c r="N692" i="1" s="1"/>
  <c r="V692" i="1"/>
  <c r="L693" i="1"/>
  <c r="M693" i="1" s="1"/>
  <c r="V693" i="1"/>
  <c r="L694" i="1"/>
  <c r="M694" i="1" s="1"/>
  <c r="V694" i="1"/>
  <c r="L695" i="1"/>
  <c r="M695" i="1" s="1"/>
  <c r="V695" i="1"/>
  <c r="L696" i="1"/>
  <c r="M696" i="1" s="1"/>
  <c r="V696" i="1"/>
  <c r="L697" i="1"/>
  <c r="M697" i="1" s="1"/>
  <c r="V697" i="1"/>
  <c r="L698" i="1"/>
  <c r="M698" i="1" s="1"/>
  <c r="V698" i="1"/>
  <c r="L699" i="1"/>
  <c r="M699" i="1" s="1"/>
  <c r="V699" i="1"/>
  <c r="L700" i="1"/>
  <c r="M700" i="1" s="1"/>
  <c r="V700" i="1"/>
  <c r="L701" i="1"/>
  <c r="M701" i="1" s="1"/>
  <c r="V701" i="1"/>
  <c r="L702" i="1"/>
  <c r="M702" i="1" s="1"/>
  <c r="V702" i="1"/>
  <c r="L703" i="1"/>
  <c r="M703" i="1" s="1"/>
  <c r="V703" i="1"/>
  <c r="L704" i="1"/>
  <c r="M704" i="1" s="1"/>
  <c r="N704" i="1" s="1"/>
  <c r="V704" i="1"/>
  <c r="L705" i="1"/>
  <c r="M705" i="1" s="1"/>
  <c r="N705" i="1" s="1"/>
  <c r="V705" i="1"/>
  <c r="L706" i="1"/>
  <c r="M706" i="1" s="1"/>
  <c r="N706" i="1" s="1"/>
  <c r="V706" i="1"/>
  <c r="L707" i="1"/>
  <c r="V707" i="1"/>
  <c r="L708" i="1"/>
  <c r="M708" i="1" s="1"/>
  <c r="V708" i="1"/>
  <c r="L709" i="1"/>
  <c r="M709" i="1" s="1"/>
  <c r="N709" i="1" s="1"/>
  <c r="V709" i="1"/>
  <c r="L710" i="1"/>
  <c r="M710" i="1" s="1"/>
  <c r="N710" i="1" s="1"/>
  <c r="V710" i="1"/>
  <c r="L711" i="1"/>
  <c r="M711" i="1" s="1"/>
  <c r="V711" i="1"/>
  <c r="L712" i="1"/>
  <c r="M712" i="1" s="1"/>
  <c r="V712" i="1"/>
  <c r="L713" i="1"/>
  <c r="M713" i="1" s="1"/>
  <c r="V713" i="1"/>
  <c r="L714" i="1"/>
  <c r="M714" i="1" s="1"/>
  <c r="N714" i="1" s="1"/>
  <c r="V714" i="1"/>
  <c r="L715" i="1"/>
  <c r="M715" i="1" s="1"/>
  <c r="N715" i="1" s="1"/>
  <c r="V715" i="1"/>
  <c r="L716" i="1"/>
  <c r="M716" i="1" s="1"/>
  <c r="V716" i="1"/>
  <c r="L717" i="1"/>
  <c r="M717" i="1" s="1"/>
  <c r="V717" i="1"/>
  <c r="L718" i="1"/>
  <c r="M718" i="1" s="1"/>
  <c r="V718" i="1"/>
  <c r="L719" i="1"/>
  <c r="M719" i="1" s="1"/>
  <c r="N719" i="1" s="1"/>
  <c r="V719" i="1"/>
  <c r="L720" i="1"/>
  <c r="M720" i="1" s="1"/>
  <c r="N720" i="1" s="1"/>
  <c r="V720" i="1"/>
  <c r="L721" i="1"/>
  <c r="M721" i="1" s="1"/>
  <c r="V721" i="1"/>
  <c r="L722" i="1"/>
  <c r="M722" i="1" s="1"/>
  <c r="V722" i="1"/>
  <c r="L723" i="1"/>
  <c r="M723" i="1" s="1"/>
  <c r="N723" i="1" s="1"/>
  <c r="V723" i="1"/>
  <c r="L724" i="1"/>
  <c r="M724" i="1" s="1"/>
  <c r="N724" i="1" s="1"/>
  <c r="V724" i="1"/>
  <c r="L725" i="1"/>
  <c r="M725" i="1" s="1"/>
  <c r="N725" i="1" s="1"/>
  <c r="V725" i="1"/>
  <c r="L726" i="1"/>
  <c r="V726" i="1"/>
  <c r="L727" i="1"/>
  <c r="M727" i="1" s="1"/>
  <c r="V727" i="1"/>
  <c r="L728" i="1"/>
  <c r="M728" i="1" s="1"/>
  <c r="N728" i="1" s="1"/>
  <c r="V728" i="1"/>
  <c r="L729" i="1"/>
  <c r="M729" i="1" s="1"/>
  <c r="N729" i="1" s="1"/>
  <c r="V729" i="1"/>
  <c r="L730" i="1"/>
  <c r="M730" i="1" s="1"/>
  <c r="N730" i="1" s="1"/>
  <c r="V730" i="1"/>
  <c r="L731" i="1"/>
  <c r="M731" i="1" s="1"/>
  <c r="V731" i="1"/>
  <c r="L732" i="1"/>
  <c r="M732" i="1" s="1"/>
  <c r="V732" i="1"/>
  <c r="L733" i="1"/>
  <c r="M733" i="1" s="1"/>
  <c r="N733" i="1" s="1"/>
  <c r="V733" i="1"/>
  <c r="L734" i="1"/>
  <c r="M734" i="1" s="1"/>
  <c r="N734" i="1" s="1"/>
  <c r="V734" i="1"/>
  <c r="L735" i="1"/>
  <c r="M735" i="1" s="1"/>
  <c r="V735" i="1"/>
  <c r="L736" i="1"/>
  <c r="M736" i="1" s="1"/>
  <c r="N736" i="1" s="1"/>
  <c r="V736" i="1"/>
  <c r="L737" i="1"/>
  <c r="M737" i="1" s="1"/>
  <c r="V737" i="1"/>
  <c r="L738" i="1"/>
  <c r="M738" i="1" s="1"/>
  <c r="N738" i="1" s="1"/>
  <c r="V738" i="1"/>
  <c r="L739" i="1"/>
  <c r="M739" i="1" s="1"/>
  <c r="N739" i="1" s="1"/>
  <c r="V739" i="1"/>
  <c r="L740" i="1"/>
  <c r="M740" i="1" s="1"/>
  <c r="V740" i="1"/>
  <c r="L741" i="1"/>
  <c r="M741" i="1" s="1"/>
  <c r="V741" i="1"/>
  <c r="L742" i="1"/>
  <c r="M742" i="1" s="1"/>
  <c r="V742" i="1"/>
  <c r="L743" i="1"/>
  <c r="M743" i="1" s="1"/>
  <c r="N743" i="1" s="1"/>
  <c r="V743" i="1"/>
  <c r="L744" i="1"/>
  <c r="M744" i="1" s="1"/>
  <c r="N744" i="1" s="1"/>
  <c r="V744" i="1"/>
  <c r="L745" i="1"/>
  <c r="M745" i="1" s="1"/>
  <c r="V745" i="1"/>
  <c r="L746" i="1"/>
  <c r="M746" i="1" s="1"/>
  <c r="V746" i="1"/>
  <c r="L747" i="1"/>
  <c r="M747" i="1" s="1"/>
  <c r="N747" i="1" s="1"/>
  <c r="V747" i="1"/>
  <c r="L748" i="1"/>
  <c r="M748" i="1" s="1"/>
  <c r="N748" i="1" s="1"/>
  <c r="V748" i="1"/>
  <c r="L749" i="1"/>
  <c r="M749" i="1" s="1"/>
  <c r="N749" i="1" s="1"/>
  <c r="V749" i="1"/>
  <c r="L750" i="1"/>
  <c r="M750" i="1" s="1"/>
  <c r="V750" i="1"/>
  <c r="L751" i="1"/>
  <c r="M751" i="1" s="1"/>
  <c r="V751" i="1"/>
  <c r="L752" i="1"/>
  <c r="M752" i="1" s="1"/>
  <c r="N752" i="1" s="1"/>
  <c r="V752" i="1"/>
  <c r="L753" i="1"/>
  <c r="M753" i="1" s="1"/>
  <c r="N753" i="1" s="1"/>
  <c r="V753" i="1"/>
  <c r="L754" i="1"/>
  <c r="M754" i="1" s="1"/>
  <c r="N754" i="1" s="1"/>
  <c r="V754" i="1"/>
  <c r="L755" i="1"/>
  <c r="M755" i="1" s="1"/>
  <c r="V755" i="1"/>
  <c r="L756" i="1"/>
  <c r="M756" i="1" s="1"/>
  <c r="V756" i="1"/>
  <c r="L757" i="1"/>
  <c r="M757" i="1" s="1"/>
  <c r="N757" i="1" s="1"/>
  <c r="V757" i="1"/>
  <c r="L758" i="1"/>
  <c r="M758" i="1" s="1"/>
  <c r="N758" i="1" s="1"/>
  <c r="V758" i="1"/>
  <c r="L759" i="1"/>
  <c r="M759" i="1" s="1"/>
  <c r="V759" i="1"/>
  <c r="L760" i="1"/>
  <c r="M760" i="1" s="1"/>
  <c r="V760" i="1"/>
  <c r="L761" i="1"/>
  <c r="M761" i="1" s="1"/>
  <c r="V761" i="1"/>
  <c r="L762" i="1"/>
  <c r="M762" i="1" s="1"/>
  <c r="N762" i="1" s="1"/>
  <c r="V762" i="1"/>
  <c r="L763" i="1"/>
  <c r="M763" i="1" s="1"/>
  <c r="N763" i="1" s="1"/>
  <c r="V763" i="1"/>
  <c r="L764" i="1"/>
  <c r="M764" i="1" s="1"/>
  <c r="V764" i="1"/>
  <c r="L765" i="1"/>
  <c r="M765" i="1" s="1"/>
  <c r="V765" i="1"/>
  <c r="L766" i="1"/>
  <c r="M766" i="1" s="1"/>
  <c r="V766" i="1"/>
  <c r="L767" i="1"/>
  <c r="M767" i="1" s="1"/>
  <c r="N767" i="1" s="1"/>
  <c r="V767" i="1"/>
  <c r="L768" i="1"/>
  <c r="M768" i="1" s="1"/>
  <c r="N768" i="1" s="1"/>
  <c r="V768" i="1"/>
  <c r="L769" i="1"/>
  <c r="M769" i="1" s="1"/>
  <c r="V769" i="1"/>
  <c r="L770" i="1"/>
  <c r="M770" i="1" s="1"/>
  <c r="V770" i="1"/>
  <c r="L771" i="1"/>
  <c r="M771" i="1" s="1"/>
  <c r="V771" i="1"/>
  <c r="L772" i="1"/>
  <c r="V772" i="1"/>
  <c r="L773" i="1"/>
  <c r="M773" i="1" s="1"/>
  <c r="N773" i="1" s="1"/>
  <c r="V773" i="1"/>
  <c r="L774" i="1"/>
  <c r="M774" i="1" s="1"/>
  <c r="V774" i="1"/>
  <c r="L775" i="1"/>
  <c r="M775" i="1" s="1"/>
  <c r="V775" i="1"/>
  <c r="L776" i="1"/>
  <c r="M776" i="1" s="1"/>
  <c r="N776" i="1" s="1"/>
  <c r="V776" i="1"/>
  <c r="L777" i="1"/>
  <c r="M777" i="1" s="1"/>
  <c r="N777" i="1" s="1"/>
  <c r="V777" i="1"/>
  <c r="L778" i="1"/>
  <c r="M778" i="1" s="1"/>
  <c r="N778" i="1" s="1"/>
  <c r="V778" i="1"/>
  <c r="L779" i="1"/>
  <c r="M779" i="1" s="1"/>
  <c r="V779" i="1"/>
  <c r="L780" i="1"/>
  <c r="M780" i="1" s="1"/>
  <c r="V780" i="1"/>
  <c r="L781" i="1"/>
  <c r="M781" i="1" s="1"/>
  <c r="V781" i="1"/>
  <c r="L782" i="1"/>
  <c r="M782" i="1" s="1"/>
  <c r="N782" i="1" s="1"/>
  <c r="V782" i="1"/>
  <c r="L783" i="1"/>
  <c r="M783" i="1" s="1"/>
  <c r="V783" i="1"/>
  <c r="L784" i="1"/>
  <c r="M784" i="1" s="1"/>
  <c r="V784" i="1"/>
  <c r="L785" i="1"/>
  <c r="M785" i="1" s="1"/>
  <c r="N785" i="1" s="1"/>
  <c r="V785" i="1"/>
  <c r="L786" i="1"/>
  <c r="M786" i="1" s="1"/>
  <c r="N786" i="1" s="1"/>
  <c r="V786" i="1"/>
  <c r="L787" i="1"/>
  <c r="M787" i="1" s="1"/>
  <c r="N787" i="1" s="1"/>
  <c r="V787" i="1"/>
  <c r="L788" i="1"/>
  <c r="M788" i="1" s="1"/>
  <c r="V788" i="1"/>
  <c r="L789" i="1"/>
  <c r="M789" i="1" s="1"/>
  <c r="V789" i="1"/>
  <c r="L790" i="1"/>
  <c r="M790" i="1" s="1"/>
  <c r="V790" i="1"/>
  <c r="L791" i="1"/>
  <c r="M791" i="1" s="1"/>
  <c r="V791" i="1"/>
  <c r="L792" i="1"/>
  <c r="M792" i="1" s="1"/>
  <c r="V792" i="1"/>
  <c r="L793" i="1"/>
  <c r="M793" i="1" s="1"/>
  <c r="V793" i="1"/>
  <c r="L794" i="1"/>
  <c r="M794" i="1" s="1"/>
  <c r="V794" i="1"/>
  <c r="L795" i="1"/>
  <c r="M795" i="1" s="1"/>
  <c r="V795" i="1"/>
  <c r="L796" i="1"/>
  <c r="M796" i="1" s="1"/>
  <c r="V796" i="1"/>
  <c r="L797" i="1"/>
  <c r="M797" i="1" s="1"/>
  <c r="V797" i="1"/>
  <c r="L798" i="1"/>
  <c r="M798" i="1" s="1"/>
  <c r="V798" i="1"/>
  <c r="L799" i="1"/>
  <c r="M799" i="1" s="1"/>
  <c r="V799" i="1"/>
  <c r="L800" i="1"/>
  <c r="M800" i="1" s="1"/>
  <c r="V800" i="1"/>
  <c r="L801" i="1"/>
  <c r="M801" i="1" s="1"/>
  <c r="V801" i="1"/>
  <c r="L802" i="1"/>
  <c r="M802" i="1" s="1"/>
  <c r="V802" i="1"/>
  <c r="L803" i="1"/>
  <c r="M803" i="1" s="1"/>
  <c r="V803" i="1"/>
  <c r="L804" i="1"/>
  <c r="M804" i="1" s="1"/>
  <c r="V804" i="1"/>
  <c r="L805" i="1"/>
  <c r="M805" i="1" s="1"/>
  <c r="V805" i="1"/>
  <c r="L806" i="1"/>
  <c r="M806" i="1" s="1"/>
  <c r="V806" i="1"/>
  <c r="L807" i="1"/>
  <c r="M807" i="1" s="1"/>
  <c r="V807" i="1"/>
  <c r="L808" i="1"/>
  <c r="M808" i="1" s="1"/>
  <c r="V808" i="1"/>
  <c r="L809" i="1"/>
  <c r="M809" i="1" s="1"/>
  <c r="V809" i="1"/>
  <c r="L810" i="1"/>
  <c r="M810" i="1" s="1"/>
  <c r="V810" i="1"/>
  <c r="L811" i="1"/>
  <c r="M811" i="1" s="1"/>
  <c r="V811" i="1"/>
  <c r="L812" i="1"/>
  <c r="M812" i="1" s="1"/>
  <c r="V812" i="1"/>
  <c r="L813" i="1"/>
  <c r="M813" i="1" s="1"/>
  <c r="V813" i="1"/>
  <c r="L814" i="1"/>
  <c r="M814" i="1" s="1"/>
  <c r="V814" i="1"/>
  <c r="L815" i="1"/>
  <c r="M815" i="1" s="1"/>
  <c r="V815" i="1"/>
  <c r="L816" i="1"/>
  <c r="M816" i="1" s="1"/>
  <c r="V816" i="1"/>
  <c r="L817" i="1"/>
  <c r="M817" i="1" s="1"/>
  <c r="V817" i="1"/>
  <c r="L818" i="1"/>
  <c r="M818" i="1" s="1"/>
  <c r="V818" i="1"/>
  <c r="L819" i="1"/>
  <c r="M819" i="1" s="1"/>
  <c r="V819" i="1"/>
  <c r="L820" i="1"/>
  <c r="M820" i="1" s="1"/>
  <c r="V820" i="1"/>
  <c r="L821" i="1"/>
  <c r="M821" i="1" s="1"/>
  <c r="N821" i="1" s="1"/>
  <c r="V821" i="1"/>
  <c r="L822" i="1"/>
  <c r="M822" i="1" s="1"/>
  <c r="N822" i="1" s="1"/>
  <c r="V822" i="1"/>
  <c r="L823" i="1"/>
  <c r="M823" i="1" s="1"/>
  <c r="N823" i="1" s="1"/>
  <c r="V823" i="1"/>
  <c r="L824" i="1"/>
  <c r="M824" i="1" s="1"/>
  <c r="N824" i="1" s="1"/>
  <c r="V824" i="1"/>
  <c r="L825" i="1"/>
  <c r="M825" i="1" s="1"/>
  <c r="N825" i="1" s="1"/>
  <c r="V825" i="1"/>
  <c r="L826" i="1"/>
  <c r="M826" i="1" s="1"/>
  <c r="N826" i="1" s="1"/>
  <c r="V826" i="1"/>
  <c r="L827" i="1"/>
  <c r="M827" i="1" s="1"/>
  <c r="N827" i="1" s="1"/>
  <c r="V827" i="1"/>
  <c r="L828" i="1"/>
  <c r="M828" i="1" s="1"/>
  <c r="N828" i="1" s="1"/>
  <c r="V828" i="1"/>
  <c r="L829" i="1"/>
  <c r="M829" i="1" s="1"/>
  <c r="N829" i="1" s="1"/>
  <c r="V829" i="1"/>
  <c r="L830" i="1"/>
  <c r="M830" i="1" s="1"/>
  <c r="N830" i="1" s="1"/>
  <c r="V830" i="1"/>
  <c r="L831" i="1"/>
  <c r="M831" i="1" s="1"/>
  <c r="N831" i="1" s="1"/>
  <c r="V831" i="1"/>
  <c r="L832" i="1"/>
  <c r="M832" i="1" s="1"/>
  <c r="N832" i="1" s="1"/>
  <c r="V832" i="1"/>
  <c r="L833" i="1"/>
  <c r="M833" i="1" s="1"/>
  <c r="V833" i="1"/>
  <c r="L834" i="1"/>
  <c r="M834" i="1" s="1"/>
  <c r="V834" i="1"/>
  <c r="L835" i="1"/>
  <c r="M835" i="1" s="1"/>
  <c r="V835" i="1"/>
  <c r="L836" i="1"/>
  <c r="M836" i="1" s="1"/>
  <c r="V836" i="1"/>
  <c r="L837" i="1"/>
  <c r="M837" i="1" s="1"/>
  <c r="V837" i="1"/>
  <c r="L838" i="1"/>
  <c r="M838" i="1" s="1"/>
  <c r="V838" i="1"/>
  <c r="L839" i="1"/>
  <c r="M839" i="1" s="1"/>
  <c r="V839" i="1"/>
  <c r="L840" i="1"/>
  <c r="M840" i="1" s="1"/>
  <c r="V840" i="1"/>
  <c r="L841" i="1"/>
  <c r="M841" i="1" s="1"/>
  <c r="V841" i="1"/>
  <c r="L842" i="1"/>
  <c r="M842" i="1" s="1"/>
  <c r="V842" i="1"/>
  <c r="L843" i="1"/>
  <c r="M843" i="1" s="1"/>
  <c r="V843" i="1"/>
  <c r="L844" i="1"/>
  <c r="M844" i="1" s="1"/>
  <c r="V844" i="1"/>
  <c r="L845" i="1"/>
  <c r="M845" i="1" s="1"/>
  <c r="V845" i="1"/>
  <c r="L846" i="1"/>
  <c r="M846" i="1" s="1"/>
  <c r="V846" i="1"/>
  <c r="L847" i="1"/>
  <c r="M847" i="1" s="1"/>
  <c r="V847" i="1"/>
  <c r="L848" i="1"/>
  <c r="M848" i="1" s="1"/>
  <c r="V848" i="1"/>
  <c r="L849" i="1"/>
  <c r="M849" i="1" s="1"/>
  <c r="V849" i="1"/>
  <c r="L850" i="1"/>
  <c r="M850" i="1" s="1"/>
  <c r="V850" i="1"/>
  <c r="L851" i="1"/>
  <c r="M851" i="1" s="1"/>
  <c r="V851" i="1"/>
  <c r="L852" i="1"/>
  <c r="M852" i="1" s="1"/>
  <c r="V852" i="1"/>
  <c r="L853" i="1"/>
  <c r="M853" i="1" s="1"/>
  <c r="V853" i="1"/>
  <c r="L854" i="1"/>
  <c r="M854" i="1" s="1"/>
  <c r="N854" i="1" s="1"/>
  <c r="V854" i="1"/>
  <c r="L855" i="1"/>
  <c r="M855" i="1" s="1"/>
  <c r="N855" i="1" s="1"/>
  <c r="V855" i="1"/>
  <c r="L856" i="1"/>
  <c r="M856" i="1" s="1"/>
  <c r="N856" i="1" s="1"/>
  <c r="V856" i="1"/>
  <c r="L857" i="1"/>
  <c r="M857" i="1" s="1"/>
  <c r="N857" i="1" s="1"/>
  <c r="V857" i="1"/>
  <c r="L858" i="1"/>
  <c r="M858" i="1" s="1"/>
  <c r="V858" i="1"/>
  <c r="L859" i="1"/>
  <c r="M859" i="1" s="1"/>
  <c r="V859" i="1"/>
  <c r="L860" i="1"/>
  <c r="V860" i="1"/>
  <c r="L861" i="1"/>
  <c r="M861" i="1" s="1"/>
  <c r="V861" i="1"/>
  <c r="L862" i="1"/>
  <c r="M862" i="1" s="1"/>
  <c r="V862" i="1"/>
  <c r="L863" i="1"/>
  <c r="M863" i="1" s="1"/>
  <c r="V863" i="1"/>
  <c r="L864" i="1"/>
  <c r="M864" i="1" s="1"/>
  <c r="V864" i="1"/>
  <c r="M865" i="1"/>
  <c r="V865" i="1"/>
  <c r="L866" i="1"/>
  <c r="M866" i="1" s="1"/>
  <c r="V866" i="1"/>
  <c r="M867" i="1"/>
  <c r="V867" i="1"/>
  <c r="L868" i="1"/>
  <c r="M868" i="1" s="1"/>
  <c r="V868" i="1"/>
  <c r="L869" i="1"/>
  <c r="M869" i="1" s="1"/>
  <c r="V869" i="1"/>
  <c r="L870" i="1"/>
  <c r="M870" i="1" s="1"/>
  <c r="V870" i="1"/>
  <c r="M871" i="1"/>
  <c r="V871" i="1"/>
  <c r="L872" i="1"/>
  <c r="M872" i="1" s="1"/>
  <c r="V872" i="1"/>
  <c r="L873" i="1"/>
  <c r="M873" i="1" s="1"/>
  <c r="V873" i="1"/>
  <c r="M874" i="1"/>
  <c r="V874" i="1"/>
  <c r="L875" i="1"/>
  <c r="M875" i="1" s="1"/>
  <c r="V875" i="1"/>
  <c r="L876" i="1"/>
  <c r="M876" i="1" s="1"/>
  <c r="V876" i="1"/>
  <c r="L877" i="1"/>
  <c r="M877" i="1" s="1"/>
  <c r="V877" i="1"/>
  <c r="L878" i="1"/>
  <c r="V878" i="1"/>
  <c r="L879" i="1"/>
  <c r="V879" i="1"/>
  <c r="L880" i="1"/>
  <c r="V880" i="1"/>
  <c r="V881" i="1"/>
  <c r="L882" i="1"/>
  <c r="M882" i="1" s="1"/>
  <c r="N882" i="1" s="1"/>
  <c r="V882" i="1"/>
  <c r="L883" i="1"/>
  <c r="M883" i="1" s="1"/>
  <c r="V883" i="1"/>
  <c r="L884" i="1"/>
  <c r="M884" i="1" s="1"/>
  <c r="V884" i="1"/>
  <c r="L885" i="1"/>
  <c r="M885" i="1" s="1"/>
  <c r="V885" i="1"/>
  <c r="L886" i="1"/>
  <c r="M886" i="1" s="1"/>
  <c r="N886" i="1" s="1"/>
  <c r="V886" i="1"/>
  <c r="L887" i="1"/>
  <c r="M887" i="1" s="1"/>
  <c r="V887" i="1"/>
  <c r="L888" i="1"/>
  <c r="M888" i="1" s="1"/>
  <c r="V888" i="1"/>
  <c r="L889" i="1"/>
  <c r="M889" i="1" s="1"/>
  <c r="N889" i="1" s="1"/>
  <c r="V889" i="1"/>
  <c r="L890" i="1"/>
  <c r="M890" i="1" s="1"/>
  <c r="N890" i="1" s="1"/>
  <c r="V890" i="1"/>
  <c r="L891" i="1"/>
  <c r="M891" i="1" s="1"/>
  <c r="V891" i="1"/>
  <c r="L892" i="1"/>
  <c r="M892" i="1" s="1"/>
  <c r="V892" i="1"/>
  <c r="L893" i="1"/>
  <c r="M893" i="1" s="1"/>
  <c r="N893" i="1" s="1"/>
  <c r="V893" i="1"/>
  <c r="L894" i="1"/>
  <c r="M894" i="1" s="1"/>
  <c r="V894" i="1"/>
  <c r="L895" i="1"/>
  <c r="M895" i="1" s="1"/>
  <c r="N895" i="1" s="1"/>
  <c r="V895" i="1"/>
  <c r="L896" i="1"/>
  <c r="M896" i="1" s="1"/>
  <c r="V896" i="1"/>
  <c r="L897" i="1"/>
  <c r="M897" i="1" s="1"/>
  <c r="V897" i="1"/>
  <c r="L898" i="1"/>
  <c r="M898" i="1" s="1"/>
  <c r="N898" i="1" s="1"/>
  <c r="V898" i="1"/>
  <c r="L899" i="1"/>
  <c r="M899" i="1" s="1"/>
  <c r="V899" i="1"/>
  <c r="L900" i="1"/>
  <c r="M900" i="1" s="1"/>
  <c r="V900" i="1"/>
  <c r="L901" i="1"/>
  <c r="M901" i="1" s="1"/>
  <c r="N901" i="1" s="1"/>
  <c r="V901" i="1"/>
  <c r="L902" i="1"/>
  <c r="M902" i="1" s="1"/>
  <c r="V902" i="1"/>
  <c r="L903" i="1"/>
  <c r="M903" i="1" s="1"/>
  <c r="N903" i="1" s="1"/>
  <c r="V903" i="1"/>
  <c r="L904" i="1"/>
  <c r="M904" i="1" s="1"/>
  <c r="V904" i="1"/>
  <c r="L905" i="1"/>
  <c r="M905" i="1" s="1"/>
  <c r="V905" i="1"/>
  <c r="L906" i="1"/>
  <c r="M906" i="1" s="1"/>
  <c r="N906" i="1" s="1"/>
  <c r="V906" i="1"/>
  <c r="L907" i="1"/>
  <c r="M907" i="1" s="1"/>
  <c r="V907" i="1"/>
  <c r="L908" i="1"/>
  <c r="M908" i="1" s="1"/>
  <c r="V908" i="1"/>
  <c r="L909" i="1"/>
  <c r="M909" i="1" s="1"/>
  <c r="N909" i="1" s="1"/>
  <c r="V909" i="1"/>
  <c r="L910" i="1"/>
  <c r="M910" i="1" s="1"/>
  <c r="V910" i="1"/>
  <c r="L911" i="1"/>
  <c r="M911" i="1" s="1"/>
  <c r="V911" i="1"/>
  <c r="L912" i="1"/>
  <c r="M912" i="1" s="1"/>
  <c r="V912" i="1"/>
  <c r="L913" i="1"/>
  <c r="M913" i="1" s="1"/>
  <c r="V913" i="1"/>
  <c r="L914" i="1"/>
  <c r="M914" i="1" s="1"/>
  <c r="N914" i="1" s="1"/>
  <c r="V914" i="1"/>
  <c r="L915" i="1"/>
  <c r="M915" i="1" s="1"/>
  <c r="V915" i="1"/>
  <c r="L916" i="1"/>
  <c r="V916" i="1"/>
  <c r="L917" i="1"/>
  <c r="M917" i="1" s="1"/>
  <c r="V917" i="1"/>
  <c r="L918" i="1"/>
  <c r="V918" i="1"/>
  <c r="L919" i="1"/>
  <c r="M919" i="1" s="1"/>
  <c r="V919" i="1"/>
  <c r="L920" i="1"/>
  <c r="M920" i="1" s="1"/>
  <c r="N920" i="1" s="1"/>
  <c r="V920" i="1"/>
  <c r="L921" i="1"/>
  <c r="M921" i="1" s="1"/>
  <c r="N921" i="1" s="1"/>
  <c r="V921" i="1"/>
  <c r="L922" i="1"/>
  <c r="M922" i="1" s="1"/>
  <c r="N922" i="1" s="1"/>
  <c r="V922" i="1"/>
  <c r="L923" i="1"/>
  <c r="M923" i="1" s="1"/>
  <c r="V923" i="1"/>
  <c r="L924" i="1"/>
  <c r="V924" i="1"/>
  <c r="L925" i="1"/>
  <c r="M925" i="1" s="1"/>
  <c r="V925" i="1"/>
  <c r="L926" i="1"/>
  <c r="V926" i="1"/>
  <c r="L927" i="1"/>
  <c r="M927" i="1" s="1"/>
  <c r="V927" i="1"/>
  <c r="L928" i="1"/>
  <c r="M928" i="1" s="1"/>
  <c r="N928" i="1" s="1"/>
  <c r="V928" i="1"/>
  <c r="L929" i="1"/>
  <c r="M929" i="1" s="1"/>
  <c r="N929" i="1" s="1"/>
  <c r="V929" i="1"/>
  <c r="L930" i="1"/>
  <c r="M930" i="1" s="1"/>
  <c r="N930" i="1" s="1"/>
  <c r="V930" i="1"/>
  <c r="L931" i="1"/>
  <c r="M931" i="1" s="1"/>
  <c r="V931" i="1"/>
  <c r="L932" i="1"/>
  <c r="V932" i="1"/>
  <c r="L933" i="1"/>
  <c r="M933" i="1" s="1"/>
  <c r="V933" i="1"/>
  <c r="L934" i="1"/>
  <c r="V934" i="1"/>
  <c r="L935" i="1"/>
  <c r="M935" i="1" s="1"/>
  <c r="V935" i="1"/>
  <c r="L936" i="1"/>
  <c r="M936" i="1" s="1"/>
  <c r="N936" i="1" s="1"/>
  <c r="V936" i="1"/>
  <c r="L937" i="1"/>
  <c r="M937" i="1" s="1"/>
  <c r="N937" i="1" s="1"/>
  <c r="V937" i="1"/>
  <c r="L938" i="1"/>
  <c r="M938" i="1" s="1"/>
  <c r="N938" i="1" s="1"/>
  <c r="V938" i="1"/>
  <c r="L939" i="1"/>
  <c r="M939" i="1" s="1"/>
  <c r="V939" i="1"/>
  <c r="L940" i="1"/>
  <c r="V940" i="1"/>
  <c r="L941" i="1"/>
  <c r="M941" i="1" s="1"/>
  <c r="V941" i="1"/>
  <c r="L942" i="1"/>
  <c r="V942" i="1"/>
  <c r="L943" i="1"/>
  <c r="M943" i="1" s="1"/>
  <c r="V943" i="1"/>
  <c r="L944" i="1"/>
  <c r="M944" i="1" s="1"/>
  <c r="N944" i="1" s="1"/>
  <c r="V944" i="1"/>
  <c r="L945" i="1"/>
  <c r="M945" i="1" s="1"/>
  <c r="N945" i="1" s="1"/>
  <c r="V945" i="1"/>
  <c r="L946" i="1"/>
  <c r="M946" i="1" s="1"/>
  <c r="N946" i="1" s="1"/>
  <c r="V946" i="1"/>
  <c r="L947" i="1"/>
  <c r="M947" i="1" s="1"/>
  <c r="V947" i="1"/>
  <c r="L948" i="1"/>
  <c r="V948" i="1"/>
  <c r="L949" i="1"/>
  <c r="M949" i="1" s="1"/>
  <c r="V949" i="1"/>
  <c r="L950" i="1"/>
  <c r="M950" i="1" s="1"/>
  <c r="V950" i="1"/>
  <c r="L951" i="1"/>
  <c r="M951" i="1" s="1"/>
  <c r="V951" i="1"/>
  <c r="L952" i="1"/>
  <c r="M952" i="1" s="1"/>
  <c r="V952" i="1"/>
  <c r="L953" i="1"/>
  <c r="M953" i="1" s="1"/>
  <c r="V953" i="1"/>
  <c r="L954" i="1"/>
  <c r="M954" i="1" s="1"/>
  <c r="N954" i="1" s="1"/>
  <c r="Q954" i="1" s="1"/>
  <c r="V954" i="1"/>
  <c r="L955" i="1"/>
  <c r="M955" i="1" s="1"/>
  <c r="N955" i="1" s="1"/>
  <c r="V955" i="1"/>
  <c r="L956" i="1"/>
  <c r="M956" i="1" s="1"/>
  <c r="N956" i="1" s="1"/>
  <c r="V956" i="1"/>
  <c r="L957" i="1"/>
  <c r="M957" i="1" s="1"/>
  <c r="N957" i="1" s="1"/>
  <c r="V957" i="1"/>
  <c r="L958" i="1"/>
  <c r="M958" i="1" s="1"/>
  <c r="N958" i="1" s="1"/>
  <c r="V958" i="1"/>
  <c r="L959" i="1"/>
  <c r="M959" i="1" s="1"/>
  <c r="N959" i="1" s="1"/>
  <c r="V959" i="1"/>
  <c r="L960" i="1"/>
  <c r="M960" i="1" s="1"/>
  <c r="N960" i="1" s="1"/>
  <c r="V960" i="1"/>
  <c r="L961" i="1"/>
  <c r="M961" i="1" s="1"/>
  <c r="N961" i="1" s="1"/>
  <c r="V961" i="1"/>
  <c r="L962" i="1"/>
  <c r="M962" i="1" s="1"/>
  <c r="N962" i="1" s="1"/>
  <c r="V962" i="1"/>
  <c r="L963" i="1"/>
  <c r="M963" i="1" s="1"/>
  <c r="N963" i="1" s="1"/>
  <c r="V963" i="1"/>
  <c r="L964" i="1"/>
  <c r="M964" i="1" s="1"/>
  <c r="N964" i="1" s="1"/>
  <c r="V964" i="1"/>
  <c r="L965" i="1"/>
  <c r="M965" i="1" s="1"/>
  <c r="N965" i="1" s="1"/>
  <c r="V965" i="1"/>
  <c r="L966" i="1"/>
  <c r="M966" i="1" s="1"/>
  <c r="N966" i="1" s="1"/>
  <c r="V966" i="1"/>
  <c r="L967" i="1"/>
  <c r="M967" i="1" s="1"/>
  <c r="N967" i="1" s="1"/>
  <c r="V967" i="1"/>
  <c r="L968" i="1"/>
  <c r="M968" i="1" s="1"/>
  <c r="N968" i="1" s="1"/>
  <c r="V968" i="1"/>
  <c r="L969" i="1"/>
  <c r="M969" i="1" s="1"/>
  <c r="N969" i="1" s="1"/>
  <c r="V969" i="1"/>
  <c r="L970" i="1"/>
  <c r="M970" i="1" s="1"/>
  <c r="N970" i="1" s="1"/>
  <c r="V970" i="1"/>
  <c r="L971" i="1"/>
  <c r="M971" i="1" s="1"/>
  <c r="N971" i="1" s="1"/>
  <c r="V971" i="1"/>
  <c r="L972" i="1"/>
  <c r="M972" i="1" s="1"/>
  <c r="N972" i="1" s="1"/>
  <c r="V972" i="1"/>
  <c r="L973" i="1"/>
  <c r="M973" i="1" s="1"/>
  <c r="N973" i="1" s="1"/>
  <c r="V973" i="1"/>
  <c r="L974" i="1"/>
  <c r="M974" i="1" s="1"/>
  <c r="N974" i="1" s="1"/>
  <c r="V974" i="1"/>
  <c r="L975" i="1"/>
  <c r="M975" i="1" s="1"/>
  <c r="V975" i="1"/>
  <c r="L976" i="1"/>
  <c r="M976" i="1" s="1"/>
  <c r="V976" i="1"/>
  <c r="L977" i="1"/>
  <c r="M977" i="1" s="1"/>
  <c r="V977" i="1"/>
  <c r="L978" i="1"/>
  <c r="M978" i="1" s="1"/>
  <c r="V978" i="1"/>
  <c r="L979" i="1"/>
  <c r="M979" i="1" s="1"/>
  <c r="V979" i="1"/>
  <c r="L980" i="1"/>
  <c r="M980" i="1" s="1"/>
  <c r="V980" i="1"/>
  <c r="L981" i="1"/>
  <c r="M981" i="1" s="1"/>
  <c r="V981" i="1"/>
  <c r="L982" i="1"/>
  <c r="M982" i="1" s="1"/>
  <c r="V982" i="1"/>
  <c r="L983" i="1"/>
  <c r="M983" i="1" s="1"/>
  <c r="V983" i="1"/>
  <c r="L984" i="1"/>
  <c r="M984" i="1" s="1"/>
  <c r="V984" i="1"/>
  <c r="L985" i="1"/>
  <c r="M985" i="1" s="1"/>
  <c r="V985" i="1"/>
  <c r="L986" i="1"/>
  <c r="M986" i="1" s="1"/>
  <c r="V986" i="1"/>
  <c r="L987" i="1"/>
  <c r="M987" i="1" s="1"/>
  <c r="V987" i="1"/>
  <c r="L988" i="1"/>
  <c r="M988" i="1" s="1"/>
  <c r="V988" i="1"/>
  <c r="L989" i="1"/>
  <c r="M989" i="1" s="1"/>
  <c r="V989" i="1"/>
  <c r="L990" i="1"/>
  <c r="M990" i="1" s="1"/>
  <c r="V990" i="1"/>
  <c r="L991" i="1"/>
  <c r="M991" i="1" s="1"/>
  <c r="V991" i="1"/>
  <c r="L992" i="1"/>
  <c r="M992" i="1" s="1"/>
  <c r="V992" i="1"/>
  <c r="L993" i="1"/>
  <c r="M993" i="1" s="1"/>
  <c r="V993" i="1"/>
  <c r="L994" i="1"/>
  <c r="M994" i="1" s="1"/>
  <c r="V994" i="1"/>
  <c r="L995" i="1"/>
  <c r="M995" i="1" s="1"/>
  <c r="V995" i="1"/>
  <c r="L996" i="1"/>
  <c r="M996" i="1" s="1"/>
  <c r="V996" i="1"/>
  <c r="L997" i="1"/>
  <c r="M997" i="1" s="1"/>
  <c r="V997" i="1"/>
  <c r="L998" i="1"/>
  <c r="M998" i="1" s="1"/>
  <c r="V998" i="1"/>
  <c r="L999" i="1"/>
  <c r="M999" i="1" s="1"/>
  <c r="V999" i="1"/>
  <c r="L1000" i="1"/>
  <c r="M1000" i="1" s="1"/>
  <c r="V1000" i="1"/>
  <c r="L1001" i="1"/>
  <c r="M1001" i="1" s="1"/>
  <c r="V1001" i="1"/>
  <c r="L1002" i="1"/>
  <c r="M1002" i="1" s="1"/>
  <c r="V1002" i="1"/>
  <c r="L1003" i="1"/>
  <c r="M1003" i="1" s="1"/>
  <c r="V1003" i="1"/>
  <c r="L1004" i="1"/>
  <c r="M1004" i="1" s="1"/>
  <c r="V1004" i="1"/>
  <c r="L1005" i="1"/>
  <c r="M1005" i="1" s="1"/>
  <c r="V1005" i="1"/>
  <c r="L1006" i="1"/>
  <c r="M1006" i="1" s="1"/>
  <c r="V1006" i="1"/>
  <c r="L1007" i="1"/>
  <c r="M1007" i="1" s="1"/>
  <c r="V1007" i="1"/>
  <c r="L1008" i="1"/>
  <c r="M1008" i="1" s="1"/>
  <c r="V1008" i="1"/>
  <c r="L1009" i="1"/>
  <c r="M1009" i="1" s="1"/>
  <c r="V1009" i="1"/>
  <c r="L1010" i="1"/>
  <c r="M1010" i="1" s="1"/>
  <c r="V1010" i="1"/>
  <c r="L1011" i="1"/>
  <c r="M1011" i="1" s="1"/>
  <c r="V1011" i="1"/>
  <c r="L1012" i="1"/>
  <c r="M1012" i="1" s="1"/>
  <c r="V1012" i="1"/>
  <c r="L1013" i="1"/>
  <c r="M1013" i="1" s="1"/>
  <c r="V1013" i="1"/>
  <c r="L1014" i="1"/>
  <c r="M1014" i="1" s="1"/>
  <c r="V1014" i="1"/>
  <c r="L1015" i="1"/>
  <c r="M1015" i="1" s="1"/>
  <c r="V1015" i="1"/>
  <c r="L1016" i="1"/>
  <c r="M1016" i="1" s="1"/>
  <c r="V1016" i="1"/>
  <c r="L1017" i="1"/>
  <c r="M1017" i="1" s="1"/>
  <c r="V1017" i="1"/>
  <c r="L1018" i="1"/>
  <c r="M1018" i="1" s="1"/>
  <c r="V1018" i="1"/>
  <c r="L1019" i="1"/>
  <c r="M1019" i="1" s="1"/>
  <c r="V1019" i="1"/>
  <c r="L1020" i="1"/>
  <c r="M1020" i="1" s="1"/>
  <c r="V1020" i="1"/>
  <c r="L1021" i="1"/>
  <c r="M1021" i="1" s="1"/>
  <c r="V1021" i="1"/>
  <c r="L1022" i="1"/>
  <c r="M1022" i="1" s="1"/>
  <c r="V1022" i="1"/>
  <c r="L1023" i="1"/>
  <c r="M1023" i="1" s="1"/>
  <c r="V1023" i="1"/>
  <c r="L1024" i="1"/>
  <c r="M1024" i="1" s="1"/>
  <c r="V1024" i="1"/>
  <c r="L1025" i="1"/>
  <c r="M1025" i="1" s="1"/>
  <c r="V1025" i="1"/>
  <c r="L1026" i="1"/>
  <c r="M1026" i="1" s="1"/>
  <c r="V1026" i="1"/>
  <c r="L1027" i="1"/>
  <c r="M1027" i="1" s="1"/>
  <c r="V1027" i="1"/>
  <c r="L1028" i="1"/>
  <c r="M1028" i="1" s="1"/>
  <c r="V1028" i="1"/>
  <c r="L1029" i="1"/>
  <c r="M1029" i="1" s="1"/>
  <c r="V1029" i="1"/>
  <c r="L1030" i="1"/>
  <c r="M1030" i="1" s="1"/>
  <c r="V1030" i="1"/>
  <c r="L1031" i="1"/>
  <c r="M1031" i="1" s="1"/>
  <c r="V1031" i="1"/>
  <c r="L1032" i="1"/>
  <c r="M1032" i="1" s="1"/>
  <c r="V1032" i="1"/>
  <c r="L1033" i="1"/>
  <c r="M1033" i="1" s="1"/>
  <c r="V1033" i="1"/>
  <c r="L1034" i="1"/>
  <c r="M1034" i="1" s="1"/>
  <c r="V1034" i="1"/>
  <c r="L1035" i="1"/>
  <c r="M1035" i="1" s="1"/>
  <c r="V1035" i="1"/>
  <c r="L1036" i="1"/>
  <c r="M1036" i="1" s="1"/>
  <c r="V1036" i="1"/>
  <c r="L1037" i="1"/>
  <c r="M1037" i="1" s="1"/>
  <c r="V1037" i="1"/>
  <c r="L1038" i="1"/>
  <c r="M1038" i="1" s="1"/>
  <c r="V1038" i="1"/>
  <c r="L1039" i="1"/>
  <c r="M1039" i="1" s="1"/>
  <c r="V1039" i="1"/>
  <c r="L1040" i="1"/>
  <c r="M1040" i="1" s="1"/>
  <c r="V1040" i="1"/>
  <c r="L1041" i="1"/>
  <c r="M1041" i="1" s="1"/>
  <c r="V1041" i="1"/>
  <c r="L1042" i="1"/>
  <c r="M1042" i="1" s="1"/>
  <c r="V1042" i="1"/>
  <c r="L1043" i="1"/>
  <c r="M1043" i="1" s="1"/>
  <c r="V1043" i="1"/>
  <c r="L1044" i="1"/>
  <c r="M1044" i="1" s="1"/>
  <c r="V1044" i="1"/>
  <c r="L1045" i="1"/>
  <c r="M1045" i="1" s="1"/>
  <c r="V1045" i="1"/>
  <c r="L1046" i="1"/>
  <c r="M1046" i="1" s="1"/>
  <c r="V1046" i="1"/>
  <c r="L1047" i="1"/>
  <c r="M1047" i="1" s="1"/>
  <c r="V1047" i="1"/>
  <c r="L1048" i="1"/>
  <c r="M1048" i="1" s="1"/>
  <c r="V1048" i="1"/>
  <c r="L1049" i="1"/>
  <c r="M1049" i="1" s="1"/>
  <c r="V1049" i="1"/>
  <c r="L1050" i="1"/>
  <c r="M1050" i="1" s="1"/>
  <c r="V1050" i="1"/>
  <c r="L1051" i="1"/>
  <c r="M1051" i="1" s="1"/>
  <c r="V1051" i="1"/>
  <c r="L1052" i="1"/>
  <c r="M1052" i="1" s="1"/>
  <c r="V1052" i="1"/>
  <c r="L1053" i="1"/>
  <c r="M1053" i="1" s="1"/>
  <c r="V1053" i="1"/>
  <c r="L1054" i="1"/>
  <c r="M1054" i="1" s="1"/>
  <c r="V1054" i="1"/>
  <c r="L1055" i="1"/>
  <c r="M1055" i="1" s="1"/>
  <c r="V1055" i="1"/>
  <c r="L1056" i="1"/>
  <c r="M1056" i="1" s="1"/>
  <c r="V1056" i="1"/>
  <c r="L1057" i="1"/>
  <c r="M1057" i="1" s="1"/>
  <c r="V1057" i="1"/>
  <c r="L1058" i="1"/>
  <c r="V1058" i="1"/>
  <c r="L1059" i="1"/>
  <c r="V1059" i="1"/>
  <c r="L1060" i="1"/>
  <c r="V1060" i="1"/>
  <c r="L1061" i="1"/>
  <c r="V1061" i="1"/>
  <c r="L1062" i="1"/>
  <c r="V1062" i="1"/>
  <c r="L1063" i="1"/>
  <c r="V1063" i="1"/>
  <c r="L1064" i="1"/>
  <c r="V1064" i="1"/>
  <c r="L1065" i="1"/>
  <c r="V1065" i="1"/>
  <c r="L1066" i="1"/>
  <c r="V1066" i="1"/>
  <c r="L1067" i="1"/>
  <c r="V1067" i="1"/>
  <c r="L1068" i="1"/>
  <c r="V1068" i="1"/>
  <c r="L1069" i="1"/>
  <c r="V1069" i="1"/>
  <c r="L1070" i="1"/>
  <c r="V1070" i="1"/>
  <c r="L1071" i="1"/>
  <c r="V1071" i="1"/>
  <c r="L1072" i="1"/>
  <c r="V1072" i="1"/>
  <c r="L1073" i="1"/>
  <c r="V1073" i="1"/>
  <c r="L1074" i="1"/>
  <c r="V1074" i="1"/>
  <c r="L1075" i="1"/>
  <c r="V1075" i="1"/>
  <c r="L1076" i="1"/>
  <c r="V1076" i="1"/>
  <c r="L1077" i="1"/>
  <c r="V1077" i="1"/>
  <c r="L1078" i="1"/>
  <c r="V1078" i="1"/>
  <c r="L1079" i="1"/>
  <c r="V1079" i="1"/>
  <c r="L1080" i="1"/>
  <c r="V1080" i="1"/>
  <c r="L1081" i="1"/>
  <c r="V1081" i="1"/>
  <c r="L1082" i="1"/>
  <c r="V1082" i="1"/>
  <c r="L1083" i="1"/>
  <c r="V1083" i="1"/>
  <c r="L1084" i="1"/>
  <c r="V1084" i="1"/>
  <c r="L1085" i="1"/>
  <c r="V1085" i="1"/>
  <c r="L1086" i="1"/>
  <c r="V1086" i="1"/>
  <c r="L1087" i="1"/>
  <c r="V1087" i="1"/>
  <c r="L1088" i="1"/>
  <c r="V1088" i="1"/>
  <c r="L1089" i="1"/>
  <c r="V1089" i="1"/>
  <c r="L1090" i="1"/>
  <c r="V1090" i="1"/>
  <c r="L1091" i="1"/>
  <c r="V1091" i="1"/>
  <c r="L1092" i="1"/>
  <c r="V1092" i="1"/>
  <c r="L1093" i="1"/>
  <c r="V1093" i="1"/>
  <c r="L1094" i="1"/>
  <c r="V1094" i="1"/>
  <c r="L1095" i="1"/>
  <c r="V1095" i="1"/>
  <c r="L1096" i="1"/>
  <c r="V1096" i="1"/>
  <c r="L1097" i="1"/>
  <c r="V1097" i="1"/>
  <c r="L1098" i="1"/>
  <c r="V1098" i="1"/>
  <c r="L1099" i="1"/>
  <c r="V1099" i="1"/>
  <c r="L1100" i="1"/>
  <c r="V1100" i="1"/>
  <c r="L1101" i="1"/>
  <c r="V1101" i="1"/>
  <c r="L1102" i="1"/>
  <c r="V1102" i="1"/>
  <c r="L1103" i="1"/>
  <c r="V1103" i="1"/>
  <c r="L1104" i="1"/>
  <c r="V1104" i="1"/>
  <c r="L1105" i="1"/>
  <c r="V1105" i="1"/>
  <c r="L1106" i="1"/>
  <c r="V1106" i="1"/>
  <c r="L1107" i="1"/>
  <c r="V1107" i="1"/>
  <c r="L1108" i="1"/>
  <c r="V1108" i="1"/>
  <c r="L1109" i="1"/>
  <c r="V1109" i="1"/>
  <c r="L1110" i="1"/>
  <c r="V1110" i="1"/>
  <c r="L1111" i="1"/>
  <c r="V1111" i="1"/>
  <c r="L1112" i="1"/>
  <c r="V1112" i="1"/>
  <c r="L1113" i="1"/>
  <c r="V1113" i="1"/>
  <c r="L1114" i="1"/>
  <c r="V1114" i="1"/>
  <c r="L1115" i="1"/>
  <c r="V1115" i="1"/>
  <c r="L1116" i="1"/>
  <c r="V1116" i="1"/>
  <c r="L1117" i="1"/>
  <c r="V1117" i="1"/>
  <c r="L1118" i="1"/>
  <c r="V1118" i="1"/>
  <c r="L1119" i="1"/>
  <c r="V1119" i="1"/>
  <c r="L1120" i="1"/>
  <c r="V1120" i="1"/>
  <c r="L1121" i="1"/>
  <c r="V1121" i="1"/>
  <c r="L1122" i="1"/>
  <c r="V1122" i="1"/>
  <c r="L1123" i="1"/>
  <c r="V1123" i="1"/>
  <c r="L1124" i="1"/>
  <c r="V1124" i="1"/>
  <c r="L1125" i="1"/>
  <c r="V1125" i="1"/>
  <c r="L1126" i="1"/>
  <c r="V1126" i="1"/>
  <c r="L1127" i="1"/>
  <c r="V1127" i="1"/>
  <c r="L1128" i="1"/>
  <c r="V1128" i="1"/>
  <c r="L1129" i="1"/>
  <c r="V1129" i="1"/>
  <c r="L1130" i="1"/>
  <c r="V1130" i="1"/>
  <c r="L1131" i="1"/>
  <c r="V1131" i="1"/>
  <c r="L1132" i="1"/>
  <c r="V1132" i="1"/>
  <c r="L1133" i="1"/>
  <c r="V1133" i="1"/>
  <c r="L1134" i="1"/>
  <c r="V1134" i="1"/>
  <c r="L1135" i="1"/>
  <c r="V1135" i="1"/>
  <c r="L1136" i="1"/>
  <c r="V1136" i="1"/>
  <c r="L1137" i="1"/>
  <c r="V1137" i="1"/>
  <c r="L1138" i="1"/>
  <c r="V1138" i="1"/>
  <c r="L1139" i="1"/>
  <c r="V1139" i="1"/>
  <c r="L1140" i="1"/>
  <c r="V1140" i="1"/>
  <c r="L1141" i="1"/>
  <c r="V1141" i="1"/>
  <c r="L1142" i="1"/>
  <c r="V1142" i="1"/>
  <c r="L1143" i="1"/>
  <c r="V1143" i="1"/>
  <c r="L1144" i="1"/>
  <c r="V1144" i="1"/>
  <c r="L1145" i="1"/>
  <c r="V1145" i="1"/>
  <c r="L1146" i="1"/>
  <c r="V1146" i="1"/>
  <c r="L1147" i="1"/>
  <c r="V1147" i="1"/>
  <c r="L1148" i="1"/>
  <c r="V1148" i="1"/>
  <c r="L1149" i="1"/>
  <c r="V1149" i="1"/>
  <c r="L1150" i="1"/>
  <c r="V1150" i="1"/>
  <c r="L1151" i="1"/>
  <c r="V1151" i="1"/>
  <c r="L1152" i="1"/>
  <c r="V1152" i="1"/>
  <c r="L1153" i="1"/>
  <c r="V1153" i="1"/>
  <c r="L1154" i="1"/>
  <c r="V1154" i="1"/>
  <c r="L1155" i="1"/>
  <c r="V1155" i="1"/>
  <c r="L1156" i="1"/>
  <c r="V1156" i="1"/>
  <c r="L1157" i="1"/>
  <c r="V1157" i="1"/>
  <c r="L1158" i="1"/>
  <c r="V1158" i="1"/>
  <c r="L1159" i="1"/>
  <c r="V1159" i="1"/>
  <c r="L1160" i="1"/>
  <c r="V1160" i="1"/>
  <c r="L1161" i="1"/>
  <c r="V1161" i="1"/>
  <c r="L1162" i="1"/>
  <c r="V1162" i="1"/>
  <c r="L1163" i="1"/>
  <c r="V1163" i="1"/>
  <c r="L1164" i="1"/>
  <c r="V1164" i="1"/>
  <c r="L1165" i="1"/>
  <c r="V1165" i="1"/>
  <c r="L1166" i="1"/>
  <c r="V1166" i="1"/>
  <c r="L1167" i="1"/>
  <c r="V1167" i="1"/>
  <c r="L1168" i="1"/>
  <c r="V1168" i="1"/>
  <c r="L1169" i="1"/>
  <c r="V1169" i="1"/>
  <c r="L1170" i="1"/>
  <c r="V1170" i="1"/>
  <c r="L1171" i="1"/>
  <c r="V1171" i="1"/>
  <c r="L1172" i="1"/>
  <c r="V1172" i="1"/>
  <c r="L1173" i="1"/>
  <c r="V1173" i="1"/>
  <c r="L1174" i="1"/>
  <c r="V1174" i="1"/>
  <c r="L1175" i="1"/>
  <c r="V1175" i="1"/>
  <c r="L1176" i="1"/>
  <c r="V1176" i="1"/>
  <c r="L1177" i="1"/>
  <c r="V1177" i="1"/>
  <c r="L1178" i="1"/>
  <c r="V1178" i="1"/>
  <c r="L1179" i="1"/>
  <c r="V1179" i="1"/>
  <c r="L1180" i="1"/>
  <c r="V1180" i="1"/>
  <c r="L1181" i="1"/>
  <c r="V1181" i="1"/>
  <c r="L1182" i="1"/>
  <c r="V1182" i="1"/>
  <c r="L1183" i="1"/>
  <c r="V1183" i="1"/>
  <c r="L1184" i="1"/>
  <c r="V1184" i="1"/>
  <c r="L1185" i="1"/>
  <c r="V1185" i="1"/>
  <c r="L1186" i="1"/>
  <c r="V1186" i="1"/>
  <c r="L1187" i="1"/>
  <c r="V1187" i="1"/>
  <c r="L1188" i="1"/>
  <c r="V1188" i="1"/>
  <c r="L1189" i="1"/>
  <c r="V1189" i="1"/>
  <c r="L1190" i="1"/>
  <c r="V1190" i="1"/>
  <c r="L1191" i="1"/>
  <c r="V1191" i="1"/>
  <c r="L1192" i="1"/>
  <c r="V1192" i="1"/>
  <c r="L1193" i="1"/>
  <c r="V1193" i="1"/>
  <c r="L1194" i="1"/>
  <c r="V1194" i="1"/>
  <c r="L1195" i="1"/>
  <c r="V1195" i="1"/>
  <c r="L1196" i="1"/>
  <c r="V1196" i="1"/>
  <c r="L1197" i="1"/>
  <c r="V1197" i="1"/>
  <c r="L1198" i="1"/>
  <c r="V1198" i="1"/>
  <c r="L1199" i="1"/>
  <c r="V1199" i="1"/>
  <c r="L1200" i="1"/>
  <c r="V1200" i="1"/>
  <c r="L1201" i="1"/>
  <c r="V1201" i="1"/>
  <c r="L1202" i="1"/>
  <c r="V1202" i="1"/>
  <c r="L1203" i="1"/>
  <c r="V1203" i="1"/>
  <c r="L1204" i="1"/>
  <c r="V1204" i="1"/>
  <c r="L1205" i="1"/>
  <c r="V1205" i="1"/>
  <c r="L1206" i="1"/>
  <c r="V1206" i="1"/>
  <c r="L1207" i="1"/>
  <c r="V1207" i="1"/>
  <c r="L1208" i="1"/>
  <c r="V1208" i="1"/>
  <c r="L1209" i="1"/>
  <c r="V1209" i="1"/>
  <c r="L1210" i="1"/>
  <c r="V1210" i="1"/>
  <c r="L1211" i="1"/>
  <c r="V1211" i="1"/>
  <c r="L1212" i="1"/>
  <c r="V1212" i="1"/>
  <c r="L1213" i="1"/>
  <c r="V1213" i="1"/>
  <c r="L1214" i="1"/>
  <c r="V1214" i="1"/>
  <c r="L1215" i="1"/>
  <c r="V1215" i="1"/>
  <c r="L1216" i="1"/>
  <c r="V1216" i="1"/>
  <c r="L1217" i="1"/>
  <c r="V1217" i="1"/>
  <c r="L1218" i="1"/>
  <c r="V1218" i="1"/>
  <c r="L1219" i="1"/>
  <c r="V1219" i="1"/>
  <c r="L1220" i="1"/>
  <c r="V1220" i="1"/>
  <c r="L1221" i="1"/>
  <c r="V1221" i="1"/>
  <c r="L1222" i="1"/>
  <c r="V1222" i="1"/>
  <c r="L1223" i="1"/>
  <c r="V1223" i="1"/>
  <c r="L1224" i="1"/>
  <c r="V1224" i="1"/>
  <c r="L1225" i="1"/>
  <c r="V1225" i="1"/>
  <c r="L1226" i="1"/>
  <c r="V1226" i="1"/>
  <c r="L1227" i="1"/>
  <c r="V1227" i="1"/>
  <c r="L1228" i="1"/>
  <c r="V1228" i="1"/>
  <c r="L1229" i="1"/>
  <c r="V1229" i="1"/>
  <c r="L1230" i="1"/>
  <c r="V1230" i="1"/>
  <c r="L1231" i="1"/>
  <c r="V1231" i="1"/>
  <c r="L1232" i="1"/>
  <c r="V1232" i="1"/>
  <c r="L1233" i="1"/>
  <c r="V1233" i="1"/>
  <c r="L1234" i="1"/>
  <c r="V1234" i="1"/>
  <c r="L1235" i="1"/>
  <c r="V1235" i="1"/>
  <c r="L1236" i="1"/>
  <c r="V1236" i="1"/>
  <c r="L1237" i="1"/>
  <c r="V1237" i="1"/>
  <c r="L1238" i="1"/>
  <c r="V1238" i="1"/>
  <c r="L1239" i="1"/>
  <c r="V1239" i="1"/>
  <c r="L1240" i="1"/>
  <c r="V1240" i="1"/>
  <c r="L1241" i="1"/>
  <c r="V1241" i="1"/>
  <c r="L1242" i="1"/>
  <c r="V1242" i="1"/>
  <c r="L1243" i="1"/>
  <c r="V1243" i="1"/>
  <c r="L1244" i="1"/>
  <c r="V1244" i="1"/>
  <c r="L1245" i="1"/>
  <c r="V1245" i="1"/>
  <c r="L1246" i="1"/>
  <c r="V1246" i="1"/>
  <c r="L1247" i="1"/>
  <c r="V1247" i="1"/>
  <c r="L1248" i="1"/>
  <c r="V1248" i="1"/>
  <c r="L1249" i="1"/>
  <c r="V1249" i="1"/>
  <c r="L1250" i="1"/>
  <c r="V1250" i="1"/>
  <c r="L1251" i="1"/>
  <c r="V1251" i="1"/>
  <c r="L1252" i="1"/>
  <c r="V1252" i="1"/>
  <c r="L1253" i="1"/>
  <c r="V1253" i="1"/>
  <c r="L1254" i="1"/>
  <c r="V1254" i="1"/>
  <c r="L1255" i="1"/>
  <c r="V1255" i="1"/>
  <c r="L1256" i="1"/>
  <c r="V1256" i="1"/>
  <c r="L1257" i="1"/>
  <c r="M1257" i="1" s="1"/>
  <c r="V1257" i="1"/>
  <c r="L1258" i="1"/>
  <c r="M1258" i="1" s="1"/>
  <c r="V1258" i="1"/>
  <c r="L1259" i="1"/>
  <c r="M1259" i="1" s="1"/>
  <c r="V1259" i="1"/>
  <c r="L1260" i="1"/>
  <c r="M1260" i="1" s="1"/>
  <c r="V1260" i="1"/>
  <c r="L1261" i="1"/>
  <c r="V1261" i="1"/>
  <c r="L1262" i="1"/>
  <c r="M1262" i="1" s="1"/>
  <c r="V1262" i="1"/>
  <c r="L1263" i="1"/>
  <c r="M1263" i="1" s="1"/>
  <c r="V1263" i="1"/>
  <c r="L1264" i="1"/>
  <c r="M1264" i="1" s="1"/>
  <c r="V1264" i="1"/>
  <c r="L1265" i="1"/>
  <c r="M1265" i="1" s="1"/>
  <c r="V1265" i="1"/>
  <c r="L1266" i="1"/>
  <c r="M1266" i="1" s="1"/>
  <c r="V1266" i="1"/>
  <c r="L1267" i="1"/>
  <c r="M1267" i="1" s="1"/>
  <c r="V1267" i="1"/>
  <c r="L1268" i="1"/>
  <c r="M1268" i="1" s="1"/>
  <c r="V1268" i="1"/>
  <c r="L1269" i="1"/>
  <c r="M1269" i="1" s="1"/>
  <c r="V1269" i="1"/>
  <c r="L1270" i="1"/>
  <c r="M1270" i="1" s="1"/>
  <c r="V1270" i="1"/>
  <c r="L1271" i="1"/>
  <c r="M1271" i="1" s="1"/>
  <c r="V1271" i="1"/>
  <c r="L1272" i="1"/>
  <c r="M1272" i="1" s="1"/>
  <c r="V1272" i="1"/>
  <c r="L1273" i="1"/>
  <c r="M1273" i="1" s="1"/>
  <c r="V1273" i="1"/>
  <c r="L1274" i="1"/>
  <c r="M1274" i="1" s="1"/>
  <c r="V1274" i="1"/>
  <c r="L1275" i="1"/>
  <c r="M1275" i="1" s="1"/>
  <c r="V1275" i="1"/>
  <c r="L1276" i="1"/>
  <c r="M1276" i="1" s="1"/>
  <c r="V1276" i="1"/>
  <c r="L1277" i="1"/>
  <c r="M1277" i="1" s="1"/>
  <c r="V1277" i="1"/>
  <c r="L1278" i="1"/>
  <c r="M1278" i="1" s="1"/>
  <c r="V1278" i="1"/>
  <c r="L1279" i="1"/>
  <c r="M1279" i="1" s="1"/>
  <c r="V1279" i="1"/>
  <c r="L1280" i="1"/>
  <c r="M1280" i="1" s="1"/>
  <c r="V1280" i="1"/>
  <c r="L1281" i="1"/>
  <c r="M1281" i="1" s="1"/>
  <c r="V1281" i="1"/>
  <c r="L1282" i="1"/>
  <c r="M1282" i="1" s="1"/>
  <c r="V1282" i="1"/>
  <c r="L1283" i="1"/>
  <c r="M1283" i="1" s="1"/>
  <c r="V1283" i="1"/>
  <c r="L1284" i="1"/>
  <c r="M1284" i="1" s="1"/>
  <c r="V1284" i="1"/>
  <c r="L1285" i="1"/>
  <c r="M1285" i="1" s="1"/>
  <c r="V1285" i="1"/>
  <c r="L1286" i="1"/>
  <c r="M1286" i="1" s="1"/>
  <c r="V1286" i="1"/>
  <c r="L1287" i="1"/>
  <c r="M1287" i="1" s="1"/>
  <c r="V1287" i="1"/>
  <c r="L1288" i="1"/>
  <c r="M1288" i="1" s="1"/>
  <c r="V1288" i="1"/>
  <c r="L1289" i="1"/>
  <c r="M1289" i="1" s="1"/>
  <c r="V1289" i="1"/>
  <c r="L1290" i="1"/>
  <c r="M1290" i="1" s="1"/>
  <c r="V1290" i="1"/>
  <c r="L1291" i="1"/>
  <c r="M1291" i="1" s="1"/>
  <c r="V1291" i="1"/>
  <c r="L1292" i="1"/>
  <c r="M1292" i="1" s="1"/>
  <c r="V1292" i="1"/>
  <c r="L1293" i="1"/>
  <c r="M1293" i="1" s="1"/>
  <c r="V1293" i="1"/>
  <c r="L1294" i="1"/>
  <c r="M1294" i="1" s="1"/>
  <c r="V1294" i="1"/>
  <c r="L1295" i="1"/>
  <c r="M1295" i="1" s="1"/>
  <c r="V1295" i="1"/>
  <c r="L1296" i="1"/>
  <c r="M1296" i="1" s="1"/>
  <c r="V1296" i="1"/>
  <c r="L1297" i="1"/>
  <c r="M1297" i="1" s="1"/>
  <c r="V1297" i="1"/>
  <c r="L1298" i="1"/>
  <c r="M1298" i="1" s="1"/>
  <c r="V1298" i="1"/>
  <c r="L1299" i="1"/>
  <c r="M1299" i="1" s="1"/>
  <c r="V1299" i="1"/>
  <c r="L1300" i="1"/>
  <c r="M1300" i="1" s="1"/>
  <c r="V1300" i="1"/>
  <c r="L1301" i="1"/>
  <c r="M1301" i="1" s="1"/>
  <c r="V1301" i="1"/>
  <c r="L1302" i="1"/>
  <c r="M1302" i="1" s="1"/>
  <c r="V1302" i="1"/>
  <c r="L1303" i="1"/>
  <c r="M1303" i="1" s="1"/>
  <c r="V1303" i="1"/>
  <c r="L1304" i="1"/>
  <c r="M1304" i="1" s="1"/>
  <c r="V1304" i="1"/>
  <c r="L1305" i="1"/>
  <c r="M1305" i="1" s="1"/>
  <c r="V1305" i="1"/>
  <c r="L1306" i="1"/>
  <c r="M1306" i="1" s="1"/>
  <c r="V1306" i="1"/>
  <c r="L1307" i="1"/>
  <c r="M1307" i="1" s="1"/>
  <c r="V1307" i="1"/>
  <c r="L1308" i="1"/>
  <c r="M1308" i="1" s="1"/>
  <c r="V1308" i="1"/>
  <c r="L1309" i="1"/>
  <c r="M1309" i="1" s="1"/>
  <c r="V1309" i="1"/>
  <c r="L1310" i="1"/>
  <c r="M1310" i="1" s="1"/>
  <c r="V1310" i="1"/>
  <c r="L1311" i="1"/>
  <c r="M1311" i="1" s="1"/>
  <c r="V1311" i="1"/>
  <c r="L1312" i="1"/>
  <c r="M1312" i="1" s="1"/>
  <c r="V1312" i="1"/>
  <c r="L1313" i="1"/>
  <c r="M1313" i="1" s="1"/>
  <c r="V1313" i="1"/>
  <c r="L1314" i="1"/>
  <c r="M1314" i="1" s="1"/>
  <c r="V1314" i="1"/>
  <c r="L1315" i="1"/>
  <c r="M1315" i="1" s="1"/>
  <c r="V1315" i="1"/>
  <c r="L1316" i="1"/>
  <c r="M1316" i="1" s="1"/>
  <c r="V1316" i="1"/>
  <c r="L1317" i="1"/>
  <c r="M1317" i="1" s="1"/>
  <c r="V1317" i="1"/>
  <c r="L1318" i="1"/>
  <c r="M1318" i="1" s="1"/>
  <c r="V1318" i="1"/>
  <c r="L1319" i="1"/>
  <c r="M1319" i="1" s="1"/>
  <c r="V1319" i="1"/>
  <c r="L1320" i="1"/>
  <c r="M1320" i="1" s="1"/>
  <c r="V1320" i="1"/>
  <c r="L1321" i="1"/>
  <c r="M1321" i="1" s="1"/>
  <c r="V1321" i="1"/>
  <c r="L1322" i="1"/>
  <c r="M1322" i="1" s="1"/>
  <c r="V1322" i="1"/>
  <c r="L1323" i="1"/>
  <c r="M1323" i="1" s="1"/>
  <c r="V1323" i="1"/>
  <c r="L1324" i="1"/>
  <c r="M1324" i="1" s="1"/>
  <c r="V1324" i="1"/>
  <c r="L1325" i="1"/>
  <c r="M1325" i="1" s="1"/>
  <c r="V1325" i="1"/>
  <c r="L1326" i="1"/>
  <c r="M1326" i="1" s="1"/>
  <c r="V1326" i="1"/>
  <c r="L1327" i="1"/>
  <c r="M1327" i="1" s="1"/>
  <c r="V1327" i="1"/>
  <c r="L1328" i="1"/>
  <c r="M1328" i="1" s="1"/>
  <c r="V1328" i="1"/>
  <c r="L1329" i="1"/>
  <c r="M1329" i="1" s="1"/>
  <c r="V1329" i="1"/>
  <c r="L1330" i="1"/>
  <c r="M1330" i="1" s="1"/>
  <c r="V1330" i="1"/>
  <c r="L1331" i="1"/>
  <c r="M1331" i="1" s="1"/>
  <c r="V1331" i="1"/>
  <c r="L1332" i="1"/>
  <c r="M1332" i="1" s="1"/>
  <c r="V1332" i="1"/>
  <c r="L1333" i="1"/>
  <c r="M1333" i="1" s="1"/>
  <c r="V1333" i="1"/>
  <c r="L1334" i="1"/>
  <c r="M1334" i="1" s="1"/>
  <c r="V1334" i="1"/>
  <c r="L1335" i="1"/>
  <c r="M1335" i="1" s="1"/>
  <c r="V1335" i="1"/>
  <c r="L1336" i="1"/>
  <c r="M1336" i="1" s="1"/>
  <c r="V1336" i="1"/>
  <c r="L1337" i="1"/>
  <c r="M1337" i="1" s="1"/>
  <c r="V1337" i="1"/>
  <c r="L1338" i="1"/>
  <c r="M1338" i="1" s="1"/>
  <c r="V1338" i="1"/>
  <c r="L1339" i="1"/>
  <c r="M1339" i="1" s="1"/>
  <c r="V1339" i="1"/>
  <c r="L1340" i="1"/>
  <c r="M1340" i="1" s="1"/>
  <c r="V1340" i="1"/>
  <c r="L1341" i="1"/>
  <c r="M1341" i="1" s="1"/>
  <c r="V1341" i="1"/>
  <c r="L1342" i="1"/>
  <c r="M1342" i="1" s="1"/>
  <c r="V1342" i="1"/>
  <c r="L1343" i="1"/>
  <c r="M1343" i="1" s="1"/>
  <c r="V1343" i="1"/>
  <c r="L1344" i="1"/>
  <c r="M1344" i="1" s="1"/>
  <c r="V1344" i="1"/>
  <c r="L1345" i="1"/>
  <c r="M1345" i="1" s="1"/>
  <c r="V1345" i="1"/>
  <c r="L1346" i="1"/>
  <c r="M1346" i="1" s="1"/>
  <c r="V1346" i="1"/>
  <c r="L1347" i="1"/>
  <c r="M1347" i="1" s="1"/>
  <c r="V1347" i="1"/>
  <c r="L1348" i="1"/>
  <c r="M1348" i="1" s="1"/>
  <c r="V1348" i="1"/>
  <c r="L1349" i="1"/>
  <c r="M1349" i="1" s="1"/>
  <c r="V1349" i="1"/>
  <c r="L1350" i="1"/>
  <c r="M1350" i="1" s="1"/>
  <c r="V1350" i="1"/>
  <c r="L1351" i="1"/>
  <c r="M1351" i="1" s="1"/>
  <c r="V1351" i="1"/>
  <c r="L1352" i="1"/>
  <c r="M1352" i="1" s="1"/>
  <c r="V1352" i="1"/>
  <c r="L1353" i="1"/>
  <c r="M1353" i="1" s="1"/>
  <c r="V1353" i="1"/>
  <c r="L1354" i="1"/>
  <c r="M1354" i="1" s="1"/>
  <c r="V1354" i="1"/>
  <c r="L1355" i="1"/>
  <c r="M1355" i="1" s="1"/>
  <c r="V1355" i="1"/>
  <c r="L1356" i="1"/>
  <c r="M1356" i="1" s="1"/>
  <c r="V1356" i="1"/>
  <c r="L1357" i="1"/>
  <c r="M1357" i="1" s="1"/>
  <c r="V1357" i="1"/>
  <c r="L1358" i="1"/>
  <c r="M1358" i="1" s="1"/>
  <c r="V1358" i="1"/>
  <c r="L1359" i="1"/>
  <c r="M1359" i="1" s="1"/>
  <c r="V1359" i="1"/>
  <c r="L1360" i="1"/>
  <c r="M1360" i="1" s="1"/>
  <c r="V1360" i="1"/>
  <c r="L1361" i="1"/>
  <c r="M1361" i="1" s="1"/>
  <c r="V1361" i="1"/>
  <c r="L1362" i="1"/>
  <c r="M1362" i="1" s="1"/>
  <c r="V1362" i="1"/>
  <c r="L1363" i="1"/>
  <c r="M1363" i="1" s="1"/>
  <c r="V1363" i="1"/>
  <c r="L1364" i="1"/>
  <c r="M1364" i="1" s="1"/>
  <c r="V1364" i="1"/>
  <c r="L1365" i="1"/>
  <c r="V1365" i="1"/>
  <c r="L1366" i="1"/>
  <c r="V1366" i="1"/>
  <c r="L1367" i="1"/>
  <c r="V1367" i="1"/>
  <c r="L1368" i="1"/>
  <c r="V1368" i="1"/>
  <c r="L1369" i="1"/>
  <c r="V1369" i="1"/>
  <c r="L1370" i="1"/>
  <c r="V1370" i="1"/>
  <c r="L1371" i="1"/>
  <c r="V1371" i="1"/>
  <c r="L1372" i="1"/>
  <c r="V1372" i="1"/>
  <c r="L1373" i="1"/>
  <c r="V1373" i="1"/>
  <c r="L1374" i="1"/>
  <c r="V1374" i="1"/>
  <c r="L1375" i="1"/>
  <c r="V1375" i="1"/>
  <c r="L1376" i="1"/>
  <c r="V1376" i="1"/>
  <c r="L1377" i="1"/>
  <c r="V1377" i="1"/>
  <c r="L1378" i="1"/>
  <c r="V1378" i="1"/>
  <c r="L1379" i="1"/>
  <c r="V1379" i="1"/>
  <c r="L1380" i="1"/>
  <c r="V1380" i="1"/>
  <c r="L1381" i="1"/>
  <c r="V1381" i="1"/>
  <c r="L1382" i="1"/>
  <c r="V1382" i="1"/>
  <c r="L1383" i="1"/>
  <c r="V1383" i="1"/>
  <c r="L1384" i="1"/>
  <c r="V1384" i="1"/>
  <c r="L1385" i="1"/>
  <c r="V1385" i="1"/>
  <c r="L1386" i="1"/>
  <c r="V1386" i="1"/>
  <c r="L1387" i="1"/>
  <c r="V1387" i="1"/>
  <c r="L1388" i="1"/>
  <c r="V1388" i="1"/>
  <c r="L1389" i="1"/>
  <c r="V1389" i="1"/>
  <c r="L1390" i="1"/>
  <c r="V1390" i="1"/>
  <c r="L1391" i="1"/>
  <c r="V1391" i="1"/>
  <c r="L1392" i="1"/>
  <c r="V1392" i="1"/>
  <c r="L1393" i="1"/>
  <c r="V1393" i="1"/>
  <c r="L1394" i="1"/>
  <c r="V1394" i="1"/>
  <c r="L1395" i="1"/>
  <c r="V1395" i="1"/>
  <c r="L1396" i="1"/>
  <c r="V1396" i="1"/>
  <c r="L1397" i="1"/>
  <c r="V1397" i="1"/>
  <c r="L1398" i="1"/>
  <c r="V1398" i="1"/>
  <c r="L1399" i="1"/>
  <c r="V1399" i="1"/>
  <c r="L1400" i="1"/>
  <c r="V1400" i="1"/>
  <c r="L1401" i="1"/>
  <c r="V1401" i="1"/>
  <c r="L1402" i="1"/>
  <c r="V1402" i="1"/>
  <c r="L1403" i="1"/>
  <c r="V1403" i="1"/>
  <c r="L1404" i="1"/>
  <c r="V1404" i="1"/>
  <c r="L1405" i="1"/>
  <c r="V1405" i="1"/>
  <c r="L1406" i="1"/>
  <c r="V1406" i="1"/>
  <c r="L1407" i="1"/>
  <c r="V1407" i="1"/>
  <c r="L1408" i="1"/>
  <c r="V1408" i="1"/>
  <c r="L1409" i="1"/>
  <c r="V1409" i="1"/>
  <c r="L1410" i="1"/>
  <c r="V1410" i="1"/>
  <c r="L1411" i="1"/>
  <c r="V1411" i="1"/>
  <c r="L1412" i="1"/>
  <c r="V1412" i="1"/>
  <c r="L1413" i="1"/>
  <c r="V1413" i="1"/>
  <c r="L1414" i="1"/>
  <c r="V1414" i="1"/>
  <c r="L1415" i="1"/>
  <c r="V1415" i="1"/>
  <c r="L1416" i="1"/>
  <c r="V1416" i="1"/>
  <c r="L1417" i="1"/>
  <c r="V1417" i="1"/>
  <c r="L1418" i="1"/>
  <c r="V1418" i="1"/>
  <c r="L1419" i="1"/>
  <c r="V1419" i="1"/>
  <c r="L1420" i="1"/>
  <c r="V1420" i="1"/>
  <c r="L1421" i="1"/>
  <c r="V1421" i="1"/>
  <c r="L1422" i="1"/>
  <c r="V1422" i="1"/>
  <c r="L1423" i="1"/>
  <c r="V1423" i="1"/>
  <c r="L1424" i="1"/>
  <c r="V1424" i="1"/>
  <c r="L1425" i="1"/>
  <c r="V1425" i="1"/>
  <c r="L1426" i="1"/>
  <c r="V1426" i="1"/>
  <c r="L1427" i="1"/>
  <c r="V1427" i="1"/>
  <c r="L1428" i="1"/>
  <c r="V1428" i="1"/>
  <c r="L1429" i="1"/>
  <c r="V1429" i="1"/>
  <c r="L1430" i="1"/>
  <c r="V1430" i="1"/>
  <c r="L1431" i="1"/>
  <c r="V1431" i="1"/>
  <c r="L1432" i="1"/>
  <c r="V1432" i="1"/>
  <c r="L1433" i="1"/>
  <c r="V1433" i="1"/>
  <c r="L1434" i="1"/>
  <c r="V1434" i="1"/>
  <c r="L1435" i="1"/>
  <c r="V1435" i="1"/>
  <c r="L1436" i="1"/>
  <c r="V1436" i="1"/>
  <c r="L1437" i="1"/>
  <c r="V1437" i="1"/>
  <c r="L1438" i="1"/>
  <c r="V1438" i="1"/>
  <c r="L1439" i="1"/>
  <c r="V1439" i="1"/>
  <c r="L1440" i="1"/>
  <c r="V1440" i="1"/>
  <c r="L1441" i="1"/>
  <c r="V1441" i="1"/>
  <c r="L1442" i="1"/>
  <c r="V1442" i="1"/>
  <c r="L1443" i="1"/>
  <c r="V1443" i="1"/>
  <c r="L1444" i="1"/>
  <c r="V1444" i="1"/>
  <c r="L1445" i="1"/>
  <c r="V1445" i="1"/>
  <c r="L1446" i="1"/>
  <c r="V1446" i="1"/>
  <c r="L1447" i="1"/>
  <c r="V1447" i="1"/>
  <c r="L1448" i="1"/>
  <c r="V1448" i="1"/>
  <c r="L1449" i="1"/>
  <c r="V1449" i="1"/>
  <c r="L1450" i="1"/>
  <c r="V1450" i="1"/>
  <c r="L1451" i="1"/>
  <c r="V1451" i="1"/>
  <c r="L1452" i="1"/>
  <c r="V1452" i="1"/>
  <c r="L1453" i="1"/>
  <c r="V1453" i="1"/>
  <c r="L1454" i="1"/>
  <c r="V1454" i="1"/>
  <c r="L1455" i="1"/>
  <c r="V1455" i="1"/>
  <c r="L1456" i="1"/>
  <c r="V1456" i="1"/>
  <c r="L1457" i="1"/>
  <c r="V1457" i="1"/>
  <c r="L1458" i="1"/>
  <c r="V1458" i="1"/>
  <c r="L1459" i="1"/>
  <c r="V1459" i="1"/>
  <c r="L1460" i="1"/>
  <c r="V1460" i="1"/>
  <c r="L1461" i="1"/>
  <c r="V1461" i="1"/>
  <c r="L1462" i="1"/>
  <c r="V1462" i="1"/>
  <c r="L1463" i="1"/>
  <c r="V1463" i="1"/>
  <c r="L1464" i="1"/>
  <c r="V1464" i="1"/>
  <c r="L1465" i="1"/>
  <c r="V1465" i="1"/>
  <c r="L1466" i="1"/>
  <c r="V1466" i="1"/>
  <c r="L1467" i="1"/>
  <c r="V1467" i="1"/>
  <c r="L1468" i="1"/>
  <c r="V1468" i="1"/>
  <c r="L1469" i="1"/>
  <c r="V1469" i="1"/>
  <c r="L1470" i="1"/>
  <c r="V1470" i="1"/>
  <c r="L1471" i="1"/>
  <c r="V1471" i="1"/>
  <c r="L1472" i="1"/>
  <c r="V1472" i="1"/>
  <c r="L1473" i="1"/>
  <c r="V1473" i="1"/>
  <c r="L1474" i="1"/>
  <c r="V1474" i="1"/>
  <c r="L1475" i="1"/>
  <c r="V1475" i="1"/>
  <c r="L1476" i="1"/>
  <c r="V1476" i="1"/>
  <c r="L1477" i="1"/>
  <c r="V1477" i="1"/>
  <c r="L1478" i="1"/>
  <c r="V1478" i="1"/>
  <c r="L1479" i="1"/>
  <c r="V1479" i="1"/>
  <c r="L1480" i="1"/>
  <c r="V1480" i="1"/>
  <c r="L1481" i="1"/>
  <c r="V1481" i="1"/>
  <c r="L1482" i="1"/>
  <c r="V1482" i="1"/>
  <c r="L1483" i="1"/>
  <c r="V1483" i="1"/>
  <c r="L1484" i="1"/>
  <c r="V1484" i="1"/>
  <c r="L1485" i="1"/>
  <c r="V1485" i="1"/>
  <c r="L1486" i="1"/>
  <c r="V1486" i="1"/>
  <c r="L1487" i="1"/>
  <c r="V1487" i="1"/>
  <c r="L1488" i="1"/>
  <c r="V1488" i="1"/>
  <c r="L1489" i="1"/>
  <c r="V1489" i="1"/>
  <c r="L1490" i="1"/>
  <c r="V1490" i="1"/>
  <c r="L1491" i="1"/>
  <c r="V1491" i="1"/>
  <c r="L1492" i="1"/>
  <c r="V1492" i="1"/>
  <c r="L1493" i="1"/>
  <c r="V1493" i="1"/>
  <c r="L1494" i="1"/>
  <c r="V1494" i="1"/>
  <c r="L1495" i="1"/>
  <c r="V1495" i="1"/>
  <c r="L1496" i="1"/>
  <c r="V1496" i="1"/>
  <c r="L1497" i="1"/>
  <c r="V1497" i="1"/>
  <c r="L1498" i="1"/>
  <c r="V1498" i="1"/>
  <c r="L1499" i="1"/>
  <c r="V1499" i="1"/>
  <c r="L1500" i="1"/>
  <c r="V1500" i="1"/>
  <c r="L1501" i="1"/>
  <c r="V1501" i="1"/>
  <c r="L1502" i="1"/>
  <c r="V1502" i="1"/>
  <c r="L1503" i="1"/>
  <c r="V1503" i="1"/>
  <c r="L1504" i="1"/>
  <c r="V1504" i="1"/>
  <c r="L1505" i="1"/>
  <c r="V1505" i="1"/>
  <c r="L1506" i="1"/>
  <c r="V1506" i="1"/>
  <c r="L1507" i="1"/>
  <c r="V1507" i="1"/>
  <c r="L1508" i="1"/>
  <c r="V1508" i="1"/>
  <c r="L1509" i="1"/>
  <c r="V1509" i="1"/>
  <c r="L1510" i="1"/>
  <c r="V1510" i="1"/>
  <c r="L1511" i="1"/>
  <c r="V1511" i="1"/>
  <c r="L1512" i="1"/>
  <c r="V1512" i="1"/>
  <c r="L1513" i="1"/>
  <c r="V1513" i="1"/>
  <c r="L1514" i="1"/>
  <c r="V1514" i="1"/>
  <c r="L1515" i="1"/>
  <c r="V1515" i="1"/>
  <c r="L1516" i="1"/>
  <c r="V1516" i="1"/>
  <c r="L1517" i="1"/>
  <c r="V1517" i="1"/>
  <c r="L1518" i="1"/>
  <c r="V1518" i="1"/>
  <c r="L1519" i="1"/>
  <c r="V1519" i="1"/>
  <c r="L1520" i="1"/>
  <c r="V1520" i="1"/>
  <c r="L1521" i="1"/>
  <c r="V1521" i="1"/>
  <c r="L1522" i="1"/>
  <c r="V1522" i="1"/>
  <c r="L1523" i="1"/>
  <c r="V1523" i="1"/>
  <c r="L1524" i="1"/>
  <c r="V1524" i="1"/>
  <c r="L1525" i="1"/>
  <c r="V1525" i="1"/>
  <c r="L1526" i="1"/>
  <c r="V1526" i="1"/>
  <c r="L1527" i="1"/>
  <c r="V1527" i="1"/>
  <c r="L1528" i="1"/>
  <c r="V1528" i="1"/>
  <c r="L1529" i="1"/>
  <c r="V1529" i="1"/>
  <c r="L1530" i="1"/>
  <c r="V1530" i="1"/>
  <c r="L1531" i="1"/>
  <c r="V1531" i="1"/>
  <c r="L1532" i="1"/>
  <c r="V1532" i="1"/>
  <c r="L1533" i="1"/>
  <c r="V1533" i="1"/>
  <c r="L1534" i="1"/>
  <c r="V1534" i="1"/>
  <c r="L1535" i="1"/>
  <c r="V1535" i="1"/>
  <c r="L1536" i="1"/>
  <c r="V1536" i="1"/>
  <c r="L1537" i="1"/>
  <c r="V1537" i="1"/>
  <c r="L1538" i="1"/>
  <c r="V1538" i="1"/>
  <c r="L1539" i="1"/>
  <c r="V1539" i="1"/>
  <c r="L1540" i="1"/>
  <c r="V1540" i="1"/>
  <c r="L1541" i="1"/>
  <c r="V1541" i="1"/>
  <c r="L1542" i="1"/>
  <c r="V1542" i="1"/>
  <c r="L1543" i="1"/>
  <c r="V1543" i="1"/>
  <c r="L1544" i="1"/>
  <c r="M1544" i="1" s="1"/>
  <c r="V1544" i="1"/>
  <c r="L1545" i="1"/>
  <c r="M1545" i="1" s="1"/>
  <c r="N1545" i="1" s="1"/>
  <c r="Q1545" i="1" s="1"/>
  <c r="V1545" i="1"/>
  <c r="L1546" i="1"/>
  <c r="M1546" i="1" s="1"/>
  <c r="V1546" i="1"/>
  <c r="L1547" i="1"/>
  <c r="M1547" i="1" s="1"/>
  <c r="N1547" i="1" s="1"/>
  <c r="Q1547" i="1" s="1"/>
  <c r="V1547" i="1"/>
  <c r="L1548" i="1"/>
  <c r="M1548" i="1" s="1"/>
  <c r="V1548" i="1"/>
  <c r="L1549" i="1"/>
  <c r="M1549" i="1" s="1"/>
  <c r="V1549" i="1"/>
  <c r="L1550" i="1"/>
  <c r="M1550" i="1" s="1"/>
  <c r="V1550" i="1"/>
  <c r="L1551" i="1"/>
  <c r="M1551" i="1" s="1"/>
  <c r="V1551" i="1"/>
  <c r="L1552" i="1"/>
  <c r="M1552" i="1" s="1"/>
  <c r="V1552" i="1"/>
  <c r="L1553" i="1"/>
  <c r="M1553" i="1" s="1"/>
  <c r="N1553" i="1" s="1"/>
  <c r="Q1553" i="1" s="1"/>
  <c r="V1553" i="1"/>
  <c r="L1554" i="1"/>
  <c r="V1554" i="1"/>
  <c r="L1555" i="1"/>
  <c r="M1555" i="1" s="1"/>
  <c r="N1555" i="1" s="1"/>
  <c r="Q1555" i="1" s="1"/>
  <c r="V1555" i="1"/>
  <c r="L1556" i="1"/>
  <c r="M1556" i="1" s="1"/>
  <c r="V1556" i="1"/>
  <c r="L1557" i="1"/>
  <c r="M1557" i="1" s="1"/>
  <c r="V1557" i="1"/>
  <c r="L1558" i="1"/>
  <c r="M1558" i="1" s="1"/>
  <c r="V1558" i="1"/>
  <c r="L1559" i="1"/>
  <c r="M1559" i="1" s="1"/>
  <c r="N1559" i="1" s="1"/>
  <c r="V1559" i="1"/>
  <c r="L1560" i="1"/>
  <c r="M1560" i="1" s="1"/>
  <c r="N1560" i="1" s="1"/>
  <c r="V1560" i="1"/>
  <c r="L1561" i="1"/>
  <c r="M1561" i="1" s="1"/>
  <c r="N1561" i="1" s="1"/>
  <c r="V1561" i="1"/>
  <c r="L1562" i="1"/>
  <c r="M1562" i="1" s="1"/>
  <c r="N1562" i="1" s="1"/>
  <c r="V1562" i="1"/>
  <c r="L1563" i="1"/>
  <c r="M1563" i="1" s="1"/>
  <c r="N1563" i="1" s="1"/>
  <c r="V1563" i="1"/>
  <c r="L1564" i="1"/>
  <c r="M1564" i="1" s="1"/>
  <c r="N1564" i="1" s="1"/>
  <c r="V1564" i="1"/>
  <c r="L1565" i="1"/>
  <c r="M1565" i="1" s="1"/>
  <c r="N1565" i="1" s="1"/>
  <c r="V1565" i="1"/>
  <c r="L1566" i="1"/>
  <c r="M1566" i="1" s="1"/>
  <c r="N1566" i="1" s="1"/>
  <c r="V1566" i="1"/>
  <c r="L1567" i="1"/>
  <c r="M1567" i="1" s="1"/>
  <c r="N1567" i="1" s="1"/>
  <c r="V1567" i="1"/>
  <c r="L1568" i="1"/>
  <c r="M1568" i="1" s="1"/>
  <c r="N1568" i="1" s="1"/>
  <c r="V1568" i="1"/>
  <c r="L1569" i="1"/>
  <c r="M1569" i="1" s="1"/>
  <c r="N1569" i="1" s="1"/>
  <c r="V1569" i="1"/>
  <c r="L1570" i="1"/>
  <c r="M1570" i="1" s="1"/>
  <c r="N1570" i="1" s="1"/>
  <c r="V1570" i="1"/>
  <c r="L1571" i="1"/>
  <c r="M1571" i="1" s="1"/>
  <c r="N1571" i="1" s="1"/>
  <c r="V1571" i="1"/>
  <c r="L1572" i="1"/>
  <c r="M1572" i="1" s="1"/>
  <c r="N1572" i="1" s="1"/>
  <c r="V1572" i="1"/>
  <c r="L1573" i="1"/>
  <c r="M1573" i="1" s="1"/>
  <c r="N1573" i="1" s="1"/>
  <c r="V1573" i="1"/>
  <c r="L1574" i="1"/>
  <c r="M1574" i="1" s="1"/>
  <c r="N1574" i="1" s="1"/>
  <c r="V1574" i="1"/>
  <c r="L1575" i="1"/>
  <c r="M1575" i="1" s="1"/>
  <c r="N1575" i="1" s="1"/>
  <c r="V1575" i="1"/>
  <c r="L1576" i="1"/>
  <c r="M1576" i="1" s="1"/>
  <c r="N1576" i="1" s="1"/>
  <c r="V1576" i="1"/>
  <c r="L1577" i="1"/>
  <c r="M1577" i="1" s="1"/>
  <c r="N1577" i="1" s="1"/>
  <c r="V1577" i="1"/>
  <c r="L1578" i="1"/>
  <c r="M1578" i="1" s="1"/>
  <c r="N1578" i="1" s="1"/>
  <c r="V1578" i="1"/>
  <c r="L1579" i="1"/>
  <c r="M1579" i="1" s="1"/>
  <c r="N1579" i="1" s="1"/>
  <c r="V1579" i="1"/>
  <c r="L1580" i="1"/>
  <c r="M1580" i="1" s="1"/>
  <c r="N1580" i="1" s="1"/>
  <c r="V1580" i="1"/>
  <c r="L1581" i="1"/>
  <c r="M1581" i="1" s="1"/>
  <c r="N1581" i="1" s="1"/>
  <c r="V1581" i="1"/>
  <c r="L1582" i="1"/>
  <c r="M1582" i="1" s="1"/>
  <c r="N1582" i="1" s="1"/>
  <c r="V1582" i="1"/>
  <c r="L1583" i="1"/>
  <c r="M1583" i="1" s="1"/>
  <c r="N1583" i="1" s="1"/>
  <c r="V1583" i="1"/>
  <c r="L1584" i="1"/>
  <c r="M1584" i="1" s="1"/>
  <c r="N1584" i="1" s="1"/>
  <c r="V1584" i="1"/>
  <c r="L1585" i="1"/>
  <c r="M1585" i="1" s="1"/>
  <c r="N1585" i="1" s="1"/>
  <c r="V1585" i="1"/>
  <c r="L1586" i="1"/>
  <c r="M1586" i="1" s="1"/>
  <c r="N1586" i="1" s="1"/>
  <c r="V1586" i="1"/>
  <c r="L1587" i="1"/>
  <c r="M1587" i="1" s="1"/>
  <c r="N1587" i="1" s="1"/>
  <c r="V1587" i="1"/>
  <c r="L1588" i="1"/>
  <c r="M1588" i="1" s="1"/>
  <c r="N1588" i="1" s="1"/>
  <c r="V1588" i="1"/>
  <c r="L1589" i="1"/>
  <c r="M1589" i="1" s="1"/>
  <c r="N1589" i="1" s="1"/>
  <c r="V1589" i="1"/>
  <c r="L1590" i="1"/>
  <c r="M1590" i="1" s="1"/>
  <c r="N1590" i="1" s="1"/>
  <c r="V1590" i="1"/>
  <c r="L1591" i="1"/>
  <c r="M1591" i="1" s="1"/>
  <c r="N1591" i="1" s="1"/>
  <c r="V1591" i="1"/>
  <c r="L1592" i="1"/>
  <c r="M1592" i="1" s="1"/>
  <c r="N1592" i="1" s="1"/>
  <c r="V1592" i="1"/>
  <c r="L1593" i="1"/>
  <c r="M1593" i="1" s="1"/>
  <c r="N1593" i="1" s="1"/>
  <c r="V1593" i="1"/>
  <c r="L1594" i="1"/>
  <c r="M1594" i="1" s="1"/>
  <c r="N1594" i="1" s="1"/>
  <c r="V1594" i="1"/>
  <c r="L1595" i="1"/>
  <c r="M1595" i="1" s="1"/>
  <c r="N1595" i="1" s="1"/>
  <c r="V1595" i="1"/>
  <c r="L1596" i="1"/>
  <c r="M1596" i="1" s="1"/>
  <c r="N1596" i="1" s="1"/>
  <c r="V1596" i="1"/>
  <c r="L1597" i="1"/>
  <c r="M1597" i="1" s="1"/>
  <c r="N1597" i="1" s="1"/>
  <c r="V1597" i="1"/>
  <c r="L1598" i="1"/>
  <c r="M1598" i="1" s="1"/>
  <c r="N1598" i="1" s="1"/>
  <c r="V1598" i="1"/>
  <c r="L1599" i="1"/>
  <c r="M1599" i="1" s="1"/>
  <c r="N1599" i="1" s="1"/>
  <c r="V1599" i="1"/>
  <c r="L1600" i="1"/>
  <c r="M1600" i="1" s="1"/>
  <c r="N1600" i="1" s="1"/>
  <c r="V1600" i="1"/>
  <c r="L1601" i="1"/>
  <c r="M1601" i="1" s="1"/>
  <c r="N1601" i="1" s="1"/>
  <c r="V1601" i="1"/>
  <c r="L1602" i="1"/>
  <c r="M1602" i="1" s="1"/>
  <c r="N1602" i="1" s="1"/>
  <c r="V1602" i="1"/>
  <c r="L1603" i="1"/>
  <c r="M1603" i="1" s="1"/>
  <c r="N1603" i="1" s="1"/>
  <c r="V1603" i="1"/>
  <c r="L1604" i="1"/>
  <c r="M1604" i="1" s="1"/>
  <c r="N1604" i="1" s="1"/>
  <c r="V1604" i="1"/>
  <c r="L1605" i="1"/>
  <c r="M1605" i="1" s="1"/>
  <c r="N1605" i="1" s="1"/>
  <c r="V1605" i="1"/>
  <c r="L1606" i="1"/>
  <c r="M1606" i="1" s="1"/>
  <c r="N1606" i="1" s="1"/>
  <c r="V1606" i="1"/>
  <c r="L1607" i="1"/>
  <c r="M1607" i="1" s="1"/>
  <c r="N1607" i="1" s="1"/>
  <c r="V1607" i="1"/>
  <c r="L1608" i="1"/>
  <c r="M1608" i="1" s="1"/>
  <c r="N1608" i="1" s="1"/>
  <c r="V1608" i="1"/>
  <c r="L1609" i="1"/>
  <c r="M1609" i="1" s="1"/>
  <c r="N1609" i="1" s="1"/>
  <c r="V1609" i="1"/>
  <c r="L1610" i="1"/>
  <c r="M1610" i="1" s="1"/>
  <c r="N1610" i="1" s="1"/>
  <c r="V1610" i="1"/>
  <c r="L1611" i="1"/>
  <c r="M1611" i="1" s="1"/>
  <c r="N1611" i="1" s="1"/>
  <c r="V1611" i="1"/>
  <c r="L1612" i="1"/>
  <c r="M1612" i="1" s="1"/>
  <c r="N1612" i="1" s="1"/>
  <c r="V1612" i="1"/>
  <c r="L1613" i="1"/>
  <c r="M1613" i="1" s="1"/>
  <c r="N1613" i="1" s="1"/>
  <c r="V1613" i="1"/>
  <c r="L1614" i="1"/>
  <c r="M1614" i="1" s="1"/>
  <c r="N1614" i="1" s="1"/>
  <c r="V1614" i="1"/>
  <c r="L1615" i="1"/>
  <c r="M1615" i="1" s="1"/>
  <c r="V1615" i="1"/>
  <c r="L1616" i="1"/>
  <c r="M1616" i="1" s="1"/>
  <c r="V1616" i="1"/>
  <c r="L1617" i="1"/>
  <c r="M1617" i="1" s="1"/>
  <c r="V1617" i="1"/>
  <c r="L1618" i="1"/>
  <c r="M1618" i="1" s="1"/>
  <c r="V1618" i="1"/>
  <c r="L1619" i="1"/>
  <c r="M1619" i="1" s="1"/>
  <c r="V1619" i="1"/>
  <c r="L1620" i="1"/>
  <c r="M1620" i="1" s="1"/>
  <c r="V1620" i="1"/>
  <c r="L1621" i="1"/>
  <c r="M1621" i="1" s="1"/>
  <c r="V1621" i="1"/>
  <c r="L1622" i="1"/>
  <c r="M1622" i="1" s="1"/>
  <c r="V1622" i="1"/>
  <c r="L1623" i="1"/>
  <c r="M1623" i="1" s="1"/>
  <c r="V1623" i="1"/>
  <c r="L1624" i="1"/>
  <c r="M1624" i="1" s="1"/>
  <c r="V1624" i="1"/>
  <c r="L1625" i="1"/>
  <c r="M1625" i="1" s="1"/>
  <c r="V1625" i="1"/>
  <c r="L1626" i="1"/>
  <c r="M1626" i="1" s="1"/>
  <c r="V1626" i="1"/>
  <c r="L1627" i="1"/>
  <c r="M1627" i="1" s="1"/>
  <c r="V1627" i="1"/>
  <c r="L1628" i="1"/>
  <c r="M1628" i="1" s="1"/>
  <c r="V1628" i="1"/>
  <c r="L1629" i="1"/>
  <c r="M1629" i="1" s="1"/>
  <c r="V1629" i="1"/>
  <c r="L1630" i="1"/>
  <c r="M1630" i="1" s="1"/>
  <c r="V1630" i="1"/>
  <c r="L1631" i="1"/>
  <c r="M1631" i="1" s="1"/>
  <c r="V1631" i="1"/>
  <c r="L1632" i="1"/>
  <c r="M1632" i="1" s="1"/>
  <c r="V1632" i="1"/>
  <c r="L1633" i="1"/>
  <c r="M1633" i="1" s="1"/>
  <c r="V1633" i="1"/>
  <c r="L1634" i="1"/>
  <c r="M1634" i="1" s="1"/>
  <c r="V1634" i="1"/>
  <c r="L1635" i="1"/>
  <c r="M1635" i="1" s="1"/>
  <c r="V1635" i="1"/>
  <c r="L1636" i="1"/>
  <c r="M1636" i="1" s="1"/>
  <c r="N1636" i="1" s="1"/>
  <c r="V1636" i="1"/>
  <c r="L1637" i="1"/>
  <c r="M1637" i="1" s="1"/>
  <c r="N1637" i="1" s="1"/>
  <c r="V1637" i="1"/>
  <c r="L1638" i="1"/>
  <c r="M1638" i="1" s="1"/>
  <c r="V1638" i="1"/>
  <c r="L1639" i="1"/>
  <c r="M1639" i="1" s="1"/>
  <c r="V1639" i="1"/>
  <c r="L1640" i="1"/>
  <c r="M1640" i="1" s="1"/>
  <c r="V1640" i="1"/>
  <c r="L1641" i="1"/>
  <c r="M1641" i="1" s="1"/>
  <c r="V1641" i="1"/>
  <c r="L1642" i="1"/>
  <c r="M1642" i="1" s="1"/>
  <c r="V1642" i="1"/>
  <c r="L1643" i="1"/>
  <c r="M1643" i="1" s="1"/>
  <c r="V1643" i="1"/>
  <c r="L1644" i="1"/>
  <c r="M1644" i="1" s="1"/>
  <c r="N1644" i="1" s="1"/>
  <c r="V1644" i="1"/>
  <c r="L1645" i="1"/>
  <c r="M1645" i="1" s="1"/>
  <c r="N1645" i="1" s="1"/>
  <c r="V1645" i="1"/>
  <c r="L1646" i="1"/>
  <c r="V1646" i="1"/>
  <c r="L1647" i="1"/>
  <c r="V1647" i="1"/>
  <c r="L1648" i="1"/>
  <c r="M1648" i="1" s="1"/>
  <c r="V1648" i="1"/>
  <c r="L1649" i="1"/>
  <c r="M1649" i="1" s="1"/>
  <c r="V1649" i="1"/>
  <c r="L1650" i="1"/>
  <c r="M1650" i="1" s="1"/>
  <c r="N1650" i="1" s="1"/>
  <c r="V1650" i="1"/>
  <c r="L1651" i="1"/>
  <c r="M1651" i="1" s="1"/>
  <c r="N1651" i="1" s="1"/>
  <c r="V1651" i="1"/>
  <c r="L1652" i="1"/>
  <c r="M1652" i="1" s="1"/>
  <c r="N1652" i="1" s="1"/>
  <c r="V1652" i="1"/>
  <c r="L1653" i="1"/>
  <c r="M1653" i="1" s="1"/>
  <c r="V1653" i="1"/>
  <c r="L1654" i="1"/>
  <c r="M1654" i="1" s="1"/>
  <c r="N1654" i="1" s="1"/>
  <c r="V1654" i="1"/>
  <c r="L1655" i="1"/>
  <c r="M1655" i="1" s="1"/>
  <c r="N1655" i="1" s="1"/>
  <c r="V1655" i="1"/>
  <c r="L1656" i="1"/>
  <c r="M1656" i="1" s="1"/>
  <c r="N1656" i="1" s="1"/>
  <c r="V1656" i="1"/>
  <c r="L1657" i="1"/>
  <c r="V1657" i="1"/>
  <c r="L1658" i="1"/>
  <c r="M1658" i="1" s="1"/>
  <c r="V1658" i="1"/>
  <c r="L1659" i="1"/>
  <c r="M1659" i="1" s="1"/>
  <c r="V1659" i="1"/>
  <c r="L1660" i="1"/>
  <c r="M1660" i="1" s="1"/>
  <c r="V1660" i="1"/>
  <c r="L1661" i="1"/>
  <c r="M1661" i="1" s="1"/>
  <c r="N1661" i="1" s="1"/>
  <c r="V1661" i="1"/>
  <c r="L1662" i="1"/>
  <c r="M1662" i="1" s="1"/>
  <c r="N1662" i="1" s="1"/>
  <c r="V1662" i="1"/>
  <c r="L1663" i="1"/>
  <c r="M1663" i="1" s="1"/>
  <c r="N1663" i="1" s="1"/>
  <c r="V1663" i="1"/>
  <c r="L1664" i="1"/>
  <c r="M1664" i="1" s="1"/>
  <c r="N1664" i="1" s="1"/>
  <c r="V1664" i="1"/>
  <c r="L1665" i="1"/>
  <c r="M1665" i="1" s="1"/>
  <c r="N1665" i="1" s="1"/>
  <c r="V1665" i="1"/>
  <c r="L1666" i="1"/>
  <c r="M1666" i="1" s="1"/>
  <c r="N1666" i="1" s="1"/>
  <c r="V1666" i="1"/>
  <c r="L1667" i="1"/>
  <c r="M1667" i="1" s="1"/>
  <c r="N1667" i="1" s="1"/>
  <c r="V1667" i="1"/>
  <c r="L1668" i="1"/>
  <c r="M1668" i="1" s="1"/>
  <c r="N1668" i="1" s="1"/>
  <c r="V1668" i="1"/>
  <c r="L1669" i="1"/>
  <c r="M1669" i="1" s="1"/>
  <c r="N1669" i="1" s="1"/>
  <c r="V1669" i="1"/>
  <c r="L1670" i="1"/>
  <c r="M1670" i="1" s="1"/>
  <c r="N1670" i="1" s="1"/>
  <c r="V1670" i="1"/>
  <c r="L1671" i="1"/>
  <c r="M1671" i="1" s="1"/>
  <c r="N1671" i="1" s="1"/>
  <c r="V1671" i="1"/>
  <c r="L1672" i="1"/>
  <c r="M1672" i="1" s="1"/>
  <c r="N1672" i="1" s="1"/>
  <c r="V1672" i="1"/>
  <c r="L1673" i="1"/>
  <c r="M1673" i="1" s="1"/>
  <c r="N1673" i="1" s="1"/>
  <c r="V1673" i="1"/>
  <c r="L1674" i="1"/>
  <c r="M1674" i="1" s="1"/>
  <c r="N1674" i="1" s="1"/>
  <c r="V1674" i="1"/>
  <c r="L1675" i="1"/>
  <c r="M1675" i="1" s="1"/>
  <c r="N1675" i="1" s="1"/>
  <c r="V1675" i="1"/>
  <c r="L1676" i="1"/>
  <c r="M1676" i="1" s="1"/>
  <c r="N1676" i="1" s="1"/>
  <c r="V1676" i="1"/>
  <c r="L1677" i="1"/>
  <c r="M1677" i="1" s="1"/>
  <c r="N1677" i="1" s="1"/>
  <c r="V1677" i="1"/>
  <c r="L1678" i="1"/>
  <c r="M1678" i="1" s="1"/>
  <c r="N1678" i="1" s="1"/>
  <c r="V1678" i="1"/>
  <c r="L1679" i="1"/>
  <c r="M1679" i="1" s="1"/>
  <c r="N1679" i="1" s="1"/>
  <c r="V1679" i="1"/>
  <c r="L1680" i="1"/>
  <c r="M1680" i="1" s="1"/>
  <c r="N1680" i="1" s="1"/>
  <c r="V1680" i="1"/>
  <c r="L1681" i="1"/>
  <c r="M1681" i="1" s="1"/>
  <c r="N1681" i="1" s="1"/>
  <c r="V1681" i="1"/>
  <c r="L1682" i="1"/>
  <c r="M1682" i="1" s="1"/>
  <c r="N1682" i="1" s="1"/>
  <c r="V1682" i="1"/>
  <c r="L1683" i="1"/>
  <c r="M1683" i="1" s="1"/>
  <c r="N1683" i="1" s="1"/>
  <c r="V1683" i="1"/>
  <c r="L1684" i="1"/>
  <c r="M1684" i="1" s="1"/>
  <c r="N1684" i="1" s="1"/>
  <c r="V1684" i="1"/>
  <c r="L1685" i="1"/>
  <c r="M1685" i="1" s="1"/>
  <c r="N1685" i="1" s="1"/>
  <c r="V1685" i="1"/>
  <c r="L1686" i="1"/>
  <c r="M1686" i="1" s="1"/>
  <c r="N1686" i="1" s="1"/>
  <c r="V1686" i="1"/>
  <c r="L1687" i="1"/>
  <c r="M1687" i="1" s="1"/>
  <c r="N1687" i="1" s="1"/>
  <c r="V1687" i="1"/>
  <c r="L1688" i="1"/>
  <c r="M1688" i="1" s="1"/>
  <c r="V1688" i="1"/>
  <c r="L1689" i="1"/>
  <c r="M1689" i="1" s="1"/>
  <c r="V1689" i="1"/>
  <c r="L1690" i="1"/>
  <c r="M1690" i="1" s="1"/>
  <c r="V1690" i="1"/>
  <c r="L1691" i="1"/>
  <c r="M1691" i="1" s="1"/>
  <c r="V1691" i="1"/>
  <c r="L1692" i="1"/>
  <c r="M1692" i="1" s="1"/>
  <c r="V1692" i="1"/>
  <c r="L1693" i="1"/>
  <c r="M1693" i="1" s="1"/>
  <c r="V1693" i="1"/>
  <c r="L1694" i="1"/>
  <c r="M1694" i="1" s="1"/>
  <c r="V1694" i="1"/>
  <c r="L1695" i="1"/>
  <c r="M1695" i="1" s="1"/>
  <c r="V1695" i="1"/>
  <c r="L1696" i="1"/>
  <c r="M1696" i="1" s="1"/>
  <c r="V1696" i="1"/>
  <c r="L1697" i="1"/>
  <c r="M1697" i="1" s="1"/>
  <c r="V1697" i="1"/>
  <c r="L1698" i="1"/>
  <c r="M1698" i="1" s="1"/>
  <c r="V1698" i="1"/>
  <c r="L1699" i="1"/>
  <c r="M1699" i="1" s="1"/>
  <c r="V1699" i="1"/>
  <c r="L1700" i="1"/>
  <c r="M1700" i="1" s="1"/>
  <c r="V1700" i="1"/>
  <c r="L1701" i="1"/>
  <c r="M1701" i="1" s="1"/>
  <c r="V1701" i="1"/>
  <c r="L1702" i="1"/>
  <c r="M1702" i="1" s="1"/>
  <c r="V1702" i="1"/>
  <c r="L1703" i="1"/>
  <c r="M1703" i="1" s="1"/>
  <c r="V1703" i="1"/>
  <c r="L1704" i="1"/>
  <c r="M1704" i="1" s="1"/>
  <c r="V1704" i="1"/>
  <c r="L1705" i="1"/>
  <c r="M1705" i="1" s="1"/>
  <c r="V1705" i="1"/>
  <c r="L1706" i="1"/>
  <c r="M1706" i="1" s="1"/>
  <c r="V1706" i="1"/>
  <c r="L1707" i="1"/>
  <c r="M1707" i="1" s="1"/>
  <c r="V1707" i="1"/>
  <c r="L1708" i="1"/>
  <c r="M1708" i="1" s="1"/>
  <c r="V1708" i="1"/>
  <c r="L1709" i="1"/>
  <c r="M1709" i="1" s="1"/>
  <c r="V1709" i="1"/>
  <c r="L1710" i="1"/>
  <c r="M1710" i="1" s="1"/>
  <c r="V1710" i="1"/>
  <c r="L1711" i="1"/>
  <c r="M1711" i="1" s="1"/>
  <c r="V1711" i="1"/>
  <c r="L1712" i="1"/>
  <c r="M1712" i="1" s="1"/>
  <c r="V1712" i="1"/>
  <c r="L1713" i="1"/>
  <c r="M1713" i="1" s="1"/>
  <c r="V1713" i="1"/>
  <c r="L1714" i="1"/>
  <c r="M1714" i="1" s="1"/>
  <c r="V1714" i="1"/>
  <c r="L1715" i="1"/>
  <c r="M1715" i="1" s="1"/>
  <c r="V1715" i="1"/>
  <c r="L1716" i="1"/>
  <c r="M1716" i="1" s="1"/>
  <c r="V1716" i="1"/>
  <c r="L1717" i="1"/>
  <c r="M1717" i="1" s="1"/>
  <c r="V1717" i="1"/>
  <c r="L1718" i="1"/>
  <c r="M1718" i="1" s="1"/>
  <c r="V1718" i="1"/>
  <c r="L1719" i="1"/>
  <c r="M1719" i="1" s="1"/>
  <c r="V1719" i="1"/>
  <c r="L1720" i="1"/>
  <c r="M1720" i="1" s="1"/>
  <c r="V1720" i="1"/>
  <c r="L1721" i="1"/>
  <c r="M1721" i="1" s="1"/>
  <c r="N1721" i="1" s="1"/>
  <c r="V1721" i="1"/>
  <c r="L1722" i="1"/>
  <c r="M1722" i="1" s="1"/>
  <c r="N1722" i="1" s="1"/>
  <c r="V1722" i="1"/>
  <c r="L1723" i="1"/>
  <c r="M1723" i="1" s="1"/>
  <c r="N1723" i="1" s="1"/>
  <c r="V1723" i="1"/>
  <c r="L1724" i="1"/>
  <c r="M1724" i="1" s="1"/>
  <c r="N1724" i="1" s="1"/>
  <c r="V1724" i="1"/>
  <c r="L1725" i="1"/>
  <c r="M1725" i="1" s="1"/>
  <c r="N1725" i="1" s="1"/>
  <c r="V1725" i="1"/>
  <c r="L1726" i="1"/>
  <c r="M1726" i="1" s="1"/>
  <c r="N1726" i="1" s="1"/>
  <c r="V1726" i="1"/>
  <c r="L1727" i="1"/>
  <c r="M1727" i="1" s="1"/>
  <c r="N1727" i="1" s="1"/>
  <c r="V1727" i="1"/>
  <c r="L1728" i="1"/>
  <c r="M1728" i="1" s="1"/>
  <c r="N1728" i="1" s="1"/>
  <c r="V1728" i="1"/>
  <c r="L1729" i="1"/>
  <c r="M1729" i="1" s="1"/>
  <c r="N1729" i="1" s="1"/>
  <c r="V1729" i="1"/>
  <c r="L1730" i="1"/>
  <c r="M1730" i="1" s="1"/>
  <c r="N1730" i="1" s="1"/>
  <c r="V1730" i="1"/>
  <c r="L1731" i="1"/>
  <c r="M1731" i="1" s="1"/>
  <c r="N1731" i="1" s="1"/>
  <c r="V1731" i="1"/>
  <c r="L1732" i="1"/>
  <c r="M1732" i="1" s="1"/>
  <c r="N1732" i="1" s="1"/>
  <c r="V1732" i="1"/>
  <c r="L1733" i="1"/>
  <c r="M1733" i="1" s="1"/>
  <c r="N1733" i="1" s="1"/>
  <c r="V1733" i="1"/>
  <c r="L1734" i="1"/>
  <c r="M1734" i="1" s="1"/>
  <c r="N1734" i="1" s="1"/>
  <c r="V1734" i="1"/>
  <c r="L1735" i="1"/>
  <c r="M1735" i="1" s="1"/>
  <c r="N1735" i="1" s="1"/>
  <c r="V1735" i="1"/>
  <c r="L1736" i="1"/>
  <c r="M1736" i="1" s="1"/>
  <c r="V1736" i="1"/>
  <c r="L1737" i="1"/>
  <c r="M1737" i="1" s="1"/>
  <c r="V1737" i="1"/>
  <c r="L1738" i="1"/>
  <c r="M1738" i="1" s="1"/>
  <c r="V1738" i="1"/>
  <c r="L1739" i="1"/>
  <c r="M1739" i="1" s="1"/>
  <c r="N1739" i="1" s="1"/>
  <c r="V1739" i="1"/>
  <c r="L1740" i="1"/>
  <c r="M1740" i="1" s="1"/>
  <c r="N1740" i="1" s="1"/>
  <c r="V1740" i="1"/>
  <c r="L1741" i="1"/>
  <c r="M1741" i="1" s="1"/>
  <c r="V1741" i="1"/>
  <c r="L1742" i="1"/>
  <c r="M1742" i="1" s="1"/>
  <c r="V1742" i="1"/>
  <c r="L1743" i="1"/>
  <c r="M1743" i="1" s="1"/>
  <c r="N1743" i="1" s="1"/>
  <c r="V1743" i="1"/>
  <c r="L1744" i="1"/>
  <c r="M1744" i="1" s="1"/>
  <c r="N1744" i="1" s="1"/>
  <c r="V1744" i="1"/>
  <c r="L1745" i="1"/>
  <c r="M1745" i="1" s="1"/>
  <c r="N1745" i="1" s="1"/>
  <c r="V1745" i="1"/>
  <c r="L1746" i="1"/>
  <c r="M1746" i="1" s="1"/>
  <c r="V1746" i="1"/>
  <c r="L1747" i="1"/>
  <c r="M1747" i="1" s="1"/>
  <c r="V1747" i="1"/>
  <c r="L1748" i="1"/>
  <c r="M1748" i="1" s="1"/>
  <c r="V1748" i="1"/>
  <c r="L1749" i="1"/>
  <c r="M1749" i="1" s="1"/>
  <c r="V1749" i="1"/>
  <c r="L1750" i="1"/>
  <c r="M1750" i="1" s="1"/>
  <c r="V1750" i="1"/>
  <c r="L1751" i="1"/>
  <c r="M1751" i="1" s="1"/>
  <c r="N1751" i="1" s="1"/>
  <c r="V1751" i="1"/>
  <c r="L1752" i="1"/>
  <c r="M1752" i="1" s="1"/>
  <c r="N1752" i="1" s="1"/>
  <c r="V1752" i="1"/>
  <c r="L1753" i="1"/>
  <c r="V1753" i="1"/>
  <c r="L1754" i="1"/>
  <c r="M1754" i="1" s="1"/>
  <c r="V1754" i="1"/>
  <c r="L1755" i="1"/>
  <c r="M1755" i="1" s="1"/>
  <c r="N1755" i="1" s="1"/>
  <c r="V1755" i="1"/>
  <c r="L1756" i="1"/>
  <c r="M1756" i="1" s="1"/>
  <c r="N1756" i="1" s="1"/>
  <c r="V1756" i="1"/>
  <c r="L1757" i="1"/>
  <c r="M1757" i="1" s="1"/>
  <c r="N1757" i="1" s="1"/>
  <c r="V1757" i="1"/>
  <c r="L1758" i="1"/>
  <c r="M1758" i="1" s="1"/>
  <c r="V1758" i="1"/>
  <c r="L1759" i="1"/>
  <c r="M1759" i="1" s="1"/>
  <c r="V1759" i="1"/>
  <c r="L1760" i="1"/>
  <c r="M1760" i="1" s="1"/>
  <c r="V1760" i="1"/>
  <c r="L1761" i="1"/>
  <c r="M1761" i="1" s="1"/>
  <c r="V1761" i="1"/>
  <c r="L1762" i="1"/>
  <c r="M1762" i="1" s="1"/>
  <c r="V1762" i="1"/>
  <c r="L1763" i="1"/>
  <c r="M1763" i="1" s="1"/>
  <c r="V1763" i="1"/>
  <c r="L1764" i="1"/>
  <c r="M1764" i="1" s="1"/>
  <c r="V1764" i="1"/>
  <c r="L1765" i="1"/>
  <c r="M1765" i="1" s="1"/>
  <c r="V1765" i="1"/>
  <c r="L1766" i="1"/>
  <c r="M1766" i="1" s="1"/>
  <c r="V1766" i="1"/>
  <c r="L1767" i="1"/>
  <c r="M1767" i="1" s="1"/>
  <c r="V1767" i="1"/>
  <c r="L1768" i="1"/>
  <c r="M1768" i="1" s="1"/>
  <c r="V1768" i="1"/>
  <c r="L1769" i="1"/>
  <c r="M1769" i="1" s="1"/>
  <c r="V1769" i="1"/>
  <c r="L1770" i="1"/>
  <c r="M1770" i="1" s="1"/>
  <c r="V1770" i="1"/>
  <c r="L1771" i="1"/>
  <c r="M1771" i="1" s="1"/>
  <c r="N1771" i="1" s="1"/>
  <c r="V1771" i="1"/>
  <c r="L1772" i="1"/>
  <c r="V1772" i="1"/>
  <c r="L1773" i="1"/>
  <c r="V1773" i="1"/>
  <c r="L1774" i="1"/>
  <c r="V1774" i="1"/>
  <c r="L1775" i="1"/>
  <c r="V1775" i="1"/>
  <c r="L1776" i="1"/>
  <c r="V1776" i="1"/>
  <c r="L1777" i="1"/>
  <c r="V1777" i="1"/>
  <c r="L1778" i="1"/>
  <c r="M1778" i="1" s="1"/>
  <c r="V1778" i="1"/>
  <c r="L1779" i="1"/>
  <c r="M1779" i="1" s="1"/>
  <c r="V1779" i="1"/>
  <c r="L1780" i="1"/>
  <c r="M1780" i="1" s="1"/>
  <c r="N1780" i="1" s="1"/>
  <c r="V1780" i="1"/>
  <c r="L1781" i="1"/>
  <c r="M1781" i="1" s="1"/>
  <c r="N1781" i="1" s="1"/>
  <c r="V1781" i="1"/>
  <c r="L1782" i="1"/>
  <c r="M1782" i="1" s="1"/>
  <c r="N1782" i="1" s="1"/>
  <c r="V1782" i="1"/>
  <c r="L1783" i="1"/>
  <c r="M1783" i="1" s="1"/>
  <c r="N1783" i="1" s="1"/>
  <c r="V1783" i="1"/>
  <c r="L1784" i="1"/>
  <c r="M1784" i="1" s="1"/>
  <c r="N1784" i="1" s="1"/>
  <c r="V1784" i="1"/>
  <c r="L1785" i="1"/>
  <c r="M1785" i="1" s="1"/>
  <c r="V1785" i="1"/>
  <c r="L1786" i="1"/>
  <c r="M1786" i="1" s="1"/>
  <c r="V1786" i="1"/>
  <c r="L1787" i="1"/>
  <c r="M1787" i="1" s="1"/>
  <c r="N1787" i="1" s="1"/>
  <c r="V1787" i="1"/>
  <c r="L1788" i="1"/>
  <c r="M1788" i="1" s="1"/>
  <c r="N1788" i="1" s="1"/>
  <c r="V1788" i="1"/>
  <c r="L1789" i="1"/>
  <c r="M1789" i="1" s="1"/>
  <c r="N1789" i="1" s="1"/>
  <c r="V1789" i="1"/>
  <c r="L1790" i="1"/>
  <c r="V1790" i="1"/>
  <c r="L1791" i="1"/>
  <c r="M1791" i="1" s="1"/>
  <c r="V1791" i="1"/>
  <c r="L1792" i="1"/>
  <c r="M1792" i="1" s="1"/>
  <c r="V1792" i="1"/>
  <c r="L1793" i="1"/>
  <c r="M1793" i="1" s="1"/>
  <c r="V1793" i="1"/>
  <c r="L1794" i="1"/>
  <c r="M1794" i="1" s="1"/>
  <c r="N1794" i="1" s="1"/>
  <c r="V1794" i="1"/>
  <c r="L1795" i="1"/>
  <c r="M1795" i="1" s="1"/>
  <c r="N1795" i="1" s="1"/>
  <c r="V1795" i="1"/>
  <c r="L1796" i="1"/>
  <c r="M1796" i="1" s="1"/>
  <c r="N1796" i="1" s="1"/>
  <c r="V1796" i="1"/>
  <c r="L1797" i="1"/>
  <c r="M1797" i="1" s="1"/>
  <c r="V1797" i="1"/>
  <c r="L1798" i="1"/>
  <c r="V1798" i="1"/>
  <c r="L1799" i="1"/>
  <c r="M1799" i="1" s="1"/>
  <c r="N1799" i="1" s="1"/>
  <c r="V1799" i="1"/>
  <c r="L1800" i="1"/>
  <c r="M1800" i="1" s="1"/>
  <c r="N1800" i="1" s="1"/>
  <c r="V1800" i="1"/>
  <c r="L1801" i="1"/>
  <c r="V1801" i="1"/>
  <c r="L1802" i="1"/>
  <c r="M1802" i="1" s="1"/>
  <c r="V1802" i="1"/>
  <c r="L1803" i="1"/>
  <c r="M1803" i="1" s="1"/>
  <c r="V1803" i="1"/>
  <c r="L1804" i="1"/>
  <c r="M1804" i="1" s="1"/>
  <c r="V1804" i="1"/>
  <c r="L1805" i="1"/>
  <c r="M1805" i="1" s="1"/>
  <c r="N1805" i="1" s="1"/>
  <c r="V1805" i="1"/>
  <c r="L1806" i="1"/>
  <c r="M1806" i="1" s="1"/>
  <c r="N1806" i="1" s="1"/>
  <c r="V1806" i="1"/>
  <c r="L1807" i="1"/>
  <c r="M1807" i="1" s="1"/>
  <c r="V1807" i="1"/>
  <c r="L1808" i="1"/>
  <c r="M1808" i="1" s="1"/>
  <c r="V1808" i="1"/>
  <c r="L1809" i="1"/>
  <c r="V1809" i="1"/>
  <c r="L1810" i="1"/>
  <c r="M1810" i="1" s="1"/>
  <c r="N1810" i="1" s="1"/>
  <c r="V1810" i="1"/>
  <c r="L1811" i="1"/>
  <c r="V1811" i="1"/>
  <c r="L1812" i="1"/>
  <c r="V1812" i="1"/>
  <c r="L1813" i="1"/>
  <c r="M1813" i="1" s="1"/>
  <c r="N1813" i="1" s="1"/>
  <c r="V1813" i="1"/>
  <c r="L1814" i="1"/>
  <c r="M1814" i="1" s="1"/>
  <c r="V1814" i="1"/>
  <c r="L1815" i="1"/>
  <c r="M1815" i="1" s="1"/>
  <c r="N1815" i="1" s="1"/>
  <c r="V1815" i="1"/>
  <c r="L1816" i="1"/>
  <c r="M1816" i="1" s="1"/>
  <c r="N1816" i="1" s="1"/>
  <c r="V1816" i="1"/>
  <c r="L1817" i="1"/>
  <c r="M1817" i="1" s="1"/>
  <c r="N1817" i="1" s="1"/>
  <c r="V1817" i="1"/>
  <c r="L1818" i="1"/>
  <c r="M1818" i="1" s="1"/>
  <c r="V1818" i="1"/>
  <c r="L1819" i="1"/>
  <c r="M1819" i="1" s="1"/>
  <c r="N1819" i="1" s="1"/>
  <c r="V1819" i="1"/>
  <c r="L1820" i="1"/>
  <c r="M1820" i="1" s="1"/>
  <c r="N1820" i="1" s="1"/>
  <c r="V1820" i="1"/>
  <c r="L1821" i="1"/>
  <c r="M1821" i="1" s="1"/>
  <c r="N1821" i="1" s="1"/>
  <c r="V1821" i="1"/>
  <c r="L1822" i="1"/>
  <c r="V1822" i="1"/>
  <c r="L1823" i="1"/>
  <c r="M1823" i="1" s="1"/>
  <c r="V1823" i="1"/>
  <c r="L1824" i="1"/>
  <c r="M1824" i="1" s="1"/>
  <c r="N1824" i="1" s="1"/>
  <c r="V1824" i="1"/>
  <c r="L1825" i="1"/>
  <c r="M1825" i="1" s="1"/>
  <c r="V1825" i="1"/>
  <c r="L1826" i="1"/>
  <c r="M1826" i="1" s="1"/>
  <c r="N1826" i="1" s="1"/>
  <c r="V1826" i="1"/>
  <c r="L1827" i="1"/>
  <c r="M1827" i="1" s="1"/>
  <c r="N1827" i="1" s="1"/>
  <c r="V1827" i="1"/>
  <c r="L1828" i="1"/>
  <c r="M1828" i="1" s="1"/>
  <c r="N1828" i="1" s="1"/>
  <c r="V1828" i="1"/>
  <c r="L1829" i="1"/>
  <c r="V1829" i="1"/>
  <c r="L1830" i="1"/>
  <c r="M1830" i="1" s="1"/>
  <c r="N1830" i="1" s="1"/>
  <c r="V1830" i="1"/>
  <c r="L1831" i="1"/>
  <c r="M1831" i="1" s="1"/>
  <c r="N1831" i="1" s="1"/>
  <c r="V1831" i="1"/>
  <c r="L1832" i="1"/>
  <c r="M1832" i="1" s="1"/>
  <c r="N1832" i="1" s="1"/>
  <c r="V1832" i="1"/>
  <c r="L1833" i="1"/>
  <c r="V1833" i="1"/>
  <c r="L1834" i="1"/>
  <c r="M1834" i="1" s="1"/>
  <c r="V1834" i="1"/>
  <c r="L1835" i="1"/>
  <c r="M1835" i="1" s="1"/>
  <c r="V1835" i="1"/>
  <c r="L1836" i="1"/>
  <c r="M1836" i="1" s="1"/>
  <c r="V1836" i="1"/>
  <c r="L1837" i="1"/>
  <c r="M1837" i="1" s="1"/>
  <c r="N1837" i="1" s="1"/>
  <c r="V1837" i="1"/>
  <c r="L1838" i="1"/>
  <c r="M1838" i="1" s="1"/>
  <c r="N1838" i="1" s="1"/>
  <c r="V1838" i="1"/>
  <c r="L1839" i="1"/>
  <c r="V1839" i="1"/>
  <c r="L1840" i="1"/>
  <c r="V1840" i="1"/>
  <c r="L1841" i="1"/>
  <c r="M1841" i="1" s="1"/>
  <c r="N1841" i="1" s="1"/>
  <c r="V1841" i="1"/>
  <c r="L1842" i="1"/>
  <c r="M1842" i="1" s="1"/>
  <c r="N1842" i="1" s="1"/>
  <c r="V1842" i="1"/>
  <c r="L1843" i="1"/>
  <c r="V1843" i="1"/>
  <c r="L1844" i="1"/>
  <c r="M1844" i="1" s="1"/>
  <c r="V1844" i="1"/>
  <c r="L1845" i="1"/>
  <c r="M1845" i="1" s="1"/>
  <c r="V1845" i="1"/>
  <c r="L1846" i="1"/>
  <c r="M1846" i="1" s="1"/>
  <c r="V1846" i="1"/>
  <c r="L1847" i="1"/>
  <c r="M1847" i="1" s="1"/>
  <c r="V1847" i="1"/>
  <c r="L1848" i="1"/>
  <c r="M1848" i="1" s="1"/>
  <c r="N1848" i="1" s="1"/>
  <c r="V1848" i="1"/>
  <c r="L1849" i="1"/>
  <c r="M1849" i="1" s="1"/>
  <c r="N1849" i="1" s="1"/>
  <c r="V1849" i="1"/>
  <c r="L1850" i="1"/>
  <c r="V1850" i="1"/>
  <c r="L1851" i="1"/>
  <c r="M1851" i="1" s="1"/>
  <c r="V1851" i="1"/>
  <c r="L1852" i="1"/>
  <c r="M1852" i="1" s="1"/>
  <c r="N1852" i="1" s="1"/>
  <c r="V1852" i="1"/>
  <c r="L1853" i="1"/>
  <c r="M1853" i="1" s="1"/>
  <c r="N1853" i="1" s="1"/>
  <c r="V1853" i="1"/>
  <c r="L1854" i="1"/>
  <c r="V1854" i="1"/>
  <c r="L1855" i="1"/>
  <c r="M1855" i="1" s="1"/>
  <c r="N1855" i="1" s="1"/>
  <c r="V1855" i="1"/>
  <c r="L1856" i="1"/>
  <c r="M1856" i="1" s="1"/>
  <c r="V1856" i="1"/>
  <c r="L1857" i="1"/>
  <c r="M1857" i="1" s="1"/>
  <c r="V1857" i="1"/>
  <c r="L1858" i="1"/>
  <c r="M1858" i="1" s="1"/>
  <c r="V1858" i="1"/>
  <c r="L1859" i="1"/>
  <c r="M1859" i="1" s="1"/>
  <c r="N1859" i="1" s="1"/>
  <c r="V1859" i="1"/>
  <c r="L1860" i="1"/>
  <c r="V1860" i="1"/>
  <c r="L1861" i="1"/>
  <c r="V1861" i="1"/>
  <c r="L1862" i="1"/>
  <c r="M1862" i="1" s="1"/>
  <c r="V1862" i="1"/>
  <c r="L1863" i="1"/>
  <c r="M1863" i="1" s="1"/>
  <c r="N1863" i="1" s="1"/>
  <c r="V1863" i="1"/>
  <c r="L1864" i="1"/>
  <c r="V1864" i="1"/>
  <c r="L1865" i="1"/>
  <c r="V1865" i="1"/>
  <c r="L1866" i="1"/>
  <c r="M1866" i="1" s="1"/>
  <c r="V1866" i="1"/>
  <c r="L1867" i="1"/>
  <c r="M1867" i="1" s="1"/>
  <c r="V1867" i="1"/>
  <c r="L1868" i="1"/>
  <c r="M1868" i="1" s="1"/>
  <c r="N1868" i="1" s="1"/>
  <c r="V1868" i="1"/>
  <c r="L1869" i="1"/>
  <c r="M1869" i="1" s="1"/>
  <c r="V1869" i="1"/>
  <c r="L1870" i="1"/>
  <c r="M1870" i="1" s="1"/>
  <c r="N1870" i="1" s="1"/>
  <c r="V1870" i="1"/>
  <c r="L1871" i="1"/>
  <c r="V1871" i="1"/>
  <c r="L1872" i="1"/>
  <c r="M1872" i="1" s="1"/>
  <c r="N1872" i="1" s="1"/>
  <c r="V1872" i="1"/>
  <c r="L1873" i="1"/>
  <c r="M1873" i="1" s="1"/>
  <c r="N1873" i="1" s="1"/>
  <c r="V1873" i="1"/>
  <c r="L1874" i="1"/>
  <c r="M1874" i="1" s="1"/>
  <c r="N1874" i="1" s="1"/>
  <c r="V1874" i="1"/>
  <c r="L1875" i="1"/>
  <c r="V1875" i="1"/>
  <c r="L1876" i="1"/>
  <c r="M1876" i="1" s="1"/>
  <c r="V1876" i="1"/>
  <c r="L1877" i="1"/>
  <c r="M1877" i="1" s="1"/>
  <c r="N1877" i="1" s="1"/>
  <c r="V1877" i="1"/>
  <c r="L1878" i="1"/>
  <c r="M1878" i="1" s="1"/>
  <c r="V1878" i="1"/>
  <c r="L1879" i="1"/>
  <c r="M1879" i="1" s="1"/>
  <c r="V1879" i="1"/>
  <c r="L1880" i="1"/>
  <c r="M1880" i="1" s="1"/>
  <c r="N1880" i="1" s="1"/>
  <c r="V1880" i="1"/>
  <c r="L1881" i="1"/>
  <c r="M1881" i="1" s="1"/>
  <c r="N1881" i="1" s="1"/>
  <c r="V1881" i="1"/>
  <c r="L1882" i="1"/>
  <c r="V1882" i="1"/>
  <c r="L1883" i="1"/>
  <c r="M1883" i="1" s="1"/>
  <c r="V1883" i="1"/>
  <c r="L1884" i="1"/>
  <c r="M1884" i="1" s="1"/>
  <c r="N1884" i="1" s="1"/>
  <c r="V1884" i="1"/>
  <c r="L1885" i="1"/>
  <c r="M1885" i="1" s="1"/>
  <c r="N1885" i="1" s="1"/>
  <c r="V1885" i="1"/>
  <c r="L1886" i="1"/>
  <c r="V1886" i="1"/>
  <c r="L1887" i="1"/>
  <c r="M1887" i="1" s="1"/>
  <c r="V1887" i="1"/>
  <c r="L1888" i="1"/>
  <c r="M1888" i="1" s="1"/>
  <c r="V1888" i="1"/>
  <c r="L1889" i="1"/>
  <c r="M1889" i="1" s="1"/>
  <c r="V1889" i="1"/>
  <c r="L1890" i="1"/>
  <c r="M1890" i="1" s="1"/>
  <c r="V1890" i="1"/>
  <c r="L1891" i="1"/>
  <c r="M1891" i="1" s="1"/>
  <c r="N1891" i="1" s="1"/>
  <c r="V1891" i="1"/>
  <c r="V1892" i="1"/>
  <c r="L1893" i="1"/>
  <c r="V1893" i="1"/>
  <c r="L1894" i="1"/>
  <c r="M1894" i="1" s="1"/>
  <c r="N1894" i="1" s="1"/>
  <c r="V1894" i="1"/>
  <c r="L1895" i="1"/>
  <c r="M1895" i="1" s="1"/>
  <c r="N1895" i="1" s="1"/>
  <c r="V1895" i="1"/>
  <c r="L1896" i="1"/>
  <c r="V1896" i="1"/>
  <c r="L1897" i="1"/>
  <c r="V1897" i="1"/>
  <c r="L1898" i="1"/>
  <c r="M1898" i="1" s="1"/>
  <c r="V1898" i="1"/>
  <c r="L1899" i="1"/>
  <c r="M1899" i="1" s="1"/>
  <c r="V1899" i="1"/>
  <c r="L1900" i="1"/>
  <c r="M1900" i="1" s="1"/>
  <c r="V1900" i="1"/>
  <c r="L1901" i="1"/>
  <c r="M1901" i="1" s="1"/>
  <c r="V1901" i="1"/>
  <c r="L1902" i="1"/>
  <c r="M1902" i="1" s="1"/>
  <c r="N1902" i="1" s="1"/>
  <c r="V1902" i="1"/>
  <c r="L1903" i="1"/>
  <c r="V1903" i="1"/>
  <c r="L1904" i="1"/>
  <c r="M1904" i="1" s="1"/>
  <c r="N1904" i="1" s="1"/>
  <c r="S1904" i="1" s="1"/>
  <c r="V1904" i="1"/>
  <c r="L1905" i="1"/>
  <c r="M1905" i="1" s="1"/>
  <c r="N1905" i="1" s="1"/>
  <c r="V1905" i="1"/>
  <c r="L1906" i="1"/>
  <c r="M1906" i="1" s="1"/>
  <c r="N1906" i="1" s="1"/>
  <c r="V1906" i="1"/>
  <c r="L1907" i="1"/>
  <c r="V1907" i="1"/>
  <c r="L1908" i="1"/>
  <c r="M1908" i="1" s="1"/>
  <c r="V1908" i="1"/>
  <c r="L1909" i="1"/>
  <c r="V1909" i="1"/>
  <c r="L1910" i="1"/>
  <c r="M1910" i="1" s="1"/>
  <c r="V1910" i="1"/>
  <c r="L1911" i="1"/>
  <c r="M1911" i="1" s="1"/>
  <c r="V1911" i="1"/>
  <c r="L1912" i="1"/>
  <c r="M1912" i="1" s="1"/>
  <c r="N1912" i="1" s="1"/>
  <c r="R1912" i="1" s="1"/>
  <c r="V1912" i="1"/>
  <c r="L1913" i="1"/>
  <c r="M1913" i="1" s="1"/>
  <c r="N1913" i="1" s="1"/>
  <c r="V1913" i="1"/>
  <c r="L1914" i="1"/>
  <c r="V1914" i="1"/>
  <c r="L1915" i="1"/>
  <c r="M1915" i="1" s="1"/>
  <c r="V1915" i="1"/>
  <c r="M1916" i="1"/>
  <c r="N1916" i="1" s="1"/>
  <c r="V1916" i="1"/>
  <c r="L1917" i="1"/>
  <c r="M1917" i="1" s="1"/>
  <c r="V1917" i="1"/>
  <c r="L1918" i="1"/>
  <c r="M1918" i="1" s="1"/>
  <c r="V1918" i="1"/>
  <c r="L1919" i="1"/>
  <c r="M1919" i="1" s="1"/>
  <c r="V1919" i="1"/>
  <c r="L1920" i="1"/>
  <c r="M1920" i="1" s="1"/>
  <c r="V1920" i="1"/>
  <c r="L1921" i="1"/>
  <c r="M1921" i="1" s="1"/>
  <c r="V1921" i="1"/>
  <c r="L1922" i="1"/>
  <c r="M1922" i="1" s="1"/>
  <c r="V1922" i="1"/>
  <c r="L1923" i="1"/>
  <c r="M1923" i="1" s="1"/>
  <c r="N1923" i="1" s="1"/>
  <c r="V1923" i="1"/>
  <c r="L1924" i="1"/>
  <c r="M1924" i="1" s="1"/>
  <c r="V1924" i="1"/>
  <c r="L1925" i="1"/>
  <c r="M1925" i="1" s="1"/>
  <c r="N1925" i="1" s="1"/>
  <c r="V1925" i="1"/>
  <c r="L1926" i="1"/>
  <c r="V1926" i="1"/>
  <c r="L1927" i="1"/>
  <c r="V1927" i="1"/>
  <c r="L1928" i="1"/>
  <c r="V1928" i="1"/>
  <c r="L1929" i="1"/>
  <c r="M1929" i="1" s="1"/>
  <c r="N1929" i="1" s="1"/>
  <c r="V1929" i="1"/>
  <c r="L1930" i="1"/>
  <c r="M1930" i="1" s="1"/>
  <c r="N1930" i="1" s="1"/>
  <c r="V1930" i="1"/>
  <c r="L1931" i="1"/>
  <c r="M1931" i="1" s="1"/>
  <c r="V1931" i="1"/>
  <c r="L1932" i="1"/>
  <c r="M1932" i="1" s="1"/>
  <c r="V1932" i="1"/>
  <c r="L1933" i="1"/>
  <c r="M1933" i="1" s="1"/>
  <c r="V1933" i="1"/>
  <c r="L1934" i="1"/>
  <c r="M1934" i="1" s="1"/>
  <c r="V1934" i="1"/>
  <c r="L1935" i="1"/>
  <c r="M1935" i="1" s="1"/>
  <c r="N1935" i="1" s="1"/>
  <c r="V1935" i="1"/>
  <c r="L1936" i="1"/>
  <c r="M1936" i="1" s="1"/>
  <c r="V1936" i="1"/>
  <c r="L1937" i="1"/>
  <c r="M1937" i="1" s="1"/>
  <c r="V1937" i="1"/>
  <c r="L1938" i="1"/>
  <c r="M1938" i="1" s="1"/>
  <c r="V1938" i="1"/>
  <c r="L1939" i="1"/>
  <c r="M1939" i="1" s="1"/>
  <c r="V1939" i="1"/>
  <c r="L1940" i="1"/>
  <c r="M1940" i="1" s="1"/>
  <c r="V1940" i="1"/>
  <c r="L1941" i="1"/>
  <c r="M1941" i="1" s="1"/>
  <c r="V1941" i="1"/>
  <c r="L1942" i="1"/>
  <c r="M1942" i="1" s="1"/>
  <c r="V1942" i="1"/>
  <c r="L1943" i="1"/>
  <c r="V1943" i="1"/>
  <c r="L1944" i="1"/>
  <c r="M1944" i="1" s="1"/>
  <c r="V1944" i="1"/>
  <c r="L1945" i="1"/>
  <c r="M1945" i="1" s="1"/>
  <c r="V1945" i="1"/>
  <c r="L1946" i="1"/>
  <c r="V1946" i="1"/>
  <c r="L1947" i="1"/>
  <c r="M1947" i="1" s="1"/>
  <c r="N1947" i="1" s="1"/>
  <c r="V1947" i="1"/>
  <c r="L1948" i="1"/>
  <c r="M1948" i="1" s="1"/>
  <c r="N1948" i="1" s="1"/>
  <c r="V1948" i="1"/>
  <c r="L1949" i="1"/>
  <c r="M1949" i="1" s="1"/>
  <c r="N1949" i="1" s="1"/>
  <c r="V1949" i="1"/>
  <c r="L1950" i="1"/>
  <c r="M1950" i="1" s="1"/>
  <c r="N1950" i="1" s="1"/>
  <c r="V1950" i="1"/>
  <c r="L1951" i="1"/>
  <c r="M1951" i="1" s="1"/>
  <c r="V1951" i="1"/>
  <c r="L1952" i="1"/>
  <c r="M1952" i="1" s="1"/>
  <c r="V1952" i="1"/>
  <c r="L1953" i="1"/>
  <c r="M1953" i="1" s="1"/>
  <c r="V1953" i="1"/>
  <c r="L1954" i="1"/>
  <c r="M1954" i="1" s="1"/>
  <c r="N1954" i="1" s="1"/>
  <c r="V1954" i="1"/>
  <c r="L1955" i="1"/>
  <c r="M1955" i="1" s="1"/>
  <c r="V1955" i="1"/>
  <c r="L1956" i="1"/>
  <c r="V1956" i="1"/>
  <c r="L1957" i="1"/>
  <c r="V1957" i="1"/>
  <c r="L1958" i="1"/>
  <c r="M1958" i="1" s="1"/>
  <c r="N1958" i="1" s="1"/>
  <c r="V1958" i="1"/>
  <c r="L1959" i="1"/>
  <c r="M1959" i="1" s="1"/>
  <c r="V1959" i="1"/>
  <c r="L1960" i="1"/>
  <c r="M1960" i="1" s="1"/>
  <c r="N1960" i="1" s="1"/>
  <c r="V1960" i="1"/>
  <c r="L1961" i="1"/>
  <c r="M1961" i="1" s="1"/>
  <c r="V1961" i="1"/>
  <c r="L1962" i="1"/>
  <c r="M1962" i="1" s="1"/>
  <c r="V1962" i="1"/>
  <c r="L1963" i="1"/>
  <c r="M1963" i="1" s="1"/>
  <c r="V1963" i="1"/>
  <c r="L1964" i="1"/>
  <c r="M1964" i="1" s="1"/>
  <c r="N1964" i="1" s="1"/>
  <c r="V1964" i="1"/>
  <c r="L1965" i="1"/>
  <c r="M1965" i="1" s="1"/>
  <c r="N1965" i="1" s="1"/>
  <c r="V1965" i="1"/>
  <c r="L1966" i="1"/>
  <c r="M1966" i="1" s="1"/>
  <c r="V1966" i="1"/>
  <c r="L1967" i="1"/>
  <c r="V1967" i="1"/>
  <c r="L1968" i="1"/>
  <c r="M1968" i="1" s="1"/>
  <c r="N1968" i="1" s="1"/>
  <c r="V1968" i="1"/>
  <c r="L1969" i="1"/>
  <c r="M1969" i="1" s="1"/>
  <c r="V1969" i="1"/>
  <c r="L1970" i="1"/>
  <c r="M1970" i="1" s="1"/>
  <c r="N1970" i="1" s="1"/>
  <c r="V1970" i="1"/>
  <c r="L1971" i="1"/>
  <c r="M1971" i="1" s="1"/>
  <c r="V1971" i="1"/>
  <c r="L1972" i="1"/>
  <c r="M1972" i="1" s="1"/>
  <c r="V1972" i="1"/>
  <c r="L1973" i="1"/>
  <c r="M1973" i="1" s="1"/>
  <c r="V1973" i="1"/>
  <c r="L1974" i="1"/>
  <c r="M1974" i="1" s="1"/>
  <c r="V1974" i="1"/>
  <c r="L1975" i="1"/>
  <c r="M1975" i="1" s="1"/>
  <c r="V1975" i="1"/>
  <c r="L1976" i="1"/>
  <c r="M1976" i="1" s="1"/>
  <c r="V1976" i="1"/>
  <c r="L1977" i="1"/>
  <c r="M1977" i="1" s="1"/>
  <c r="V1977" i="1"/>
  <c r="L1978" i="1"/>
  <c r="V1978" i="1"/>
  <c r="L1979" i="1"/>
  <c r="M1979" i="1" s="1"/>
  <c r="V1979" i="1"/>
  <c r="L1980" i="1"/>
  <c r="M1980" i="1" s="1"/>
  <c r="N1980" i="1" s="1"/>
  <c r="V1980" i="1"/>
  <c r="L1981" i="1"/>
  <c r="M1981" i="1" s="1"/>
  <c r="N1981" i="1" s="1"/>
  <c r="V1981" i="1"/>
  <c r="L1982" i="1"/>
  <c r="M1982" i="1" s="1"/>
  <c r="V1982" i="1"/>
  <c r="L1983" i="1"/>
  <c r="M1983" i="1" s="1"/>
  <c r="V1983" i="1"/>
  <c r="L1984" i="1"/>
  <c r="M1984" i="1" s="1"/>
  <c r="V1984" i="1"/>
  <c r="L1985" i="1"/>
  <c r="M1985" i="1" s="1"/>
  <c r="V1985" i="1"/>
  <c r="L1986" i="1"/>
  <c r="M1986" i="1" s="1"/>
  <c r="N1986" i="1" s="1"/>
  <c r="V1986" i="1"/>
  <c r="L1987" i="1"/>
  <c r="M1987" i="1" s="1"/>
  <c r="V1987" i="1"/>
  <c r="L1988" i="1"/>
  <c r="V1988" i="1"/>
  <c r="L1989" i="1"/>
  <c r="V1989" i="1"/>
  <c r="L1990" i="1"/>
  <c r="M1990" i="1" s="1"/>
  <c r="N1990" i="1" s="1"/>
  <c r="V1990" i="1"/>
  <c r="L1991" i="1"/>
  <c r="M1991" i="1" s="1"/>
  <c r="V1991" i="1"/>
  <c r="L1992" i="1"/>
  <c r="M1992" i="1" s="1"/>
  <c r="N1992" i="1" s="1"/>
  <c r="V1992" i="1"/>
  <c r="L1993" i="1"/>
  <c r="M1993" i="1" s="1"/>
  <c r="N1993" i="1" s="1"/>
  <c r="V1993" i="1"/>
  <c r="L1994" i="1"/>
  <c r="M1994" i="1" s="1"/>
  <c r="V1994" i="1"/>
  <c r="L1995" i="1"/>
  <c r="M1995" i="1" s="1"/>
  <c r="V1995" i="1"/>
  <c r="L1996" i="1"/>
  <c r="M1996" i="1" s="1"/>
  <c r="N1996" i="1" s="1"/>
  <c r="V1996" i="1"/>
  <c r="L1997" i="1"/>
  <c r="M1997" i="1" s="1"/>
  <c r="N1997" i="1" s="1"/>
  <c r="V1997" i="1"/>
  <c r="L1998" i="1"/>
  <c r="M1998" i="1" s="1"/>
  <c r="N1998" i="1" s="1"/>
  <c r="V1998" i="1"/>
  <c r="L1999" i="1"/>
  <c r="V1999" i="1"/>
  <c r="L2000" i="1"/>
  <c r="M2000" i="1" s="1"/>
  <c r="V2000" i="1"/>
  <c r="L2001" i="1"/>
  <c r="M2001" i="1" s="1"/>
  <c r="V2001" i="1"/>
  <c r="L2002" i="1"/>
  <c r="M2002" i="1" s="1"/>
  <c r="V2002" i="1"/>
  <c r="L2003" i="1"/>
  <c r="M2003" i="1" s="1"/>
  <c r="V2003" i="1"/>
  <c r="L2004" i="1"/>
  <c r="M2004" i="1" s="1"/>
  <c r="V2004" i="1"/>
  <c r="L2005" i="1"/>
  <c r="M2005" i="1" s="1"/>
  <c r="V2005" i="1"/>
  <c r="L2006" i="1"/>
  <c r="M2006" i="1" s="1"/>
  <c r="V2006" i="1"/>
  <c r="L2007" i="1"/>
  <c r="M2007" i="1" s="1"/>
  <c r="N2007" i="1" s="1"/>
  <c r="V2007" i="1"/>
  <c r="L2008" i="1"/>
  <c r="M2008" i="1" s="1"/>
  <c r="N2008" i="1" s="1"/>
  <c r="V2008" i="1"/>
  <c r="L2009" i="1"/>
  <c r="M2009" i="1" s="1"/>
  <c r="N2009" i="1" s="1"/>
  <c r="V2009" i="1"/>
  <c r="L2010" i="1"/>
  <c r="V2010" i="1"/>
  <c r="L2011" i="1"/>
  <c r="M2011" i="1" s="1"/>
  <c r="V2011" i="1"/>
  <c r="L2012" i="1"/>
  <c r="M2012" i="1" s="1"/>
  <c r="V2012" i="1"/>
  <c r="L2013" i="1"/>
  <c r="M2013" i="1" s="1"/>
  <c r="V2013" i="1"/>
  <c r="L2014" i="1"/>
  <c r="M2014" i="1" s="1"/>
  <c r="N2014" i="1" s="1"/>
  <c r="V2014" i="1"/>
  <c r="L2015" i="1"/>
  <c r="M2015" i="1" s="1"/>
  <c r="V2015" i="1"/>
  <c r="L2016" i="1"/>
  <c r="M2016" i="1" s="1"/>
  <c r="V2016" i="1"/>
  <c r="L2017" i="1"/>
  <c r="M2017" i="1" s="1"/>
  <c r="V2017" i="1"/>
  <c r="L2018" i="1"/>
  <c r="M2018" i="1" s="1"/>
  <c r="N2018" i="1" s="1"/>
  <c r="V2018" i="1"/>
  <c r="L2019" i="1"/>
  <c r="M2019" i="1" s="1"/>
  <c r="V2019" i="1"/>
  <c r="L2020" i="1"/>
  <c r="V2020" i="1"/>
  <c r="L2021" i="1"/>
  <c r="V2021" i="1"/>
  <c r="L2022" i="1"/>
  <c r="M2022" i="1" s="1"/>
  <c r="V2022" i="1"/>
  <c r="L2023" i="1"/>
  <c r="M2023" i="1" s="1"/>
  <c r="V2023" i="1"/>
  <c r="L2024" i="1"/>
  <c r="M2024" i="1" s="1"/>
  <c r="N2024" i="1" s="1"/>
  <c r="V2024" i="1"/>
  <c r="L2025" i="1"/>
  <c r="M2025" i="1" s="1"/>
  <c r="V2025" i="1"/>
  <c r="L2026" i="1"/>
  <c r="V2026" i="1"/>
  <c r="L2027" i="1"/>
  <c r="M2027" i="1" s="1"/>
  <c r="V2027" i="1"/>
  <c r="L2028" i="1"/>
  <c r="M2028" i="1" s="1"/>
  <c r="N2028" i="1" s="1"/>
  <c r="V2028" i="1"/>
  <c r="L2029" i="1"/>
  <c r="M2029" i="1" s="1"/>
  <c r="N2029" i="1" s="1"/>
  <c r="V2029" i="1"/>
  <c r="L2030" i="1"/>
  <c r="M2030" i="1" s="1"/>
  <c r="N2030" i="1" s="1"/>
  <c r="V2030" i="1"/>
  <c r="L2031" i="1"/>
  <c r="V2031" i="1"/>
  <c r="L2032" i="1"/>
  <c r="M2032" i="1" s="1"/>
  <c r="V2032" i="1"/>
  <c r="L2033" i="1"/>
  <c r="M2033" i="1" s="1"/>
  <c r="V2033" i="1"/>
  <c r="L2034" i="1"/>
  <c r="M2034" i="1" s="1"/>
  <c r="V2034" i="1"/>
  <c r="L2035" i="1"/>
  <c r="M2035" i="1" s="1"/>
  <c r="V2035" i="1"/>
  <c r="L2036" i="1"/>
  <c r="M2036" i="1" s="1"/>
  <c r="V2036" i="1"/>
  <c r="L2037" i="1"/>
  <c r="M2037" i="1" s="1"/>
  <c r="V2037" i="1"/>
  <c r="L2038" i="1"/>
  <c r="M2038" i="1" s="1"/>
  <c r="V2038" i="1"/>
  <c r="L2039" i="1"/>
  <c r="M2039" i="1" s="1"/>
  <c r="N2039" i="1" s="1"/>
  <c r="V2039" i="1"/>
  <c r="L2040" i="1"/>
  <c r="M2040" i="1" s="1"/>
  <c r="V2040" i="1"/>
  <c r="L2041" i="1"/>
  <c r="M2041" i="1" s="1"/>
  <c r="V2041" i="1"/>
  <c r="L2042" i="1"/>
  <c r="V2042" i="1"/>
  <c r="L2043" i="1"/>
  <c r="M2043" i="1" s="1"/>
  <c r="N2043" i="1" s="1"/>
  <c r="V2043" i="1"/>
  <c r="L2044" i="1"/>
  <c r="M2044" i="1" s="1"/>
  <c r="V2044" i="1"/>
  <c r="L2045" i="1"/>
  <c r="M2045" i="1" s="1"/>
  <c r="V2045" i="1"/>
  <c r="L2046" i="1"/>
  <c r="M2046" i="1" s="1"/>
  <c r="V2046" i="1"/>
  <c r="L2047" i="1"/>
  <c r="M2047" i="1" s="1"/>
  <c r="V2047" i="1"/>
  <c r="L2048" i="1"/>
  <c r="M2048" i="1" s="1"/>
  <c r="N2048" i="1" s="1"/>
  <c r="V2048" i="1"/>
  <c r="L2049" i="1"/>
  <c r="M2049" i="1" s="1"/>
  <c r="V2049" i="1"/>
  <c r="L2050" i="1"/>
  <c r="M2050" i="1" s="1"/>
  <c r="N2050" i="1" s="1"/>
  <c r="V2050" i="1"/>
  <c r="L2051" i="1"/>
  <c r="M2051" i="1" s="1"/>
  <c r="V2051" i="1"/>
  <c r="L2052" i="1"/>
  <c r="V2052" i="1"/>
  <c r="L2053" i="1"/>
  <c r="M2053" i="1" s="1"/>
  <c r="V2053" i="1"/>
  <c r="L2054" i="1"/>
  <c r="M2054" i="1" s="1"/>
  <c r="V2054" i="1"/>
  <c r="L2055" i="1"/>
  <c r="M2055" i="1" s="1"/>
  <c r="V2055" i="1"/>
  <c r="L2056" i="1"/>
  <c r="M2056" i="1" s="1"/>
  <c r="V2056" i="1"/>
  <c r="L2057" i="1"/>
  <c r="M2057" i="1" s="1"/>
  <c r="V2057" i="1"/>
  <c r="L2058" i="1"/>
  <c r="M2058" i="1" s="1"/>
  <c r="V2058" i="1"/>
  <c r="L2059" i="1"/>
  <c r="M2059" i="1" s="1"/>
  <c r="V2059" i="1"/>
  <c r="L2060" i="1"/>
  <c r="M2060" i="1" s="1"/>
  <c r="N2060" i="1" s="1"/>
  <c r="V2060" i="1"/>
  <c r="L2061" i="1"/>
  <c r="M2061" i="1" s="1"/>
  <c r="V2061" i="1"/>
  <c r="L2062" i="1"/>
  <c r="V2062" i="1"/>
  <c r="L2063" i="1"/>
  <c r="M2063" i="1" s="1"/>
  <c r="V2063" i="1"/>
  <c r="L2064" i="1"/>
  <c r="M2064" i="1" s="1"/>
  <c r="V2064" i="1"/>
  <c r="L2065" i="1"/>
  <c r="M2065" i="1" s="1"/>
  <c r="V2065" i="1"/>
  <c r="L2066" i="1"/>
  <c r="M2066" i="1" s="1"/>
  <c r="V2066" i="1"/>
  <c r="L2067" i="1"/>
  <c r="M2067" i="1" s="1"/>
  <c r="V2067" i="1"/>
  <c r="L2068" i="1"/>
  <c r="M2068" i="1" s="1"/>
  <c r="V2068" i="1"/>
  <c r="L2069" i="1"/>
  <c r="M2069" i="1" s="1"/>
  <c r="V2069" i="1"/>
  <c r="L2070" i="1"/>
  <c r="M2070" i="1" s="1"/>
  <c r="N2070" i="1" s="1"/>
  <c r="V2070" i="1"/>
  <c r="L2071" i="1"/>
  <c r="M2071" i="1" s="1"/>
  <c r="V2071" i="1"/>
  <c r="L2072" i="1"/>
  <c r="V2072" i="1"/>
  <c r="L2073" i="1"/>
  <c r="M2073" i="1" s="1"/>
  <c r="N2073" i="1" s="1"/>
  <c r="V2073" i="1"/>
  <c r="L2074" i="1"/>
  <c r="M2074" i="1" s="1"/>
  <c r="N2074" i="1" s="1"/>
  <c r="V2074" i="1"/>
  <c r="L2075" i="1"/>
  <c r="M2075" i="1" s="1"/>
  <c r="V2075" i="1"/>
  <c r="L2076" i="1"/>
  <c r="M2076" i="1" s="1"/>
  <c r="V2076" i="1"/>
  <c r="L2077" i="1"/>
  <c r="M2077" i="1" s="1"/>
  <c r="V2077" i="1"/>
  <c r="L2078" i="1"/>
  <c r="M2078" i="1" s="1"/>
  <c r="V2078" i="1"/>
  <c r="L2079" i="1"/>
  <c r="M2079" i="1" s="1"/>
  <c r="V2079" i="1"/>
  <c r="L2080" i="1"/>
  <c r="M2080" i="1" s="1"/>
  <c r="N2080" i="1" s="1"/>
  <c r="V2080" i="1"/>
  <c r="L2081" i="1"/>
  <c r="M2081" i="1" s="1"/>
  <c r="V2081" i="1"/>
  <c r="L2082" i="1"/>
  <c r="V2082" i="1"/>
  <c r="L2083" i="1"/>
  <c r="M2083" i="1" s="1"/>
  <c r="N2083" i="1" s="1"/>
  <c r="V2083" i="1"/>
  <c r="L2084" i="1"/>
  <c r="M2084" i="1" s="1"/>
  <c r="V2084" i="1"/>
  <c r="L2085" i="1"/>
  <c r="M2085" i="1" s="1"/>
  <c r="V2085" i="1"/>
  <c r="L2086" i="1"/>
  <c r="M2086" i="1" s="1"/>
  <c r="V2086" i="1"/>
  <c r="L2087" i="1"/>
  <c r="M2087" i="1" s="1"/>
  <c r="V2087" i="1"/>
  <c r="L2088" i="1"/>
  <c r="M2088" i="1" s="1"/>
  <c r="N2088" i="1" s="1"/>
  <c r="V2088" i="1"/>
  <c r="L2089" i="1"/>
  <c r="M2089" i="1" s="1"/>
  <c r="V2089" i="1"/>
  <c r="L2090" i="1"/>
  <c r="M2090" i="1" s="1"/>
  <c r="N2090" i="1" s="1"/>
  <c r="V2090" i="1"/>
  <c r="L2091" i="1"/>
  <c r="M2091" i="1" s="1"/>
  <c r="V2091" i="1"/>
  <c r="L2092" i="1"/>
  <c r="V2092" i="1"/>
  <c r="L2093" i="1"/>
  <c r="M2093" i="1" s="1"/>
  <c r="N2093" i="1" s="1"/>
  <c r="V2093" i="1"/>
  <c r="L2094" i="1"/>
  <c r="M2094" i="1" s="1"/>
  <c r="V2094" i="1"/>
  <c r="L2095" i="1"/>
  <c r="M2095" i="1" s="1"/>
  <c r="V2095" i="1"/>
  <c r="L2096" i="1"/>
  <c r="M2096" i="1" s="1"/>
  <c r="V2096" i="1"/>
  <c r="L2097" i="1"/>
  <c r="M2097" i="1" s="1"/>
  <c r="V2097" i="1"/>
  <c r="L2098" i="1"/>
  <c r="M2098" i="1" s="1"/>
  <c r="N2098" i="1" s="1"/>
  <c r="V2098" i="1"/>
  <c r="L2099" i="1"/>
  <c r="M2099" i="1" s="1"/>
  <c r="V2099" i="1"/>
  <c r="L2100" i="1"/>
  <c r="M2100" i="1" s="1"/>
  <c r="V2100" i="1"/>
  <c r="L2101" i="1"/>
  <c r="M2101" i="1" s="1"/>
  <c r="V2101" i="1"/>
  <c r="L2102" i="1"/>
  <c r="V2102" i="1"/>
  <c r="L2103" i="1"/>
  <c r="M2103" i="1" s="1"/>
  <c r="V2103" i="1"/>
  <c r="L2104" i="1"/>
  <c r="M2104" i="1" s="1"/>
  <c r="V2104" i="1"/>
  <c r="L2105" i="1"/>
  <c r="M2105" i="1" s="1"/>
  <c r="V2105" i="1"/>
  <c r="L2106" i="1"/>
  <c r="M2106" i="1" s="1"/>
  <c r="V2106" i="1"/>
  <c r="L2107" i="1"/>
  <c r="M2107" i="1" s="1"/>
  <c r="V2107" i="1"/>
  <c r="L2108" i="1"/>
  <c r="M2108" i="1" s="1"/>
  <c r="N2108" i="1" s="1"/>
  <c r="V2108" i="1"/>
  <c r="L2109" i="1"/>
  <c r="M2109" i="1" s="1"/>
  <c r="V2109" i="1"/>
  <c r="L2110" i="1"/>
  <c r="M2110" i="1" s="1"/>
  <c r="N2110" i="1" s="1"/>
  <c r="V2110" i="1"/>
  <c r="L2111" i="1"/>
  <c r="M2111" i="1" s="1"/>
  <c r="V2111" i="1"/>
  <c r="L2112" i="1"/>
  <c r="V2112" i="1"/>
  <c r="L2113" i="1"/>
  <c r="M2113" i="1" s="1"/>
  <c r="V2113" i="1"/>
  <c r="L2114" i="1"/>
  <c r="M2114" i="1" s="1"/>
  <c r="V2114" i="1"/>
  <c r="L2115" i="1"/>
  <c r="M2115" i="1" s="1"/>
  <c r="V2115" i="1"/>
  <c r="L2116" i="1"/>
  <c r="M2116" i="1" s="1"/>
  <c r="V2116" i="1"/>
  <c r="L2117" i="1"/>
  <c r="M2117" i="1" s="1"/>
  <c r="N2117" i="1" s="1"/>
  <c r="V2117" i="1"/>
  <c r="L2118" i="1"/>
  <c r="M2118" i="1" s="1"/>
  <c r="V2118" i="1"/>
  <c r="L2119" i="1"/>
  <c r="M2119" i="1" s="1"/>
  <c r="V2119" i="1"/>
  <c r="L2120" i="1"/>
  <c r="M2120" i="1" s="1"/>
  <c r="N2120" i="1" s="1"/>
  <c r="V2120" i="1"/>
  <c r="L2121" i="1"/>
  <c r="M2121" i="1" s="1"/>
  <c r="V2121" i="1"/>
  <c r="L2122" i="1"/>
  <c r="M2122" i="1" s="1"/>
  <c r="V2122" i="1"/>
  <c r="L2123" i="1"/>
  <c r="M2123" i="1" s="1"/>
  <c r="V2123" i="1"/>
  <c r="L2124" i="1"/>
  <c r="M2124" i="1" s="1"/>
  <c r="V2124" i="1"/>
  <c r="L2125" i="1"/>
  <c r="M2125" i="1" s="1"/>
  <c r="V2125" i="1"/>
  <c r="L2126" i="1"/>
  <c r="M2126" i="1" s="1"/>
  <c r="N2126" i="1" s="1"/>
  <c r="V2126" i="1"/>
  <c r="L2127" i="1"/>
  <c r="V2127" i="1"/>
  <c r="L2128" i="1"/>
  <c r="M2128" i="1" s="1"/>
  <c r="V2128" i="1"/>
  <c r="L2129" i="1"/>
  <c r="M2129" i="1" s="1"/>
  <c r="V2129" i="1"/>
  <c r="L2130" i="1"/>
  <c r="M2130" i="1" s="1"/>
  <c r="N2130" i="1" s="1"/>
  <c r="V2130" i="1"/>
  <c r="L2131" i="1"/>
  <c r="M2131" i="1" s="1"/>
  <c r="V2131" i="1"/>
  <c r="L2132" i="1"/>
  <c r="M2132" i="1" s="1"/>
  <c r="V2132" i="1"/>
  <c r="L2133" i="1"/>
  <c r="M2133" i="1" s="1"/>
  <c r="V2133" i="1"/>
  <c r="L2134" i="1"/>
  <c r="M2134" i="1" s="1"/>
  <c r="V2134" i="1"/>
  <c r="L2135" i="1"/>
  <c r="M2135" i="1" s="1"/>
  <c r="V2135" i="1"/>
  <c r="L2136" i="1"/>
  <c r="M2136" i="1" s="1"/>
  <c r="V2136" i="1"/>
  <c r="L2137" i="1"/>
  <c r="M2137" i="1" s="1"/>
  <c r="N2137" i="1" s="1"/>
  <c r="V2137" i="1"/>
  <c r="L2138" i="1"/>
  <c r="M2138" i="1" s="1"/>
  <c r="V2138" i="1"/>
  <c r="L2139" i="1"/>
  <c r="M2139" i="1" s="1"/>
  <c r="V2139" i="1"/>
  <c r="L2140" i="1"/>
  <c r="M2140" i="1" s="1"/>
  <c r="V2140" i="1"/>
  <c r="L2141" i="1"/>
  <c r="M2141" i="1" s="1"/>
  <c r="N2141" i="1" s="1"/>
  <c r="V2141" i="1"/>
  <c r="L2142" i="1"/>
  <c r="M2142" i="1" s="1"/>
  <c r="N2142" i="1" s="1"/>
  <c r="V2142" i="1"/>
  <c r="L2143" i="1"/>
  <c r="M2143" i="1" s="1"/>
  <c r="V2143" i="1"/>
  <c r="L2144" i="1"/>
  <c r="M2144" i="1" s="1"/>
  <c r="V2144" i="1"/>
  <c r="L2145" i="1"/>
  <c r="M2145" i="1" s="1"/>
  <c r="V2145" i="1"/>
  <c r="L2146" i="1"/>
  <c r="M2146" i="1" s="1"/>
  <c r="V2146" i="1"/>
  <c r="L2147" i="1"/>
  <c r="M2147" i="1" s="1"/>
  <c r="V2147" i="1"/>
  <c r="L2148" i="1"/>
  <c r="M2148" i="1" s="1"/>
  <c r="V2148" i="1"/>
  <c r="L2149" i="1"/>
  <c r="M2149" i="1" s="1"/>
  <c r="V2149" i="1"/>
  <c r="L2150" i="1"/>
  <c r="M2150" i="1" s="1"/>
  <c r="V2150" i="1"/>
  <c r="L2151" i="1"/>
  <c r="M2151" i="1" s="1"/>
  <c r="N2151" i="1" s="1"/>
  <c r="V2151" i="1"/>
  <c r="L2152" i="1"/>
  <c r="M2152" i="1" s="1"/>
  <c r="V2152" i="1"/>
  <c r="L2153" i="1"/>
  <c r="M2153" i="1" s="1"/>
  <c r="N2153" i="1" s="1"/>
  <c r="V2153" i="1"/>
  <c r="L2154" i="1"/>
  <c r="M2154" i="1" s="1"/>
  <c r="V2154" i="1"/>
  <c r="L2155" i="1"/>
  <c r="M2155" i="1" s="1"/>
  <c r="V2155" i="1"/>
  <c r="L2156" i="1"/>
  <c r="M2156" i="1" s="1"/>
  <c r="V2156" i="1"/>
  <c r="L2157" i="1"/>
  <c r="V2157" i="1"/>
  <c r="L2158" i="1"/>
  <c r="M2158" i="1" s="1"/>
  <c r="V2158" i="1"/>
  <c r="L2159" i="1"/>
  <c r="M2159" i="1" s="1"/>
  <c r="V2159" i="1"/>
  <c r="L2160" i="1"/>
  <c r="M2160" i="1" s="1"/>
  <c r="V2160" i="1"/>
  <c r="L2161" i="1"/>
  <c r="M2161" i="1" s="1"/>
  <c r="V2161" i="1"/>
  <c r="L2162" i="1"/>
  <c r="M2162" i="1" s="1"/>
  <c r="V2162" i="1"/>
  <c r="L2163" i="1"/>
  <c r="V2163" i="1"/>
  <c r="L2164" i="1"/>
  <c r="M2164" i="1" s="1"/>
  <c r="V2164" i="1"/>
  <c r="L2165" i="1"/>
  <c r="M2165" i="1" s="1"/>
  <c r="N2165" i="1" s="1"/>
  <c r="V2165" i="1"/>
  <c r="L2166" i="1"/>
  <c r="M2166" i="1" s="1"/>
  <c r="N2166" i="1" s="1"/>
  <c r="V2166" i="1"/>
  <c r="L2167" i="1"/>
  <c r="M2167" i="1" s="1"/>
  <c r="V2167" i="1"/>
  <c r="L2168" i="1"/>
  <c r="M2168" i="1" s="1"/>
  <c r="V2168" i="1"/>
  <c r="L2169" i="1"/>
  <c r="M2169" i="1" s="1"/>
  <c r="V2169" i="1"/>
  <c r="L2170" i="1"/>
  <c r="M2170" i="1" s="1"/>
  <c r="V2170" i="1"/>
  <c r="L2171" i="1"/>
  <c r="M2171" i="1" s="1"/>
  <c r="V2171" i="1"/>
  <c r="L2172" i="1"/>
  <c r="M2172" i="1" s="1"/>
  <c r="V2172" i="1"/>
  <c r="L2173" i="1"/>
  <c r="V2173" i="1"/>
  <c r="L2174" i="1"/>
  <c r="M2174" i="1" s="1"/>
  <c r="V2174" i="1"/>
  <c r="L2175" i="1"/>
  <c r="M2175" i="1" s="1"/>
  <c r="N2175" i="1" s="1"/>
  <c r="V2175" i="1"/>
  <c r="L2176" i="1"/>
  <c r="M2176" i="1" s="1"/>
  <c r="V2176" i="1"/>
  <c r="L2177" i="1"/>
  <c r="M2177" i="1" s="1"/>
  <c r="V2177" i="1"/>
  <c r="L2178" i="1"/>
  <c r="M2178" i="1" s="1"/>
  <c r="V2178" i="1"/>
  <c r="L2179" i="1"/>
  <c r="M2179" i="1" s="1"/>
  <c r="V2179" i="1"/>
  <c r="L2180" i="1"/>
  <c r="M2180" i="1" s="1"/>
  <c r="V2180" i="1"/>
  <c r="L2181" i="1"/>
  <c r="M2181" i="1" s="1"/>
  <c r="V2181" i="1"/>
  <c r="L2182" i="1"/>
  <c r="V2182" i="1"/>
  <c r="L2183" i="1"/>
  <c r="V2183" i="1"/>
  <c r="L2184" i="1"/>
  <c r="M2184" i="1" s="1"/>
  <c r="V2184" i="1"/>
  <c r="L2185" i="1"/>
  <c r="M2185" i="1" s="1"/>
  <c r="N2185" i="1" s="1"/>
  <c r="V2185" i="1"/>
  <c r="L2186" i="1"/>
  <c r="M2186" i="1" s="1"/>
  <c r="N2186" i="1" s="1"/>
  <c r="V2186" i="1"/>
  <c r="L2187" i="1"/>
  <c r="M2187" i="1" s="1"/>
  <c r="V2187" i="1"/>
  <c r="L2188" i="1"/>
  <c r="M2188" i="1" s="1"/>
  <c r="V2188" i="1"/>
  <c r="L2189" i="1"/>
  <c r="M2189" i="1" s="1"/>
  <c r="V2189" i="1"/>
  <c r="L2190" i="1"/>
  <c r="M2190" i="1" s="1"/>
  <c r="V2190" i="1"/>
  <c r="L2191" i="1"/>
  <c r="M2191" i="1" s="1"/>
  <c r="V2191" i="1"/>
  <c r="L2192" i="1"/>
  <c r="M2192" i="1" s="1"/>
  <c r="V2192" i="1"/>
  <c r="L2193" i="1"/>
  <c r="V2193" i="1"/>
  <c r="L2194" i="1"/>
  <c r="M2194" i="1" s="1"/>
  <c r="V2194" i="1"/>
  <c r="L2195" i="1"/>
  <c r="M2195" i="1" s="1"/>
  <c r="N2195" i="1" s="1"/>
  <c r="V2195" i="1"/>
  <c r="L2196" i="1"/>
  <c r="M2196" i="1" s="1"/>
  <c r="N2196" i="1" s="1"/>
  <c r="V2196" i="1"/>
  <c r="L2197" i="1"/>
  <c r="M2197" i="1" s="1"/>
  <c r="N2197" i="1" s="1"/>
  <c r="V2197" i="1"/>
  <c r="L2198" i="1"/>
  <c r="M2198" i="1" s="1"/>
  <c r="V2198" i="1"/>
  <c r="L2199" i="1"/>
  <c r="M2199" i="1" s="1"/>
  <c r="V2199" i="1"/>
  <c r="L2200" i="1"/>
  <c r="M2200" i="1" s="1"/>
  <c r="V2200" i="1"/>
  <c r="L2201" i="1"/>
  <c r="M2201" i="1" s="1"/>
  <c r="V2201" i="1"/>
  <c r="L2202" i="1"/>
  <c r="M2202" i="1" s="1"/>
  <c r="V2202" i="1"/>
  <c r="L2203" i="1"/>
  <c r="V2203" i="1"/>
  <c r="L2204" i="1"/>
  <c r="V2204" i="1"/>
  <c r="L2205" i="1"/>
  <c r="M2205" i="1" s="1"/>
  <c r="V2205" i="1"/>
  <c r="L2206" i="1"/>
  <c r="M2206" i="1" s="1"/>
  <c r="N2206" i="1" s="1"/>
  <c r="V2206" i="1"/>
  <c r="L2207" i="1"/>
  <c r="M2207" i="1" s="1"/>
  <c r="N2207" i="1" s="1"/>
  <c r="S2207" i="1" s="1"/>
  <c r="V2207" i="1"/>
  <c r="L2208" i="1"/>
  <c r="M2208" i="1" s="1"/>
  <c r="V2208" i="1"/>
  <c r="L2209" i="1"/>
  <c r="M2209" i="1" s="1"/>
  <c r="V2209" i="1"/>
  <c r="L2210" i="1"/>
  <c r="M2210" i="1" s="1"/>
  <c r="V2210" i="1"/>
  <c r="L2211" i="1"/>
  <c r="M2211" i="1" s="1"/>
  <c r="N2211" i="1" s="1"/>
  <c r="V2211" i="1"/>
  <c r="L2212" i="1"/>
  <c r="M2212" i="1" s="1"/>
  <c r="N2212" i="1" s="1"/>
  <c r="V2212" i="1"/>
  <c r="L2213" i="1"/>
  <c r="M2213" i="1" s="1"/>
  <c r="V2213" i="1"/>
  <c r="L2214" i="1"/>
  <c r="V2214" i="1"/>
  <c r="L2215" i="1"/>
  <c r="M2215" i="1" s="1"/>
  <c r="V2215" i="1"/>
  <c r="L2216" i="1"/>
  <c r="M2216" i="1" s="1"/>
  <c r="V2216" i="1"/>
  <c r="L2217" i="1"/>
  <c r="M2217" i="1" s="1"/>
  <c r="N2217" i="1" s="1"/>
  <c r="V2217" i="1"/>
  <c r="L2218" i="1"/>
  <c r="M2218" i="1" s="1"/>
  <c r="N2218" i="1" s="1"/>
  <c r="V2218" i="1"/>
  <c r="L2219" i="1"/>
  <c r="M2219" i="1" s="1"/>
  <c r="V2219" i="1"/>
  <c r="L2220" i="1"/>
  <c r="M2220" i="1" s="1"/>
  <c r="V2220" i="1"/>
  <c r="L2221" i="1"/>
  <c r="M2221" i="1" s="1"/>
  <c r="V2221" i="1"/>
  <c r="L2222" i="1"/>
  <c r="M2222" i="1" s="1"/>
  <c r="N2222" i="1" s="1"/>
  <c r="V2222" i="1"/>
  <c r="L2223" i="1"/>
  <c r="M2223" i="1" s="1"/>
  <c r="V2223" i="1"/>
  <c r="L2224" i="1"/>
  <c r="V2224" i="1"/>
  <c r="L2225" i="1"/>
  <c r="M2225" i="1" s="1"/>
  <c r="V2225" i="1"/>
  <c r="L2226" i="1"/>
  <c r="M2226" i="1" s="1"/>
  <c r="N2226" i="1" s="1"/>
  <c r="V2226" i="1"/>
  <c r="L2227" i="1"/>
  <c r="M2227" i="1" s="1"/>
  <c r="V2227" i="1"/>
  <c r="L2228" i="1"/>
  <c r="M2228" i="1" s="1"/>
  <c r="V2228" i="1"/>
  <c r="L2229" i="1"/>
  <c r="M2229" i="1" s="1"/>
  <c r="V2229" i="1"/>
  <c r="L2230" i="1"/>
  <c r="M2230" i="1" s="1"/>
  <c r="N2230" i="1" s="1"/>
  <c r="V2230" i="1"/>
  <c r="L2231" i="1"/>
  <c r="M2231" i="1" s="1"/>
  <c r="V2231" i="1"/>
  <c r="L2232" i="1"/>
  <c r="M2232" i="1" s="1"/>
  <c r="V2232" i="1"/>
  <c r="L2233" i="1"/>
  <c r="V2233" i="1"/>
  <c r="L2234" i="1"/>
  <c r="V2234" i="1"/>
  <c r="L2235" i="1"/>
  <c r="M2235" i="1" s="1"/>
  <c r="V2235" i="1"/>
  <c r="L2236" i="1"/>
  <c r="M2236" i="1" s="1"/>
  <c r="N2236" i="1" s="1"/>
  <c r="V2236" i="1"/>
  <c r="L2237" i="1"/>
  <c r="M2237" i="1" s="1"/>
  <c r="V2237" i="1"/>
  <c r="L2238" i="1"/>
  <c r="M2238" i="1" s="1"/>
  <c r="V2238" i="1"/>
  <c r="L2239" i="1"/>
  <c r="M2239" i="1" s="1"/>
  <c r="N2239" i="1" s="1"/>
  <c r="Q2239" i="1" s="1"/>
  <c r="V2239" i="1"/>
  <c r="L2240" i="1"/>
  <c r="M2240" i="1" s="1"/>
  <c r="V2240" i="1"/>
  <c r="L2241" i="1"/>
  <c r="M2241" i="1" s="1"/>
  <c r="V2241" i="1"/>
  <c r="L2242" i="1"/>
  <c r="M2242" i="1" s="1"/>
  <c r="V2242" i="1"/>
  <c r="L2243" i="1"/>
  <c r="V2243" i="1"/>
  <c r="L2244" i="1"/>
  <c r="M2244" i="1" s="1"/>
  <c r="V2244" i="1"/>
  <c r="L2245" i="1"/>
  <c r="M2245" i="1" s="1"/>
  <c r="N2245" i="1" s="1"/>
  <c r="V2245" i="1"/>
  <c r="L2246" i="1"/>
  <c r="M2246" i="1" s="1"/>
  <c r="N2246" i="1" s="1"/>
  <c r="V2246" i="1"/>
  <c r="L2247" i="1"/>
  <c r="M2247" i="1" s="1"/>
  <c r="V2247" i="1"/>
  <c r="L2248" i="1"/>
  <c r="M2248" i="1" s="1"/>
  <c r="V2248" i="1"/>
  <c r="L2249" i="1"/>
  <c r="M2249" i="1" s="1"/>
  <c r="V2249" i="1"/>
  <c r="L2250" i="1"/>
  <c r="M2250" i="1" s="1"/>
  <c r="V2250" i="1"/>
  <c r="L2251" i="1"/>
  <c r="M2251" i="1" s="1"/>
  <c r="N2251" i="1" s="1"/>
  <c r="V2251" i="1"/>
  <c r="L2252" i="1"/>
  <c r="M2252" i="1" s="1"/>
  <c r="N2252" i="1" s="1"/>
  <c r="V2252" i="1"/>
  <c r="L2253" i="1"/>
  <c r="V2253" i="1"/>
  <c r="L2254" i="1"/>
  <c r="V2254" i="1"/>
  <c r="L2255" i="1"/>
  <c r="M2255" i="1" s="1"/>
  <c r="V2255" i="1"/>
  <c r="L2256" i="1"/>
  <c r="M2256" i="1" s="1"/>
  <c r="N2256" i="1" s="1"/>
  <c r="V2256" i="1"/>
  <c r="L2257" i="1"/>
  <c r="M2257" i="1" s="1"/>
  <c r="V2257" i="1"/>
  <c r="L2258" i="1"/>
  <c r="M2258" i="1" s="1"/>
  <c r="V2258" i="1"/>
  <c r="L2259" i="1"/>
  <c r="M2259" i="1" s="1"/>
  <c r="V2259" i="1"/>
  <c r="L2260" i="1"/>
  <c r="M2260" i="1" s="1"/>
  <c r="V2260" i="1"/>
  <c r="L2261" i="1"/>
  <c r="M2261" i="1" s="1"/>
  <c r="V2261" i="1"/>
  <c r="L2262" i="1"/>
  <c r="M2262" i="1" s="1"/>
  <c r="V2262" i="1"/>
  <c r="L2263" i="1"/>
  <c r="M2263" i="1" s="1"/>
  <c r="N2263" i="1" s="1"/>
  <c r="V2263" i="1"/>
  <c r="L2264" i="1"/>
  <c r="V2264" i="1"/>
  <c r="L2265" i="1"/>
  <c r="M2265" i="1" s="1"/>
  <c r="V2265" i="1"/>
  <c r="L2266" i="1"/>
  <c r="M2266" i="1" s="1"/>
  <c r="V2266" i="1"/>
  <c r="L2267" i="1"/>
  <c r="M2267" i="1" s="1"/>
  <c r="V2267" i="1"/>
  <c r="L2268" i="1"/>
  <c r="M2268" i="1" s="1"/>
  <c r="V2268" i="1"/>
  <c r="L2269" i="1"/>
  <c r="V2269" i="1"/>
  <c r="L2270" i="1"/>
  <c r="V2270" i="1"/>
  <c r="L2271" i="1"/>
  <c r="M2271" i="1" s="1"/>
  <c r="N2271" i="1" s="1"/>
  <c r="V2271" i="1"/>
  <c r="L2272" i="1"/>
  <c r="M2272" i="1" s="1"/>
  <c r="V2272" i="1"/>
  <c r="L2273" i="1"/>
  <c r="M2273" i="1" s="1"/>
  <c r="V2273" i="1"/>
  <c r="L2274" i="1"/>
  <c r="M2274" i="1" s="1"/>
  <c r="V2274" i="1"/>
  <c r="L2275" i="1"/>
  <c r="V2275" i="1"/>
  <c r="L2276" i="1"/>
  <c r="M2276" i="1" s="1"/>
  <c r="V2276" i="1"/>
  <c r="L2277" i="1"/>
  <c r="M2277" i="1" s="1"/>
  <c r="V2277" i="1"/>
  <c r="L2278" i="1"/>
  <c r="M2278" i="1" s="1"/>
  <c r="V2278" i="1"/>
  <c r="L2279" i="1"/>
  <c r="M2279" i="1" s="1"/>
  <c r="N2279" i="1" s="1"/>
  <c r="V2279" i="1"/>
  <c r="L2280" i="1"/>
  <c r="V2280" i="1"/>
  <c r="L2281" i="1"/>
  <c r="M2281" i="1" s="1"/>
  <c r="V2281" i="1"/>
  <c r="L2282" i="1"/>
  <c r="M2282" i="1" s="1"/>
  <c r="V2282" i="1"/>
  <c r="L2283" i="1"/>
  <c r="M2283" i="1" s="1"/>
  <c r="V2283" i="1"/>
  <c r="L2284" i="1"/>
  <c r="M2284" i="1" s="1"/>
  <c r="V2284" i="1"/>
  <c r="L2285" i="1"/>
  <c r="V2285" i="1"/>
  <c r="L2286" i="1"/>
  <c r="V2286" i="1"/>
  <c r="L2287" i="1"/>
  <c r="M2287" i="1" s="1"/>
  <c r="V2287" i="1"/>
  <c r="L2288" i="1"/>
  <c r="M2288" i="1" s="1"/>
  <c r="V2288" i="1"/>
  <c r="L2289" i="1"/>
  <c r="M2289" i="1" s="1"/>
  <c r="V2289" i="1"/>
  <c r="L2290" i="1"/>
  <c r="M2290" i="1" s="1"/>
  <c r="V2290" i="1"/>
  <c r="L2291" i="1"/>
  <c r="V2291" i="1"/>
  <c r="L2292" i="1"/>
  <c r="M2292" i="1" s="1"/>
  <c r="V2292" i="1"/>
  <c r="L2293" i="1"/>
  <c r="V2293" i="1"/>
  <c r="L2294" i="1"/>
  <c r="M2294" i="1" s="1"/>
  <c r="V2294" i="1"/>
  <c r="L2295" i="1"/>
  <c r="M2295" i="1" s="1"/>
  <c r="N2295" i="1" s="1"/>
  <c r="V2295" i="1"/>
  <c r="L2296" i="1"/>
  <c r="V2296" i="1"/>
  <c r="L2297" i="1"/>
  <c r="M2297" i="1" s="1"/>
  <c r="V2297" i="1"/>
  <c r="L2298" i="1"/>
  <c r="M2298" i="1" s="1"/>
  <c r="V2298" i="1"/>
  <c r="L2299" i="1"/>
  <c r="M2299" i="1" s="1"/>
  <c r="V2299" i="1"/>
  <c r="L2300" i="1"/>
  <c r="M2300" i="1" s="1"/>
  <c r="V2300" i="1"/>
  <c r="L2301" i="1"/>
  <c r="V2301" i="1"/>
  <c r="L2302" i="1"/>
  <c r="M2302" i="1" s="1"/>
  <c r="V2302" i="1"/>
  <c r="L2303" i="1"/>
  <c r="M2303" i="1" s="1"/>
  <c r="N2303" i="1" s="1"/>
  <c r="V2303" i="1"/>
  <c r="L2304" i="1"/>
  <c r="M2304" i="1" s="1"/>
  <c r="N2304" i="1" s="1"/>
  <c r="V2304" i="1"/>
  <c r="L2305" i="1"/>
  <c r="V2305" i="1"/>
  <c r="L2306" i="1"/>
  <c r="V2306" i="1"/>
  <c r="L2307" i="1"/>
  <c r="M2307" i="1" s="1"/>
  <c r="V2307" i="1"/>
  <c r="L2308" i="1"/>
  <c r="M2308" i="1" s="1"/>
  <c r="V2308" i="1"/>
  <c r="L2309" i="1"/>
  <c r="M2309" i="1" s="1"/>
  <c r="V2309" i="1"/>
  <c r="L2310" i="1"/>
  <c r="V2310" i="1"/>
  <c r="L2311" i="1"/>
  <c r="M2311" i="1" s="1"/>
  <c r="V2311" i="1"/>
  <c r="L2312" i="1"/>
  <c r="M2312" i="1" s="1"/>
  <c r="V2312" i="1"/>
  <c r="L2313" i="1"/>
  <c r="M2313" i="1" s="1"/>
  <c r="V2313" i="1"/>
  <c r="L2314" i="1"/>
  <c r="M2314" i="1" s="1"/>
  <c r="N2314" i="1" s="1"/>
  <c r="V2314" i="1"/>
  <c r="L2315" i="1"/>
  <c r="V2315" i="1"/>
  <c r="L2316" i="1"/>
  <c r="M2316" i="1" s="1"/>
  <c r="V2316" i="1"/>
  <c r="L2317" i="1"/>
  <c r="M2317" i="1" s="1"/>
  <c r="V2317" i="1"/>
  <c r="L2318" i="1"/>
  <c r="M2318" i="1" s="1"/>
  <c r="N2318" i="1" s="1"/>
  <c r="V2318" i="1"/>
  <c r="L2319" i="1"/>
  <c r="M2319" i="1" s="1"/>
  <c r="V2319" i="1"/>
  <c r="L2320" i="1"/>
  <c r="V2320" i="1"/>
  <c r="L2321" i="1"/>
  <c r="M2321" i="1" s="1"/>
  <c r="V2321" i="1"/>
  <c r="L2322" i="1"/>
  <c r="M2322" i="1" s="1"/>
  <c r="N2322" i="1" s="1"/>
  <c r="V2322" i="1"/>
  <c r="L2323" i="1"/>
  <c r="M2323" i="1" s="1"/>
  <c r="V2323" i="1"/>
  <c r="L2324" i="1"/>
  <c r="M2324" i="1" s="1"/>
  <c r="V2324" i="1"/>
  <c r="L2325" i="1"/>
  <c r="V2325" i="1"/>
  <c r="L2326" i="1"/>
  <c r="M2326" i="1" s="1"/>
  <c r="V2326" i="1"/>
  <c r="L2327" i="1"/>
  <c r="M2327" i="1" s="1"/>
  <c r="N2327" i="1" s="1"/>
  <c r="V2327" i="1"/>
  <c r="L2328" i="1"/>
  <c r="M2328" i="1" s="1"/>
  <c r="V2328" i="1"/>
  <c r="L2329" i="1"/>
  <c r="M2329" i="1" s="1"/>
  <c r="N2329" i="1" s="1"/>
  <c r="V2329" i="1"/>
  <c r="L2330" i="1"/>
  <c r="M2330" i="1" s="1"/>
  <c r="V2330" i="1"/>
  <c r="L2331" i="1"/>
  <c r="M2331" i="1" s="1"/>
  <c r="V2331" i="1"/>
  <c r="L2332" i="1"/>
  <c r="M2332" i="1" s="1"/>
  <c r="N2332" i="1" s="1"/>
  <c r="V2332" i="1"/>
  <c r="L2333" i="1"/>
  <c r="M2333" i="1" s="1"/>
  <c r="V2333" i="1"/>
  <c r="L2334" i="1"/>
  <c r="M2334" i="1" s="1"/>
  <c r="V2334" i="1"/>
  <c r="L2335" i="1"/>
  <c r="M2335" i="1" s="1"/>
  <c r="N2335" i="1" s="1"/>
  <c r="V2335" i="1"/>
  <c r="L2336" i="1"/>
  <c r="M2336" i="1" s="1"/>
  <c r="N2336" i="1" s="1"/>
  <c r="V2336" i="1"/>
  <c r="L2337" i="1"/>
  <c r="M2337" i="1" s="1"/>
  <c r="V2337" i="1"/>
  <c r="L2338" i="1"/>
  <c r="M2338" i="1" s="1"/>
  <c r="V2338" i="1"/>
  <c r="L2339" i="1"/>
  <c r="M2339" i="1" s="1"/>
  <c r="V2339" i="1"/>
  <c r="L2340" i="1"/>
  <c r="M2340" i="1" s="1"/>
  <c r="V2340" i="1"/>
  <c r="L2341" i="1"/>
  <c r="V2341" i="1"/>
  <c r="L2342" i="1"/>
  <c r="M2342" i="1" s="1"/>
  <c r="N2342" i="1" s="1"/>
  <c r="V2342" i="1"/>
  <c r="L2343" i="1"/>
  <c r="M2343" i="1" s="1"/>
  <c r="V2343" i="1"/>
  <c r="L2344" i="1"/>
  <c r="M2344" i="1" s="1"/>
  <c r="V2344" i="1"/>
  <c r="L2345" i="1"/>
  <c r="M2345" i="1" s="1"/>
  <c r="V2345" i="1"/>
  <c r="L2346" i="1"/>
  <c r="M2346" i="1" s="1"/>
  <c r="N2346" i="1" s="1"/>
  <c r="V2346" i="1"/>
  <c r="L2347" i="1"/>
  <c r="M2347" i="1" s="1"/>
  <c r="V2347" i="1"/>
  <c r="L2348" i="1"/>
  <c r="M2348" i="1" s="1"/>
  <c r="V2348" i="1"/>
  <c r="L2349" i="1"/>
  <c r="M2349" i="1" s="1"/>
  <c r="V2349" i="1"/>
  <c r="L2350" i="1"/>
  <c r="V2350" i="1"/>
  <c r="L2351" i="1"/>
  <c r="M2351" i="1" s="1"/>
  <c r="N2351" i="1" s="1"/>
  <c r="V2351" i="1"/>
  <c r="L2352" i="1"/>
  <c r="M2352" i="1" s="1"/>
  <c r="N2352" i="1" s="1"/>
  <c r="V2352" i="1"/>
  <c r="L2353" i="1"/>
  <c r="V2353" i="1"/>
  <c r="L2354" i="1"/>
  <c r="M2354" i="1" s="1"/>
  <c r="V2354" i="1"/>
  <c r="L2355" i="1"/>
  <c r="M2355" i="1" s="1"/>
  <c r="V2355" i="1"/>
  <c r="L2356" i="1"/>
  <c r="M2356" i="1" s="1"/>
  <c r="V2356" i="1"/>
  <c r="L2357" i="1"/>
  <c r="M2357" i="1" s="1"/>
  <c r="N2357" i="1" s="1"/>
  <c r="V2357" i="1"/>
  <c r="L2358" i="1"/>
  <c r="M2358" i="1" s="1"/>
  <c r="V2358" i="1"/>
  <c r="L2359" i="1"/>
  <c r="M2359" i="1" s="1"/>
  <c r="V2359" i="1"/>
  <c r="L2360" i="1"/>
  <c r="M2360" i="1" s="1"/>
  <c r="V2360" i="1"/>
  <c r="L2361" i="1"/>
  <c r="M2361" i="1" s="1"/>
  <c r="V2361" i="1"/>
  <c r="L2362" i="1"/>
  <c r="M2362" i="1" s="1"/>
  <c r="V2362" i="1"/>
  <c r="L2363" i="1"/>
  <c r="V2363" i="1"/>
  <c r="L2364" i="1"/>
  <c r="M2364" i="1" s="1"/>
  <c r="V2364" i="1"/>
  <c r="L2365" i="1"/>
  <c r="M2365" i="1" s="1"/>
  <c r="V2365" i="1"/>
  <c r="L2366" i="1"/>
  <c r="M2366" i="1" s="1"/>
  <c r="V2366" i="1"/>
  <c r="L2367" i="1"/>
  <c r="M2367" i="1" s="1"/>
  <c r="N2367" i="1" s="1"/>
  <c r="V2367" i="1"/>
  <c r="L2368" i="1"/>
  <c r="M2368" i="1" s="1"/>
  <c r="N2368" i="1" s="1"/>
  <c r="V2368" i="1"/>
  <c r="L2369" i="1"/>
  <c r="M2369" i="1" s="1"/>
  <c r="V2369" i="1"/>
  <c r="L2370" i="1"/>
  <c r="M2370" i="1" s="1"/>
  <c r="V2370" i="1"/>
  <c r="L2371" i="1"/>
  <c r="M2371" i="1" s="1"/>
  <c r="N2371" i="1" s="1"/>
  <c r="V2371" i="1"/>
  <c r="L2372" i="1"/>
  <c r="M2372" i="1" s="1"/>
  <c r="V2372" i="1"/>
  <c r="L2373" i="1"/>
  <c r="M2373" i="1" s="1"/>
  <c r="V2373" i="1"/>
  <c r="L2374" i="1"/>
  <c r="M2374" i="1" s="1"/>
  <c r="N2374" i="1" s="1"/>
  <c r="V2374" i="1"/>
  <c r="L2375" i="1"/>
  <c r="M2375" i="1" s="1"/>
  <c r="V2375" i="1"/>
  <c r="L2376" i="1"/>
  <c r="V2376" i="1"/>
  <c r="L2377" i="1"/>
  <c r="M2377" i="1" s="1"/>
  <c r="V2377" i="1"/>
  <c r="L2378" i="1"/>
  <c r="M2378" i="1" s="1"/>
  <c r="N2378" i="1" s="1"/>
  <c r="V2378" i="1"/>
  <c r="L2379" i="1"/>
  <c r="M2379" i="1" s="1"/>
  <c r="V2379" i="1"/>
  <c r="L2380" i="1"/>
  <c r="M2380" i="1" s="1"/>
  <c r="V2380" i="1"/>
  <c r="L2381" i="1"/>
  <c r="M2381" i="1" s="1"/>
  <c r="V2381" i="1"/>
  <c r="L2382" i="1"/>
  <c r="M2382" i="1" s="1"/>
  <c r="N2382" i="1" s="1"/>
  <c r="V2382" i="1"/>
  <c r="L2383" i="1"/>
  <c r="M2383" i="1" s="1"/>
  <c r="V2383" i="1"/>
  <c r="L2384" i="1"/>
  <c r="V2384" i="1"/>
  <c r="L2385" i="1"/>
  <c r="M2385" i="1" s="1"/>
  <c r="N2385" i="1" s="1"/>
  <c r="V2385" i="1"/>
  <c r="L2386" i="1"/>
  <c r="V2386" i="1"/>
  <c r="L2387" i="1"/>
  <c r="M2387" i="1" s="1"/>
  <c r="V2387" i="1"/>
  <c r="L2388" i="1"/>
  <c r="M2388" i="1" s="1"/>
  <c r="V2388" i="1"/>
  <c r="L2389" i="1"/>
  <c r="M2389" i="1" s="1"/>
  <c r="N2389" i="1" s="1"/>
  <c r="V2389" i="1"/>
  <c r="L2390" i="1"/>
  <c r="M2390" i="1" s="1"/>
  <c r="V2390" i="1"/>
  <c r="L2391" i="1"/>
  <c r="M2391" i="1" s="1"/>
  <c r="V2391" i="1"/>
  <c r="L2392" i="1"/>
  <c r="M2392" i="1" s="1"/>
  <c r="V2392" i="1"/>
  <c r="L2393" i="1"/>
  <c r="M2393" i="1" s="1"/>
  <c r="N2393" i="1" s="1"/>
  <c r="V2393" i="1"/>
  <c r="L2394" i="1"/>
  <c r="M2394" i="1" s="1"/>
  <c r="N2394" i="1" s="1"/>
  <c r="V2394" i="1"/>
  <c r="L2395" i="1"/>
  <c r="M2395" i="1" s="1"/>
  <c r="N2395" i="1" s="1"/>
  <c r="Q2395" i="1" s="1"/>
  <c r="V2395" i="1"/>
  <c r="L2396" i="1"/>
  <c r="M2396" i="1" s="1"/>
  <c r="N2396" i="1" s="1"/>
  <c r="V2396" i="1"/>
  <c r="L2397" i="1"/>
  <c r="V2397" i="1"/>
  <c r="L2398" i="1"/>
  <c r="M2398" i="1" s="1"/>
  <c r="V2398" i="1"/>
  <c r="L2399" i="1"/>
  <c r="M2399" i="1" s="1"/>
  <c r="N2399" i="1" s="1"/>
  <c r="V2399" i="1"/>
  <c r="L2400" i="1"/>
  <c r="M2400" i="1" s="1"/>
  <c r="N2400" i="1" s="1"/>
  <c r="V2400" i="1"/>
  <c r="L2401" i="1"/>
  <c r="M2401" i="1" s="1"/>
  <c r="V2401" i="1"/>
  <c r="L2402" i="1"/>
  <c r="M2402" i="1" s="1"/>
  <c r="V2402" i="1"/>
  <c r="L2403" i="1"/>
  <c r="M2403" i="1" s="1"/>
  <c r="N2403" i="1" s="1"/>
  <c r="V2403" i="1"/>
  <c r="L2404" i="1"/>
  <c r="M2404" i="1" s="1"/>
  <c r="N2404" i="1" s="1"/>
  <c r="V2404" i="1"/>
  <c r="L2405" i="1"/>
  <c r="M2405" i="1" s="1"/>
  <c r="V2405" i="1"/>
  <c r="L2406" i="1"/>
  <c r="M2406" i="1" s="1"/>
  <c r="N2406" i="1" s="1"/>
  <c r="V2406" i="1"/>
  <c r="L2407" i="1"/>
  <c r="M2407" i="1" s="1"/>
  <c r="V2407" i="1"/>
  <c r="L2408" i="1"/>
  <c r="M2408" i="1" s="1"/>
  <c r="V2408" i="1"/>
  <c r="L2409" i="1"/>
  <c r="M2409" i="1" s="1"/>
  <c r="V2409" i="1"/>
  <c r="L2410" i="1"/>
  <c r="M2410" i="1" s="1"/>
  <c r="N2410" i="1" s="1"/>
  <c r="V2410" i="1"/>
  <c r="L2411" i="1"/>
  <c r="M2411" i="1" s="1"/>
  <c r="V2411" i="1"/>
  <c r="L2412" i="1"/>
  <c r="M2412" i="1" s="1"/>
  <c r="V2412" i="1"/>
  <c r="L2413" i="1"/>
  <c r="M2413" i="1" s="1"/>
  <c r="V2413" i="1"/>
  <c r="L2414" i="1"/>
  <c r="M2414" i="1" s="1"/>
  <c r="V2414" i="1"/>
  <c r="L2415" i="1"/>
  <c r="M2415" i="1" s="1"/>
  <c r="N2415" i="1" s="1"/>
  <c r="V2415" i="1"/>
  <c r="L2416" i="1"/>
  <c r="M2416" i="1" s="1"/>
  <c r="N2416" i="1" s="1"/>
  <c r="V2416" i="1"/>
  <c r="L2417" i="1"/>
  <c r="M2417" i="1" s="1"/>
  <c r="V2417" i="1"/>
  <c r="L2418" i="1"/>
  <c r="M2418" i="1" s="1"/>
  <c r="V2418" i="1"/>
  <c r="L2419" i="1"/>
  <c r="M2419" i="1" s="1"/>
  <c r="N2419" i="1" s="1"/>
  <c r="V2419" i="1"/>
  <c r="L2420" i="1"/>
  <c r="M2420" i="1" s="1"/>
  <c r="N2420" i="1" s="1"/>
  <c r="V2420" i="1"/>
  <c r="L2421" i="1"/>
  <c r="M2421" i="1" s="1"/>
  <c r="V2421" i="1"/>
  <c r="L2422" i="1"/>
  <c r="M2422" i="1" s="1"/>
  <c r="V2422" i="1"/>
  <c r="L2423" i="1"/>
  <c r="M2423" i="1" s="1"/>
  <c r="N2423" i="1" s="1"/>
  <c r="V2423" i="1"/>
  <c r="L2424" i="1"/>
  <c r="V2424" i="1"/>
  <c r="L2425" i="1"/>
  <c r="M2425" i="1" s="1"/>
  <c r="N2425" i="1" s="1"/>
  <c r="Q2425" i="1" s="1"/>
  <c r="V2425" i="1"/>
  <c r="L2426" i="1"/>
  <c r="M2426" i="1" s="1"/>
  <c r="N2426" i="1" s="1"/>
  <c r="V2426" i="1"/>
  <c r="L2427" i="1"/>
  <c r="M2427" i="1" s="1"/>
  <c r="V2427" i="1"/>
  <c r="L2428" i="1"/>
  <c r="M2428" i="1" s="1"/>
  <c r="V2428" i="1"/>
  <c r="L2429" i="1"/>
  <c r="M2429" i="1" s="1"/>
  <c r="N2429" i="1" s="1"/>
  <c r="V2429" i="1"/>
  <c r="L2430" i="1"/>
  <c r="M2430" i="1" s="1"/>
  <c r="V2430" i="1"/>
  <c r="L2431" i="1"/>
  <c r="M2431" i="1" s="1"/>
  <c r="V2431" i="1"/>
  <c r="L2432" i="1"/>
  <c r="M2432" i="1" s="1"/>
  <c r="V2432" i="1"/>
  <c r="L2433" i="1"/>
  <c r="M2433" i="1" s="1"/>
  <c r="N2433" i="1" s="1"/>
  <c r="V2433" i="1"/>
  <c r="L2434" i="1"/>
  <c r="M2434" i="1" s="1"/>
  <c r="N2434" i="1" s="1"/>
  <c r="V2434" i="1"/>
  <c r="L2435" i="1"/>
  <c r="M2435" i="1" s="1"/>
  <c r="N2435" i="1" s="1"/>
  <c r="V2435" i="1"/>
  <c r="L2436" i="1"/>
  <c r="M2436" i="1" s="1"/>
  <c r="V2436" i="1"/>
  <c r="L2437" i="1"/>
  <c r="M2437" i="1" s="1"/>
  <c r="V2437" i="1"/>
  <c r="L2438" i="1"/>
  <c r="M2438" i="1" s="1"/>
  <c r="V2438" i="1"/>
  <c r="L2439" i="1"/>
  <c r="M2439" i="1" s="1"/>
  <c r="N2439" i="1" s="1"/>
  <c r="V2439" i="1"/>
  <c r="L2440" i="1"/>
  <c r="M2440" i="1" s="1"/>
  <c r="V2440" i="1"/>
  <c r="L2441" i="1"/>
  <c r="M2441" i="1" s="1"/>
  <c r="V2441" i="1"/>
  <c r="L2442" i="1"/>
  <c r="M2442" i="1" s="1"/>
  <c r="N2442" i="1" s="1"/>
  <c r="V2442" i="1"/>
  <c r="L2443" i="1"/>
  <c r="M2443" i="1" s="1"/>
  <c r="N2443" i="1" s="1"/>
  <c r="V2443" i="1"/>
  <c r="L2444" i="1"/>
  <c r="M2444" i="1" s="1"/>
  <c r="N2444" i="1" s="1"/>
  <c r="V2444" i="1"/>
  <c r="L2445" i="1"/>
  <c r="M2445" i="1" s="1"/>
  <c r="N2445" i="1" s="1"/>
  <c r="V2445" i="1"/>
  <c r="L2446" i="1"/>
  <c r="M2446" i="1" s="1"/>
  <c r="V2446" i="1"/>
  <c r="L2447" i="1"/>
  <c r="M2447" i="1" s="1"/>
  <c r="V2447" i="1"/>
  <c r="L2448" i="1"/>
  <c r="M2448" i="1" s="1"/>
  <c r="N2448" i="1" s="1"/>
  <c r="V2448" i="1"/>
  <c r="L2449" i="1"/>
  <c r="M2449" i="1" s="1"/>
  <c r="V2449" i="1"/>
  <c r="L2450" i="1"/>
  <c r="M2450" i="1" s="1"/>
  <c r="V2450" i="1"/>
  <c r="L2451" i="1"/>
  <c r="M2451" i="1" s="1"/>
  <c r="V2451" i="1"/>
  <c r="L2452" i="1"/>
  <c r="M2452" i="1" s="1"/>
  <c r="N2452" i="1" s="1"/>
  <c r="V2452" i="1"/>
  <c r="L2453" i="1"/>
  <c r="M2453" i="1" s="1"/>
  <c r="V2453" i="1"/>
  <c r="L2454" i="1"/>
  <c r="V2454" i="1"/>
  <c r="L2455" i="1"/>
  <c r="M2455" i="1" s="1"/>
  <c r="V2455" i="1"/>
  <c r="L2456" i="1"/>
  <c r="M2456" i="1" s="1"/>
  <c r="V2456" i="1"/>
  <c r="L2457" i="1"/>
  <c r="M2457" i="1" s="1"/>
  <c r="V2457" i="1"/>
  <c r="L2458" i="1"/>
  <c r="M2458" i="1" s="1"/>
  <c r="N2458" i="1" s="1"/>
  <c r="V2458" i="1"/>
  <c r="L2459" i="1"/>
  <c r="M2459" i="1" s="1"/>
  <c r="V2459" i="1"/>
  <c r="L2460" i="1"/>
  <c r="M2460" i="1" s="1"/>
  <c r="V2460" i="1"/>
  <c r="L2461" i="1"/>
  <c r="M2461" i="1" s="1"/>
  <c r="V2461" i="1"/>
  <c r="L2462" i="1"/>
  <c r="M2462" i="1" s="1"/>
  <c r="N2462" i="1" s="1"/>
  <c r="V2462" i="1"/>
  <c r="L2463" i="1"/>
  <c r="M2463" i="1" s="1"/>
  <c r="N2463" i="1" s="1"/>
  <c r="V2463" i="1"/>
  <c r="L2464" i="1"/>
  <c r="M2464" i="1" s="1"/>
  <c r="V2464" i="1"/>
  <c r="L2465" i="1"/>
  <c r="M2465" i="1" s="1"/>
  <c r="V2465" i="1"/>
  <c r="L2466" i="1"/>
  <c r="M2466" i="1" s="1"/>
  <c r="V2466" i="1"/>
  <c r="L2467" i="1"/>
  <c r="M2467" i="1" s="1"/>
  <c r="N2467" i="1" s="1"/>
  <c r="V2467" i="1"/>
  <c r="L2468" i="1"/>
  <c r="V2468" i="1"/>
  <c r="L2469" i="1"/>
  <c r="M2469" i="1" s="1"/>
  <c r="V2469" i="1"/>
  <c r="V2470" i="1"/>
  <c r="V2471" i="1"/>
  <c r="V2472" i="1"/>
  <c r="V2473" i="1"/>
  <c r="V2474" i="1"/>
  <c r="V2475" i="1"/>
  <c r="L2476" i="1"/>
  <c r="V2476" i="1"/>
  <c r="L2477" i="1"/>
  <c r="M2477" i="1" s="1"/>
  <c r="V2477" i="1"/>
  <c r="L2478" i="1"/>
  <c r="M2478" i="1" s="1"/>
  <c r="V2478" i="1"/>
  <c r="L2479" i="1"/>
  <c r="M2479" i="1" s="1"/>
  <c r="V2479" i="1"/>
  <c r="L2480" i="1"/>
  <c r="M2480" i="1" s="1"/>
  <c r="V2480" i="1"/>
  <c r="L2481" i="1"/>
  <c r="M2481" i="1" s="1"/>
  <c r="V2481" i="1"/>
  <c r="L2482" i="1"/>
  <c r="M2482" i="1" s="1"/>
  <c r="V2482" i="1"/>
  <c r="L2483" i="1"/>
  <c r="M2483" i="1" s="1"/>
  <c r="V2483" i="1"/>
  <c r="L2484" i="1"/>
  <c r="M2484" i="1" s="1"/>
  <c r="V2484" i="1"/>
  <c r="L2485" i="1"/>
  <c r="M2485" i="1" s="1"/>
  <c r="V2485" i="1"/>
  <c r="L2486" i="1"/>
  <c r="M2486" i="1" s="1"/>
  <c r="V2486" i="1"/>
  <c r="L2487" i="1"/>
  <c r="M2487" i="1" s="1"/>
  <c r="V2487" i="1"/>
  <c r="L2488" i="1"/>
  <c r="M2488" i="1" s="1"/>
  <c r="V2488" i="1"/>
  <c r="L2489" i="1"/>
  <c r="M2489" i="1" s="1"/>
  <c r="V2489" i="1"/>
  <c r="L2490" i="1"/>
  <c r="M2490" i="1" s="1"/>
  <c r="V2490" i="1"/>
  <c r="L2491" i="1"/>
  <c r="M2491" i="1" s="1"/>
  <c r="V2491" i="1"/>
  <c r="L2492" i="1"/>
  <c r="M2492" i="1" s="1"/>
  <c r="V2492" i="1"/>
  <c r="L2493" i="1"/>
  <c r="M2493" i="1" s="1"/>
  <c r="V2493" i="1"/>
  <c r="L2494" i="1"/>
  <c r="M2494" i="1" s="1"/>
  <c r="V2494" i="1"/>
  <c r="L2495" i="1"/>
  <c r="M2495" i="1" s="1"/>
  <c r="V2495" i="1"/>
  <c r="L2496" i="1"/>
  <c r="M2496" i="1" s="1"/>
  <c r="V2496" i="1"/>
  <c r="L2497" i="1"/>
  <c r="M2497" i="1" s="1"/>
  <c r="V2497" i="1"/>
  <c r="L2498" i="1"/>
  <c r="M2498" i="1" s="1"/>
  <c r="V2498" i="1"/>
  <c r="L2499" i="1"/>
  <c r="M2499" i="1" s="1"/>
  <c r="V2499" i="1"/>
  <c r="L2500" i="1"/>
  <c r="L2501" i="1"/>
  <c r="M2501" i="1" s="1"/>
  <c r="N2501" i="1" s="1"/>
  <c r="V2501" i="1"/>
  <c r="L2502" i="1"/>
  <c r="M2502" i="1" s="1"/>
  <c r="N2502" i="1" s="1"/>
  <c r="V2502" i="1"/>
  <c r="L2503" i="1"/>
  <c r="M2503" i="1" s="1"/>
  <c r="N2503" i="1" s="1"/>
  <c r="V2503" i="1"/>
  <c r="L2504" i="1"/>
  <c r="M2504" i="1" s="1"/>
  <c r="N2504" i="1" s="1"/>
  <c r="V2504" i="1"/>
  <c r="L2505" i="1"/>
  <c r="M2505" i="1" s="1"/>
  <c r="N2505" i="1" s="1"/>
  <c r="V2505" i="1"/>
  <c r="L2506" i="1"/>
  <c r="M2506" i="1" s="1"/>
  <c r="N2506" i="1" s="1"/>
  <c r="V2506" i="1"/>
  <c r="L2507" i="1"/>
  <c r="M2507" i="1" s="1"/>
  <c r="N2507" i="1" s="1"/>
  <c r="V2507" i="1"/>
  <c r="L2508" i="1"/>
  <c r="M2508" i="1" s="1"/>
  <c r="N2508" i="1" s="1"/>
  <c r="V2508" i="1"/>
  <c r="L2509" i="1"/>
  <c r="M2509" i="1" s="1"/>
  <c r="N2509" i="1" s="1"/>
  <c r="V2509" i="1"/>
  <c r="L2510" i="1"/>
  <c r="M2510" i="1" s="1"/>
  <c r="V2510" i="1"/>
  <c r="L2511" i="1"/>
  <c r="M2511" i="1" s="1"/>
  <c r="V2511" i="1"/>
  <c r="L2512" i="1"/>
  <c r="M2512" i="1" s="1"/>
  <c r="V2512" i="1"/>
  <c r="L2513" i="1"/>
  <c r="M2513" i="1" s="1"/>
  <c r="V2513" i="1"/>
  <c r="L2514" i="1"/>
  <c r="M2514" i="1" s="1"/>
  <c r="V2514" i="1"/>
  <c r="L2515" i="1"/>
  <c r="V2515" i="1"/>
  <c r="L2516" i="1"/>
  <c r="M2516" i="1" s="1"/>
  <c r="V2516" i="1"/>
  <c r="L2517" i="1"/>
  <c r="M2517" i="1" s="1"/>
  <c r="V2517" i="1"/>
  <c r="L2518" i="1"/>
  <c r="M2518" i="1" s="1"/>
  <c r="V2518" i="1"/>
  <c r="L2519" i="1"/>
  <c r="M2519" i="1" s="1"/>
  <c r="V2519" i="1"/>
  <c r="L2520" i="1"/>
  <c r="M2520" i="1" s="1"/>
  <c r="V2520" i="1"/>
  <c r="L2521" i="1"/>
  <c r="M2521" i="1" s="1"/>
  <c r="V2521" i="1"/>
  <c r="L2522" i="1"/>
  <c r="M2522" i="1" s="1"/>
  <c r="V2522" i="1"/>
  <c r="L2523" i="1"/>
  <c r="M2523" i="1" s="1"/>
  <c r="V2523" i="1"/>
  <c r="L2524" i="1"/>
  <c r="M2524" i="1" s="1"/>
  <c r="V2524" i="1"/>
  <c r="L2525" i="1"/>
  <c r="M2525" i="1" s="1"/>
  <c r="V2525" i="1"/>
  <c r="L2526" i="1"/>
  <c r="M2526" i="1" s="1"/>
  <c r="V2526" i="1"/>
  <c r="L2527" i="1"/>
  <c r="M2527" i="1" s="1"/>
  <c r="V2527" i="1"/>
  <c r="L2528" i="1"/>
  <c r="M2528" i="1" s="1"/>
  <c r="V2528" i="1"/>
  <c r="L2529" i="1"/>
  <c r="M2529" i="1" s="1"/>
  <c r="V2529" i="1"/>
  <c r="L2530" i="1"/>
  <c r="M2530" i="1" s="1"/>
  <c r="V2530" i="1"/>
  <c r="L2531" i="1"/>
  <c r="M2531" i="1" s="1"/>
  <c r="V2531" i="1"/>
  <c r="L2532" i="1"/>
  <c r="M2532" i="1" s="1"/>
  <c r="V2532" i="1"/>
  <c r="L2533" i="1"/>
  <c r="M2533" i="1" s="1"/>
  <c r="V2533" i="1"/>
  <c r="L2534" i="1"/>
  <c r="M2534" i="1" s="1"/>
  <c r="V2534" i="1"/>
  <c r="L2535" i="1"/>
  <c r="M2535" i="1" s="1"/>
  <c r="V2535" i="1"/>
  <c r="L2536" i="1"/>
  <c r="M2536" i="1" s="1"/>
  <c r="V2536" i="1"/>
  <c r="L2537" i="1"/>
  <c r="M2537" i="1" s="1"/>
  <c r="V2537" i="1"/>
  <c r="L2538" i="1"/>
  <c r="M2538" i="1" s="1"/>
  <c r="V2538" i="1"/>
  <c r="L2539" i="1"/>
  <c r="M2539" i="1" s="1"/>
  <c r="V2539" i="1"/>
  <c r="L2540" i="1"/>
  <c r="M2540" i="1" s="1"/>
  <c r="V2540" i="1"/>
  <c r="L2541" i="1"/>
  <c r="M2541" i="1" s="1"/>
  <c r="V2541" i="1"/>
  <c r="L2542" i="1"/>
  <c r="M2542" i="1" s="1"/>
  <c r="V2542" i="1"/>
  <c r="L2543" i="1"/>
  <c r="M2543" i="1" s="1"/>
  <c r="V2543" i="1"/>
  <c r="L2544" i="1"/>
  <c r="M2544" i="1" s="1"/>
  <c r="V2544" i="1"/>
  <c r="L2545" i="1"/>
  <c r="M2545" i="1" s="1"/>
  <c r="V2545" i="1"/>
  <c r="L2546" i="1"/>
  <c r="M2546" i="1" s="1"/>
  <c r="V2546" i="1"/>
  <c r="T184" i="18"/>
  <c r="R854" i="1" l="1"/>
  <c r="L189" i="1"/>
  <c r="L197" i="1"/>
  <c r="M135" i="1"/>
  <c r="M197" i="1"/>
  <c r="N197" i="1" s="1"/>
  <c r="M189" i="1"/>
  <c r="N189" i="1" s="1"/>
  <c r="R189" i="1" s="1"/>
  <c r="L232" i="1"/>
  <c r="L233" i="1" s="1"/>
  <c r="W292" i="1"/>
  <c r="T568" i="18"/>
  <c r="T1904" i="18"/>
  <c r="W752" i="1"/>
  <c r="W2433" i="1"/>
  <c r="W2393" i="1"/>
  <c r="W2385" i="1"/>
  <c r="W2197" i="1"/>
  <c r="W2185" i="1"/>
  <c r="W2117" i="1"/>
  <c r="W1929" i="1"/>
  <c r="W1913" i="1"/>
  <c r="W1885" i="1"/>
  <c r="W1881" i="1"/>
  <c r="W1877" i="1"/>
  <c r="W1813" i="1"/>
  <c r="W1789" i="1"/>
  <c r="W1757" i="1"/>
  <c r="W2404" i="1"/>
  <c r="Y2404" i="18" s="1"/>
  <c r="W2336" i="1"/>
  <c r="W2212" i="1"/>
  <c r="W2060" i="1"/>
  <c r="W1756" i="1"/>
  <c r="W1592" i="1"/>
  <c r="W724" i="1"/>
  <c r="Y724" i="18" s="1"/>
  <c r="W704" i="1"/>
  <c r="W680" i="1"/>
  <c r="W672" i="1"/>
  <c r="W668" i="1"/>
  <c r="W656" i="1"/>
  <c r="W448" i="1"/>
  <c r="W400" i="1"/>
  <c r="W352" i="1"/>
  <c r="Y352" i="18" s="1"/>
  <c r="W304" i="1"/>
  <c r="W280" i="1"/>
  <c r="Y280" i="18" s="1"/>
  <c r="W2357" i="1"/>
  <c r="W380" i="1"/>
  <c r="W316" i="1"/>
  <c r="W787" i="1"/>
  <c r="W539" i="1"/>
  <c r="W141" i="1"/>
  <c r="W600" i="1"/>
  <c r="W540" i="1"/>
  <c r="W1784" i="1"/>
  <c r="W786" i="1"/>
  <c r="W782" i="1"/>
  <c r="W778" i="1"/>
  <c r="W762" i="1"/>
  <c r="W758" i="1"/>
  <c r="W734" i="1"/>
  <c r="W614" i="1"/>
  <c r="W410" i="1"/>
  <c r="W302" i="1"/>
  <c r="W262" i="1"/>
  <c r="W166" i="1"/>
  <c r="W158" i="1"/>
  <c r="W146" i="1"/>
  <c r="W134" i="1"/>
  <c r="W2444" i="1"/>
  <c r="W2332" i="1"/>
  <c r="W1824" i="1"/>
  <c r="W515" i="1"/>
  <c r="W491" i="1"/>
  <c r="W419" i="1"/>
  <c r="W415" i="1"/>
  <c r="W375" i="1"/>
  <c r="W371" i="1"/>
  <c r="W355" i="1"/>
  <c r="W351" i="1"/>
  <c r="W327" i="1"/>
  <c r="W299" i="1"/>
  <c r="W287" i="1"/>
  <c r="W283" i="1"/>
  <c r="W275" i="1"/>
  <c r="W259" i="1"/>
  <c r="W2439" i="1"/>
  <c r="W2279" i="1"/>
  <c r="W2043" i="1"/>
  <c r="W1863" i="1"/>
  <c r="W1906" i="1"/>
  <c r="W1838" i="1"/>
  <c r="W1830" i="1"/>
  <c r="W1810" i="1"/>
  <c r="W179" i="1"/>
  <c r="W159" i="1"/>
  <c r="W2415" i="1"/>
  <c r="W2303" i="1"/>
  <c r="W2263" i="1"/>
  <c r="W1787" i="1"/>
  <c r="W2434" i="1"/>
  <c r="W2166" i="1"/>
  <c r="W2142" i="1"/>
  <c r="W1998" i="1"/>
  <c r="W2467" i="1"/>
  <c r="W2435" i="1"/>
  <c r="W2007" i="1"/>
  <c r="W1859" i="1"/>
  <c r="W1771" i="1"/>
  <c r="W2406" i="1"/>
  <c r="W2318" i="1"/>
  <c r="W2218" i="1"/>
  <c r="W2206" i="1"/>
  <c r="W2074" i="1"/>
  <c r="W2130" i="1"/>
  <c r="W2090" i="1"/>
  <c r="W2070" i="1"/>
  <c r="T2207" i="18"/>
  <c r="N1257" i="1"/>
  <c r="Q1257" i="1" s="1"/>
  <c r="W2295" i="1"/>
  <c r="W2014" i="1"/>
  <c r="W127" i="1"/>
  <c r="W2342" i="1"/>
  <c r="W391" i="1"/>
  <c r="W2009" i="1"/>
  <c r="N210" i="1"/>
  <c r="Q210" i="1" s="1"/>
  <c r="W2352" i="1"/>
  <c r="W1652" i="1"/>
  <c r="W857" i="1"/>
  <c r="W757" i="1"/>
  <c r="W709" i="1"/>
  <c r="W669" i="1"/>
  <c r="W657" i="1"/>
  <c r="W485" i="1"/>
  <c r="W477" i="1"/>
  <c r="W457" i="1"/>
  <c r="W437" i="1"/>
  <c r="W409" i="1"/>
  <c r="W389" i="1"/>
  <c r="W365" i="1"/>
  <c r="W361" i="1"/>
  <c r="W345" i="1"/>
  <c r="W341" i="1"/>
  <c r="W337" i="1"/>
  <c r="W265" i="1"/>
  <c r="W1849" i="1"/>
  <c r="N1544" i="1"/>
  <c r="Q1544" i="1" s="1"/>
  <c r="W720" i="1"/>
  <c r="W333" i="1"/>
  <c r="W2126" i="1"/>
  <c r="W2050" i="1"/>
  <c r="W1930" i="1"/>
  <c r="W2153" i="1"/>
  <c r="W719" i="1"/>
  <c r="W428" i="1"/>
  <c r="N2372" i="1"/>
  <c r="W2372" i="1" s="1"/>
  <c r="N1901" i="1"/>
  <c r="W1901" i="1" s="1"/>
  <c r="W1874" i="1"/>
  <c r="N220" i="1"/>
  <c r="Q220" i="1" s="1"/>
  <c r="W2382" i="1"/>
  <c r="W2378" i="1"/>
  <c r="W2374" i="1"/>
  <c r="W1636" i="1"/>
  <c r="W748" i="1"/>
  <c r="W326" i="1"/>
  <c r="W314" i="1"/>
  <c r="N2308" i="1"/>
  <c r="W2308" i="1" s="1"/>
  <c r="W467" i="1"/>
  <c r="W2030" i="1"/>
  <c r="W1950" i="1"/>
  <c r="W506" i="1"/>
  <c r="W356" i="1"/>
  <c r="N212" i="1"/>
  <c r="Q212" i="1" s="1"/>
  <c r="R190" i="1"/>
  <c r="W2396" i="1"/>
  <c r="N1847" i="1"/>
  <c r="W1847" i="1" s="1"/>
  <c r="W1832" i="1"/>
  <c r="W1821" i="1"/>
  <c r="W1806" i="1"/>
  <c r="W675" i="1"/>
  <c r="W466" i="1"/>
  <c r="W447" i="1"/>
  <c r="W439" i="1"/>
  <c r="W147" i="1"/>
  <c r="N1260" i="1"/>
  <c r="R1260" i="1" s="1"/>
  <c r="N462" i="1"/>
  <c r="Q462" i="1" s="1"/>
  <c r="W269" i="1"/>
  <c r="W2329" i="1"/>
  <c r="W2314" i="1"/>
  <c r="W1820" i="1"/>
  <c r="W2445" i="1"/>
  <c r="N2294" i="1"/>
  <c r="W2294" i="1" s="1"/>
  <c r="N1941" i="1"/>
  <c r="W1941" i="1" s="1"/>
  <c r="W1637" i="1"/>
  <c r="N781" i="1"/>
  <c r="W781" i="1" s="1"/>
  <c r="W516" i="1"/>
  <c r="W362" i="1"/>
  <c r="W268" i="1"/>
  <c r="W169" i="1"/>
  <c r="N142" i="1"/>
  <c r="P193" i="1" s="1"/>
  <c r="N2328" i="1"/>
  <c r="W2328" i="1" s="1"/>
  <c r="W2230" i="1"/>
  <c r="M2127" i="1"/>
  <c r="N2127" i="1" s="1"/>
  <c r="N1883" i="1"/>
  <c r="W1883" i="1" s="1"/>
  <c r="W1800" i="1"/>
  <c r="W1796" i="1"/>
  <c r="N1741" i="1"/>
  <c r="W1741" i="1" s="1"/>
  <c r="N735" i="1"/>
  <c r="S735" i="1" s="1"/>
  <c r="N2262" i="1"/>
  <c r="W2262" i="1" s="1"/>
  <c r="M1909" i="1"/>
  <c r="N1909" i="1" s="1"/>
  <c r="W1909" i="1" s="1"/>
  <c r="W1895" i="1"/>
  <c r="W1870" i="1"/>
  <c r="N902" i="1"/>
  <c r="R902" i="1" s="1"/>
  <c r="W768" i="1"/>
  <c r="M726" i="1"/>
  <c r="N726" i="1" s="1"/>
  <c r="W726" i="1" s="1"/>
  <c r="W307" i="1"/>
  <c r="N216" i="1"/>
  <c r="W216" i="1" s="1"/>
  <c r="W2304" i="1"/>
  <c r="W2226" i="1"/>
  <c r="W2222" i="1"/>
  <c r="N1959" i="1"/>
  <c r="W1959" i="1" s="1"/>
  <c r="W1925" i="1"/>
  <c r="N1876" i="1"/>
  <c r="Q1876" i="1" s="1"/>
  <c r="N1866" i="1"/>
  <c r="W1866" i="1" s="1"/>
  <c r="W1651" i="1"/>
  <c r="N1548" i="1"/>
  <c r="Q1548" i="1" s="1"/>
  <c r="N892" i="1"/>
  <c r="Q892" i="1" s="1"/>
  <c r="W487" i="1"/>
  <c r="W424" i="1"/>
  <c r="N138" i="1"/>
  <c r="R138" i="1" s="1"/>
  <c r="W2442" i="1"/>
  <c r="W2416" i="1"/>
  <c r="W2394" i="1"/>
  <c r="N2339" i="1"/>
  <c r="S2339" i="1" s="1"/>
  <c r="N2278" i="1"/>
  <c r="W2278" i="1" s="1"/>
  <c r="N2272" i="1"/>
  <c r="W2272" i="1" s="1"/>
  <c r="W2110" i="1"/>
  <c r="W2029" i="1"/>
  <c r="W1935" i="1"/>
  <c r="N1898" i="1"/>
  <c r="W1898" i="1" s="1"/>
  <c r="N1862" i="1"/>
  <c r="W1862" i="1" s="1"/>
  <c r="N1858" i="1"/>
  <c r="W1858" i="1" s="1"/>
  <c r="W1855" i="1"/>
  <c r="W1842" i="1"/>
  <c r="N952" i="1"/>
  <c r="Q952" i="1" s="1"/>
  <c r="N745" i="1"/>
  <c r="W745" i="1" s="1"/>
  <c r="N649" i="1"/>
  <c r="R649" i="1" s="1"/>
  <c r="W618" i="1"/>
  <c r="W599" i="1"/>
  <c r="N505" i="1"/>
  <c r="W505" i="1" s="1"/>
  <c r="W458" i="1"/>
  <c r="W343" i="1"/>
  <c r="W197" i="1"/>
  <c r="N192" i="1"/>
  <c r="W192" i="1" s="1"/>
  <c r="W2463" i="1"/>
  <c r="W2426" i="1"/>
  <c r="N2362" i="1"/>
  <c r="W2362" i="1" s="1"/>
  <c r="W2236" i="1"/>
  <c r="W1965" i="1"/>
  <c r="N1845" i="1"/>
  <c r="W1845" i="1" s="1"/>
  <c r="N1556" i="1"/>
  <c r="Q1556" i="1" s="1"/>
  <c r="N884" i="1"/>
  <c r="S884" i="1" s="1"/>
  <c r="W728" i="1"/>
  <c r="W725" i="1"/>
  <c r="W381" i="1"/>
  <c r="W332" i="1"/>
  <c r="N218" i="1"/>
  <c r="Q218" i="1" s="1"/>
  <c r="W204" i="1"/>
  <c r="N176" i="1"/>
  <c r="W176" i="1" s="1"/>
  <c r="N140" i="1"/>
  <c r="W140" i="1" s="1"/>
  <c r="W2368" i="1"/>
  <c r="N2317" i="1"/>
  <c r="P2321" i="1" s="1"/>
  <c r="N2313" i="1"/>
  <c r="W2313" i="1" s="1"/>
  <c r="W2246" i="1"/>
  <c r="N1982" i="1"/>
  <c r="W1982" i="1" s="1"/>
  <c r="N1961" i="1"/>
  <c r="W1961" i="1" s="1"/>
  <c r="N1917" i="1"/>
  <c r="W1917" i="1" s="1"/>
  <c r="N1851" i="1"/>
  <c r="W1851" i="1" s="1"/>
  <c r="W1841" i="1"/>
  <c r="W1745" i="1"/>
  <c r="N894" i="1"/>
  <c r="R894" i="1" s="1"/>
  <c r="W434" i="1"/>
  <c r="N193" i="1"/>
  <c r="W193" i="1" s="1"/>
  <c r="N2364" i="1"/>
  <c r="W2364" i="1" s="1"/>
  <c r="N2267" i="1"/>
  <c r="W2267" i="1" s="1"/>
  <c r="W2256" i="1"/>
  <c r="N2109" i="1"/>
  <c r="P2113" i="1" s="1"/>
  <c r="N1975" i="1"/>
  <c r="W1975" i="1" s="1"/>
  <c r="W1954" i="1"/>
  <c r="N1890" i="1"/>
  <c r="W1890" i="1" s="1"/>
  <c r="N1549" i="1"/>
  <c r="Q1549" i="1" s="1"/>
  <c r="N951" i="1"/>
  <c r="Q951" i="1" s="1"/>
  <c r="N907" i="1"/>
  <c r="Q907" i="1" s="1"/>
  <c r="W290" i="1"/>
  <c r="N224" i="1"/>
  <c r="W224" i="1" s="1"/>
  <c r="N133" i="1"/>
  <c r="W133" i="1" s="1"/>
  <c r="N2361" i="1"/>
  <c r="W2361" i="1" s="1"/>
  <c r="N2298" i="1"/>
  <c r="W2298" i="1" s="1"/>
  <c r="N2249" i="1"/>
  <c r="P2251" i="1" s="1"/>
  <c r="N1844" i="1"/>
  <c r="Q1844" i="1" s="1"/>
  <c r="N1823" i="1"/>
  <c r="P1825" i="1" s="1"/>
  <c r="N1770" i="1"/>
  <c r="W1770" i="1" s="1"/>
  <c r="N1748" i="1"/>
  <c r="W1748" i="1" s="1"/>
  <c r="N1546" i="1"/>
  <c r="Q1546" i="1" s="1"/>
  <c r="W855" i="1"/>
  <c r="W736" i="1"/>
  <c r="W730" i="1"/>
  <c r="W710" i="1"/>
  <c r="W706" i="1"/>
  <c r="W616" i="1"/>
  <c r="N605" i="1"/>
  <c r="W605" i="1" s="1"/>
  <c r="W175" i="1"/>
  <c r="N139" i="1"/>
  <c r="W139" i="1" s="1"/>
  <c r="W2458" i="1"/>
  <c r="M2454" i="1"/>
  <c r="N2454" i="1" s="1"/>
  <c r="W2454" i="1" s="1"/>
  <c r="M2424" i="1"/>
  <c r="N2424" i="1" s="1"/>
  <c r="W2410" i="1"/>
  <c r="M2384" i="1"/>
  <c r="N2384" i="1" s="1"/>
  <c r="W2384" i="1" s="1"/>
  <c r="M2363" i="1"/>
  <c r="N2363" i="1" s="1"/>
  <c r="M2353" i="1"/>
  <c r="N2353" i="1" s="1"/>
  <c r="W2353" i="1" s="1"/>
  <c r="M2350" i="1"/>
  <c r="N2350" i="1" s="1"/>
  <c r="W2350" i="1" s="1"/>
  <c r="W2141" i="1"/>
  <c r="W2137" i="1"/>
  <c r="M1798" i="1"/>
  <c r="N1798" i="1" s="1"/>
  <c r="W1798" i="1" s="1"/>
  <c r="N1792" i="1"/>
  <c r="W1792" i="1" s="1"/>
  <c r="N1557" i="1"/>
  <c r="Q1557" i="1" s="1"/>
  <c r="M1554" i="1"/>
  <c r="N1554" i="1" s="1"/>
  <c r="N1551" i="1"/>
  <c r="Q1551" i="1" s="1"/>
  <c r="N953" i="1"/>
  <c r="Q953" i="1" s="1"/>
  <c r="N899" i="1"/>
  <c r="Q899" i="1" s="1"/>
  <c r="N896" i="1"/>
  <c r="R896" i="1" s="1"/>
  <c r="M772" i="1"/>
  <c r="N772" i="1" s="1"/>
  <c r="W772" i="1" s="1"/>
  <c r="W739" i="1"/>
  <c r="W733" i="1"/>
  <c r="M394" i="1"/>
  <c r="N394" i="1" s="1"/>
  <c r="W394" i="1" s="1"/>
  <c r="W323" i="1"/>
  <c r="W198" i="1"/>
  <c r="R2443" i="1"/>
  <c r="P2444" i="1"/>
  <c r="Q2444" i="1" s="1"/>
  <c r="Q2443" i="1"/>
  <c r="Q2419" i="1"/>
  <c r="P2424" i="1"/>
  <c r="W2419" i="1"/>
  <c r="P2423" i="1"/>
  <c r="R2423" i="1" s="1"/>
  <c r="S2403" i="1"/>
  <c r="Q2403" i="1"/>
  <c r="R2403" i="1"/>
  <c r="W2403" i="1"/>
  <c r="P2405" i="1"/>
  <c r="P2404" i="1"/>
  <c r="S2404" i="1" s="1"/>
  <c r="M2376" i="1"/>
  <c r="N2376" i="1" s="1"/>
  <c r="W2376" i="1" s="1"/>
  <c r="N2512" i="1"/>
  <c r="Q2512" i="1" s="1"/>
  <c r="N2465" i="1"/>
  <c r="W2465" i="1" s="1"/>
  <c r="W2448" i="1"/>
  <c r="N2421" i="1"/>
  <c r="W2421" i="1" s="1"/>
  <c r="N2408" i="1"/>
  <c r="W2408" i="1" s="1"/>
  <c r="W2400" i="1"/>
  <c r="W2389" i="1"/>
  <c r="N2478" i="1"/>
  <c r="S2478" i="1" s="1"/>
  <c r="Q2470" i="1"/>
  <c r="N2456" i="1"/>
  <c r="W2456" i="1" s="1"/>
  <c r="N2411" i="1"/>
  <c r="W2411" i="1" s="1"/>
  <c r="N2379" i="1"/>
  <c r="R2379" i="1" s="1"/>
  <c r="N2514" i="1"/>
  <c r="R2514" i="1" s="1"/>
  <c r="R2475" i="1"/>
  <c r="N2459" i="1"/>
  <c r="W2459" i="1" s="1"/>
  <c r="N2453" i="1"/>
  <c r="W2453" i="1" s="1"/>
  <c r="N2440" i="1"/>
  <c r="W2440" i="1" s="1"/>
  <c r="W2420" i="1"/>
  <c r="N2413" i="1"/>
  <c r="P2416" i="1" s="1"/>
  <c r="N2405" i="1"/>
  <c r="W2405" i="1" s="1"/>
  <c r="N2375" i="1"/>
  <c r="Q2375" i="1" s="1"/>
  <c r="N2511" i="1"/>
  <c r="W2511" i="1" s="1"/>
  <c r="N2480" i="1"/>
  <c r="W2480" i="1" s="1"/>
  <c r="W2472" i="1"/>
  <c r="N2464" i="1"/>
  <c r="W2464" i="1" s="1"/>
  <c r="N2461" i="1"/>
  <c r="N2450" i="1"/>
  <c r="W2450" i="1" s="1"/>
  <c r="N2436" i="1"/>
  <c r="W2436" i="1" s="1"/>
  <c r="N2427" i="1"/>
  <c r="W2427" i="1" s="1"/>
  <c r="N2414" i="1"/>
  <c r="W2414" i="1" s="1"/>
  <c r="N2407" i="1"/>
  <c r="S2407" i="1" s="1"/>
  <c r="N2383" i="1"/>
  <c r="W2383" i="1" s="1"/>
  <c r="R2351" i="1"/>
  <c r="Q2351" i="1"/>
  <c r="P2352" i="1"/>
  <c r="Q2352" i="1" s="1"/>
  <c r="R1948" i="1"/>
  <c r="P1949" i="1"/>
  <c r="R1949" i="1" s="1"/>
  <c r="P1951" i="1"/>
  <c r="Q1948" i="1"/>
  <c r="Q1752" i="1"/>
  <c r="R1752" i="1"/>
  <c r="P1754" i="1"/>
  <c r="N2477" i="1"/>
  <c r="W2477" i="1" s="1"/>
  <c r="N2469" i="1"/>
  <c r="W2469" i="1" s="1"/>
  <c r="N2455" i="1"/>
  <c r="W2455" i="1" s="1"/>
  <c r="N2430" i="1"/>
  <c r="W2430" i="1" s="1"/>
  <c r="S2371" i="1"/>
  <c r="P2373" i="1"/>
  <c r="P2372" i="1"/>
  <c r="Q2371" i="1"/>
  <c r="R2371" i="1"/>
  <c r="W2371" i="1"/>
  <c r="M2341" i="1"/>
  <c r="N2341" i="1" s="1"/>
  <c r="N2513" i="1"/>
  <c r="W2513" i="1" s="1"/>
  <c r="S2474" i="1"/>
  <c r="N2446" i="1"/>
  <c r="W2446" i="1" s="1"/>
  <c r="W1960" i="1"/>
  <c r="S1960" i="1"/>
  <c r="P1963" i="1"/>
  <c r="M2515" i="1"/>
  <c r="N2515" i="1" s="1"/>
  <c r="W2515" i="1" s="1"/>
  <c r="N2510" i="1"/>
  <c r="R2510" i="1" s="1"/>
  <c r="N2479" i="1"/>
  <c r="R2479" i="1" s="1"/>
  <c r="M2476" i="1"/>
  <c r="N2476" i="1" s="1"/>
  <c r="R2471" i="1"/>
  <c r="M2468" i="1"/>
  <c r="N2468" i="1" s="1"/>
  <c r="W2452" i="1"/>
  <c r="N2449" i="1"/>
  <c r="Q2449" i="1" s="1"/>
  <c r="W2429" i="1"/>
  <c r="N2417" i="1"/>
  <c r="W2417" i="1" s="1"/>
  <c r="N2401" i="1"/>
  <c r="W2401" i="1" s="1"/>
  <c r="M2397" i="1"/>
  <c r="N2397" i="1" s="1"/>
  <c r="W2397" i="1" s="1"/>
  <c r="N2390" i="1"/>
  <c r="W2390" i="1" s="1"/>
  <c r="M2386" i="1"/>
  <c r="N2386" i="1" s="1"/>
  <c r="W2386" i="1" s="1"/>
  <c r="N2380" i="1"/>
  <c r="W2380" i="1" s="1"/>
  <c r="N2373" i="1"/>
  <c r="W2373" i="1" s="1"/>
  <c r="W2346" i="1"/>
  <c r="N2343" i="1"/>
  <c r="P2345" i="1" s="1"/>
  <c r="M2293" i="1"/>
  <c r="N2293" i="1" s="1"/>
  <c r="N2240" i="1"/>
  <c r="W2240" i="1" s="1"/>
  <c r="N2228" i="1"/>
  <c r="W2228" i="1" s="1"/>
  <c r="N2221" i="1"/>
  <c r="S2221" i="1" s="1"/>
  <c r="W2196" i="1"/>
  <c r="M2183" i="1"/>
  <c r="N2183" i="1" s="1"/>
  <c r="N2176" i="1"/>
  <c r="W2176" i="1" s="1"/>
  <c r="M2157" i="1"/>
  <c r="N2157" i="1" s="1"/>
  <c r="W2157" i="1" s="1"/>
  <c r="N2132" i="1"/>
  <c r="W2132" i="1" s="1"/>
  <c r="N2122" i="1"/>
  <c r="W2122" i="1" s="1"/>
  <c r="N2081" i="1"/>
  <c r="W2081" i="1" s="1"/>
  <c r="M2026" i="1"/>
  <c r="N2026" i="1" s="1"/>
  <c r="W2026" i="1" s="1"/>
  <c r="N2019" i="1"/>
  <c r="W2019" i="1" s="1"/>
  <c r="N1991" i="1"/>
  <c r="W1991" i="1" s="1"/>
  <c r="W1981" i="1"/>
  <c r="N1972" i="1"/>
  <c r="W1972" i="1" s="1"/>
  <c r="W1958" i="1"/>
  <c r="M1943" i="1"/>
  <c r="N1943" i="1" s="1"/>
  <c r="W1943" i="1" s="1"/>
  <c r="N1900" i="1"/>
  <c r="P1901" i="1" s="1"/>
  <c r="N1835" i="1"/>
  <c r="R1835" i="1" s="1"/>
  <c r="W1826" i="1"/>
  <c r="M1809" i="1"/>
  <c r="N1809" i="1" s="1"/>
  <c r="W1809" i="1" s="1"/>
  <c r="N1803" i="1"/>
  <c r="P1806" i="1" s="1"/>
  <c r="M1753" i="1"/>
  <c r="N1753" i="1" s="1"/>
  <c r="W1753" i="1" s="1"/>
  <c r="W1751" i="1"/>
  <c r="W1739" i="1"/>
  <c r="W1661" i="1"/>
  <c r="N1624" i="1"/>
  <c r="Q1624" i="1" s="1"/>
  <c r="N1616" i="1"/>
  <c r="Q1616" i="1" s="1"/>
  <c r="N1558" i="1"/>
  <c r="Q1558" i="1" s="1"/>
  <c r="N1550" i="1"/>
  <c r="Q1550" i="1" s="1"/>
  <c r="W154" i="1"/>
  <c r="R154" i="1"/>
  <c r="P156" i="1"/>
  <c r="N2237" i="1"/>
  <c r="W2237" i="1" s="1"/>
  <c r="N1994" i="1"/>
  <c r="W1994" i="1" s="1"/>
  <c r="N1987" i="1"/>
  <c r="W1987" i="1" s="1"/>
  <c r="N1977" i="1"/>
  <c r="W1977" i="1" s="1"/>
  <c r="N1962" i="1"/>
  <c r="W1962" i="1" s="1"/>
  <c r="N1938" i="1"/>
  <c r="W1938" i="1" s="1"/>
  <c r="N1867" i="1"/>
  <c r="W1867" i="1" s="1"/>
  <c r="N1846" i="1"/>
  <c r="W1846" i="1" s="1"/>
  <c r="N1736" i="1"/>
  <c r="W1736" i="1" s="1"/>
  <c r="N1621" i="1"/>
  <c r="Q1621" i="1" s="1"/>
  <c r="M1261" i="1"/>
  <c r="N1261" i="1" s="1"/>
  <c r="N2331" i="1"/>
  <c r="Q2331" i="1" s="1"/>
  <c r="W2322" i="1"/>
  <c r="N2283" i="1"/>
  <c r="W2283" i="1" s="1"/>
  <c r="N2277" i="1"/>
  <c r="R2277" i="1" s="1"/>
  <c r="N2242" i="1"/>
  <c r="W2242" i="1" s="1"/>
  <c r="W2217" i="1"/>
  <c r="W2175" i="1"/>
  <c r="N2128" i="1"/>
  <c r="W2128" i="1" s="1"/>
  <c r="N2118" i="1"/>
  <c r="W2118" i="1" s="1"/>
  <c r="N2091" i="1"/>
  <c r="W2091" i="1" s="1"/>
  <c r="W2080" i="1"/>
  <c r="N2061" i="1"/>
  <c r="W2061" i="1" s="1"/>
  <c r="N2040" i="1"/>
  <c r="R2040" i="1" s="1"/>
  <c r="W2018" i="1"/>
  <c r="W1997" i="1"/>
  <c r="W1990" i="1"/>
  <c r="N1983" i="1"/>
  <c r="W1983" i="1" s="1"/>
  <c r="N1971" i="1"/>
  <c r="W1971" i="1" s="1"/>
  <c r="N1945" i="1"/>
  <c r="W1945" i="1" s="1"/>
  <c r="N1908" i="1"/>
  <c r="Q1908" i="1" s="1"/>
  <c r="N1878" i="1"/>
  <c r="W1878" i="1" s="1"/>
  <c r="N1856" i="1"/>
  <c r="R1856" i="1" s="1"/>
  <c r="W1853" i="1"/>
  <c r="W1837" i="1"/>
  <c r="N1834" i="1"/>
  <c r="W1834" i="1" s="1"/>
  <c r="W1828" i="1"/>
  <c r="W1817" i="1"/>
  <c r="N1814" i="1"/>
  <c r="W1814" i="1" s="1"/>
  <c r="W1805" i="1"/>
  <c r="N1802" i="1"/>
  <c r="W1802" i="1" s="1"/>
  <c r="W1794" i="1"/>
  <c r="W1783" i="1"/>
  <c r="W1687" i="1"/>
  <c r="W1656" i="1"/>
  <c r="W1645" i="1"/>
  <c r="N1618" i="1"/>
  <c r="Q1618" i="1" s="1"/>
  <c r="N1552" i="1"/>
  <c r="Q1552" i="1" s="1"/>
  <c r="N2369" i="1"/>
  <c r="W2369" i="1" s="1"/>
  <c r="N2358" i="1"/>
  <c r="W2358" i="1" s="1"/>
  <c r="N2348" i="1"/>
  <c r="W2348" i="1" s="1"/>
  <c r="N2337" i="1"/>
  <c r="W2337" i="1" s="1"/>
  <c r="N2268" i="1"/>
  <c r="W2268" i="1" s="1"/>
  <c r="N2227" i="1"/>
  <c r="P2228" i="1" s="1"/>
  <c r="N2167" i="1"/>
  <c r="W2167" i="1" s="1"/>
  <c r="N2138" i="1"/>
  <c r="W2138" i="1" s="1"/>
  <c r="N2131" i="1"/>
  <c r="P2132" i="1" s="1"/>
  <c r="N2121" i="1"/>
  <c r="R2121" i="1" s="1"/>
  <c r="N2101" i="1"/>
  <c r="W2101" i="1" s="1"/>
  <c r="W1993" i="1"/>
  <c r="W1986" i="1"/>
  <c r="N1940" i="1"/>
  <c r="S1940" i="1" s="1"/>
  <c r="N1933" i="1"/>
  <c r="W1933" i="1" s="1"/>
  <c r="N1915" i="1"/>
  <c r="W1915" i="1" s="1"/>
  <c r="W1905" i="1"/>
  <c r="N1869" i="1"/>
  <c r="W1869" i="1" s="1"/>
  <c r="N1779" i="1"/>
  <c r="W1779" i="1" s="1"/>
  <c r="N1750" i="1"/>
  <c r="W1750" i="1" s="1"/>
  <c r="W1744" i="1"/>
  <c r="N1738" i="1"/>
  <c r="W1738" i="1" s="1"/>
  <c r="N1623" i="1"/>
  <c r="W1623" i="1" s="1"/>
  <c r="N1615" i="1"/>
  <c r="R1615" i="1" s="1"/>
  <c r="Q567" i="1"/>
  <c r="W567" i="1"/>
  <c r="S567" i="1"/>
  <c r="N2365" i="1"/>
  <c r="W2365" i="1" s="1"/>
  <c r="N2354" i="1"/>
  <c r="W2354" i="1" s="1"/>
  <c r="N2333" i="1"/>
  <c r="W2333" i="1" s="1"/>
  <c r="N2289" i="1"/>
  <c r="P2291" i="1" s="1"/>
  <c r="N2261" i="1"/>
  <c r="P2263" i="1" s="1"/>
  <c r="N2258" i="1"/>
  <c r="W2258" i="1" s="1"/>
  <c r="N2255" i="1"/>
  <c r="W2255" i="1" s="1"/>
  <c r="N2241" i="1"/>
  <c r="W2241" i="1" s="1"/>
  <c r="W2108" i="1"/>
  <c r="W2039" i="1"/>
  <c r="N1976" i="1"/>
  <c r="R1976" i="1" s="1"/>
  <c r="N1951" i="1"/>
  <c r="W1951" i="1" s="1"/>
  <c r="W1949" i="1"/>
  <c r="N1937" i="1"/>
  <c r="W1937" i="1" s="1"/>
  <c r="N1825" i="1"/>
  <c r="W1825" i="1" s="1"/>
  <c r="N1620" i="1"/>
  <c r="Q1620" i="1" s="1"/>
  <c r="N2344" i="1"/>
  <c r="W2344" i="1" s="1"/>
  <c r="N2340" i="1"/>
  <c r="W2340" i="1" s="1"/>
  <c r="N2324" i="1"/>
  <c r="W2324" i="1" s="1"/>
  <c r="W2120" i="1"/>
  <c r="N2100" i="1"/>
  <c r="W2100" i="1" s="1"/>
  <c r="N2071" i="1"/>
  <c r="W2071" i="1" s="1"/>
  <c r="N2002" i="1"/>
  <c r="W2002" i="1" s="1"/>
  <c r="N1973" i="1"/>
  <c r="W1973" i="1" s="1"/>
  <c r="W1947" i="1"/>
  <c r="N1944" i="1"/>
  <c r="P1945" i="1" s="1"/>
  <c r="N1934" i="1"/>
  <c r="W1934" i="1" s="1"/>
  <c r="N1887" i="1"/>
  <c r="W1887" i="1" s="1"/>
  <c r="N1879" i="1"/>
  <c r="W1879" i="1" s="1"/>
  <c r="N1836" i="1"/>
  <c r="W1836" i="1" s="1"/>
  <c r="W1816" i="1"/>
  <c r="N1804" i="1"/>
  <c r="W1804" i="1" s="1"/>
  <c r="N1791" i="1"/>
  <c r="P1794" i="1" s="1"/>
  <c r="N1778" i="1"/>
  <c r="W1778" i="1" s="1"/>
  <c r="N1754" i="1"/>
  <c r="W1754" i="1" s="1"/>
  <c r="W1655" i="1"/>
  <c r="W1644" i="1"/>
  <c r="N1625" i="1"/>
  <c r="W1625" i="1" s="1"/>
  <c r="N1617" i="1"/>
  <c r="Q1617" i="1" s="1"/>
  <c r="Q414" i="1"/>
  <c r="P418" i="1"/>
  <c r="S414" i="1"/>
  <c r="P417" i="1"/>
  <c r="P419" i="1"/>
  <c r="Q419" i="1" s="1"/>
  <c r="N2347" i="1"/>
  <c r="P2349" i="1" s="1"/>
  <c r="N2288" i="1"/>
  <c r="W2288" i="1" s="1"/>
  <c r="N2276" i="1"/>
  <c r="W2276" i="1" s="1"/>
  <c r="N2231" i="1"/>
  <c r="W2231" i="1" s="1"/>
  <c r="N2208" i="1"/>
  <c r="W2208" i="1" s="1"/>
  <c r="W1970" i="1"/>
  <c r="N1939" i="1"/>
  <c r="W1939" i="1" s="1"/>
  <c r="N1932" i="1"/>
  <c r="P1934" i="1" s="1"/>
  <c r="N1857" i="1"/>
  <c r="W1857" i="1" s="1"/>
  <c r="N1793" i="1"/>
  <c r="W1793" i="1" s="1"/>
  <c r="N1749" i="1"/>
  <c r="Q1749" i="1" s="1"/>
  <c r="N1737" i="1"/>
  <c r="Q1737" i="1" s="1"/>
  <c r="N1622" i="1"/>
  <c r="S1622" i="1" s="1"/>
  <c r="Q886" i="1"/>
  <c r="S886" i="1"/>
  <c r="N2299" i="1"/>
  <c r="P2304" i="1" s="1"/>
  <c r="N2257" i="1"/>
  <c r="S2257" i="1" s="1"/>
  <c r="N2247" i="1"/>
  <c r="W2247" i="1" s="1"/>
  <c r="N2085" i="1"/>
  <c r="W2085" i="1" s="1"/>
  <c r="N2051" i="1"/>
  <c r="W2051" i="1" s="1"/>
  <c r="N2041" i="1"/>
  <c r="W2041" i="1" s="1"/>
  <c r="N1966" i="1"/>
  <c r="W1966" i="1" s="1"/>
  <c r="N1955" i="1"/>
  <c r="W1955" i="1" s="1"/>
  <c r="N1936" i="1"/>
  <c r="R1936" i="1" s="1"/>
  <c r="N1619" i="1"/>
  <c r="R1619" i="1" s="1"/>
  <c r="W946" i="1"/>
  <c r="R946" i="1"/>
  <c r="W938" i="1"/>
  <c r="R938" i="1"/>
  <c r="W930" i="1"/>
  <c r="R930" i="1"/>
  <c r="W922" i="1"/>
  <c r="R922" i="1"/>
  <c r="W914" i="1"/>
  <c r="R914" i="1"/>
  <c r="Q882" i="1"/>
  <c r="W882" i="1"/>
  <c r="R882" i="1"/>
  <c r="S882" i="1"/>
  <c r="Q565" i="1"/>
  <c r="S565" i="1"/>
  <c r="W565" i="1"/>
  <c r="W954" i="1"/>
  <c r="W881" i="1"/>
  <c r="P855" i="1"/>
  <c r="Q855" i="1" s="1"/>
  <c r="N784" i="1"/>
  <c r="W784" i="1" s="1"/>
  <c r="N716" i="1"/>
  <c r="W716" i="1" s="1"/>
  <c r="M707" i="1"/>
  <c r="N707" i="1" s="1"/>
  <c r="W707" i="1" s="1"/>
  <c r="N677" i="1"/>
  <c r="W677" i="1" s="1"/>
  <c r="N662" i="1"/>
  <c r="R662" i="1" s="1"/>
  <c r="N566" i="1"/>
  <c r="R566" i="1" s="1"/>
  <c r="N514" i="1"/>
  <c r="R514" i="1" s="1"/>
  <c r="N511" i="1"/>
  <c r="W511" i="1" s="1"/>
  <c r="W496" i="1"/>
  <c r="W414" i="1"/>
  <c r="N399" i="1"/>
  <c r="W399" i="1" s="1"/>
  <c r="N913" i="1"/>
  <c r="W913" i="1" s="1"/>
  <c r="N908" i="1"/>
  <c r="W908" i="1" s="1"/>
  <c r="N766" i="1"/>
  <c r="W766" i="1" s="1"/>
  <c r="N667" i="1"/>
  <c r="W667" i="1" s="1"/>
  <c r="N659" i="1"/>
  <c r="Q659" i="1" s="1"/>
  <c r="N653" i="1"/>
  <c r="S653" i="1" s="1"/>
  <c r="W604" i="1"/>
  <c r="N536" i="1"/>
  <c r="W536" i="1" s="1"/>
  <c r="N368" i="1"/>
  <c r="W368" i="1" s="1"/>
  <c r="N349" i="1"/>
  <c r="W349" i="1" s="1"/>
  <c r="N346" i="1"/>
  <c r="W346" i="1" s="1"/>
  <c r="W295" i="1"/>
  <c r="W278" i="1"/>
  <c r="N240" i="1"/>
  <c r="W240" i="1" s="1"/>
  <c r="N178" i="1"/>
  <c r="W178" i="1" s="1"/>
  <c r="N174" i="1"/>
  <c r="W174" i="1" s="1"/>
  <c r="N136" i="1"/>
  <c r="Q136" i="1" s="1"/>
  <c r="W763" i="1"/>
  <c r="W754" i="1"/>
  <c r="W738" i="1"/>
  <c r="N676" i="1"/>
  <c r="W676" i="1" s="1"/>
  <c r="N664" i="1"/>
  <c r="Q664" i="1" s="1"/>
  <c r="N650" i="1"/>
  <c r="W650" i="1" s="1"/>
  <c r="N621" i="1"/>
  <c r="R621" i="1" s="1"/>
  <c r="N610" i="1"/>
  <c r="W610" i="1" s="1"/>
  <c r="N502" i="1"/>
  <c r="W502" i="1" s="1"/>
  <c r="N493" i="1"/>
  <c r="W493" i="1" s="1"/>
  <c r="N483" i="1"/>
  <c r="W483" i="1" s="1"/>
  <c r="N444" i="1"/>
  <c r="P449" i="1" s="1"/>
  <c r="N396" i="1"/>
  <c r="R396" i="1" s="1"/>
  <c r="N377" i="1"/>
  <c r="W377" i="1" s="1"/>
  <c r="N370" i="1"/>
  <c r="W370" i="1" s="1"/>
  <c r="N339" i="1"/>
  <c r="W339" i="1" s="1"/>
  <c r="N329" i="1"/>
  <c r="W329" i="1" s="1"/>
  <c r="W322" i="1"/>
  <c r="N245" i="1"/>
  <c r="S245" i="1" s="1"/>
  <c r="N237" i="1"/>
  <c r="W237" i="1" s="1"/>
  <c r="W184" i="1"/>
  <c r="W170" i="1"/>
  <c r="R134" i="1"/>
  <c r="N1262" i="1"/>
  <c r="N949" i="1"/>
  <c r="R949" i="1" s="1"/>
  <c r="N941" i="1"/>
  <c r="W941" i="1" s="1"/>
  <c r="N933" i="1"/>
  <c r="W933" i="1" s="1"/>
  <c r="N925" i="1"/>
  <c r="W925" i="1" s="1"/>
  <c r="N917" i="1"/>
  <c r="W917" i="1" s="1"/>
  <c r="N910" i="1"/>
  <c r="R910" i="1" s="1"/>
  <c r="N904" i="1"/>
  <c r="S904" i="1" s="1"/>
  <c r="N897" i="1"/>
  <c r="N887" i="1"/>
  <c r="W887" i="1" s="1"/>
  <c r="N883" i="1"/>
  <c r="W785" i="1"/>
  <c r="W776" i="1"/>
  <c r="N774" i="1"/>
  <c r="W774" i="1" s="1"/>
  <c r="N771" i="1"/>
  <c r="W771" i="1" s="1"/>
  <c r="N727" i="1"/>
  <c r="W727" i="1" s="1"/>
  <c r="N718" i="1"/>
  <c r="W718" i="1" s="1"/>
  <c r="W679" i="1"/>
  <c r="N673" i="1"/>
  <c r="W673" i="1" s="1"/>
  <c r="N661" i="1"/>
  <c r="S661" i="1" s="1"/>
  <c r="N606" i="1"/>
  <c r="W606" i="1" s="1"/>
  <c r="N596" i="1"/>
  <c r="W596" i="1" s="1"/>
  <c r="N542" i="1"/>
  <c r="W542" i="1" s="1"/>
  <c r="N535" i="1"/>
  <c r="W535" i="1" s="1"/>
  <c r="N504" i="1"/>
  <c r="R504" i="1" s="1"/>
  <c r="N495" i="1"/>
  <c r="W495" i="1" s="1"/>
  <c r="W476" i="1"/>
  <c r="N456" i="1"/>
  <c r="R456" i="1" s="1"/>
  <c r="N453" i="1"/>
  <c r="W453" i="1" s="1"/>
  <c r="W429" i="1"/>
  <c r="N408" i="1"/>
  <c r="R408" i="1" s="1"/>
  <c r="N308" i="1"/>
  <c r="W308" i="1" s="1"/>
  <c r="N284" i="1"/>
  <c r="W284" i="1" s="1"/>
  <c r="N242" i="1"/>
  <c r="S242" i="1" s="1"/>
  <c r="N234" i="1"/>
  <c r="S234" i="1" s="1"/>
  <c r="N214" i="1"/>
  <c r="R214" i="1" s="1"/>
  <c r="R204" i="1"/>
  <c r="R184" i="1"/>
  <c r="N177" i="1"/>
  <c r="W177" i="1" s="1"/>
  <c r="N167" i="1"/>
  <c r="W167" i="1" s="1"/>
  <c r="Q854" i="1"/>
  <c r="N765" i="1"/>
  <c r="W765" i="1" s="1"/>
  <c r="N756" i="1"/>
  <c r="W756" i="1" s="1"/>
  <c r="W744" i="1"/>
  <c r="W715" i="1"/>
  <c r="N666" i="1"/>
  <c r="S666" i="1" s="1"/>
  <c r="N658" i="1"/>
  <c r="R658" i="1" s="1"/>
  <c r="N652" i="1"/>
  <c r="S652" i="1" s="1"/>
  <c r="N592" i="1"/>
  <c r="W592" i="1" s="1"/>
  <c r="W568" i="1"/>
  <c r="N564" i="1"/>
  <c r="Q564" i="1" s="1"/>
  <c r="N501" i="1"/>
  <c r="W501" i="1" s="1"/>
  <c r="N482" i="1"/>
  <c r="W482" i="1" s="1"/>
  <c r="W443" i="1"/>
  <c r="N358" i="1"/>
  <c r="W358" i="1" s="1"/>
  <c r="N348" i="1"/>
  <c r="S348" i="1" s="1"/>
  <c r="W335" i="1"/>
  <c r="N263" i="1"/>
  <c r="W263" i="1" s="1"/>
  <c r="N239" i="1"/>
  <c r="Q239" i="1" s="1"/>
  <c r="Q184" i="1"/>
  <c r="N156" i="1"/>
  <c r="W156" i="1" s="1"/>
  <c r="N144" i="1"/>
  <c r="W144" i="1" s="1"/>
  <c r="N137" i="1"/>
  <c r="S137" i="1" s="1"/>
  <c r="N708" i="1"/>
  <c r="W708" i="1" s="1"/>
  <c r="N663" i="1"/>
  <c r="R663" i="1" s="1"/>
  <c r="N620" i="1"/>
  <c r="Q620" i="1" s="1"/>
  <c r="N492" i="1"/>
  <c r="S492" i="1" s="1"/>
  <c r="N472" i="1"/>
  <c r="W472" i="1" s="1"/>
  <c r="N463" i="1"/>
  <c r="W463" i="1" s="1"/>
  <c r="N418" i="1"/>
  <c r="W418" i="1" s="1"/>
  <c r="N416" i="1"/>
  <c r="W416" i="1" s="1"/>
  <c r="N385" i="1"/>
  <c r="W385" i="1" s="1"/>
  <c r="N273" i="1"/>
  <c r="W273" i="1" s="1"/>
  <c r="N244" i="1"/>
  <c r="W244" i="1" s="1"/>
  <c r="N236" i="1"/>
  <c r="R236" i="1" s="1"/>
  <c r="N228" i="1"/>
  <c r="W228" i="1" s="1"/>
  <c r="N222" i="1"/>
  <c r="R222" i="1" s="1"/>
  <c r="N950" i="1"/>
  <c r="S950" i="1" s="1"/>
  <c r="N912" i="1"/>
  <c r="S912" i="1" s="1"/>
  <c r="N905" i="1"/>
  <c r="N900" i="1"/>
  <c r="S900" i="1" s="1"/>
  <c r="N888" i="1"/>
  <c r="Q888" i="1" s="1"/>
  <c r="N885" i="1"/>
  <c r="S885" i="1" s="1"/>
  <c r="W856" i="1"/>
  <c r="N783" i="1"/>
  <c r="Q783" i="1" s="1"/>
  <c r="W767" i="1"/>
  <c r="N764" i="1"/>
  <c r="W764" i="1" s="1"/>
  <c r="N755" i="1"/>
  <c r="W755" i="1" s="1"/>
  <c r="W749" i="1"/>
  <c r="N746" i="1"/>
  <c r="W746" i="1" s="1"/>
  <c r="W743" i="1"/>
  <c r="N737" i="1"/>
  <c r="W737" i="1" s="1"/>
  <c r="N717" i="1"/>
  <c r="P720" i="1" s="1"/>
  <c r="W714" i="1"/>
  <c r="N660" i="1"/>
  <c r="R660" i="1" s="1"/>
  <c r="N317" i="1"/>
  <c r="W317" i="1" s="1"/>
  <c r="N310" i="1"/>
  <c r="W310" i="1" s="1"/>
  <c r="N241" i="1"/>
  <c r="Q241" i="1" s="1"/>
  <c r="N194" i="1"/>
  <c r="Q194" i="1" s="1"/>
  <c r="W181" i="1"/>
  <c r="N164" i="1"/>
  <c r="N155" i="1"/>
  <c r="W155" i="1" s="1"/>
  <c r="N143" i="1"/>
  <c r="W143" i="1" s="1"/>
  <c r="N135" i="1"/>
  <c r="S135" i="1" s="1"/>
  <c r="N126" i="1"/>
  <c r="W126" i="1" s="1"/>
  <c r="M948" i="1"/>
  <c r="N948" i="1" s="1"/>
  <c r="N943" i="1"/>
  <c r="W943" i="1" s="1"/>
  <c r="M940" i="1"/>
  <c r="N940" i="1" s="1"/>
  <c r="N935" i="1"/>
  <c r="S935" i="1" s="1"/>
  <c r="M932" i="1"/>
  <c r="N932" i="1" s="1"/>
  <c r="N927" i="1"/>
  <c r="W927" i="1" s="1"/>
  <c r="M924" i="1"/>
  <c r="N924" i="1" s="1"/>
  <c r="N919" i="1"/>
  <c r="W919" i="1" s="1"/>
  <c r="M916" i="1"/>
  <c r="N916" i="1" s="1"/>
  <c r="N891" i="1"/>
  <c r="W891" i="1" s="1"/>
  <c r="N665" i="1"/>
  <c r="R665" i="1" s="1"/>
  <c r="N651" i="1"/>
  <c r="W651" i="1" s="1"/>
  <c r="M619" i="1"/>
  <c r="N619" i="1" s="1"/>
  <c r="W611" i="1"/>
  <c r="N445" i="1"/>
  <c r="W445" i="1" s="1"/>
  <c r="N435" i="1"/>
  <c r="W435" i="1" s="1"/>
  <c r="N397" i="1"/>
  <c r="W397" i="1" s="1"/>
  <c r="M387" i="1"/>
  <c r="N387" i="1" s="1"/>
  <c r="W387" i="1" s="1"/>
  <c r="N320" i="1"/>
  <c r="W320" i="1" s="1"/>
  <c r="W313" i="1"/>
  <c r="N296" i="1"/>
  <c r="W296" i="1" s="1"/>
  <c r="W272" i="1"/>
  <c r="W258" i="1"/>
  <c r="M243" i="1"/>
  <c r="N243" i="1" s="1"/>
  <c r="N238" i="1"/>
  <c r="S238" i="1" s="1"/>
  <c r="M235" i="1"/>
  <c r="N235" i="1" s="1"/>
  <c r="N196" i="1"/>
  <c r="W196" i="1" s="1"/>
  <c r="W153" i="1"/>
  <c r="R141" i="1"/>
  <c r="Q2502" i="1"/>
  <c r="R2502" i="1"/>
  <c r="S2502" i="1"/>
  <c r="W2502" i="1"/>
  <c r="W2462" i="1"/>
  <c r="Q2507" i="1"/>
  <c r="R2507" i="1"/>
  <c r="S2507" i="1"/>
  <c r="W2507" i="1"/>
  <c r="Q2504" i="1"/>
  <c r="R2504" i="1"/>
  <c r="S2504" i="1"/>
  <c r="W2504" i="1"/>
  <c r="Q2509" i="1"/>
  <c r="R2509" i="1"/>
  <c r="S2509" i="1"/>
  <c r="W2509" i="1"/>
  <c r="Q2501" i="1"/>
  <c r="R2501" i="1"/>
  <c r="S2501" i="1"/>
  <c r="W2501" i="1"/>
  <c r="Q2506" i="1"/>
  <c r="R2506" i="1"/>
  <c r="S2506" i="1"/>
  <c r="W2506" i="1"/>
  <c r="Q2327" i="1"/>
  <c r="P2328" i="1"/>
  <c r="R2327" i="1"/>
  <c r="P2329" i="1"/>
  <c r="S2327" i="1"/>
  <c r="W2327" i="1"/>
  <c r="P2330" i="1"/>
  <c r="Q2503" i="1"/>
  <c r="R2503" i="1"/>
  <c r="S2503" i="1"/>
  <c r="W2503" i="1"/>
  <c r="Q2399" i="1"/>
  <c r="P2400" i="1"/>
  <c r="R2399" i="1"/>
  <c r="P2401" i="1"/>
  <c r="S2399" i="1"/>
  <c r="P2402" i="1"/>
  <c r="W2399" i="1"/>
  <c r="Q2367" i="1"/>
  <c r="P2368" i="1"/>
  <c r="R2367" i="1"/>
  <c r="P2369" i="1"/>
  <c r="S2367" i="1"/>
  <c r="P2370" i="1"/>
  <c r="W2367" i="1"/>
  <c r="Q2335" i="1"/>
  <c r="P2336" i="1"/>
  <c r="R2335" i="1"/>
  <c r="P2337" i="1"/>
  <c r="S2335" i="1"/>
  <c r="P2338" i="1"/>
  <c r="W2335" i="1"/>
  <c r="W2251" i="1"/>
  <c r="R2211" i="1"/>
  <c r="P2213" i="1"/>
  <c r="S2211" i="1"/>
  <c r="P2214" i="1"/>
  <c r="W2211" i="1"/>
  <c r="Q2211" i="1"/>
  <c r="P2212" i="1"/>
  <c r="Q2508" i="1"/>
  <c r="R2508" i="1"/>
  <c r="S2508" i="1"/>
  <c r="W2508" i="1"/>
  <c r="W2423" i="1"/>
  <c r="Q2505" i="1"/>
  <c r="R2505" i="1"/>
  <c r="S2505" i="1"/>
  <c r="W2505" i="1"/>
  <c r="M2305" i="1"/>
  <c r="N2305" i="1" s="1"/>
  <c r="M2286" i="1"/>
  <c r="N2286" i="1" s="1"/>
  <c r="W2286" i="1" s="1"/>
  <c r="M2253" i="1"/>
  <c r="N2253" i="1" s="1"/>
  <c r="Q2195" i="1"/>
  <c r="P2196" i="1"/>
  <c r="R2195" i="1"/>
  <c r="P2197" i="1"/>
  <c r="S2195" i="1"/>
  <c r="P2198" i="1"/>
  <c r="W2195" i="1"/>
  <c r="Q1980" i="1"/>
  <c r="P1981" i="1"/>
  <c r="R1980" i="1"/>
  <c r="P1982" i="1"/>
  <c r="S1980" i="1"/>
  <c r="P1983" i="1"/>
  <c r="W1980" i="1"/>
  <c r="Q1968" i="1"/>
  <c r="P1969" i="1"/>
  <c r="R1968" i="1"/>
  <c r="P1970" i="1"/>
  <c r="S1968" i="1"/>
  <c r="P1971" i="1"/>
  <c r="W1968" i="1"/>
  <c r="N2330" i="1"/>
  <c r="W2330" i="1" s="1"/>
  <c r="N2290" i="1"/>
  <c r="W2290" i="1" s="1"/>
  <c r="M2269" i="1"/>
  <c r="N2269" i="1" s="1"/>
  <c r="S2239" i="1"/>
  <c r="P2242" i="1"/>
  <c r="P2243" i="1"/>
  <c r="W2239" i="1"/>
  <c r="P2244" i="1"/>
  <c r="R2239" i="1"/>
  <c r="P2241" i="1"/>
  <c r="M2234" i="1"/>
  <c r="N2234" i="1" s="1"/>
  <c r="W2234" i="1" s="1"/>
  <c r="M2224" i="1"/>
  <c r="N2224" i="1" s="1"/>
  <c r="W2224" i="1" s="1"/>
  <c r="S2098" i="1"/>
  <c r="P2101" i="1"/>
  <c r="P2102" i="1"/>
  <c r="W2098" i="1"/>
  <c r="Q2098" i="1"/>
  <c r="P2099" i="1"/>
  <c r="R2098" i="1"/>
  <c r="P2100" i="1"/>
  <c r="Q2083" i="1"/>
  <c r="P2084" i="1"/>
  <c r="R2083" i="1"/>
  <c r="P2085" i="1"/>
  <c r="S2083" i="1"/>
  <c r="P2086" i="1"/>
  <c r="P2087" i="1"/>
  <c r="W2083" i="1"/>
  <c r="R2028" i="1"/>
  <c r="P2030" i="1"/>
  <c r="S2028" i="1"/>
  <c r="P2031" i="1"/>
  <c r="W2028" i="1"/>
  <c r="Q2028" i="1"/>
  <c r="P2029" i="1"/>
  <c r="R1964" i="1"/>
  <c r="P1966" i="1"/>
  <c r="S1964" i="1"/>
  <c r="P1967" i="1"/>
  <c r="W1964" i="1"/>
  <c r="Q1964" i="1"/>
  <c r="P1965" i="1"/>
  <c r="P2422" i="1"/>
  <c r="S2419" i="1"/>
  <c r="N2309" i="1"/>
  <c r="W2309" i="1" s="1"/>
  <c r="M2296" i="1"/>
  <c r="N2296" i="1" s="1"/>
  <c r="W2296" i="1" s="1"/>
  <c r="M2275" i="1"/>
  <c r="N2275" i="1" s="1"/>
  <c r="W2275" i="1" s="1"/>
  <c r="N2273" i="1"/>
  <c r="W2271" i="1"/>
  <c r="N2213" i="1"/>
  <c r="W2213" i="1" s="1"/>
  <c r="P2210" i="1"/>
  <c r="R1996" i="1"/>
  <c r="P1998" i="1"/>
  <c r="S1996" i="1"/>
  <c r="P1999" i="1"/>
  <c r="W1996" i="1"/>
  <c r="Q1996" i="1"/>
  <c r="P1997" i="1"/>
  <c r="N2460" i="1"/>
  <c r="W2460" i="1" s="1"/>
  <c r="N2451" i="1"/>
  <c r="W2451" i="1" s="1"/>
  <c r="N2441" i="1"/>
  <c r="W2441" i="1" s="1"/>
  <c r="N2432" i="1"/>
  <c r="W2432" i="1" s="1"/>
  <c r="N2431" i="1"/>
  <c r="P2430" i="1"/>
  <c r="W2425" i="1"/>
  <c r="N2422" i="1"/>
  <c r="W2422" i="1" s="1"/>
  <c r="P2421" i="1"/>
  <c r="R2419" i="1"/>
  <c r="N2412" i="1"/>
  <c r="W2412" i="1" s="1"/>
  <c r="N2402" i="1"/>
  <c r="W2402" i="1" s="1"/>
  <c r="W2395" i="1"/>
  <c r="N2392" i="1"/>
  <c r="W2392" i="1" s="1"/>
  <c r="N2391" i="1"/>
  <c r="N2381" i="1"/>
  <c r="W2381" i="1" s="1"/>
  <c r="N2370" i="1"/>
  <c r="W2370" i="1" s="1"/>
  <c r="N2360" i="1"/>
  <c r="W2360" i="1" s="1"/>
  <c r="N2359" i="1"/>
  <c r="N2349" i="1"/>
  <c r="W2349" i="1" s="1"/>
  <c r="N2338" i="1"/>
  <c r="W2338" i="1" s="1"/>
  <c r="N2319" i="1"/>
  <c r="W2319" i="1" s="1"/>
  <c r="M2315" i="1"/>
  <c r="N2315" i="1" s="1"/>
  <c r="W2315" i="1" s="1"/>
  <c r="N2300" i="1"/>
  <c r="W2300" i="1" s="1"/>
  <c r="M2285" i="1"/>
  <c r="N2285" i="1" s="1"/>
  <c r="W2252" i="1"/>
  <c r="M2233" i="1"/>
  <c r="N2233" i="1" s="1"/>
  <c r="W2186" i="1"/>
  <c r="Q2093" i="1"/>
  <c r="P2094" i="1"/>
  <c r="R2093" i="1"/>
  <c r="P2095" i="1"/>
  <c r="S2093" i="1"/>
  <c r="P2096" i="1"/>
  <c r="P2097" i="1"/>
  <c r="W2093" i="1"/>
  <c r="W2024" i="1"/>
  <c r="Q2024" i="1"/>
  <c r="P2025" i="1"/>
  <c r="R2024" i="1"/>
  <c r="P2026" i="1"/>
  <c r="S2024" i="1"/>
  <c r="P2027" i="1"/>
  <c r="W1992" i="1"/>
  <c r="Q1992" i="1"/>
  <c r="P1993" i="1"/>
  <c r="R1992" i="1"/>
  <c r="P1994" i="1"/>
  <c r="S1992" i="1"/>
  <c r="P1995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P2448" i="1"/>
  <c r="W2443" i="1"/>
  <c r="P2429" i="1"/>
  <c r="P2420" i="1"/>
  <c r="W2351" i="1"/>
  <c r="M2325" i="1"/>
  <c r="N2325" i="1" s="1"/>
  <c r="W2325" i="1" s="1"/>
  <c r="N2323" i="1"/>
  <c r="M2264" i="1"/>
  <c r="N2264" i="1" s="1"/>
  <c r="W2264" i="1" s="1"/>
  <c r="M2243" i="1"/>
  <c r="N2243" i="1" s="1"/>
  <c r="W2243" i="1" s="1"/>
  <c r="P2240" i="1"/>
  <c r="N2223" i="1"/>
  <c r="W2223" i="1" s="1"/>
  <c r="W1868" i="1"/>
  <c r="Q1868" i="1"/>
  <c r="P1869" i="1"/>
  <c r="R1868" i="1"/>
  <c r="P1870" i="1"/>
  <c r="S1868" i="1"/>
  <c r="P1871" i="1"/>
  <c r="P2447" i="1"/>
  <c r="P2428" i="1"/>
  <c r="S2425" i="1"/>
  <c r="P2398" i="1"/>
  <c r="S2395" i="1"/>
  <c r="M2306" i="1"/>
  <c r="N2306" i="1" s="1"/>
  <c r="W2306" i="1" s="1"/>
  <c r="M2291" i="1"/>
  <c r="N2291" i="1" s="1"/>
  <c r="W2291" i="1" s="1"/>
  <c r="W2207" i="1"/>
  <c r="Q2207" i="1"/>
  <c r="P2208" i="1"/>
  <c r="R2207" i="1"/>
  <c r="P2209" i="1"/>
  <c r="Q2165" i="1"/>
  <c r="P2166" i="1"/>
  <c r="R2165" i="1"/>
  <c r="P2167" i="1"/>
  <c r="S2165" i="1"/>
  <c r="P2168" i="1"/>
  <c r="P2169" i="1"/>
  <c r="W2165" i="1"/>
  <c r="P2170" i="1"/>
  <c r="Q2151" i="1"/>
  <c r="P2152" i="1"/>
  <c r="R2151" i="1"/>
  <c r="P2153" i="1"/>
  <c r="S2151" i="1"/>
  <c r="P2154" i="1"/>
  <c r="W2151" i="1"/>
  <c r="S2048" i="1"/>
  <c r="P2051" i="1"/>
  <c r="P2052" i="1"/>
  <c r="W2048" i="1"/>
  <c r="Q2048" i="1"/>
  <c r="P2049" i="1"/>
  <c r="R2048" i="1"/>
  <c r="P2050" i="1"/>
  <c r="N2466" i="1"/>
  <c r="W2466" i="1" s="1"/>
  <c r="N2457" i="1"/>
  <c r="W2457" i="1" s="1"/>
  <c r="N2447" i="1"/>
  <c r="W2447" i="1" s="1"/>
  <c r="P2446" i="1"/>
  <c r="S2443" i="1"/>
  <c r="N2438" i="1"/>
  <c r="W2438" i="1" s="1"/>
  <c r="N2437" i="1"/>
  <c r="N2428" i="1"/>
  <c r="W2428" i="1" s="1"/>
  <c r="P2427" i="1"/>
  <c r="R2425" i="1"/>
  <c r="N2418" i="1"/>
  <c r="W2418" i="1" s="1"/>
  <c r="N2409" i="1"/>
  <c r="W2409" i="1" s="1"/>
  <c r="N2398" i="1"/>
  <c r="W2398" i="1" s="1"/>
  <c r="P2397" i="1"/>
  <c r="R2395" i="1"/>
  <c r="N2388" i="1"/>
  <c r="W2388" i="1" s="1"/>
  <c r="N2387" i="1"/>
  <c r="N2377" i="1"/>
  <c r="W2377" i="1" s="1"/>
  <c r="N2366" i="1"/>
  <c r="W2366" i="1" s="1"/>
  <c r="N2356" i="1"/>
  <c r="W2356" i="1" s="1"/>
  <c r="N2355" i="1"/>
  <c r="P2354" i="1"/>
  <c r="S2351" i="1"/>
  <c r="N2345" i="1"/>
  <c r="W2345" i="1" s="1"/>
  <c r="N2334" i="1"/>
  <c r="W2334" i="1" s="1"/>
  <c r="M2310" i="1"/>
  <c r="N2310" i="1" s="1"/>
  <c r="W2310" i="1" s="1"/>
  <c r="N2274" i="1"/>
  <c r="W2274" i="1" s="1"/>
  <c r="M2270" i="1"/>
  <c r="N2270" i="1" s="1"/>
  <c r="W2270" i="1" s="1"/>
  <c r="M2254" i="1"/>
  <c r="N2254" i="1" s="1"/>
  <c r="W2254" i="1" s="1"/>
  <c r="N2232" i="1"/>
  <c r="W2232" i="1" s="1"/>
  <c r="S2088" i="1"/>
  <c r="P2091" i="1"/>
  <c r="P2092" i="1"/>
  <c r="W2088" i="1"/>
  <c r="Q2088" i="1"/>
  <c r="P2089" i="1"/>
  <c r="R2088" i="1"/>
  <c r="P2090" i="1"/>
  <c r="Q2073" i="1"/>
  <c r="P2074" i="1"/>
  <c r="R2073" i="1"/>
  <c r="P2075" i="1"/>
  <c r="S2073" i="1"/>
  <c r="P2076" i="1"/>
  <c r="P2077" i="1"/>
  <c r="W2073" i="1"/>
  <c r="Q2008" i="1"/>
  <c r="P2009" i="1"/>
  <c r="R2008" i="1"/>
  <c r="P2010" i="1"/>
  <c r="S2008" i="1"/>
  <c r="P2011" i="1"/>
  <c r="W2008" i="1"/>
  <c r="S1916" i="1"/>
  <c r="P1919" i="1"/>
  <c r="W1916" i="1"/>
  <c r="Q1916" i="1"/>
  <c r="R1916" i="1"/>
  <c r="P1918" i="1"/>
  <c r="P1917" i="1"/>
  <c r="P2445" i="1"/>
  <c r="P2426" i="1"/>
  <c r="P2406" i="1"/>
  <c r="P2396" i="1"/>
  <c r="P2374" i="1"/>
  <c r="P2353" i="1"/>
  <c r="M2320" i="1"/>
  <c r="N2320" i="1" s="1"/>
  <c r="W2320" i="1" s="1"/>
  <c r="M2301" i="1"/>
  <c r="N2301" i="1" s="1"/>
  <c r="W2301" i="1" s="1"/>
  <c r="N2284" i="1"/>
  <c r="W2284" i="1" s="1"/>
  <c r="M2280" i="1"/>
  <c r="N2280" i="1" s="1"/>
  <c r="W2280" i="1" s="1"/>
  <c r="Q2245" i="1"/>
  <c r="P2246" i="1"/>
  <c r="R2245" i="1"/>
  <c r="P2247" i="1"/>
  <c r="S2245" i="1"/>
  <c r="P2248" i="1"/>
  <c r="W2245" i="1"/>
  <c r="M2214" i="1"/>
  <c r="N2214" i="1" s="1"/>
  <c r="W2214" i="1" s="1"/>
  <c r="M2204" i="1"/>
  <c r="N2204" i="1" s="1"/>
  <c r="W2204" i="1" s="1"/>
  <c r="M2203" i="1"/>
  <c r="N2203" i="1" s="1"/>
  <c r="N2202" i="1"/>
  <c r="W2202" i="1" s="1"/>
  <c r="M2193" i="1"/>
  <c r="N2193" i="1" s="1"/>
  <c r="W2193" i="1" s="1"/>
  <c r="N2192" i="1"/>
  <c r="W2192" i="1" s="1"/>
  <c r="N2191" i="1"/>
  <c r="M2182" i="1"/>
  <c r="N2182" i="1" s="1"/>
  <c r="W2182" i="1" s="1"/>
  <c r="N2181" i="1"/>
  <c r="W2181" i="1" s="1"/>
  <c r="M2173" i="1"/>
  <c r="N2173" i="1" s="1"/>
  <c r="W2173" i="1" s="1"/>
  <c r="N2172" i="1"/>
  <c r="W2172" i="1" s="1"/>
  <c r="N2171" i="1"/>
  <c r="M2163" i="1"/>
  <c r="N2163" i="1" s="1"/>
  <c r="W2163" i="1" s="1"/>
  <c r="N2162" i="1"/>
  <c r="W2162" i="1" s="1"/>
  <c r="N2152" i="1"/>
  <c r="W2152" i="1" s="1"/>
  <c r="M2112" i="1"/>
  <c r="N2112" i="1" s="1"/>
  <c r="W2112" i="1" s="1"/>
  <c r="N2111" i="1"/>
  <c r="W2111" i="1" s="1"/>
  <c r="M2102" i="1"/>
  <c r="N2102" i="1" s="1"/>
  <c r="W2102" i="1" s="1"/>
  <c r="M2092" i="1"/>
  <c r="N2092" i="1" s="1"/>
  <c r="W2092" i="1" s="1"/>
  <c r="M2082" i="1"/>
  <c r="N2082" i="1" s="1"/>
  <c r="W2082" i="1" s="1"/>
  <c r="M2072" i="1"/>
  <c r="N2072" i="1" s="1"/>
  <c r="W2072" i="1" s="1"/>
  <c r="M2062" i="1"/>
  <c r="N2062" i="1" s="1"/>
  <c r="W2062" i="1" s="1"/>
  <c r="M2052" i="1"/>
  <c r="N2052" i="1" s="1"/>
  <c r="W2052" i="1" s="1"/>
  <c r="M2042" i="1"/>
  <c r="N2042" i="1" s="1"/>
  <c r="W2042" i="1" s="1"/>
  <c r="M2031" i="1"/>
  <c r="N2031" i="1" s="1"/>
  <c r="W2031" i="1" s="1"/>
  <c r="M2021" i="1"/>
  <c r="N2021" i="1" s="1"/>
  <c r="W2021" i="1" s="1"/>
  <c r="M2020" i="1"/>
  <c r="N2020" i="1" s="1"/>
  <c r="M2010" i="1"/>
  <c r="N2010" i="1" s="1"/>
  <c r="W2010" i="1" s="1"/>
  <c r="M1999" i="1"/>
  <c r="N1999" i="1" s="1"/>
  <c r="W1999" i="1" s="1"/>
  <c r="M1989" i="1"/>
  <c r="N1989" i="1" s="1"/>
  <c r="W1989" i="1" s="1"/>
  <c r="M1988" i="1"/>
  <c r="N1988" i="1" s="1"/>
  <c r="M1978" i="1"/>
  <c r="N1978" i="1" s="1"/>
  <c r="W1978" i="1" s="1"/>
  <c r="M1967" i="1"/>
  <c r="N1967" i="1" s="1"/>
  <c r="W1967" i="1" s="1"/>
  <c r="M1957" i="1"/>
  <c r="N1957" i="1" s="1"/>
  <c r="W1957" i="1" s="1"/>
  <c r="M1956" i="1"/>
  <c r="N1956" i="1" s="1"/>
  <c r="W1948" i="1"/>
  <c r="M1946" i="1"/>
  <c r="N1946" i="1" s="1"/>
  <c r="W1946" i="1" s="1"/>
  <c r="M1928" i="1"/>
  <c r="N1928" i="1" s="1"/>
  <c r="M1927" i="1"/>
  <c r="N1927" i="1" s="1"/>
  <c r="W1927" i="1" s="1"/>
  <c r="M1926" i="1"/>
  <c r="N1926" i="1" s="1"/>
  <c r="W1926" i="1" s="1"/>
  <c r="W1894" i="1"/>
  <c r="M1892" i="1"/>
  <c r="N1892" i="1" s="1"/>
  <c r="M1840" i="1"/>
  <c r="N1840" i="1" s="1"/>
  <c r="W1840" i="1" s="1"/>
  <c r="Q1730" i="1"/>
  <c r="R1730" i="1"/>
  <c r="S1730" i="1"/>
  <c r="W1730" i="1"/>
  <c r="Q1722" i="1"/>
  <c r="R1722" i="1"/>
  <c r="S1722" i="1"/>
  <c r="W1722" i="1"/>
  <c r="W1679" i="1"/>
  <c r="Q1679" i="1"/>
  <c r="R1679" i="1"/>
  <c r="S1679" i="1"/>
  <c r="W1671" i="1"/>
  <c r="Q1671" i="1"/>
  <c r="R1671" i="1"/>
  <c r="S1671" i="1"/>
  <c r="W1663" i="1"/>
  <c r="Q1663" i="1"/>
  <c r="R1663" i="1"/>
  <c r="S1663" i="1"/>
  <c r="Q1607" i="1"/>
  <c r="R1607" i="1"/>
  <c r="S1607" i="1"/>
  <c r="W1607" i="1"/>
  <c r="Q1599" i="1"/>
  <c r="R1599" i="1"/>
  <c r="S1599" i="1"/>
  <c r="W1599" i="1"/>
  <c r="N2201" i="1"/>
  <c r="W2201" i="1" s="1"/>
  <c r="N2190" i="1"/>
  <c r="W2190" i="1" s="1"/>
  <c r="N2180" i="1"/>
  <c r="W2180" i="1" s="1"/>
  <c r="N2170" i="1"/>
  <c r="W2170" i="1" s="1"/>
  <c r="N2161" i="1"/>
  <c r="W2161" i="1" s="1"/>
  <c r="N2150" i="1"/>
  <c r="W2150" i="1" s="1"/>
  <c r="N2140" i="1"/>
  <c r="W2140" i="1" s="1"/>
  <c r="N2139" i="1"/>
  <c r="N2129" i="1"/>
  <c r="W2129" i="1" s="1"/>
  <c r="N2119" i="1"/>
  <c r="W2119" i="1" s="1"/>
  <c r="Q1912" i="1"/>
  <c r="P1913" i="1"/>
  <c r="R1904" i="1"/>
  <c r="P1906" i="1"/>
  <c r="Q1904" i="1"/>
  <c r="P1905" i="1"/>
  <c r="R1872" i="1"/>
  <c r="P1874" i="1"/>
  <c r="S1872" i="1"/>
  <c r="P1875" i="1"/>
  <c r="Q1872" i="1"/>
  <c r="P1873" i="1"/>
  <c r="M1860" i="1"/>
  <c r="N1860" i="1" s="1"/>
  <c r="W1827" i="1"/>
  <c r="Q1827" i="1"/>
  <c r="P1828" i="1"/>
  <c r="R1827" i="1"/>
  <c r="P1829" i="1"/>
  <c r="S1827" i="1"/>
  <c r="P1830" i="1"/>
  <c r="Q1799" i="1"/>
  <c r="P1800" i="1"/>
  <c r="R1799" i="1"/>
  <c r="P1801" i="1"/>
  <c r="S1799" i="1"/>
  <c r="P1802" i="1"/>
  <c r="W1799" i="1"/>
  <c r="Q1735" i="1"/>
  <c r="R1735" i="1"/>
  <c r="S1735" i="1"/>
  <c r="W1735" i="1"/>
  <c r="Q1727" i="1"/>
  <c r="R1727" i="1"/>
  <c r="S1727" i="1"/>
  <c r="W1727" i="1"/>
  <c r="W1684" i="1"/>
  <c r="Q1684" i="1"/>
  <c r="R1684" i="1"/>
  <c r="S1684" i="1"/>
  <c r="W1676" i="1"/>
  <c r="Q1676" i="1"/>
  <c r="R1676" i="1"/>
  <c r="S1676" i="1"/>
  <c r="W1668" i="1"/>
  <c r="Q1668" i="1"/>
  <c r="R1668" i="1"/>
  <c r="S1668" i="1"/>
  <c r="Q1612" i="1"/>
  <c r="R1612" i="1"/>
  <c r="S1612" i="1"/>
  <c r="W1612" i="1"/>
  <c r="Q1604" i="1"/>
  <c r="R1604" i="1"/>
  <c r="S1604" i="1"/>
  <c r="W1604" i="1"/>
  <c r="Q1596" i="1"/>
  <c r="R1596" i="1"/>
  <c r="S1596" i="1"/>
  <c r="W1596" i="1"/>
  <c r="Q1590" i="1"/>
  <c r="R1590" i="1"/>
  <c r="S1590" i="1"/>
  <c r="W1590" i="1"/>
  <c r="Q1586" i="1"/>
  <c r="R1586" i="1"/>
  <c r="S1586" i="1"/>
  <c r="W1586" i="1"/>
  <c r="Q1582" i="1"/>
  <c r="R1582" i="1"/>
  <c r="S1582" i="1"/>
  <c r="W1582" i="1"/>
  <c r="Q1578" i="1"/>
  <c r="R1578" i="1"/>
  <c r="S1578" i="1"/>
  <c r="W1578" i="1"/>
  <c r="Q1574" i="1"/>
  <c r="R1574" i="1"/>
  <c r="S1574" i="1"/>
  <c r="W1574" i="1"/>
  <c r="Q1570" i="1"/>
  <c r="R1570" i="1"/>
  <c r="S1570" i="1"/>
  <c r="W1570" i="1"/>
  <c r="Q1566" i="1"/>
  <c r="R1566" i="1"/>
  <c r="S1566" i="1"/>
  <c r="W1566" i="1"/>
  <c r="Q1562" i="1"/>
  <c r="R1562" i="1"/>
  <c r="S1562" i="1"/>
  <c r="W1562" i="1"/>
  <c r="N2321" i="1"/>
  <c r="W2321" i="1" s="1"/>
  <c r="N2312" i="1"/>
  <c r="W2312" i="1" s="1"/>
  <c r="N2311" i="1"/>
  <c r="N2302" i="1"/>
  <c r="W2302" i="1" s="1"/>
  <c r="N2292" i="1"/>
  <c r="W2292" i="1" s="1"/>
  <c r="N2282" i="1"/>
  <c r="W2282" i="1" s="1"/>
  <c r="N2281" i="1"/>
  <c r="N2260" i="1"/>
  <c r="W2260" i="1" s="1"/>
  <c r="N2250" i="1"/>
  <c r="W2250" i="1" s="1"/>
  <c r="N2220" i="1"/>
  <c r="W2220" i="1" s="1"/>
  <c r="N2210" i="1"/>
  <c r="W2210" i="1" s="1"/>
  <c r="N2200" i="1"/>
  <c r="W2200" i="1" s="1"/>
  <c r="N2199" i="1"/>
  <c r="N2189" i="1"/>
  <c r="W2189" i="1" s="1"/>
  <c r="N2179" i="1"/>
  <c r="W2179" i="1" s="1"/>
  <c r="N2169" i="1"/>
  <c r="W2169" i="1" s="1"/>
  <c r="N2160" i="1"/>
  <c r="W2160" i="1" s="1"/>
  <c r="N2159" i="1"/>
  <c r="N2149" i="1"/>
  <c r="W2149" i="1" s="1"/>
  <c r="N2099" i="1"/>
  <c r="W2099" i="1" s="1"/>
  <c r="N2089" i="1"/>
  <c r="W2089" i="1" s="1"/>
  <c r="N2079" i="1"/>
  <c r="W2079" i="1" s="1"/>
  <c r="N2078" i="1"/>
  <c r="N2069" i="1"/>
  <c r="W2069" i="1" s="1"/>
  <c r="N2068" i="1"/>
  <c r="N2059" i="1"/>
  <c r="W2059" i="1" s="1"/>
  <c r="N2058" i="1"/>
  <c r="N2049" i="1"/>
  <c r="W2049" i="1" s="1"/>
  <c r="N2038" i="1"/>
  <c r="W2038" i="1" s="1"/>
  <c r="N2027" i="1"/>
  <c r="W2027" i="1" s="1"/>
  <c r="N2017" i="1"/>
  <c r="W2017" i="1" s="1"/>
  <c r="N2016" i="1"/>
  <c r="N2006" i="1"/>
  <c r="W2006" i="1" s="1"/>
  <c r="N1995" i="1"/>
  <c r="W1995" i="1" s="1"/>
  <c r="N1985" i="1"/>
  <c r="W1985" i="1" s="1"/>
  <c r="N1984" i="1"/>
  <c r="N1974" i="1"/>
  <c r="W1974" i="1" s="1"/>
  <c r="N1963" i="1"/>
  <c r="W1963" i="1" s="1"/>
  <c r="P1962" i="1"/>
  <c r="R1960" i="1"/>
  <c r="N1953" i="1"/>
  <c r="W1953" i="1" s="1"/>
  <c r="N1952" i="1"/>
  <c r="S1948" i="1"/>
  <c r="N1931" i="1"/>
  <c r="W1931" i="1" s="1"/>
  <c r="N1921" i="1"/>
  <c r="W1921" i="1" s="1"/>
  <c r="N1918" i="1"/>
  <c r="W1918" i="1" s="1"/>
  <c r="W1891" i="1"/>
  <c r="W1848" i="1"/>
  <c r="Q1848" i="1"/>
  <c r="P1849" i="1"/>
  <c r="R1848" i="1"/>
  <c r="P1850" i="1"/>
  <c r="S1848" i="1"/>
  <c r="P1851" i="1"/>
  <c r="M1839" i="1"/>
  <c r="N1839" i="1" s="1"/>
  <c r="W1782" i="1"/>
  <c r="Q1782" i="1"/>
  <c r="P1783" i="1"/>
  <c r="R1782" i="1"/>
  <c r="P1784" i="1"/>
  <c r="S1782" i="1"/>
  <c r="Q1732" i="1"/>
  <c r="R1732" i="1"/>
  <c r="S1732" i="1"/>
  <c r="W1732" i="1"/>
  <c r="Q1724" i="1"/>
  <c r="R1724" i="1"/>
  <c r="S1724" i="1"/>
  <c r="W1724" i="1"/>
  <c r="W1681" i="1"/>
  <c r="Q1681" i="1"/>
  <c r="R1681" i="1"/>
  <c r="S1681" i="1"/>
  <c r="W1673" i="1"/>
  <c r="Q1673" i="1"/>
  <c r="R1673" i="1"/>
  <c r="S1673" i="1"/>
  <c r="W1665" i="1"/>
  <c r="Q1665" i="1"/>
  <c r="R1665" i="1"/>
  <c r="S1665" i="1"/>
  <c r="Q1609" i="1"/>
  <c r="R1609" i="1"/>
  <c r="S1609" i="1"/>
  <c r="W1609" i="1"/>
  <c r="Q1601" i="1"/>
  <c r="R1601" i="1"/>
  <c r="S1601" i="1"/>
  <c r="W1601" i="1"/>
  <c r="Q1593" i="1"/>
  <c r="R1593" i="1"/>
  <c r="S1593" i="1"/>
  <c r="W1593" i="1"/>
  <c r="N2259" i="1"/>
  <c r="W2259" i="1" s="1"/>
  <c r="N2248" i="1"/>
  <c r="W2248" i="1" s="1"/>
  <c r="N2238" i="1"/>
  <c r="W2238" i="1" s="1"/>
  <c r="N2229" i="1"/>
  <c r="W2229" i="1" s="1"/>
  <c r="N2219" i="1"/>
  <c r="W2219" i="1" s="1"/>
  <c r="N2209" i="1"/>
  <c r="W2209" i="1" s="1"/>
  <c r="N2198" i="1"/>
  <c r="W2198" i="1" s="1"/>
  <c r="N2188" i="1"/>
  <c r="W2188" i="1" s="1"/>
  <c r="N2187" i="1"/>
  <c r="N2178" i="1"/>
  <c r="W2178" i="1" s="1"/>
  <c r="N2177" i="1"/>
  <c r="N2168" i="1"/>
  <c r="W2168" i="1" s="1"/>
  <c r="N2158" i="1"/>
  <c r="W2158" i="1" s="1"/>
  <c r="N2148" i="1"/>
  <c r="W2148" i="1" s="1"/>
  <c r="N2147" i="1"/>
  <c r="N2107" i="1"/>
  <c r="W2107" i="1" s="1"/>
  <c r="N2097" i="1"/>
  <c r="W2097" i="1" s="1"/>
  <c r="N2087" i="1"/>
  <c r="W2087" i="1" s="1"/>
  <c r="N2077" i="1"/>
  <c r="W2077" i="1" s="1"/>
  <c r="N2067" i="1"/>
  <c r="W2067" i="1" s="1"/>
  <c r="N2057" i="1"/>
  <c r="W2057" i="1" s="1"/>
  <c r="N2047" i="1"/>
  <c r="W2047" i="1" s="1"/>
  <c r="N2037" i="1"/>
  <c r="W2037" i="1" s="1"/>
  <c r="N2036" i="1"/>
  <c r="N2015" i="1"/>
  <c r="W2015" i="1" s="1"/>
  <c r="N2005" i="1"/>
  <c r="W2005" i="1" s="1"/>
  <c r="N2004" i="1"/>
  <c r="P1961" i="1"/>
  <c r="Q1960" i="1"/>
  <c r="P1950" i="1"/>
  <c r="N1942" i="1"/>
  <c r="W1942" i="1" s="1"/>
  <c r="N1922" i="1"/>
  <c r="W1922" i="1" s="1"/>
  <c r="N1919" i="1"/>
  <c r="W1919" i="1" s="1"/>
  <c r="N1899" i="1"/>
  <c r="W1899" i="1" s="1"/>
  <c r="N1889" i="1"/>
  <c r="W1889" i="1" s="1"/>
  <c r="W1880" i="1"/>
  <c r="Q1880" i="1"/>
  <c r="P1881" i="1"/>
  <c r="R1880" i="1"/>
  <c r="P1882" i="1"/>
  <c r="S1880" i="1"/>
  <c r="P1883" i="1"/>
  <c r="W1743" i="1"/>
  <c r="Q1743" i="1"/>
  <c r="P1744" i="1"/>
  <c r="R1743" i="1"/>
  <c r="P1745" i="1"/>
  <c r="S1743" i="1"/>
  <c r="Q1740" i="1"/>
  <c r="P1741" i="1"/>
  <c r="R1740" i="1"/>
  <c r="P1742" i="1"/>
  <c r="S1740" i="1"/>
  <c r="W1740" i="1"/>
  <c r="Q1729" i="1"/>
  <c r="R1729" i="1"/>
  <c r="S1729" i="1"/>
  <c r="W1729" i="1"/>
  <c r="Q1721" i="1"/>
  <c r="R1721" i="1"/>
  <c r="S1721" i="1"/>
  <c r="W1721" i="1"/>
  <c r="W1686" i="1"/>
  <c r="Q1686" i="1"/>
  <c r="R1686" i="1"/>
  <c r="S1686" i="1"/>
  <c r="W1678" i="1"/>
  <c r="Q1678" i="1"/>
  <c r="R1678" i="1"/>
  <c r="S1678" i="1"/>
  <c r="W1670" i="1"/>
  <c r="Q1670" i="1"/>
  <c r="R1670" i="1"/>
  <c r="S1670" i="1"/>
  <c r="W1662" i="1"/>
  <c r="Q1662" i="1"/>
  <c r="R1662" i="1"/>
  <c r="S1662" i="1"/>
  <c r="Q1614" i="1"/>
  <c r="R1614" i="1"/>
  <c r="S1614" i="1"/>
  <c r="W1614" i="1"/>
  <c r="Q1606" i="1"/>
  <c r="R1606" i="1"/>
  <c r="S1606" i="1"/>
  <c r="W1606" i="1"/>
  <c r="Q1598" i="1"/>
  <c r="R1598" i="1"/>
  <c r="S1598" i="1"/>
  <c r="W1598" i="1"/>
  <c r="Q1589" i="1"/>
  <c r="R1589" i="1"/>
  <c r="S1589" i="1"/>
  <c r="W1589" i="1"/>
  <c r="Q1585" i="1"/>
  <c r="R1585" i="1"/>
  <c r="S1585" i="1"/>
  <c r="W1585" i="1"/>
  <c r="Q1581" i="1"/>
  <c r="R1581" i="1"/>
  <c r="S1581" i="1"/>
  <c r="W1581" i="1"/>
  <c r="Q1577" i="1"/>
  <c r="R1577" i="1"/>
  <c r="S1577" i="1"/>
  <c r="W1577" i="1"/>
  <c r="Q1573" i="1"/>
  <c r="R1573" i="1"/>
  <c r="S1573" i="1"/>
  <c r="W1573" i="1"/>
  <c r="Q1569" i="1"/>
  <c r="R1569" i="1"/>
  <c r="S1569" i="1"/>
  <c r="W1569" i="1"/>
  <c r="Q1565" i="1"/>
  <c r="R1565" i="1"/>
  <c r="S1565" i="1"/>
  <c r="W1565" i="1"/>
  <c r="Q1561" i="1"/>
  <c r="R1561" i="1"/>
  <c r="S1561" i="1"/>
  <c r="W1561" i="1"/>
  <c r="N2146" i="1"/>
  <c r="W2146" i="1" s="1"/>
  <c r="N2136" i="1"/>
  <c r="W2136" i="1" s="1"/>
  <c r="N2135" i="1"/>
  <c r="N2125" i="1"/>
  <c r="W2125" i="1" s="1"/>
  <c r="N2116" i="1"/>
  <c r="W2116" i="1" s="1"/>
  <c r="N2115" i="1"/>
  <c r="N2106" i="1"/>
  <c r="W2106" i="1" s="1"/>
  <c r="N2096" i="1"/>
  <c r="W2096" i="1" s="1"/>
  <c r="N2086" i="1"/>
  <c r="W2086" i="1" s="1"/>
  <c r="N2076" i="1"/>
  <c r="W2076" i="1" s="1"/>
  <c r="N2066" i="1"/>
  <c r="W2066" i="1" s="1"/>
  <c r="N2056" i="1"/>
  <c r="W2056" i="1" s="1"/>
  <c r="N2046" i="1"/>
  <c r="W2046" i="1" s="1"/>
  <c r="N2035" i="1"/>
  <c r="W2035" i="1" s="1"/>
  <c r="N2025" i="1"/>
  <c r="W2025" i="1" s="1"/>
  <c r="N2003" i="1"/>
  <c r="W2003" i="1" s="1"/>
  <c r="P1907" i="1"/>
  <c r="M1871" i="1"/>
  <c r="N1871" i="1" s="1"/>
  <c r="W1871" i="1" s="1"/>
  <c r="M1829" i="1"/>
  <c r="N1829" i="1" s="1"/>
  <c r="W1829" i="1" s="1"/>
  <c r="R1819" i="1"/>
  <c r="P1821" i="1"/>
  <c r="S1819" i="1"/>
  <c r="P1822" i="1"/>
  <c r="W1819" i="1"/>
  <c r="Q1819" i="1"/>
  <c r="P1820" i="1"/>
  <c r="Q1788" i="1"/>
  <c r="P1789" i="1"/>
  <c r="R1788" i="1"/>
  <c r="P1790" i="1"/>
  <c r="S1788" i="1"/>
  <c r="W1788" i="1"/>
  <c r="W1781" i="1"/>
  <c r="Q1781" i="1"/>
  <c r="R1781" i="1"/>
  <c r="S1781" i="1"/>
  <c r="Q1734" i="1"/>
  <c r="R1734" i="1"/>
  <c r="S1734" i="1"/>
  <c r="W1734" i="1"/>
  <c r="Q1726" i="1"/>
  <c r="R1726" i="1"/>
  <c r="S1726" i="1"/>
  <c r="W1726" i="1"/>
  <c r="W1683" i="1"/>
  <c r="Q1683" i="1"/>
  <c r="R1683" i="1"/>
  <c r="S1683" i="1"/>
  <c r="W1675" i="1"/>
  <c r="Q1675" i="1"/>
  <c r="R1675" i="1"/>
  <c r="S1675" i="1"/>
  <c r="W1667" i="1"/>
  <c r="Q1667" i="1"/>
  <c r="R1667" i="1"/>
  <c r="S1667" i="1"/>
  <c r="Q1611" i="1"/>
  <c r="R1611" i="1"/>
  <c r="S1611" i="1"/>
  <c r="W1611" i="1"/>
  <c r="Q1603" i="1"/>
  <c r="R1603" i="1"/>
  <c r="S1603" i="1"/>
  <c r="W1603" i="1"/>
  <c r="Q1595" i="1"/>
  <c r="R1595" i="1"/>
  <c r="S1595" i="1"/>
  <c r="W1595" i="1"/>
  <c r="N2156" i="1"/>
  <c r="W2156" i="1" s="1"/>
  <c r="N2155" i="1"/>
  <c r="N2145" i="1"/>
  <c r="W2145" i="1" s="1"/>
  <c r="N2134" i="1"/>
  <c r="W2134" i="1" s="1"/>
  <c r="N2124" i="1"/>
  <c r="W2124" i="1" s="1"/>
  <c r="N2114" i="1"/>
  <c r="N2105" i="1"/>
  <c r="W2105" i="1" s="1"/>
  <c r="N2095" i="1"/>
  <c r="W2095" i="1" s="1"/>
  <c r="N2075" i="1"/>
  <c r="W2075" i="1" s="1"/>
  <c r="N2065" i="1"/>
  <c r="W2065" i="1" s="1"/>
  <c r="N2055" i="1"/>
  <c r="W2055" i="1" s="1"/>
  <c r="N2045" i="1"/>
  <c r="W2045" i="1" s="1"/>
  <c r="N2044" i="1"/>
  <c r="N2034" i="1"/>
  <c r="W2034" i="1" s="1"/>
  <c r="N2023" i="1"/>
  <c r="W2023" i="1" s="1"/>
  <c r="N2013" i="1"/>
  <c r="W2013" i="1" s="1"/>
  <c r="N2012" i="1"/>
  <c r="W1923" i="1"/>
  <c r="P1915" i="1"/>
  <c r="P1914" i="1"/>
  <c r="W1912" i="1"/>
  <c r="M1903" i="1"/>
  <c r="N1903" i="1" s="1"/>
  <c r="W1903" i="1" s="1"/>
  <c r="Q1852" i="1"/>
  <c r="P1853" i="1"/>
  <c r="R1852" i="1"/>
  <c r="P1854" i="1"/>
  <c r="S1852" i="1"/>
  <c r="P1855" i="1"/>
  <c r="W1852" i="1"/>
  <c r="M1850" i="1"/>
  <c r="N1850" i="1" s="1"/>
  <c r="W1850" i="1" s="1"/>
  <c r="W1815" i="1"/>
  <c r="Q1815" i="1"/>
  <c r="P1816" i="1"/>
  <c r="R1815" i="1"/>
  <c r="P1817" i="1"/>
  <c r="S1815" i="1"/>
  <c r="P1818" i="1"/>
  <c r="W1795" i="1"/>
  <c r="Q1795" i="1"/>
  <c r="P1796" i="1"/>
  <c r="R1795" i="1"/>
  <c r="P1797" i="1"/>
  <c r="S1795" i="1"/>
  <c r="P1798" i="1"/>
  <c r="Q1731" i="1"/>
  <c r="R1731" i="1"/>
  <c r="S1731" i="1"/>
  <c r="W1731" i="1"/>
  <c r="Q1723" i="1"/>
  <c r="R1723" i="1"/>
  <c r="S1723" i="1"/>
  <c r="W1723" i="1"/>
  <c r="W1680" i="1"/>
  <c r="Q1680" i="1"/>
  <c r="R1680" i="1"/>
  <c r="S1680" i="1"/>
  <c r="W1672" i="1"/>
  <c r="Q1672" i="1"/>
  <c r="R1672" i="1"/>
  <c r="S1672" i="1"/>
  <c r="W1664" i="1"/>
  <c r="Q1664" i="1"/>
  <c r="R1664" i="1"/>
  <c r="S1664" i="1"/>
  <c r="R1654" i="1"/>
  <c r="P1656" i="1"/>
  <c r="S1654" i="1"/>
  <c r="P1657" i="1"/>
  <c r="W1654" i="1"/>
  <c r="Q1654" i="1"/>
  <c r="P1655" i="1"/>
  <c r="Q1608" i="1"/>
  <c r="R1608" i="1"/>
  <c r="S1608" i="1"/>
  <c r="W1608" i="1"/>
  <c r="Q1600" i="1"/>
  <c r="R1600" i="1"/>
  <c r="S1600" i="1"/>
  <c r="W1600" i="1"/>
  <c r="Q1588" i="1"/>
  <c r="R1588" i="1"/>
  <c r="S1588" i="1"/>
  <c r="W1588" i="1"/>
  <c r="Q1584" i="1"/>
  <c r="R1584" i="1"/>
  <c r="S1584" i="1"/>
  <c r="W1584" i="1"/>
  <c r="Q1580" i="1"/>
  <c r="R1580" i="1"/>
  <c r="S1580" i="1"/>
  <c r="W1580" i="1"/>
  <c r="Q1576" i="1"/>
  <c r="R1576" i="1"/>
  <c r="S1576" i="1"/>
  <c r="W1576" i="1"/>
  <c r="Q1572" i="1"/>
  <c r="R1572" i="1"/>
  <c r="S1572" i="1"/>
  <c r="W1572" i="1"/>
  <c r="Q1568" i="1"/>
  <c r="R1568" i="1"/>
  <c r="S1568" i="1"/>
  <c r="W1568" i="1"/>
  <c r="Q1564" i="1"/>
  <c r="R1564" i="1"/>
  <c r="S1564" i="1"/>
  <c r="W1564" i="1"/>
  <c r="Q1560" i="1"/>
  <c r="R1560" i="1"/>
  <c r="S1560" i="1"/>
  <c r="W1560" i="1"/>
  <c r="N2326" i="1"/>
  <c r="W2326" i="1" s="1"/>
  <c r="N2316" i="1"/>
  <c r="W2316" i="1" s="1"/>
  <c r="N2307" i="1"/>
  <c r="W2307" i="1" s="1"/>
  <c r="N2297" i="1"/>
  <c r="W2297" i="1" s="1"/>
  <c r="N2287" i="1"/>
  <c r="W2287" i="1" s="1"/>
  <c r="N2266" i="1"/>
  <c r="W2266" i="1" s="1"/>
  <c r="N2265" i="1"/>
  <c r="N2244" i="1"/>
  <c r="W2244" i="1" s="1"/>
  <c r="N2235" i="1"/>
  <c r="W2235" i="1" s="1"/>
  <c r="N2225" i="1"/>
  <c r="W2225" i="1" s="1"/>
  <c r="N2216" i="1"/>
  <c r="W2216" i="1" s="1"/>
  <c r="N2215" i="1"/>
  <c r="N2205" i="1"/>
  <c r="W2205" i="1" s="1"/>
  <c r="N2194" i="1"/>
  <c r="W2194" i="1" s="1"/>
  <c r="N2184" i="1"/>
  <c r="W2184" i="1" s="1"/>
  <c r="N2174" i="1"/>
  <c r="W2174" i="1" s="1"/>
  <c r="N2164" i="1"/>
  <c r="W2164" i="1" s="1"/>
  <c r="N2154" i="1"/>
  <c r="W2154" i="1" s="1"/>
  <c r="N2144" i="1"/>
  <c r="W2144" i="1" s="1"/>
  <c r="N2143" i="1"/>
  <c r="N2133" i="1"/>
  <c r="W2133" i="1" s="1"/>
  <c r="N2123" i="1"/>
  <c r="W2123" i="1" s="1"/>
  <c r="N2113" i="1"/>
  <c r="N2104" i="1"/>
  <c r="W2104" i="1" s="1"/>
  <c r="N2103" i="1"/>
  <c r="N2094" i="1"/>
  <c r="W2094" i="1" s="1"/>
  <c r="N2084" i="1"/>
  <c r="W2084" i="1" s="1"/>
  <c r="N2064" i="1"/>
  <c r="W2064" i="1" s="1"/>
  <c r="N2063" i="1"/>
  <c r="N2054" i="1"/>
  <c r="W2054" i="1" s="1"/>
  <c r="N2053" i="1"/>
  <c r="N2033" i="1"/>
  <c r="W2033" i="1" s="1"/>
  <c r="N2032" i="1"/>
  <c r="N2022" i="1"/>
  <c r="W2022" i="1" s="1"/>
  <c r="N2011" i="1"/>
  <c r="W2011" i="1" s="1"/>
  <c r="N2001" i="1"/>
  <c r="W2001" i="1" s="1"/>
  <c r="N2000" i="1"/>
  <c r="N1979" i="1"/>
  <c r="W1979" i="1" s="1"/>
  <c r="N1969" i="1"/>
  <c r="W1969" i="1" s="1"/>
  <c r="M1914" i="1"/>
  <c r="N1914" i="1" s="1"/>
  <c r="W1914" i="1" s="1"/>
  <c r="N1910" i="1"/>
  <c r="W1910" i="1" s="1"/>
  <c r="W1904" i="1"/>
  <c r="M1893" i="1"/>
  <c r="N1893" i="1" s="1"/>
  <c r="W1893" i="1" s="1"/>
  <c r="Q1884" i="1"/>
  <c r="P1885" i="1"/>
  <c r="R1884" i="1"/>
  <c r="S1884" i="1"/>
  <c r="P1887" i="1"/>
  <c r="W1884" i="1"/>
  <c r="M1882" i="1"/>
  <c r="N1882" i="1" s="1"/>
  <c r="W1882" i="1" s="1"/>
  <c r="W1873" i="1"/>
  <c r="Q1831" i="1"/>
  <c r="P1832" i="1"/>
  <c r="R1831" i="1"/>
  <c r="P1833" i="1"/>
  <c r="S1831" i="1"/>
  <c r="P1834" i="1"/>
  <c r="W1831" i="1"/>
  <c r="W1780" i="1"/>
  <c r="Q1780" i="1"/>
  <c r="R1780" i="1"/>
  <c r="S1780" i="1"/>
  <c r="Q1728" i="1"/>
  <c r="R1728" i="1"/>
  <c r="S1728" i="1"/>
  <c r="W1728" i="1"/>
  <c r="W1685" i="1"/>
  <c r="Q1685" i="1"/>
  <c r="R1685" i="1"/>
  <c r="S1685" i="1"/>
  <c r="W1677" i="1"/>
  <c r="Q1677" i="1"/>
  <c r="R1677" i="1"/>
  <c r="S1677" i="1"/>
  <c r="W1669" i="1"/>
  <c r="Q1669" i="1"/>
  <c r="R1669" i="1"/>
  <c r="S1669" i="1"/>
  <c r="W1650" i="1"/>
  <c r="Q1650" i="1"/>
  <c r="P1651" i="1"/>
  <c r="R1650" i="1"/>
  <c r="P1652" i="1"/>
  <c r="S1650" i="1"/>
  <c r="P1653" i="1"/>
  <c r="Q1613" i="1"/>
  <c r="R1613" i="1"/>
  <c r="S1613" i="1"/>
  <c r="W1613" i="1"/>
  <c r="Q1605" i="1"/>
  <c r="R1605" i="1"/>
  <c r="S1605" i="1"/>
  <c r="W1605" i="1"/>
  <c r="Q1597" i="1"/>
  <c r="R1597" i="1"/>
  <c r="S1597" i="1"/>
  <c r="W1597" i="1"/>
  <c r="N1924" i="1"/>
  <c r="N1920" i="1"/>
  <c r="S1912" i="1"/>
  <c r="N1911" i="1"/>
  <c r="W1911" i="1" s="1"/>
  <c r="W1902" i="1"/>
  <c r="N1888" i="1"/>
  <c r="P1886" i="1"/>
  <c r="W1872" i="1"/>
  <c r="M1861" i="1"/>
  <c r="N1861" i="1" s="1"/>
  <c r="W1861" i="1" s="1"/>
  <c r="W1755" i="1"/>
  <c r="Q1755" i="1"/>
  <c r="P1756" i="1"/>
  <c r="R1755" i="1"/>
  <c r="P1757" i="1"/>
  <c r="S1755" i="1"/>
  <c r="Q1733" i="1"/>
  <c r="R1733" i="1"/>
  <c r="S1733" i="1"/>
  <c r="W1733" i="1"/>
  <c r="Q1725" i="1"/>
  <c r="R1725" i="1"/>
  <c r="S1725" i="1"/>
  <c r="W1725" i="1"/>
  <c r="W1682" i="1"/>
  <c r="Q1682" i="1"/>
  <c r="R1682" i="1"/>
  <c r="S1682" i="1"/>
  <c r="W1674" i="1"/>
  <c r="Q1674" i="1"/>
  <c r="R1674" i="1"/>
  <c r="S1674" i="1"/>
  <c r="W1666" i="1"/>
  <c r="Q1666" i="1"/>
  <c r="R1666" i="1"/>
  <c r="S1666" i="1"/>
  <c r="Q1610" i="1"/>
  <c r="R1610" i="1"/>
  <c r="S1610" i="1"/>
  <c r="W1610" i="1"/>
  <c r="Q1602" i="1"/>
  <c r="R1602" i="1"/>
  <c r="S1602" i="1"/>
  <c r="W1602" i="1"/>
  <c r="Q1594" i="1"/>
  <c r="R1594" i="1"/>
  <c r="S1594" i="1"/>
  <c r="W1594" i="1"/>
  <c r="Q1591" i="1"/>
  <c r="R1591" i="1"/>
  <c r="S1591" i="1"/>
  <c r="W1591" i="1"/>
  <c r="Q1587" i="1"/>
  <c r="R1587" i="1"/>
  <c r="S1587" i="1"/>
  <c r="W1587" i="1"/>
  <c r="Q1583" i="1"/>
  <c r="R1583" i="1"/>
  <c r="S1583" i="1"/>
  <c r="W1583" i="1"/>
  <c r="Q1579" i="1"/>
  <c r="R1579" i="1"/>
  <c r="S1579" i="1"/>
  <c r="W1579" i="1"/>
  <c r="Q1575" i="1"/>
  <c r="R1575" i="1"/>
  <c r="S1575" i="1"/>
  <c r="W1575" i="1"/>
  <c r="Q1571" i="1"/>
  <c r="R1571" i="1"/>
  <c r="S1571" i="1"/>
  <c r="W1571" i="1"/>
  <c r="Q1567" i="1"/>
  <c r="R1567" i="1"/>
  <c r="S1567" i="1"/>
  <c r="W1567" i="1"/>
  <c r="Q1563" i="1"/>
  <c r="R1563" i="1"/>
  <c r="S1563" i="1"/>
  <c r="W1563" i="1"/>
  <c r="Q1559" i="1"/>
  <c r="R1559" i="1"/>
  <c r="S1559" i="1"/>
  <c r="W1559" i="1"/>
  <c r="M1907" i="1"/>
  <c r="N1907" i="1" s="1"/>
  <c r="W1907" i="1" s="1"/>
  <c r="M1897" i="1"/>
  <c r="N1897" i="1" s="1"/>
  <c r="W1897" i="1" s="1"/>
  <c r="M1896" i="1"/>
  <c r="N1896" i="1" s="1"/>
  <c r="M1886" i="1"/>
  <c r="N1886" i="1" s="1"/>
  <c r="W1886" i="1" s="1"/>
  <c r="M1875" i="1"/>
  <c r="N1875" i="1" s="1"/>
  <c r="W1875" i="1" s="1"/>
  <c r="M1865" i="1"/>
  <c r="N1865" i="1" s="1"/>
  <c r="W1865" i="1" s="1"/>
  <c r="M1864" i="1"/>
  <c r="N1864" i="1" s="1"/>
  <c r="M1854" i="1"/>
  <c r="N1854" i="1" s="1"/>
  <c r="W1854" i="1" s="1"/>
  <c r="M1843" i="1"/>
  <c r="N1843" i="1" s="1"/>
  <c r="W1843" i="1" s="1"/>
  <c r="M1833" i="1"/>
  <c r="N1833" i="1" s="1"/>
  <c r="W1833" i="1" s="1"/>
  <c r="M1822" i="1"/>
  <c r="N1822" i="1" s="1"/>
  <c r="W1822" i="1" s="1"/>
  <c r="M1812" i="1"/>
  <c r="N1812" i="1" s="1"/>
  <c r="W1812" i="1" s="1"/>
  <c r="M1811" i="1"/>
  <c r="N1811" i="1" s="1"/>
  <c r="M1801" i="1"/>
  <c r="N1801" i="1" s="1"/>
  <c r="W1801" i="1" s="1"/>
  <c r="M1790" i="1"/>
  <c r="N1790" i="1" s="1"/>
  <c r="W1790" i="1" s="1"/>
  <c r="M1777" i="1"/>
  <c r="N1777" i="1" s="1"/>
  <c r="W1777" i="1" s="1"/>
  <c r="M1776" i="1"/>
  <c r="N1776" i="1" s="1"/>
  <c r="M1775" i="1"/>
  <c r="N1775" i="1" s="1"/>
  <c r="M1774" i="1"/>
  <c r="N1774" i="1" s="1"/>
  <c r="M1773" i="1"/>
  <c r="N1773" i="1" s="1"/>
  <c r="M1772" i="1"/>
  <c r="N1772" i="1" s="1"/>
  <c r="M1657" i="1"/>
  <c r="N1657" i="1" s="1"/>
  <c r="W1657" i="1" s="1"/>
  <c r="M1647" i="1"/>
  <c r="N1647" i="1" s="1"/>
  <c r="W1647" i="1" s="1"/>
  <c r="M1646" i="1"/>
  <c r="N1646" i="1" s="1"/>
  <c r="M1450" i="1"/>
  <c r="N1450" i="1" s="1"/>
  <c r="W1752" i="1"/>
  <c r="M1447" i="1"/>
  <c r="N1447" i="1" s="1"/>
  <c r="M1441" i="1"/>
  <c r="N1441" i="1" s="1"/>
  <c r="M1437" i="1"/>
  <c r="N1437" i="1" s="1"/>
  <c r="M1433" i="1"/>
  <c r="N1433" i="1" s="1"/>
  <c r="M1429" i="1"/>
  <c r="N1429" i="1" s="1"/>
  <c r="M1425" i="1"/>
  <c r="N1425" i="1" s="1"/>
  <c r="M1421" i="1"/>
  <c r="N1421" i="1" s="1"/>
  <c r="M1417" i="1"/>
  <c r="N1417" i="1" s="1"/>
  <c r="M1413" i="1"/>
  <c r="N1413" i="1" s="1"/>
  <c r="M1409" i="1"/>
  <c r="N1409" i="1" s="1"/>
  <c r="M1405" i="1"/>
  <c r="N1405" i="1" s="1"/>
  <c r="M1401" i="1"/>
  <c r="N1401" i="1" s="1"/>
  <c r="M1397" i="1"/>
  <c r="N1397" i="1" s="1"/>
  <c r="M1393" i="1"/>
  <c r="N1393" i="1" s="1"/>
  <c r="M1389" i="1"/>
  <c r="N1389" i="1" s="1"/>
  <c r="M1385" i="1"/>
  <c r="N1385" i="1" s="1"/>
  <c r="M1381" i="1"/>
  <c r="N1381" i="1" s="1"/>
  <c r="M1377" i="1"/>
  <c r="N1377" i="1" s="1"/>
  <c r="M1373" i="1"/>
  <c r="N1373" i="1" s="1"/>
  <c r="M1369" i="1"/>
  <c r="N1369" i="1" s="1"/>
  <c r="M1365" i="1"/>
  <c r="N1365" i="1" s="1"/>
  <c r="N1818" i="1"/>
  <c r="W1818" i="1" s="1"/>
  <c r="N1808" i="1"/>
  <c r="W1808" i="1" s="1"/>
  <c r="N1807" i="1"/>
  <c r="N1797" i="1"/>
  <c r="W1797" i="1" s="1"/>
  <c r="N1786" i="1"/>
  <c r="W1786" i="1" s="1"/>
  <c r="N1785" i="1"/>
  <c r="N1769" i="1"/>
  <c r="W1769" i="1" s="1"/>
  <c r="N1768" i="1"/>
  <c r="N1767" i="1"/>
  <c r="N1766" i="1"/>
  <c r="N1765" i="1"/>
  <c r="N1764" i="1"/>
  <c r="N1763" i="1"/>
  <c r="N1762" i="1"/>
  <c r="N1761" i="1"/>
  <c r="N1760" i="1"/>
  <c r="N1759" i="1"/>
  <c r="N1758" i="1"/>
  <c r="N1747" i="1"/>
  <c r="W1747" i="1" s="1"/>
  <c r="N1746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53" i="1"/>
  <c r="W1653" i="1" s="1"/>
  <c r="N1643" i="1"/>
  <c r="W1643" i="1" s="1"/>
  <c r="N1642" i="1"/>
  <c r="N1641" i="1"/>
  <c r="N1640" i="1"/>
  <c r="N1639" i="1"/>
  <c r="N1638" i="1"/>
  <c r="M1452" i="1"/>
  <c r="N1452" i="1" s="1"/>
  <c r="M1444" i="1"/>
  <c r="N1444" i="1" s="1"/>
  <c r="S1752" i="1"/>
  <c r="W1555" i="1"/>
  <c r="W1553" i="1"/>
  <c r="W1547" i="1"/>
  <c r="W1545" i="1"/>
  <c r="M1542" i="1"/>
  <c r="N1542" i="1" s="1"/>
  <c r="M1540" i="1"/>
  <c r="N1540" i="1" s="1"/>
  <c r="M1538" i="1"/>
  <c r="N1538" i="1" s="1"/>
  <c r="M1536" i="1"/>
  <c r="N1536" i="1" s="1"/>
  <c r="M1534" i="1"/>
  <c r="N1534" i="1" s="1"/>
  <c r="M1532" i="1"/>
  <c r="N1532" i="1" s="1"/>
  <c r="M1530" i="1"/>
  <c r="N1530" i="1" s="1"/>
  <c r="M1528" i="1"/>
  <c r="N1528" i="1" s="1"/>
  <c r="M1526" i="1"/>
  <c r="N1526" i="1" s="1"/>
  <c r="M1524" i="1"/>
  <c r="N1524" i="1" s="1"/>
  <c r="M1522" i="1"/>
  <c r="N1522" i="1" s="1"/>
  <c r="M1520" i="1"/>
  <c r="N1520" i="1" s="1"/>
  <c r="M1518" i="1"/>
  <c r="N1518" i="1" s="1"/>
  <c r="M1516" i="1"/>
  <c r="N1516" i="1" s="1"/>
  <c r="M1514" i="1"/>
  <c r="N1514" i="1" s="1"/>
  <c r="M1512" i="1"/>
  <c r="N1512" i="1" s="1"/>
  <c r="M1510" i="1"/>
  <c r="N1510" i="1" s="1"/>
  <c r="M1508" i="1"/>
  <c r="N1508" i="1" s="1"/>
  <c r="M1506" i="1"/>
  <c r="N1506" i="1" s="1"/>
  <c r="M1504" i="1"/>
  <c r="N1504" i="1" s="1"/>
  <c r="M1502" i="1"/>
  <c r="N1502" i="1" s="1"/>
  <c r="M1500" i="1"/>
  <c r="N1500" i="1" s="1"/>
  <c r="M1498" i="1"/>
  <c r="N1498" i="1" s="1"/>
  <c r="M1496" i="1"/>
  <c r="N1496" i="1" s="1"/>
  <c r="M1494" i="1"/>
  <c r="N1494" i="1" s="1"/>
  <c r="M1492" i="1"/>
  <c r="N1492" i="1" s="1"/>
  <c r="M1490" i="1"/>
  <c r="N1490" i="1" s="1"/>
  <c r="M1488" i="1"/>
  <c r="N1488" i="1" s="1"/>
  <c r="M1486" i="1"/>
  <c r="N1486" i="1" s="1"/>
  <c r="M1484" i="1"/>
  <c r="N1484" i="1" s="1"/>
  <c r="M1482" i="1"/>
  <c r="N1482" i="1" s="1"/>
  <c r="M1480" i="1"/>
  <c r="N1480" i="1" s="1"/>
  <c r="M1478" i="1"/>
  <c r="N1478" i="1" s="1"/>
  <c r="M1476" i="1"/>
  <c r="N1476" i="1" s="1"/>
  <c r="M1474" i="1"/>
  <c r="N1474" i="1" s="1"/>
  <c r="M1472" i="1"/>
  <c r="N1472" i="1" s="1"/>
  <c r="M1470" i="1"/>
  <c r="N1470" i="1" s="1"/>
  <c r="M1468" i="1"/>
  <c r="N1468" i="1" s="1"/>
  <c r="M1466" i="1"/>
  <c r="N1466" i="1" s="1"/>
  <c r="M1464" i="1"/>
  <c r="N1464" i="1" s="1"/>
  <c r="M1462" i="1"/>
  <c r="N1462" i="1" s="1"/>
  <c r="M1460" i="1"/>
  <c r="N1460" i="1" s="1"/>
  <c r="M1458" i="1"/>
  <c r="N1458" i="1" s="1"/>
  <c r="M1456" i="1"/>
  <c r="N1456" i="1" s="1"/>
  <c r="M1454" i="1"/>
  <c r="N1454" i="1" s="1"/>
  <c r="M1449" i="1"/>
  <c r="N1449" i="1" s="1"/>
  <c r="M1440" i="1"/>
  <c r="N1440" i="1" s="1"/>
  <c r="M1436" i="1"/>
  <c r="N1436" i="1" s="1"/>
  <c r="M1432" i="1"/>
  <c r="N1432" i="1" s="1"/>
  <c r="M1428" i="1"/>
  <c r="N1428" i="1" s="1"/>
  <c r="M1424" i="1"/>
  <c r="N1424" i="1" s="1"/>
  <c r="M1420" i="1"/>
  <c r="N1420" i="1" s="1"/>
  <c r="M1416" i="1"/>
  <c r="N1416" i="1" s="1"/>
  <c r="M1412" i="1"/>
  <c r="N1412" i="1" s="1"/>
  <c r="M1408" i="1"/>
  <c r="N1408" i="1" s="1"/>
  <c r="M1404" i="1"/>
  <c r="N1404" i="1" s="1"/>
  <c r="M1400" i="1"/>
  <c r="N1400" i="1" s="1"/>
  <c r="M1396" i="1"/>
  <c r="N1396" i="1" s="1"/>
  <c r="M1392" i="1"/>
  <c r="N1392" i="1" s="1"/>
  <c r="M1388" i="1"/>
  <c r="N1388" i="1" s="1"/>
  <c r="M1384" i="1"/>
  <c r="N1384" i="1" s="1"/>
  <c r="M1380" i="1"/>
  <c r="N1380" i="1" s="1"/>
  <c r="M1376" i="1"/>
  <c r="N1376" i="1" s="1"/>
  <c r="M1372" i="1"/>
  <c r="N1372" i="1" s="1"/>
  <c r="M1368" i="1"/>
  <c r="N1368" i="1" s="1"/>
  <c r="M1446" i="1"/>
  <c r="N1446" i="1" s="1"/>
  <c r="P1753" i="1"/>
  <c r="N1742" i="1"/>
  <c r="W1742" i="1" s="1"/>
  <c r="N1660" i="1"/>
  <c r="W1660" i="1" s="1"/>
  <c r="N1649" i="1"/>
  <c r="W1649" i="1" s="1"/>
  <c r="N1635" i="1"/>
  <c r="W1635" i="1" s="1"/>
  <c r="N1634" i="1"/>
  <c r="N1633" i="1"/>
  <c r="N1632" i="1"/>
  <c r="N1631" i="1"/>
  <c r="N1630" i="1"/>
  <c r="N1629" i="1"/>
  <c r="N1628" i="1"/>
  <c r="N1627" i="1"/>
  <c r="N1626" i="1"/>
  <c r="S1555" i="1"/>
  <c r="S1553" i="1"/>
  <c r="S1547" i="1"/>
  <c r="S1545" i="1"/>
  <c r="M1451" i="1"/>
  <c r="N1451" i="1" s="1"/>
  <c r="M1443" i="1"/>
  <c r="N1443" i="1" s="1"/>
  <c r="M1439" i="1"/>
  <c r="N1439" i="1" s="1"/>
  <c r="M1435" i="1"/>
  <c r="N1435" i="1" s="1"/>
  <c r="M1431" i="1"/>
  <c r="N1431" i="1" s="1"/>
  <c r="M1427" i="1"/>
  <c r="N1427" i="1" s="1"/>
  <c r="M1423" i="1"/>
  <c r="N1423" i="1" s="1"/>
  <c r="M1419" i="1"/>
  <c r="N1419" i="1" s="1"/>
  <c r="M1415" i="1"/>
  <c r="N1415" i="1" s="1"/>
  <c r="M1411" i="1"/>
  <c r="N1411" i="1" s="1"/>
  <c r="M1407" i="1"/>
  <c r="N1407" i="1" s="1"/>
  <c r="M1403" i="1"/>
  <c r="N1403" i="1" s="1"/>
  <c r="M1399" i="1"/>
  <c r="N1399" i="1" s="1"/>
  <c r="M1395" i="1"/>
  <c r="N1395" i="1" s="1"/>
  <c r="M1391" i="1"/>
  <c r="N1391" i="1" s="1"/>
  <c r="M1387" i="1"/>
  <c r="N1387" i="1" s="1"/>
  <c r="M1383" i="1"/>
  <c r="N1383" i="1" s="1"/>
  <c r="M1379" i="1"/>
  <c r="N1379" i="1" s="1"/>
  <c r="M1375" i="1"/>
  <c r="N1375" i="1" s="1"/>
  <c r="M1371" i="1"/>
  <c r="N1371" i="1" s="1"/>
  <c r="M1367" i="1"/>
  <c r="N1367" i="1" s="1"/>
  <c r="N1659" i="1"/>
  <c r="W1659" i="1" s="1"/>
  <c r="N1658" i="1"/>
  <c r="N1648" i="1"/>
  <c r="W1648" i="1" s="1"/>
  <c r="R1555" i="1"/>
  <c r="R1553" i="1"/>
  <c r="R1547" i="1"/>
  <c r="R1545" i="1"/>
  <c r="M1448" i="1"/>
  <c r="N1448" i="1" s="1"/>
  <c r="M1543" i="1"/>
  <c r="N1543" i="1" s="1"/>
  <c r="M1541" i="1"/>
  <c r="N1541" i="1" s="1"/>
  <c r="M1539" i="1"/>
  <c r="N1539" i="1" s="1"/>
  <c r="M1537" i="1"/>
  <c r="N1537" i="1" s="1"/>
  <c r="M1535" i="1"/>
  <c r="N1535" i="1" s="1"/>
  <c r="M1533" i="1"/>
  <c r="N1533" i="1" s="1"/>
  <c r="M1531" i="1"/>
  <c r="N1531" i="1" s="1"/>
  <c r="M1529" i="1"/>
  <c r="N1529" i="1" s="1"/>
  <c r="M1527" i="1"/>
  <c r="N1527" i="1" s="1"/>
  <c r="M1525" i="1"/>
  <c r="N1525" i="1" s="1"/>
  <c r="M1523" i="1"/>
  <c r="N1523" i="1" s="1"/>
  <c r="M1521" i="1"/>
  <c r="N1521" i="1" s="1"/>
  <c r="M1519" i="1"/>
  <c r="N1519" i="1" s="1"/>
  <c r="M1517" i="1"/>
  <c r="N1517" i="1" s="1"/>
  <c r="M1515" i="1"/>
  <c r="N1515" i="1" s="1"/>
  <c r="M1513" i="1"/>
  <c r="N1513" i="1" s="1"/>
  <c r="M1511" i="1"/>
  <c r="N1511" i="1" s="1"/>
  <c r="M1509" i="1"/>
  <c r="N1509" i="1" s="1"/>
  <c r="M1507" i="1"/>
  <c r="N1507" i="1" s="1"/>
  <c r="M1505" i="1"/>
  <c r="N1505" i="1" s="1"/>
  <c r="M1503" i="1"/>
  <c r="N1503" i="1" s="1"/>
  <c r="M1501" i="1"/>
  <c r="N1501" i="1" s="1"/>
  <c r="M1499" i="1"/>
  <c r="N1499" i="1" s="1"/>
  <c r="M1497" i="1"/>
  <c r="N1497" i="1" s="1"/>
  <c r="M1495" i="1"/>
  <c r="N1495" i="1" s="1"/>
  <c r="M1493" i="1"/>
  <c r="N1493" i="1" s="1"/>
  <c r="M1491" i="1"/>
  <c r="N1491" i="1" s="1"/>
  <c r="M1489" i="1"/>
  <c r="N1489" i="1" s="1"/>
  <c r="M1487" i="1"/>
  <c r="N1487" i="1" s="1"/>
  <c r="M1485" i="1"/>
  <c r="N1485" i="1" s="1"/>
  <c r="M1483" i="1"/>
  <c r="N1483" i="1" s="1"/>
  <c r="M1481" i="1"/>
  <c r="N1481" i="1" s="1"/>
  <c r="M1479" i="1"/>
  <c r="N1479" i="1" s="1"/>
  <c r="M1477" i="1"/>
  <c r="N1477" i="1" s="1"/>
  <c r="M1475" i="1"/>
  <c r="N1475" i="1" s="1"/>
  <c r="M1473" i="1"/>
  <c r="N1473" i="1" s="1"/>
  <c r="M1471" i="1"/>
  <c r="N1471" i="1" s="1"/>
  <c r="M1469" i="1"/>
  <c r="N1469" i="1" s="1"/>
  <c r="M1467" i="1"/>
  <c r="N1467" i="1" s="1"/>
  <c r="M1465" i="1"/>
  <c r="N1465" i="1" s="1"/>
  <c r="M1463" i="1"/>
  <c r="N1463" i="1" s="1"/>
  <c r="M1461" i="1"/>
  <c r="N1461" i="1" s="1"/>
  <c r="M1459" i="1"/>
  <c r="N1459" i="1" s="1"/>
  <c r="M1457" i="1"/>
  <c r="N1457" i="1" s="1"/>
  <c r="M1455" i="1"/>
  <c r="N1455" i="1" s="1"/>
  <c r="M1453" i="1"/>
  <c r="N1453" i="1" s="1"/>
  <c r="M1445" i="1"/>
  <c r="N1445" i="1" s="1"/>
  <c r="M1442" i="1"/>
  <c r="N1442" i="1" s="1"/>
  <c r="M1438" i="1"/>
  <c r="N1438" i="1" s="1"/>
  <c r="M1434" i="1"/>
  <c r="N1434" i="1" s="1"/>
  <c r="M1430" i="1"/>
  <c r="N1430" i="1" s="1"/>
  <c r="M1426" i="1"/>
  <c r="N1426" i="1" s="1"/>
  <c r="M1422" i="1"/>
  <c r="N1422" i="1" s="1"/>
  <c r="M1418" i="1"/>
  <c r="N1418" i="1" s="1"/>
  <c r="M1414" i="1"/>
  <c r="N1414" i="1" s="1"/>
  <c r="M1410" i="1"/>
  <c r="N1410" i="1" s="1"/>
  <c r="M1406" i="1"/>
  <c r="N1406" i="1" s="1"/>
  <c r="M1402" i="1"/>
  <c r="N1402" i="1" s="1"/>
  <c r="M1398" i="1"/>
  <c r="N1398" i="1" s="1"/>
  <c r="M1394" i="1"/>
  <c r="N1394" i="1" s="1"/>
  <c r="M1390" i="1"/>
  <c r="N1390" i="1" s="1"/>
  <c r="M1386" i="1"/>
  <c r="N1386" i="1" s="1"/>
  <c r="M1382" i="1"/>
  <c r="N1382" i="1" s="1"/>
  <c r="M1378" i="1"/>
  <c r="N1378" i="1" s="1"/>
  <c r="M1374" i="1"/>
  <c r="N1374" i="1" s="1"/>
  <c r="M1370" i="1"/>
  <c r="N1370" i="1" s="1"/>
  <c r="M1366" i="1"/>
  <c r="N1366" i="1" s="1"/>
  <c r="N1259" i="1"/>
  <c r="M1225" i="1"/>
  <c r="N1225" i="1" s="1"/>
  <c r="M1159" i="1"/>
  <c r="N1159" i="1" s="1"/>
  <c r="M1151" i="1"/>
  <c r="N1151" i="1" s="1"/>
  <c r="Q906" i="1"/>
  <c r="R906" i="1"/>
  <c r="S906" i="1"/>
  <c r="W906" i="1"/>
  <c r="Q893" i="1"/>
  <c r="R893" i="1"/>
  <c r="S893" i="1"/>
  <c r="W893" i="1"/>
  <c r="M1254" i="1"/>
  <c r="N1254" i="1" s="1"/>
  <c r="M1250" i="1"/>
  <c r="N1250" i="1" s="1"/>
  <c r="M1246" i="1"/>
  <c r="N1246" i="1" s="1"/>
  <c r="M1242" i="1"/>
  <c r="N1242" i="1" s="1"/>
  <c r="M1238" i="1"/>
  <c r="N1238" i="1" s="1"/>
  <c r="M1234" i="1"/>
  <c r="N1234" i="1" s="1"/>
  <c r="M1228" i="1"/>
  <c r="N1228" i="1" s="1"/>
  <c r="M1220" i="1"/>
  <c r="N1220" i="1" s="1"/>
  <c r="M1218" i="1"/>
  <c r="N1218" i="1" s="1"/>
  <c r="M1216" i="1"/>
  <c r="N1216" i="1" s="1"/>
  <c r="M1214" i="1"/>
  <c r="N1214" i="1" s="1"/>
  <c r="M1212" i="1"/>
  <c r="N1212" i="1" s="1"/>
  <c r="M1210" i="1"/>
  <c r="N1210" i="1" s="1"/>
  <c r="M1208" i="1"/>
  <c r="N1208" i="1" s="1"/>
  <c r="M1206" i="1"/>
  <c r="N1206" i="1" s="1"/>
  <c r="M1204" i="1"/>
  <c r="N1204" i="1" s="1"/>
  <c r="M1202" i="1"/>
  <c r="N1202" i="1" s="1"/>
  <c r="M1200" i="1"/>
  <c r="N1200" i="1" s="1"/>
  <c r="M1198" i="1"/>
  <c r="N1198" i="1" s="1"/>
  <c r="M1196" i="1"/>
  <c r="N1196" i="1" s="1"/>
  <c r="M1194" i="1"/>
  <c r="N1194" i="1" s="1"/>
  <c r="M1192" i="1"/>
  <c r="N1192" i="1" s="1"/>
  <c r="M1190" i="1"/>
  <c r="N1190" i="1" s="1"/>
  <c r="M1188" i="1"/>
  <c r="N1188" i="1" s="1"/>
  <c r="M1186" i="1"/>
  <c r="N1186" i="1" s="1"/>
  <c r="M1184" i="1"/>
  <c r="N1184" i="1" s="1"/>
  <c r="M1182" i="1"/>
  <c r="N1182" i="1" s="1"/>
  <c r="M1180" i="1"/>
  <c r="N1180" i="1" s="1"/>
  <c r="M1178" i="1"/>
  <c r="N1178" i="1" s="1"/>
  <c r="M1176" i="1"/>
  <c r="N1176" i="1" s="1"/>
  <c r="M1174" i="1"/>
  <c r="N1174" i="1" s="1"/>
  <c r="M1172" i="1"/>
  <c r="N1172" i="1" s="1"/>
  <c r="M1170" i="1"/>
  <c r="N1170" i="1" s="1"/>
  <c r="M1168" i="1"/>
  <c r="N1168" i="1" s="1"/>
  <c r="M1166" i="1"/>
  <c r="N1166" i="1" s="1"/>
  <c r="M1164" i="1"/>
  <c r="N1164" i="1" s="1"/>
  <c r="M1156" i="1"/>
  <c r="N1156" i="1" s="1"/>
  <c r="M1148" i="1"/>
  <c r="N1148" i="1" s="1"/>
  <c r="M1142" i="1"/>
  <c r="N1142" i="1" s="1"/>
  <c r="M1138" i="1"/>
  <c r="N1138" i="1" s="1"/>
  <c r="M1134" i="1"/>
  <c r="N1134" i="1" s="1"/>
  <c r="M1130" i="1"/>
  <c r="N1130" i="1" s="1"/>
  <c r="M1126" i="1"/>
  <c r="N1126" i="1" s="1"/>
  <c r="M1122" i="1"/>
  <c r="N1122" i="1" s="1"/>
  <c r="M1118" i="1"/>
  <c r="N1118" i="1" s="1"/>
  <c r="M1114" i="1"/>
  <c r="N1114" i="1" s="1"/>
  <c r="M1110" i="1"/>
  <c r="N1110" i="1" s="1"/>
  <c r="M1106" i="1"/>
  <c r="N1106" i="1" s="1"/>
  <c r="M1102" i="1"/>
  <c r="N1102" i="1" s="1"/>
  <c r="M1098" i="1"/>
  <c r="N1098" i="1" s="1"/>
  <c r="M1094" i="1"/>
  <c r="N1094" i="1" s="1"/>
  <c r="M1090" i="1"/>
  <c r="N1090" i="1" s="1"/>
  <c r="M1086" i="1"/>
  <c r="N1086" i="1" s="1"/>
  <c r="M1082" i="1"/>
  <c r="N1082" i="1" s="1"/>
  <c r="M1078" i="1"/>
  <c r="N1078" i="1" s="1"/>
  <c r="M1074" i="1"/>
  <c r="N1074" i="1" s="1"/>
  <c r="M1070" i="1"/>
  <c r="N1070" i="1" s="1"/>
  <c r="M1066" i="1"/>
  <c r="N1066" i="1" s="1"/>
  <c r="M1062" i="1"/>
  <c r="N1062" i="1" s="1"/>
  <c r="M1058" i="1"/>
  <c r="N1058" i="1" s="1"/>
  <c r="Q974" i="1"/>
  <c r="R974" i="1"/>
  <c r="S974" i="1"/>
  <c r="W974" i="1"/>
  <c r="Q970" i="1"/>
  <c r="R970" i="1"/>
  <c r="S970" i="1"/>
  <c r="W970" i="1"/>
  <c r="Q966" i="1"/>
  <c r="R966" i="1"/>
  <c r="S966" i="1"/>
  <c r="W966" i="1"/>
  <c r="Q962" i="1"/>
  <c r="R962" i="1"/>
  <c r="S962" i="1"/>
  <c r="W962" i="1"/>
  <c r="Q958" i="1"/>
  <c r="R958" i="1"/>
  <c r="S958" i="1"/>
  <c r="W958" i="1"/>
  <c r="W945" i="1"/>
  <c r="S945" i="1"/>
  <c r="Q945" i="1"/>
  <c r="R945" i="1"/>
  <c r="W937" i="1"/>
  <c r="S937" i="1"/>
  <c r="Q937" i="1"/>
  <c r="R937" i="1"/>
  <c r="W929" i="1"/>
  <c r="S929" i="1"/>
  <c r="Q929" i="1"/>
  <c r="R929" i="1"/>
  <c r="W921" i="1"/>
  <c r="S921" i="1"/>
  <c r="Q921" i="1"/>
  <c r="R921" i="1"/>
  <c r="M1231" i="1"/>
  <c r="N1231" i="1" s="1"/>
  <c r="M1223" i="1"/>
  <c r="N1223" i="1" s="1"/>
  <c r="M1161" i="1"/>
  <c r="N1161" i="1" s="1"/>
  <c r="M1153" i="1"/>
  <c r="N1153" i="1" s="1"/>
  <c r="M1145" i="1"/>
  <c r="N1145" i="1" s="1"/>
  <c r="Q890" i="1"/>
  <c r="W890" i="1"/>
  <c r="R890" i="1"/>
  <c r="S890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M1255" i="1"/>
  <c r="N1255" i="1" s="1"/>
  <c r="M1251" i="1"/>
  <c r="N1251" i="1" s="1"/>
  <c r="M1247" i="1"/>
  <c r="N1247" i="1" s="1"/>
  <c r="M1243" i="1"/>
  <c r="N1243" i="1" s="1"/>
  <c r="M1239" i="1"/>
  <c r="N1239" i="1" s="1"/>
  <c r="M1235" i="1"/>
  <c r="N1235" i="1" s="1"/>
  <c r="M1226" i="1"/>
  <c r="N1226" i="1" s="1"/>
  <c r="M1158" i="1"/>
  <c r="N1158" i="1" s="1"/>
  <c r="M1150" i="1"/>
  <c r="N1150" i="1" s="1"/>
  <c r="M1141" i="1"/>
  <c r="N1141" i="1" s="1"/>
  <c r="M1137" i="1"/>
  <c r="N1137" i="1" s="1"/>
  <c r="M1133" i="1"/>
  <c r="N1133" i="1" s="1"/>
  <c r="M1129" i="1"/>
  <c r="N1129" i="1" s="1"/>
  <c r="M1125" i="1"/>
  <c r="N1125" i="1" s="1"/>
  <c r="M1121" i="1"/>
  <c r="N1121" i="1" s="1"/>
  <c r="M1117" i="1"/>
  <c r="N1117" i="1" s="1"/>
  <c r="M1113" i="1"/>
  <c r="N1113" i="1" s="1"/>
  <c r="M1109" i="1"/>
  <c r="N1109" i="1" s="1"/>
  <c r="M1105" i="1"/>
  <c r="N1105" i="1" s="1"/>
  <c r="M1101" i="1"/>
  <c r="N1101" i="1" s="1"/>
  <c r="M1097" i="1"/>
  <c r="N1097" i="1" s="1"/>
  <c r="M1093" i="1"/>
  <c r="N1093" i="1" s="1"/>
  <c r="M1089" i="1"/>
  <c r="N1089" i="1" s="1"/>
  <c r="M1085" i="1"/>
  <c r="N1085" i="1" s="1"/>
  <c r="M1081" i="1"/>
  <c r="N1081" i="1" s="1"/>
  <c r="M1077" i="1"/>
  <c r="N1077" i="1" s="1"/>
  <c r="M1073" i="1"/>
  <c r="N1073" i="1" s="1"/>
  <c r="M1069" i="1"/>
  <c r="N1069" i="1" s="1"/>
  <c r="M1065" i="1"/>
  <c r="N1065" i="1" s="1"/>
  <c r="M1061" i="1"/>
  <c r="N1061" i="1" s="1"/>
  <c r="Q973" i="1"/>
  <c r="R973" i="1"/>
  <c r="S973" i="1"/>
  <c r="W973" i="1"/>
  <c r="Q969" i="1"/>
  <c r="R969" i="1"/>
  <c r="S969" i="1"/>
  <c r="W969" i="1"/>
  <c r="Q965" i="1"/>
  <c r="R965" i="1"/>
  <c r="S965" i="1"/>
  <c r="W965" i="1"/>
  <c r="Q961" i="1"/>
  <c r="R961" i="1"/>
  <c r="S961" i="1"/>
  <c r="W961" i="1"/>
  <c r="Q957" i="1"/>
  <c r="R957" i="1"/>
  <c r="S957" i="1"/>
  <c r="W957" i="1"/>
  <c r="Q901" i="1"/>
  <c r="R901" i="1"/>
  <c r="S901" i="1"/>
  <c r="W901" i="1"/>
  <c r="S895" i="1"/>
  <c r="W895" i="1"/>
  <c r="Q895" i="1"/>
  <c r="R895" i="1"/>
  <c r="M1229" i="1"/>
  <c r="N1229" i="1" s="1"/>
  <c r="M1221" i="1"/>
  <c r="N1221" i="1" s="1"/>
  <c r="M1163" i="1"/>
  <c r="N1163" i="1" s="1"/>
  <c r="M1155" i="1"/>
  <c r="N1155" i="1" s="1"/>
  <c r="M1147" i="1"/>
  <c r="N1147" i="1" s="1"/>
  <c r="W944" i="1"/>
  <c r="R944" i="1"/>
  <c r="S944" i="1"/>
  <c r="Q944" i="1"/>
  <c r="W936" i="1"/>
  <c r="R936" i="1"/>
  <c r="S936" i="1"/>
  <c r="Q936" i="1"/>
  <c r="W928" i="1"/>
  <c r="R928" i="1"/>
  <c r="S928" i="1"/>
  <c r="Q928" i="1"/>
  <c r="W920" i="1"/>
  <c r="R920" i="1"/>
  <c r="S920" i="1"/>
  <c r="Q920" i="1"/>
  <c r="Q889" i="1"/>
  <c r="R889" i="1"/>
  <c r="S889" i="1"/>
  <c r="W889" i="1"/>
  <c r="M1256" i="1"/>
  <c r="N1256" i="1" s="1"/>
  <c r="M1252" i="1"/>
  <c r="N1252" i="1" s="1"/>
  <c r="M1248" i="1"/>
  <c r="N1248" i="1" s="1"/>
  <c r="M1244" i="1"/>
  <c r="N1244" i="1" s="1"/>
  <c r="M1240" i="1"/>
  <c r="N1240" i="1" s="1"/>
  <c r="M1236" i="1"/>
  <c r="N1236" i="1" s="1"/>
  <c r="M1232" i="1"/>
  <c r="N1232" i="1" s="1"/>
  <c r="M1224" i="1"/>
  <c r="N1224" i="1" s="1"/>
  <c r="M1219" i="1"/>
  <c r="N1219" i="1" s="1"/>
  <c r="M1217" i="1"/>
  <c r="N1217" i="1" s="1"/>
  <c r="M1215" i="1"/>
  <c r="N1215" i="1" s="1"/>
  <c r="M1213" i="1"/>
  <c r="N1213" i="1" s="1"/>
  <c r="M1211" i="1"/>
  <c r="N1211" i="1" s="1"/>
  <c r="M1209" i="1"/>
  <c r="N1209" i="1" s="1"/>
  <c r="M1207" i="1"/>
  <c r="N1207" i="1" s="1"/>
  <c r="M1205" i="1"/>
  <c r="N1205" i="1" s="1"/>
  <c r="M1203" i="1"/>
  <c r="N1203" i="1" s="1"/>
  <c r="M1201" i="1"/>
  <c r="N1201" i="1" s="1"/>
  <c r="M1199" i="1"/>
  <c r="N1199" i="1" s="1"/>
  <c r="M1197" i="1"/>
  <c r="N1197" i="1" s="1"/>
  <c r="M1195" i="1"/>
  <c r="N1195" i="1" s="1"/>
  <c r="M1193" i="1"/>
  <c r="N1193" i="1" s="1"/>
  <c r="M1191" i="1"/>
  <c r="N1191" i="1" s="1"/>
  <c r="M1189" i="1"/>
  <c r="N1189" i="1" s="1"/>
  <c r="M1187" i="1"/>
  <c r="N1187" i="1" s="1"/>
  <c r="M1185" i="1"/>
  <c r="N1185" i="1" s="1"/>
  <c r="M1183" i="1"/>
  <c r="N1183" i="1" s="1"/>
  <c r="M1181" i="1"/>
  <c r="N1181" i="1" s="1"/>
  <c r="M1179" i="1"/>
  <c r="N1179" i="1" s="1"/>
  <c r="M1177" i="1"/>
  <c r="N1177" i="1" s="1"/>
  <c r="M1175" i="1"/>
  <c r="N1175" i="1" s="1"/>
  <c r="M1173" i="1"/>
  <c r="N1173" i="1" s="1"/>
  <c r="M1171" i="1"/>
  <c r="N1171" i="1" s="1"/>
  <c r="M1169" i="1"/>
  <c r="N1169" i="1" s="1"/>
  <c r="M1167" i="1"/>
  <c r="N1167" i="1" s="1"/>
  <c r="M1165" i="1"/>
  <c r="N1165" i="1" s="1"/>
  <c r="M1160" i="1"/>
  <c r="N1160" i="1" s="1"/>
  <c r="M1152" i="1"/>
  <c r="N1152" i="1" s="1"/>
  <c r="M1144" i="1"/>
  <c r="N1144" i="1" s="1"/>
  <c r="M1140" i="1"/>
  <c r="N1140" i="1" s="1"/>
  <c r="M1136" i="1"/>
  <c r="N1136" i="1" s="1"/>
  <c r="M1132" i="1"/>
  <c r="N1132" i="1" s="1"/>
  <c r="M1128" i="1"/>
  <c r="N1128" i="1" s="1"/>
  <c r="M1124" i="1"/>
  <c r="N1124" i="1" s="1"/>
  <c r="M1120" i="1"/>
  <c r="N1120" i="1" s="1"/>
  <c r="M1116" i="1"/>
  <c r="N1116" i="1" s="1"/>
  <c r="M1112" i="1"/>
  <c r="N1112" i="1" s="1"/>
  <c r="M1108" i="1"/>
  <c r="N1108" i="1" s="1"/>
  <c r="M1104" i="1"/>
  <c r="N1104" i="1" s="1"/>
  <c r="M1100" i="1"/>
  <c r="N1100" i="1" s="1"/>
  <c r="M1096" i="1"/>
  <c r="N1096" i="1" s="1"/>
  <c r="M1092" i="1"/>
  <c r="N1092" i="1" s="1"/>
  <c r="M1088" i="1"/>
  <c r="N1088" i="1" s="1"/>
  <c r="M1084" i="1"/>
  <c r="N1084" i="1" s="1"/>
  <c r="M1080" i="1"/>
  <c r="N1080" i="1" s="1"/>
  <c r="M1076" i="1"/>
  <c r="N1076" i="1" s="1"/>
  <c r="M1072" i="1"/>
  <c r="N1072" i="1" s="1"/>
  <c r="M1068" i="1"/>
  <c r="N1068" i="1" s="1"/>
  <c r="M1064" i="1"/>
  <c r="N1064" i="1" s="1"/>
  <c r="M1060" i="1"/>
  <c r="N1060" i="1" s="1"/>
  <c r="Q972" i="1"/>
  <c r="R972" i="1"/>
  <c r="S972" i="1"/>
  <c r="W972" i="1"/>
  <c r="Q968" i="1"/>
  <c r="R968" i="1"/>
  <c r="S968" i="1"/>
  <c r="W968" i="1"/>
  <c r="Q964" i="1"/>
  <c r="R964" i="1"/>
  <c r="S964" i="1"/>
  <c r="W964" i="1"/>
  <c r="Q960" i="1"/>
  <c r="R960" i="1"/>
  <c r="S960" i="1"/>
  <c r="W960" i="1"/>
  <c r="Q956" i="1"/>
  <c r="R956" i="1"/>
  <c r="S956" i="1"/>
  <c r="W956" i="1"/>
  <c r="Q898" i="1"/>
  <c r="R898" i="1"/>
  <c r="S898" i="1"/>
  <c r="W898" i="1"/>
  <c r="M1227" i="1"/>
  <c r="N1227" i="1" s="1"/>
  <c r="M1157" i="1"/>
  <c r="N1157" i="1" s="1"/>
  <c r="M1149" i="1"/>
  <c r="N1149" i="1" s="1"/>
  <c r="Q909" i="1"/>
  <c r="R909" i="1"/>
  <c r="S909" i="1"/>
  <c r="W909" i="1"/>
  <c r="S903" i="1"/>
  <c r="W903" i="1"/>
  <c r="Q903" i="1"/>
  <c r="R903" i="1"/>
  <c r="N1258" i="1"/>
  <c r="M1253" i="1"/>
  <c r="N1253" i="1" s="1"/>
  <c r="M1249" i="1"/>
  <c r="N1249" i="1" s="1"/>
  <c r="M1245" i="1"/>
  <c r="N1245" i="1" s="1"/>
  <c r="M1241" i="1"/>
  <c r="N1241" i="1" s="1"/>
  <c r="M1237" i="1"/>
  <c r="N1237" i="1" s="1"/>
  <c r="M1233" i="1"/>
  <c r="N1233" i="1" s="1"/>
  <c r="M1230" i="1"/>
  <c r="N1230" i="1" s="1"/>
  <c r="M1222" i="1"/>
  <c r="N1222" i="1" s="1"/>
  <c r="M1162" i="1"/>
  <c r="N1162" i="1" s="1"/>
  <c r="M1154" i="1"/>
  <c r="N1154" i="1" s="1"/>
  <c r="M1146" i="1"/>
  <c r="N1146" i="1" s="1"/>
  <c r="M1143" i="1"/>
  <c r="N1143" i="1" s="1"/>
  <c r="M1139" i="1"/>
  <c r="N1139" i="1" s="1"/>
  <c r="M1135" i="1"/>
  <c r="N1135" i="1" s="1"/>
  <c r="M1131" i="1"/>
  <c r="N1131" i="1" s="1"/>
  <c r="M1127" i="1"/>
  <c r="N1127" i="1" s="1"/>
  <c r="M1123" i="1"/>
  <c r="N1123" i="1" s="1"/>
  <c r="M1119" i="1"/>
  <c r="N1119" i="1" s="1"/>
  <c r="M1115" i="1"/>
  <c r="N1115" i="1" s="1"/>
  <c r="M1111" i="1"/>
  <c r="N1111" i="1" s="1"/>
  <c r="M1107" i="1"/>
  <c r="N1107" i="1" s="1"/>
  <c r="M1103" i="1"/>
  <c r="N1103" i="1" s="1"/>
  <c r="M1099" i="1"/>
  <c r="N1099" i="1" s="1"/>
  <c r="M1095" i="1"/>
  <c r="N1095" i="1" s="1"/>
  <c r="M1091" i="1"/>
  <c r="N1091" i="1" s="1"/>
  <c r="M1087" i="1"/>
  <c r="N1087" i="1" s="1"/>
  <c r="M1083" i="1"/>
  <c r="N1083" i="1" s="1"/>
  <c r="M1079" i="1"/>
  <c r="N1079" i="1" s="1"/>
  <c r="M1075" i="1"/>
  <c r="N1075" i="1" s="1"/>
  <c r="M1071" i="1"/>
  <c r="N1071" i="1" s="1"/>
  <c r="M1067" i="1"/>
  <c r="N1067" i="1" s="1"/>
  <c r="M1063" i="1"/>
  <c r="N1063" i="1" s="1"/>
  <c r="M1059" i="1"/>
  <c r="N1059" i="1" s="1"/>
  <c r="Q971" i="1"/>
  <c r="R971" i="1"/>
  <c r="S971" i="1"/>
  <c r="W971" i="1"/>
  <c r="Q967" i="1"/>
  <c r="R967" i="1"/>
  <c r="S967" i="1"/>
  <c r="W967" i="1"/>
  <c r="Q963" i="1"/>
  <c r="R963" i="1"/>
  <c r="S963" i="1"/>
  <c r="W963" i="1"/>
  <c r="Q959" i="1"/>
  <c r="R959" i="1"/>
  <c r="S959" i="1"/>
  <c r="W959" i="1"/>
  <c r="Q955" i="1"/>
  <c r="R955" i="1"/>
  <c r="S955" i="1"/>
  <c r="W955" i="1"/>
  <c r="S946" i="1"/>
  <c r="M942" i="1"/>
  <c r="N942" i="1" s="1"/>
  <c r="S938" i="1"/>
  <c r="M934" i="1"/>
  <c r="N934" i="1" s="1"/>
  <c r="S930" i="1"/>
  <c r="M926" i="1"/>
  <c r="N926" i="1" s="1"/>
  <c r="S922" i="1"/>
  <c r="M918" i="1"/>
  <c r="N918" i="1" s="1"/>
  <c r="S914" i="1"/>
  <c r="W829" i="1"/>
  <c r="Q829" i="1"/>
  <c r="R829" i="1"/>
  <c r="S829" i="1"/>
  <c r="W825" i="1"/>
  <c r="Q825" i="1"/>
  <c r="R825" i="1"/>
  <c r="S825" i="1"/>
  <c r="W821" i="1"/>
  <c r="Q821" i="1"/>
  <c r="R821" i="1"/>
  <c r="S821" i="1"/>
  <c r="W773" i="1"/>
  <c r="Q692" i="1"/>
  <c r="R692" i="1"/>
  <c r="S692" i="1"/>
  <c r="W692" i="1"/>
  <c r="Q688" i="1"/>
  <c r="R688" i="1"/>
  <c r="S688" i="1"/>
  <c r="W688" i="1"/>
  <c r="Q684" i="1"/>
  <c r="R684" i="1"/>
  <c r="S684" i="1"/>
  <c r="W684" i="1"/>
  <c r="W674" i="1"/>
  <c r="Q674" i="1"/>
  <c r="P675" i="1"/>
  <c r="R674" i="1"/>
  <c r="P676" i="1"/>
  <c r="S674" i="1"/>
  <c r="P677" i="1"/>
  <c r="W645" i="1"/>
  <c r="Q645" i="1"/>
  <c r="R645" i="1"/>
  <c r="S645" i="1"/>
  <c r="W597" i="1"/>
  <c r="Q597" i="1"/>
  <c r="R597" i="1"/>
  <c r="S597" i="1"/>
  <c r="W590" i="1"/>
  <c r="S590" i="1"/>
  <c r="Q590" i="1"/>
  <c r="R590" i="1"/>
  <c r="M879" i="1"/>
  <c r="N879" i="1" s="1"/>
  <c r="S613" i="1"/>
  <c r="P616" i="1"/>
  <c r="W613" i="1"/>
  <c r="Q613" i="1"/>
  <c r="P614" i="1"/>
  <c r="R613" i="1"/>
  <c r="P615" i="1"/>
  <c r="Q946" i="1"/>
  <c r="Q938" i="1"/>
  <c r="Q930" i="1"/>
  <c r="Q922" i="1"/>
  <c r="Q914" i="1"/>
  <c r="N911" i="1"/>
  <c r="R886" i="1"/>
  <c r="W832" i="1"/>
  <c r="Q832" i="1"/>
  <c r="R832" i="1"/>
  <c r="S832" i="1"/>
  <c r="W828" i="1"/>
  <c r="Q828" i="1"/>
  <c r="R828" i="1"/>
  <c r="S828" i="1"/>
  <c r="W824" i="1"/>
  <c r="Q824" i="1"/>
  <c r="R824" i="1"/>
  <c r="S824" i="1"/>
  <c r="Q691" i="1"/>
  <c r="R691" i="1"/>
  <c r="S691" i="1"/>
  <c r="W691" i="1"/>
  <c r="Q687" i="1"/>
  <c r="R687" i="1"/>
  <c r="S687" i="1"/>
  <c r="W687" i="1"/>
  <c r="Q683" i="1"/>
  <c r="R683" i="1"/>
  <c r="S683" i="1"/>
  <c r="W683" i="1"/>
  <c r="W647" i="1"/>
  <c r="Q647" i="1"/>
  <c r="R647" i="1"/>
  <c r="S647" i="1"/>
  <c r="S621" i="1"/>
  <c r="S954" i="1"/>
  <c r="N859" i="1"/>
  <c r="W859" i="1" s="1"/>
  <c r="Q747" i="1"/>
  <c r="P748" i="1"/>
  <c r="R747" i="1"/>
  <c r="P749" i="1"/>
  <c r="S747" i="1"/>
  <c r="P750" i="1"/>
  <c r="P751" i="1"/>
  <c r="W747" i="1"/>
  <c r="P752" i="1"/>
  <c r="Q603" i="1"/>
  <c r="P604" i="1"/>
  <c r="R603" i="1"/>
  <c r="P605" i="1"/>
  <c r="S603" i="1"/>
  <c r="P606" i="1"/>
  <c r="W603" i="1"/>
  <c r="R954" i="1"/>
  <c r="N947" i="1"/>
  <c r="N939" i="1"/>
  <c r="N931" i="1"/>
  <c r="N923" i="1"/>
  <c r="N915" i="1"/>
  <c r="P856" i="1"/>
  <c r="W831" i="1"/>
  <c r="Q831" i="1"/>
  <c r="R831" i="1"/>
  <c r="S831" i="1"/>
  <c r="W827" i="1"/>
  <c r="Q827" i="1"/>
  <c r="R827" i="1"/>
  <c r="S827" i="1"/>
  <c r="W823" i="1"/>
  <c r="Q823" i="1"/>
  <c r="R823" i="1"/>
  <c r="S823" i="1"/>
  <c r="R765" i="1"/>
  <c r="P757" i="1"/>
  <c r="W753" i="1"/>
  <c r="P758" i="1"/>
  <c r="Q753" i="1"/>
  <c r="P754" i="1"/>
  <c r="R753" i="1"/>
  <c r="P755" i="1"/>
  <c r="S753" i="1"/>
  <c r="P756" i="1"/>
  <c r="Q690" i="1"/>
  <c r="R690" i="1"/>
  <c r="S690" i="1"/>
  <c r="W690" i="1"/>
  <c r="Q686" i="1"/>
  <c r="R686" i="1"/>
  <c r="S686" i="1"/>
  <c r="W686" i="1"/>
  <c r="Q682" i="1"/>
  <c r="R682" i="1"/>
  <c r="S682" i="1"/>
  <c r="W682" i="1"/>
  <c r="S612" i="1"/>
  <c r="W612" i="1"/>
  <c r="Q612" i="1"/>
  <c r="R612" i="1"/>
  <c r="R538" i="1"/>
  <c r="P540" i="1"/>
  <c r="S538" i="1"/>
  <c r="P542" i="1"/>
  <c r="W538" i="1"/>
  <c r="Q538" i="1"/>
  <c r="P539" i="1"/>
  <c r="M880" i="1"/>
  <c r="N880" i="1" s="1"/>
  <c r="W880" i="1" s="1"/>
  <c r="M878" i="1"/>
  <c r="N878" i="1" s="1"/>
  <c r="Q729" i="1"/>
  <c r="P730" i="1"/>
  <c r="R729" i="1"/>
  <c r="P731" i="1"/>
  <c r="S729" i="1"/>
  <c r="P732" i="1"/>
  <c r="P733" i="1"/>
  <c r="W729" i="1"/>
  <c r="P734" i="1"/>
  <c r="P709" i="1"/>
  <c r="W705" i="1"/>
  <c r="P710" i="1"/>
  <c r="Q705" i="1"/>
  <c r="P706" i="1"/>
  <c r="R705" i="1"/>
  <c r="P707" i="1"/>
  <c r="S705" i="1"/>
  <c r="P708" i="1"/>
  <c r="Q678" i="1"/>
  <c r="P679" i="1"/>
  <c r="R678" i="1"/>
  <c r="P680" i="1"/>
  <c r="S678" i="1"/>
  <c r="P681" i="1"/>
  <c r="W678" i="1"/>
  <c r="W646" i="1"/>
  <c r="Q646" i="1"/>
  <c r="R646" i="1"/>
  <c r="S646" i="1"/>
  <c r="W620" i="1"/>
  <c r="Q602" i="1"/>
  <c r="R602" i="1"/>
  <c r="S602" i="1"/>
  <c r="W602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858" i="1"/>
  <c r="W830" i="1"/>
  <c r="Q830" i="1"/>
  <c r="R830" i="1"/>
  <c r="S830" i="1"/>
  <c r="W826" i="1"/>
  <c r="Q826" i="1"/>
  <c r="R826" i="1"/>
  <c r="S826" i="1"/>
  <c r="W822" i="1"/>
  <c r="Q822" i="1"/>
  <c r="R822" i="1"/>
  <c r="S822" i="1"/>
  <c r="W723" i="1"/>
  <c r="P728" i="1"/>
  <c r="Q723" i="1"/>
  <c r="P724" i="1"/>
  <c r="R723" i="1"/>
  <c r="P725" i="1"/>
  <c r="S723" i="1"/>
  <c r="P726" i="1"/>
  <c r="P727" i="1"/>
  <c r="S717" i="1"/>
  <c r="Q689" i="1"/>
  <c r="R689" i="1"/>
  <c r="S689" i="1"/>
  <c r="W689" i="1"/>
  <c r="Q685" i="1"/>
  <c r="R685" i="1"/>
  <c r="S685" i="1"/>
  <c r="W685" i="1"/>
  <c r="W598" i="1"/>
  <c r="Q598" i="1"/>
  <c r="P599" i="1"/>
  <c r="R598" i="1"/>
  <c r="P600" i="1"/>
  <c r="S598" i="1"/>
  <c r="P601" i="1"/>
  <c r="W591" i="1"/>
  <c r="Q591" i="1"/>
  <c r="R591" i="1"/>
  <c r="S591" i="1"/>
  <c r="W886" i="1"/>
  <c r="M860" i="1"/>
  <c r="N860" i="1" s="1"/>
  <c r="S854" i="1"/>
  <c r="P857" i="1"/>
  <c r="W854" i="1"/>
  <c r="Q777" i="1"/>
  <c r="P778" i="1"/>
  <c r="R777" i="1"/>
  <c r="P779" i="1"/>
  <c r="S777" i="1"/>
  <c r="P780" i="1"/>
  <c r="P781" i="1"/>
  <c r="W777" i="1"/>
  <c r="P782" i="1"/>
  <c r="W648" i="1"/>
  <c r="Q648" i="1"/>
  <c r="R648" i="1"/>
  <c r="S648" i="1"/>
  <c r="Q390" i="1"/>
  <c r="P391" i="1"/>
  <c r="R390" i="1"/>
  <c r="P392" i="1"/>
  <c r="S390" i="1"/>
  <c r="P393" i="1"/>
  <c r="P394" i="1"/>
  <c r="W390" i="1"/>
  <c r="P395" i="1"/>
  <c r="Q261" i="1"/>
  <c r="P262" i="1"/>
  <c r="R261" i="1"/>
  <c r="P263" i="1"/>
  <c r="S261" i="1"/>
  <c r="P264" i="1"/>
  <c r="P265" i="1"/>
  <c r="W261" i="1"/>
  <c r="N775" i="1"/>
  <c r="W775" i="1" s="1"/>
  <c r="N615" i="1"/>
  <c r="W615" i="1" s="1"/>
  <c r="N601" i="1"/>
  <c r="W601" i="1" s="1"/>
  <c r="M589" i="1"/>
  <c r="N589" i="1" s="1"/>
  <c r="W589" i="1" s="1"/>
  <c r="M587" i="1"/>
  <c r="N587" i="1" s="1"/>
  <c r="M585" i="1"/>
  <c r="N585" i="1" s="1"/>
  <c r="M583" i="1"/>
  <c r="N583" i="1" s="1"/>
  <c r="M581" i="1"/>
  <c r="N581" i="1" s="1"/>
  <c r="M579" i="1"/>
  <c r="N579" i="1" s="1"/>
  <c r="M563" i="1"/>
  <c r="N563" i="1" s="1"/>
  <c r="W563" i="1" s="1"/>
  <c r="M559" i="1"/>
  <c r="N559" i="1" s="1"/>
  <c r="M555" i="1"/>
  <c r="N555" i="1" s="1"/>
  <c r="Q336" i="1"/>
  <c r="P337" i="1"/>
  <c r="R336" i="1"/>
  <c r="P338" i="1"/>
  <c r="S336" i="1"/>
  <c r="P339" i="1"/>
  <c r="P340" i="1"/>
  <c r="W336" i="1"/>
  <c r="P341" i="1"/>
  <c r="R312" i="1"/>
  <c r="P314" i="1"/>
  <c r="S312" i="1"/>
  <c r="P315" i="1"/>
  <c r="P316" i="1"/>
  <c r="W312" i="1"/>
  <c r="P317" i="1"/>
  <c r="Q312" i="1"/>
  <c r="P313" i="1"/>
  <c r="Q271" i="1"/>
  <c r="P272" i="1"/>
  <c r="R271" i="1"/>
  <c r="P273" i="1"/>
  <c r="S271" i="1"/>
  <c r="P274" i="1"/>
  <c r="P275" i="1"/>
  <c r="W271" i="1"/>
  <c r="S229" i="1"/>
  <c r="W229" i="1"/>
  <c r="Q229" i="1"/>
  <c r="R229" i="1"/>
  <c r="W617" i="1"/>
  <c r="Q486" i="1"/>
  <c r="P487" i="1"/>
  <c r="R486" i="1"/>
  <c r="P488" i="1"/>
  <c r="S486" i="1"/>
  <c r="P489" i="1"/>
  <c r="P490" i="1"/>
  <c r="W486" i="1"/>
  <c r="P491" i="1"/>
  <c r="Q342" i="1"/>
  <c r="P343" i="1"/>
  <c r="R342" i="1"/>
  <c r="P344" i="1"/>
  <c r="S342" i="1"/>
  <c r="P345" i="1"/>
  <c r="P346" i="1"/>
  <c r="W342" i="1"/>
  <c r="P347" i="1"/>
  <c r="Q291" i="1"/>
  <c r="P292" i="1"/>
  <c r="R291" i="1"/>
  <c r="P293" i="1"/>
  <c r="S291" i="1"/>
  <c r="W291" i="1"/>
  <c r="W226" i="1"/>
  <c r="Q226" i="1"/>
  <c r="R226" i="1"/>
  <c r="S226" i="1"/>
  <c r="M562" i="1"/>
  <c r="N562" i="1" s="1"/>
  <c r="M558" i="1"/>
  <c r="N558" i="1" s="1"/>
  <c r="M554" i="1"/>
  <c r="N554" i="1" s="1"/>
  <c r="Q294" i="1"/>
  <c r="P295" i="1"/>
  <c r="R294" i="1"/>
  <c r="P296" i="1"/>
  <c r="S294" i="1"/>
  <c r="W294" i="1"/>
  <c r="S231" i="1"/>
  <c r="W231" i="1"/>
  <c r="Q231" i="1"/>
  <c r="R231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53" i="1"/>
  <c r="W853" i="1" s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655" i="1"/>
  <c r="W655" i="1" s="1"/>
  <c r="N654" i="1"/>
  <c r="S617" i="1"/>
  <c r="N861" i="1"/>
  <c r="W861" i="1" s="1"/>
  <c r="N820" i="1"/>
  <c r="W820" i="1" s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0" i="1"/>
  <c r="W780" i="1" s="1"/>
  <c r="N770" i="1"/>
  <c r="W770" i="1" s="1"/>
  <c r="N761" i="1"/>
  <c r="W761" i="1" s="1"/>
  <c r="N751" i="1"/>
  <c r="W751" i="1" s="1"/>
  <c r="N742" i="1"/>
  <c r="W742" i="1" s="1"/>
  <c r="N741" i="1"/>
  <c r="N732" i="1"/>
  <c r="W732" i="1" s="1"/>
  <c r="N722" i="1"/>
  <c r="W722" i="1" s="1"/>
  <c r="N713" i="1"/>
  <c r="W713" i="1" s="1"/>
  <c r="N703" i="1"/>
  <c r="W703" i="1" s="1"/>
  <c r="N702" i="1"/>
  <c r="N701" i="1"/>
  <c r="N700" i="1"/>
  <c r="N699" i="1"/>
  <c r="N698" i="1"/>
  <c r="N697" i="1"/>
  <c r="N696" i="1"/>
  <c r="N695" i="1"/>
  <c r="N694" i="1"/>
  <c r="N693" i="1"/>
  <c r="R617" i="1"/>
  <c r="N609" i="1"/>
  <c r="W609" i="1" s="1"/>
  <c r="N608" i="1"/>
  <c r="N607" i="1"/>
  <c r="N595" i="1"/>
  <c r="W595" i="1" s="1"/>
  <c r="N593" i="1"/>
  <c r="M588" i="1"/>
  <c r="N588" i="1" s="1"/>
  <c r="M586" i="1"/>
  <c r="N586" i="1" s="1"/>
  <c r="M584" i="1"/>
  <c r="N584" i="1" s="1"/>
  <c r="M582" i="1"/>
  <c r="N582" i="1" s="1"/>
  <c r="M580" i="1"/>
  <c r="N580" i="1" s="1"/>
  <c r="M578" i="1"/>
  <c r="N578" i="1" s="1"/>
  <c r="Q568" i="1"/>
  <c r="R568" i="1"/>
  <c r="M561" i="1"/>
  <c r="N561" i="1" s="1"/>
  <c r="M557" i="1"/>
  <c r="N557" i="1" s="1"/>
  <c r="M553" i="1"/>
  <c r="N553" i="1" s="1"/>
  <c r="Q354" i="1"/>
  <c r="P355" i="1"/>
  <c r="R354" i="1"/>
  <c r="P356" i="1"/>
  <c r="S354" i="1"/>
  <c r="P357" i="1"/>
  <c r="P358" i="1"/>
  <c r="W354" i="1"/>
  <c r="P359" i="1"/>
  <c r="N788" i="1"/>
  <c r="W788" i="1" s="1"/>
  <c r="N779" i="1"/>
  <c r="W779" i="1" s="1"/>
  <c r="N769" i="1"/>
  <c r="W769" i="1" s="1"/>
  <c r="N760" i="1"/>
  <c r="W760" i="1" s="1"/>
  <c r="N759" i="1"/>
  <c r="N750" i="1"/>
  <c r="W750" i="1" s="1"/>
  <c r="N740" i="1"/>
  <c r="W740" i="1" s="1"/>
  <c r="N731" i="1"/>
  <c r="W731" i="1" s="1"/>
  <c r="N721" i="1"/>
  <c r="W721" i="1" s="1"/>
  <c r="N712" i="1"/>
  <c r="W712" i="1" s="1"/>
  <c r="N711" i="1"/>
  <c r="N681" i="1"/>
  <c r="W681" i="1" s="1"/>
  <c r="N671" i="1"/>
  <c r="W671" i="1" s="1"/>
  <c r="N670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594" i="1"/>
  <c r="W594" i="1" s="1"/>
  <c r="Q303" i="1"/>
  <c r="P304" i="1"/>
  <c r="R303" i="1"/>
  <c r="P305" i="1"/>
  <c r="S303" i="1"/>
  <c r="W303" i="1"/>
  <c r="Q279" i="1"/>
  <c r="P280" i="1"/>
  <c r="R279" i="1"/>
  <c r="P281" i="1"/>
  <c r="S279" i="1"/>
  <c r="W279" i="1"/>
  <c r="S230" i="1"/>
  <c r="W230" i="1"/>
  <c r="Q230" i="1"/>
  <c r="R230" i="1"/>
  <c r="M560" i="1"/>
  <c r="N560" i="1" s="1"/>
  <c r="M556" i="1"/>
  <c r="N556" i="1" s="1"/>
  <c r="M541" i="1"/>
  <c r="N541" i="1" s="1"/>
  <c r="W541" i="1" s="1"/>
  <c r="Q438" i="1"/>
  <c r="P439" i="1"/>
  <c r="R438" i="1"/>
  <c r="P440" i="1"/>
  <c r="S438" i="1"/>
  <c r="P441" i="1"/>
  <c r="P442" i="1"/>
  <c r="W438" i="1"/>
  <c r="P443" i="1"/>
  <c r="Q384" i="1"/>
  <c r="P385" i="1"/>
  <c r="R384" i="1"/>
  <c r="P386" i="1"/>
  <c r="S384" i="1"/>
  <c r="P387" i="1"/>
  <c r="P388" i="1"/>
  <c r="W384" i="1"/>
  <c r="P389" i="1"/>
  <c r="Q306" i="1"/>
  <c r="P307" i="1"/>
  <c r="R306" i="1"/>
  <c r="P308" i="1"/>
  <c r="S306" i="1"/>
  <c r="P309" i="1"/>
  <c r="P310" i="1"/>
  <c r="W306" i="1"/>
  <c r="P311" i="1"/>
  <c r="Q282" i="1"/>
  <c r="P283" i="1"/>
  <c r="R282" i="1"/>
  <c r="P284" i="1"/>
  <c r="S282" i="1"/>
  <c r="W282" i="1"/>
  <c r="W227" i="1"/>
  <c r="Q227" i="1"/>
  <c r="R227" i="1"/>
  <c r="S227" i="1"/>
  <c r="M517" i="1"/>
  <c r="N517" i="1" s="1"/>
  <c r="W517" i="1" s="1"/>
  <c r="M507" i="1"/>
  <c r="N507" i="1" s="1"/>
  <c r="W507" i="1" s="1"/>
  <c r="M497" i="1"/>
  <c r="N497" i="1" s="1"/>
  <c r="W497" i="1" s="1"/>
  <c r="M488" i="1"/>
  <c r="N488" i="1" s="1"/>
  <c r="W488" i="1" s="1"/>
  <c r="M478" i="1"/>
  <c r="N478" i="1" s="1"/>
  <c r="W478" i="1" s="1"/>
  <c r="M469" i="1"/>
  <c r="N469" i="1" s="1"/>
  <c r="W469" i="1" s="1"/>
  <c r="M468" i="1"/>
  <c r="N468" i="1" s="1"/>
  <c r="M459" i="1"/>
  <c r="N459" i="1" s="1"/>
  <c r="W459" i="1" s="1"/>
  <c r="M449" i="1"/>
  <c r="N449" i="1" s="1"/>
  <c r="W449" i="1" s="1"/>
  <c r="M440" i="1"/>
  <c r="N440" i="1" s="1"/>
  <c r="W440" i="1" s="1"/>
  <c r="M430" i="1"/>
  <c r="N430" i="1" s="1"/>
  <c r="W430" i="1" s="1"/>
  <c r="M421" i="1"/>
  <c r="N421" i="1" s="1"/>
  <c r="W421" i="1" s="1"/>
  <c r="M420" i="1"/>
  <c r="N420" i="1" s="1"/>
  <c r="M411" i="1"/>
  <c r="N411" i="1" s="1"/>
  <c r="W411" i="1" s="1"/>
  <c r="M401" i="1"/>
  <c r="N401" i="1" s="1"/>
  <c r="W401" i="1" s="1"/>
  <c r="M392" i="1"/>
  <c r="N392" i="1" s="1"/>
  <c r="W392" i="1" s="1"/>
  <c r="M382" i="1"/>
  <c r="N382" i="1" s="1"/>
  <c r="W382" i="1" s="1"/>
  <c r="M373" i="1"/>
  <c r="N373" i="1" s="1"/>
  <c r="W373" i="1" s="1"/>
  <c r="M372" i="1"/>
  <c r="N372" i="1" s="1"/>
  <c r="M363" i="1"/>
  <c r="N363" i="1" s="1"/>
  <c r="W363" i="1" s="1"/>
  <c r="P361" i="1"/>
  <c r="Q360" i="1"/>
  <c r="M353" i="1"/>
  <c r="N353" i="1" s="1"/>
  <c r="W353" i="1" s="1"/>
  <c r="M344" i="1"/>
  <c r="N344" i="1" s="1"/>
  <c r="W344" i="1" s="1"/>
  <c r="M334" i="1"/>
  <c r="N334" i="1" s="1"/>
  <c r="W334" i="1" s="1"/>
  <c r="M325" i="1"/>
  <c r="N325" i="1" s="1"/>
  <c r="W325" i="1" s="1"/>
  <c r="M324" i="1"/>
  <c r="N324" i="1" s="1"/>
  <c r="M315" i="1"/>
  <c r="N315" i="1" s="1"/>
  <c r="W315" i="1" s="1"/>
  <c r="M305" i="1"/>
  <c r="N305" i="1" s="1"/>
  <c r="W305" i="1" s="1"/>
  <c r="M293" i="1"/>
  <c r="N293" i="1" s="1"/>
  <c r="W293" i="1" s="1"/>
  <c r="M281" i="1"/>
  <c r="N281" i="1" s="1"/>
  <c r="W281" i="1" s="1"/>
  <c r="M270" i="1"/>
  <c r="N270" i="1" s="1"/>
  <c r="W270" i="1" s="1"/>
  <c r="M260" i="1"/>
  <c r="N260" i="1" s="1"/>
  <c r="W260" i="1" s="1"/>
  <c r="N221" i="1"/>
  <c r="N213" i="1"/>
  <c r="S204" i="1"/>
  <c r="R157" i="1"/>
  <c r="P159" i="1"/>
  <c r="S157" i="1"/>
  <c r="W157" i="1"/>
  <c r="Q157" i="1"/>
  <c r="P158" i="1"/>
  <c r="R145" i="1"/>
  <c r="P147" i="1"/>
  <c r="S145" i="1"/>
  <c r="W145" i="1"/>
  <c r="Q145" i="1"/>
  <c r="P146" i="1"/>
  <c r="W128" i="1"/>
  <c r="Q128" i="1"/>
  <c r="R128" i="1"/>
  <c r="S128" i="1"/>
  <c r="V17" i="1"/>
  <c r="M207" i="1"/>
  <c r="N207" i="1" s="1"/>
  <c r="Q189" i="1"/>
  <c r="S189" i="1"/>
  <c r="W189" i="1"/>
  <c r="Q186" i="1"/>
  <c r="R186" i="1"/>
  <c r="S186" i="1"/>
  <c r="W186" i="1"/>
  <c r="W116" i="1"/>
  <c r="Q116" i="1"/>
  <c r="R116" i="1"/>
  <c r="S116" i="1"/>
  <c r="W112" i="1"/>
  <c r="Q112" i="1"/>
  <c r="R112" i="1"/>
  <c r="S112" i="1"/>
  <c r="W108" i="1"/>
  <c r="Q108" i="1"/>
  <c r="R108" i="1"/>
  <c r="S108" i="1"/>
  <c r="W104" i="1"/>
  <c r="Q104" i="1"/>
  <c r="R104" i="1"/>
  <c r="S104" i="1"/>
  <c r="W100" i="1"/>
  <c r="Q100" i="1"/>
  <c r="R100" i="1"/>
  <c r="S100" i="1"/>
  <c r="W96" i="1"/>
  <c r="Q96" i="1"/>
  <c r="R96" i="1"/>
  <c r="S96" i="1"/>
  <c r="W92" i="1"/>
  <c r="P91" i="1"/>
  <c r="Q92" i="1"/>
  <c r="R92" i="1"/>
  <c r="S92" i="1"/>
  <c r="R567" i="1"/>
  <c r="R565" i="1"/>
  <c r="N537" i="1"/>
  <c r="N513" i="1"/>
  <c r="W513" i="1" s="1"/>
  <c r="N503" i="1"/>
  <c r="W503" i="1" s="1"/>
  <c r="N494" i="1"/>
  <c r="W494" i="1" s="1"/>
  <c r="N484" i="1"/>
  <c r="W484" i="1" s="1"/>
  <c r="N475" i="1"/>
  <c r="W475" i="1" s="1"/>
  <c r="N474" i="1"/>
  <c r="N465" i="1"/>
  <c r="W465" i="1" s="1"/>
  <c r="N455" i="1"/>
  <c r="W455" i="1" s="1"/>
  <c r="N446" i="1"/>
  <c r="W446" i="1" s="1"/>
  <c r="N436" i="1"/>
  <c r="W436" i="1" s="1"/>
  <c r="N427" i="1"/>
  <c r="W427" i="1" s="1"/>
  <c r="N426" i="1"/>
  <c r="N417" i="1"/>
  <c r="W417" i="1" s="1"/>
  <c r="P416" i="1"/>
  <c r="R414" i="1"/>
  <c r="N407" i="1"/>
  <c r="W407" i="1" s="1"/>
  <c r="N398" i="1"/>
  <c r="W398" i="1" s="1"/>
  <c r="N388" i="1"/>
  <c r="W388" i="1" s="1"/>
  <c r="N379" i="1"/>
  <c r="W379" i="1" s="1"/>
  <c r="N378" i="1"/>
  <c r="N369" i="1"/>
  <c r="W369" i="1" s="1"/>
  <c r="N359" i="1"/>
  <c r="W359" i="1" s="1"/>
  <c r="N350" i="1"/>
  <c r="W350" i="1" s="1"/>
  <c r="N340" i="1"/>
  <c r="W340" i="1" s="1"/>
  <c r="N331" i="1"/>
  <c r="W331" i="1" s="1"/>
  <c r="N330" i="1"/>
  <c r="N321" i="1"/>
  <c r="W321" i="1" s="1"/>
  <c r="N311" i="1"/>
  <c r="W311" i="1" s="1"/>
  <c r="N301" i="1"/>
  <c r="W301" i="1" s="1"/>
  <c r="N300" i="1"/>
  <c r="N289" i="1"/>
  <c r="W289" i="1" s="1"/>
  <c r="N288" i="1"/>
  <c r="N277" i="1"/>
  <c r="W277" i="1" s="1"/>
  <c r="N276" i="1"/>
  <c r="N267" i="1"/>
  <c r="W267" i="1" s="1"/>
  <c r="N266" i="1"/>
  <c r="N257" i="1"/>
  <c r="W257" i="1" s="1"/>
  <c r="N256" i="1"/>
  <c r="N255" i="1"/>
  <c r="N254" i="1"/>
  <c r="N253" i="1"/>
  <c r="N252" i="1"/>
  <c r="N251" i="1"/>
  <c r="N250" i="1"/>
  <c r="N249" i="1"/>
  <c r="N248" i="1"/>
  <c r="N247" i="1"/>
  <c r="N246" i="1"/>
  <c r="N223" i="1"/>
  <c r="N215" i="1"/>
  <c r="Q204" i="1"/>
  <c r="W165" i="1"/>
  <c r="W130" i="1"/>
  <c r="Q130" i="1"/>
  <c r="R130" i="1"/>
  <c r="S130" i="1"/>
  <c r="N512" i="1"/>
  <c r="W512" i="1" s="1"/>
  <c r="N473" i="1"/>
  <c r="W473" i="1" s="1"/>
  <c r="N464" i="1"/>
  <c r="W464" i="1" s="1"/>
  <c r="N454" i="1"/>
  <c r="W454" i="1" s="1"/>
  <c r="N425" i="1"/>
  <c r="W425" i="1" s="1"/>
  <c r="P415" i="1"/>
  <c r="N406" i="1"/>
  <c r="W406" i="1" s="1"/>
  <c r="M208" i="1"/>
  <c r="N208" i="1" s="1"/>
  <c r="Q185" i="1"/>
  <c r="R185" i="1"/>
  <c r="S185" i="1"/>
  <c r="W185" i="1"/>
  <c r="W115" i="1"/>
  <c r="Q115" i="1"/>
  <c r="R115" i="1"/>
  <c r="S115" i="1"/>
  <c r="W111" i="1"/>
  <c r="Q111" i="1"/>
  <c r="R111" i="1"/>
  <c r="S111" i="1"/>
  <c r="W107" i="1"/>
  <c r="Q107" i="1"/>
  <c r="R107" i="1"/>
  <c r="S107" i="1"/>
  <c r="W103" i="1"/>
  <c r="Q103" i="1"/>
  <c r="R103" i="1"/>
  <c r="S103" i="1"/>
  <c r="W99" i="1"/>
  <c r="Q99" i="1"/>
  <c r="R99" i="1"/>
  <c r="S99" i="1"/>
  <c r="W95" i="1"/>
  <c r="Q95" i="1"/>
  <c r="R95" i="1"/>
  <c r="S95" i="1"/>
  <c r="N577" i="1"/>
  <c r="N576" i="1"/>
  <c r="N575" i="1"/>
  <c r="N574" i="1"/>
  <c r="N573" i="1"/>
  <c r="N572" i="1"/>
  <c r="N571" i="1"/>
  <c r="N570" i="1"/>
  <c r="N569" i="1"/>
  <c r="N405" i="1"/>
  <c r="W405" i="1" s="1"/>
  <c r="N395" i="1"/>
  <c r="W395" i="1" s="1"/>
  <c r="N386" i="1"/>
  <c r="W386" i="1" s="1"/>
  <c r="N376" i="1"/>
  <c r="W376" i="1" s="1"/>
  <c r="N367" i="1"/>
  <c r="W367" i="1" s="1"/>
  <c r="N366" i="1"/>
  <c r="P365" i="1"/>
  <c r="W360" i="1"/>
  <c r="N357" i="1"/>
  <c r="W357" i="1" s="1"/>
  <c r="N347" i="1"/>
  <c r="W347" i="1" s="1"/>
  <c r="N338" i="1"/>
  <c r="W338" i="1" s="1"/>
  <c r="N328" i="1"/>
  <c r="W328" i="1" s="1"/>
  <c r="N319" i="1"/>
  <c r="W319" i="1" s="1"/>
  <c r="N318" i="1"/>
  <c r="N309" i="1"/>
  <c r="W309" i="1" s="1"/>
  <c r="N298" i="1"/>
  <c r="W298" i="1" s="1"/>
  <c r="N297" i="1"/>
  <c r="N286" i="1"/>
  <c r="W286" i="1" s="1"/>
  <c r="N285" i="1"/>
  <c r="N274" i="1"/>
  <c r="W274" i="1" s="1"/>
  <c r="N264" i="1"/>
  <c r="W264" i="1" s="1"/>
  <c r="N225" i="1"/>
  <c r="N217" i="1"/>
  <c r="N209" i="1"/>
  <c r="W203" i="1"/>
  <c r="M201" i="1"/>
  <c r="N201" i="1" s="1"/>
  <c r="Q188" i="1"/>
  <c r="S188" i="1"/>
  <c r="W188" i="1"/>
  <c r="Q180" i="1"/>
  <c r="P181" i="1"/>
  <c r="R180" i="1"/>
  <c r="P182" i="1"/>
  <c r="S180" i="1"/>
  <c r="W180" i="1"/>
  <c r="W132" i="1"/>
  <c r="Q132" i="1"/>
  <c r="R132" i="1"/>
  <c r="S132" i="1"/>
  <c r="N552" i="1"/>
  <c r="N551" i="1"/>
  <c r="N550" i="1"/>
  <c r="N549" i="1"/>
  <c r="N548" i="1"/>
  <c r="N547" i="1"/>
  <c r="N546" i="1"/>
  <c r="N545" i="1"/>
  <c r="N544" i="1"/>
  <c r="N543" i="1"/>
  <c r="N534" i="1"/>
  <c r="W534" i="1" s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0" i="1"/>
  <c r="W510" i="1" s="1"/>
  <c r="N509" i="1"/>
  <c r="N500" i="1"/>
  <c r="W500" i="1" s="1"/>
  <c r="N490" i="1"/>
  <c r="W490" i="1" s="1"/>
  <c r="N481" i="1"/>
  <c r="W481" i="1" s="1"/>
  <c r="N480" i="1"/>
  <c r="N471" i="1"/>
  <c r="W471" i="1" s="1"/>
  <c r="N461" i="1"/>
  <c r="W461" i="1" s="1"/>
  <c r="N452" i="1"/>
  <c r="W452" i="1" s="1"/>
  <c r="N442" i="1"/>
  <c r="W442" i="1" s="1"/>
  <c r="N433" i="1"/>
  <c r="W433" i="1" s="1"/>
  <c r="N432" i="1"/>
  <c r="N423" i="1"/>
  <c r="W423" i="1" s="1"/>
  <c r="N413" i="1"/>
  <c r="W413" i="1" s="1"/>
  <c r="N404" i="1"/>
  <c r="W404" i="1" s="1"/>
  <c r="P364" i="1"/>
  <c r="Q197" i="1"/>
  <c r="P198" i="1"/>
  <c r="R197" i="1"/>
  <c r="P199" i="1"/>
  <c r="S197" i="1"/>
  <c r="W129" i="1"/>
  <c r="Q129" i="1"/>
  <c r="R129" i="1"/>
  <c r="S129" i="1"/>
  <c r="W114" i="1"/>
  <c r="Q114" i="1"/>
  <c r="R114" i="1"/>
  <c r="S114" i="1"/>
  <c r="W110" i="1"/>
  <c r="Q110" i="1"/>
  <c r="R110" i="1"/>
  <c r="S110" i="1"/>
  <c r="W106" i="1"/>
  <c r="Q106" i="1"/>
  <c r="R106" i="1"/>
  <c r="S106" i="1"/>
  <c r="W102" i="1"/>
  <c r="Q102" i="1"/>
  <c r="R102" i="1"/>
  <c r="S102" i="1"/>
  <c r="W98" i="1"/>
  <c r="Q98" i="1"/>
  <c r="R98" i="1"/>
  <c r="S98" i="1"/>
  <c r="W94" i="1"/>
  <c r="Q94" i="1"/>
  <c r="R94" i="1"/>
  <c r="S94" i="1"/>
  <c r="N518" i="1"/>
  <c r="W518" i="1" s="1"/>
  <c r="N508" i="1"/>
  <c r="W508" i="1" s="1"/>
  <c r="N499" i="1"/>
  <c r="W499" i="1" s="1"/>
  <c r="N498" i="1"/>
  <c r="N489" i="1"/>
  <c r="W489" i="1" s="1"/>
  <c r="N479" i="1"/>
  <c r="W479" i="1" s="1"/>
  <c r="N470" i="1"/>
  <c r="W470" i="1" s="1"/>
  <c r="N460" i="1"/>
  <c r="W460" i="1" s="1"/>
  <c r="N451" i="1"/>
  <c r="W451" i="1" s="1"/>
  <c r="N450" i="1"/>
  <c r="N441" i="1"/>
  <c r="W441" i="1" s="1"/>
  <c r="N431" i="1"/>
  <c r="W431" i="1" s="1"/>
  <c r="N422" i="1"/>
  <c r="W422" i="1" s="1"/>
  <c r="N412" i="1"/>
  <c r="W412" i="1" s="1"/>
  <c r="N403" i="1"/>
  <c r="W403" i="1" s="1"/>
  <c r="N402" i="1"/>
  <c r="N393" i="1"/>
  <c r="W393" i="1" s="1"/>
  <c r="N383" i="1"/>
  <c r="W383" i="1" s="1"/>
  <c r="N374" i="1"/>
  <c r="W374" i="1" s="1"/>
  <c r="N364" i="1"/>
  <c r="W364" i="1" s="1"/>
  <c r="P363" i="1"/>
  <c r="S360" i="1"/>
  <c r="N219" i="1"/>
  <c r="N211" i="1"/>
  <c r="S203" i="1"/>
  <c r="M199" i="1"/>
  <c r="N199" i="1" s="1"/>
  <c r="W199" i="1" s="1"/>
  <c r="Q190" i="1"/>
  <c r="P191" i="1"/>
  <c r="S190" i="1"/>
  <c r="W190" i="1"/>
  <c r="P362" i="1"/>
  <c r="R203" i="1"/>
  <c r="M202" i="1"/>
  <c r="N202" i="1" s="1"/>
  <c r="W202" i="1" s="1"/>
  <c r="N195" i="1"/>
  <c r="W195" i="1" s="1"/>
  <c r="Q187" i="1"/>
  <c r="S187" i="1"/>
  <c r="W187" i="1"/>
  <c r="M182" i="1"/>
  <c r="N182" i="1" s="1"/>
  <c r="W182" i="1" s="1"/>
  <c r="R168" i="1"/>
  <c r="P170" i="1"/>
  <c r="S168" i="1"/>
  <c r="W168" i="1"/>
  <c r="Q168" i="1"/>
  <c r="P169" i="1"/>
  <c r="W131" i="1"/>
  <c r="Q131" i="1"/>
  <c r="R131" i="1"/>
  <c r="S131" i="1"/>
  <c r="W113" i="1"/>
  <c r="Q113" i="1"/>
  <c r="R113" i="1"/>
  <c r="S113" i="1"/>
  <c r="W109" i="1"/>
  <c r="Q109" i="1"/>
  <c r="R109" i="1"/>
  <c r="S109" i="1"/>
  <c r="W105" i="1"/>
  <c r="Q105" i="1"/>
  <c r="R105" i="1"/>
  <c r="S105" i="1"/>
  <c r="W101" i="1"/>
  <c r="Q101" i="1"/>
  <c r="R101" i="1"/>
  <c r="S101" i="1"/>
  <c r="W97" i="1"/>
  <c r="Q97" i="1"/>
  <c r="R97" i="1"/>
  <c r="S97" i="1"/>
  <c r="W93" i="1"/>
  <c r="Q93" i="1"/>
  <c r="R93" i="1"/>
  <c r="S93" i="1"/>
  <c r="M171" i="1"/>
  <c r="N171" i="1" s="1"/>
  <c r="M161" i="1"/>
  <c r="N161" i="1" s="1"/>
  <c r="W161" i="1" s="1"/>
  <c r="M160" i="1"/>
  <c r="N160" i="1" s="1"/>
  <c r="S154" i="1"/>
  <c r="M149" i="1"/>
  <c r="N149" i="1" s="1"/>
  <c r="W149" i="1" s="1"/>
  <c r="M148" i="1"/>
  <c r="N148" i="1" s="1"/>
  <c r="S141" i="1"/>
  <c r="S134" i="1"/>
  <c r="M69" i="1"/>
  <c r="N69" i="1" s="1"/>
  <c r="W69" i="1" s="1"/>
  <c r="M68" i="1"/>
  <c r="N68" i="1" s="1"/>
  <c r="M67" i="1"/>
  <c r="N67" i="1" s="1"/>
  <c r="M66" i="1"/>
  <c r="N66" i="1" s="1"/>
  <c r="M65" i="1"/>
  <c r="N65" i="1" s="1"/>
  <c r="M64" i="1"/>
  <c r="N64" i="1" s="1"/>
  <c r="M63" i="1"/>
  <c r="N63" i="1" s="1"/>
  <c r="M62" i="1"/>
  <c r="N62" i="1" s="1"/>
  <c r="M61" i="1"/>
  <c r="N61" i="1" s="1"/>
  <c r="M60" i="1"/>
  <c r="N60" i="1" s="1"/>
  <c r="M59" i="1"/>
  <c r="N59" i="1" s="1"/>
  <c r="M58" i="1"/>
  <c r="N58" i="1" s="1"/>
  <c r="M57" i="1"/>
  <c r="N57" i="1" s="1"/>
  <c r="M56" i="1"/>
  <c r="N56" i="1" s="1"/>
  <c r="M55" i="1"/>
  <c r="N55" i="1" s="1"/>
  <c r="M54" i="1"/>
  <c r="N54" i="1" s="1"/>
  <c r="M53" i="1"/>
  <c r="N53" i="1" s="1"/>
  <c r="M52" i="1"/>
  <c r="N52" i="1" s="1"/>
  <c r="M51" i="1"/>
  <c r="N51" i="1" s="1"/>
  <c r="M50" i="1"/>
  <c r="N50" i="1" s="1"/>
  <c r="M49" i="1"/>
  <c r="N49" i="1" s="1"/>
  <c r="M48" i="1"/>
  <c r="N48" i="1" s="1"/>
  <c r="M47" i="1"/>
  <c r="N47" i="1" s="1"/>
  <c r="M46" i="1"/>
  <c r="N46" i="1" s="1"/>
  <c r="M45" i="1"/>
  <c r="N45" i="1" s="1"/>
  <c r="M44" i="1"/>
  <c r="N44" i="1" s="1"/>
  <c r="N43" i="1"/>
  <c r="W43" i="1" s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P166" i="1"/>
  <c r="R164" i="1"/>
  <c r="P155" i="1"/>
  <c r="Q154" i="1"/>
  <c r="Q141" i="1"/>
  <c r="Q137" i="1"/>
  <c r="Q134" i="1"/>
  <c r="N206" i="1"/>
  <c r="N205" i="1"/>
  <c r="N191" i="1"/>
  <c r="W191" i="1" s="1"/>
  <c r="N163" i="1"/>
  <c r="N152" i="1"/>
  <c r="W152" i="1" s="1"/>
  <c r="N151" i="1"/>
  <c r="N91" i="1"/>
  <c r="W91" i="1" s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200" i="1"/>
  <c r="N183" i="1"/>
  <c r="N173" i="1"/>
  <c r="W173" i="1" s="1"/>
  <c r="N172" i="1"/>
  <c r="N162" i="1"/>
  <c r="W162" i="1" s="1"/>
  <c r="N150" i="1"/>
  <c r="W150" i="1" s="1"/>
  <c r="N125" i="1"/>
  <c r="W125" i="1" s="1"/>
  <c r="N124" i="1"/>
  <c r="N123" i="1"/>
  <c r="N122" i="1"/>
  <c r="N121" i="1"/>
  <c r="N120" i="1"/>
  <c r="N119" i="1"/>
  <c r="N118" i="1"/>
  <c r="R666" i="1" l="1"/>
  <c r="O69" i="1"/>
  <c r="W1544" i="1"/>
  <c r="O853" i="1"/>
  <c r="O117" i="1"/>
  <c r="O19" i="1"/>
  <c r="O1720" i="1"/>
  <c r="O1625" i="1"/>
  <c r="O2499" i="1"/>
  <c r="P668" i="1"/>
  <c r="P667" i="1"/>
  <c r="Q666" i="1"/>
  <c r="W666" i="1"/>
  <c r="P669" i="1"/>
  <c r="S212" i="1"/>
  <c r="R212" i="1"/>
  <c r="S210" i="1"/>
  <c r="W212" i="1"/>
  <c r="R348" i="1"/>
  <c r="Q660" i="1"/>
  <c r="S1257" i="1"/>
  <c r="P2110" i="1"/>
  <c r="S649" i="1"/>
  <c r="R1257" i="1"/>
  <c r="M232" i="1"/>
  <c r="N232" i="1" s="1"/>
  <c r="P719" i="1"/>
  <c r="Q719" i="1" s="1"/>
  <c r="W210" i="1"/>
  <c r="Y210" i="18" s="1"/>
  <c r="P350" i="1"/>
  <c r="W621" i="1"/>
  <c r="R1557" i="1"/>
  <c r="W348" i="1"/>
  <c r="Q621" i="1"/>
  <c r="P1939" i="1"/>
  <c r="Q1939" i="1" s="1"/>
  <c r="P353" i="1"/>
  <c r="S353" i="1" s="1"/>
  <c r="S1623" i="1"/>
  <c r="T1623" i="18" s="1"/>
  <c r="P2342" i="1"/>
  <c r="S2342" i="1" s="1"/>
  <c r="R661" i="1"/>
  <c r="R1548" i="1"/>
  <c r="R933" i="1"/>
  <c r="Q933" i="1"/>
  <c r="S1548" i="1"/>
  <c r="T1548" i="18" s="1"/>
  <c r="P457" i="1"/>
  <c r="R457" i="1" s="1"/>
  <c r="W1548" i="1"/>
  <c r="Y1548" i="18" s="1"/>
  <c r="Q224" i="1"/>
  <c r="R244" i="1"/>
  <c r="S224" i="1"/>
  <c r="R935" i="1"/>
  <c r="P143" i="1"/>
  <c r="Q143" i="1" s="1"/>
  <c r="P494" i="1"/>
  <c r="S494" i="1" s="1"/>
  <c r="S1624" i="1"/>
  <c r="T1624" i="18" s="1"/>
  <c r="S894" i="1"/>
  <c r="W239" i="1"/>
  <c r="S244" i="1"/>
  <c r="S620" i="1"/>
  <c r="T620" i="18" s="1"/>
  <c r="Q662" i="1"/>
  <c r="W953" i="1"/>
  <c r="Y953" i="18" s="1"/>
  <c r="Q139" i="1"/>
  <c r="R620" i="1"/>
  <c r="W662" i="1"/>
  <c r="R242" i="1"/>
  <c r="S949" i="1"/>
  <c r="T949" i="18" s="1"/>
  <c r="S662" i="1"/>
  <c r="T662" i="18" s="1"/>
  <c r="S139" i="1"/>
  <c r="Q242" i="1"/>
  <c r="P766" i="1"/>
  <c r="R766" i="1" s="1"/>
  <c r="S953" i="1"/>
  <c r="T953" i="18" s="1"/>
  <c r="W241" i="1"/>
  <c r="Y241" i="18" s="1"/>
  <c r="Q765" i="1"/>
  <c r="Q894" i="1"/>
  <c r="P769" i="1"/>
  <c r="W894" i="1"/>
  <c r="P768" i="1"/>
  <c r="Q768" i="1" s="1"/>
  <c r="S908" i="1"/>
  <c r="T908" i="18" s="1"/>
  <c r="R953" i="1"/>
  <c r="R1951" i="1"/>
  <c r="Q1900" i="1"/>
  <c r="P506" i="1"/>
  <c r="Q663" i="1"/>
  <c r="Q142" i="1"/>
  <c r="P508" i="1"/>
  <c r="R508" i="1" s="1"/>
  <c r="Q735" i="1"/>
  <c r="R133" i="1"/>
  <c r="P2322" i="1"/>
  <c r="Q2322" i="1" s="1"/>
  <c r="P738" i="1"/>
  <c r="S738" i="1" s="1"/>
  <c r="S136" i="1"/>
  <c r="T136" i="18" s="1"/>
  <c r="P739" i="1"/>
  <c r="Q739" i="1" s="1"/>
  <c r="P736" i="1"/>
  <c r="Q135" i="1"/>
  <c r="S1551" i="1"/>
  <c r="T1551" i="18" s="1"/>
  <c r="P507" i="1"/>
  <c r="Q507" i="1" s="1"/>
  <c r="W504" i="1"/>
  <c r="Y504" i="18" s="1"/>
  <c r="Q504" i="1"/>
  <c r="W735" i="1"/>
  <c r="W1856" i="1"/>
  <c r="Y1856" i="18" s="1"/>
  <c r="S504" i="1"/>
  <c r="S142" i="1"/>
  <c r="T142" i="18" s="1"/>
  <c r="P505" i="1"/>
  <c r="S505" i="1" s="1"/>
  <c r="P740" i="1"/>
  <c r="Q740" i="1" s="1"/>
  <c r="S1736" i="1"/>
  <c r="P718" i="1"/>
  <c r="R717" i="1"/>
  <c r="S418" i="1"/>
  <c r="T418" i="18" s="1"/>
  <c r="W783" i="1"/>
  <c r="Y783" i="18" s="1"/>
  <c r="Q717" i="1"/>
  <c r="Q1803" i="1"/>
  <c r="P788" i="1"/>
  <c r="Q788" i="1" s="1"/>
  <c r="P722" i="1"/>
  <c r="Q722" i="1" s="1"/>
  <c r="R444" i="1"/>
  <c r="W717" i="1"/>
  <c r="Y717" i="18" s="1"/>
  <c r="Q665" i="1"/>
  <c r="P721" i="1"/>
  <c r="Q925" i="1"/>
  <c r="W665" i="1"/>
  <c r="Y665" i="18" s="1"/>
  <c r="Q514" i="1"/>
  <c r="W214" i="1"/>
  <c r="Y214" i="18" s="1"/>
  <c r="W456" i="1"/>
  <c r="Y456" i="18" s="1"/>
  <c r="Q214" i="1"/>
  <c r="R245" i="1"/>
  <c r="S933" i="1"/>
  <c r="P461" i="1"/>
  <c r="Q461" i="1" s="1"/>
  <c r="Q245" i="1"/>
  <c r="P458" i="1"/>
  <c r="Q458" i="1" s="1"/>
  <c r="P460" i="1"/>
  <c r="Q460" i="1" s="1"/>
  <c r="W245" i="1"/>
  <c r="Q661" i="1"/>
  <c r="S214" i="1"/>
  <c r="T214" i="18" s="1"/>
  <c r="S456" i="1"/>
  <c r="T456" i="18" s="1"/>
  <c r="W661" i="1"/>
  <c r="Y661" i="18" s="1"/>
  <c r="P459" i="1"/>
  <c r="Q459" i="1" s="1"/>
  <c r="P518" i="1"/>
  <c r="Q518" i="1" s="1"/>
  <c r="Q456" i="1"/>
  <c r="Y304" i="18"/>
  <c r="Q2339" i="1"/>
  <c r="Q1835" i="1"/>
  <c r="P1838" i="1"/>
  <c r="W1621" i="1"/>
  <c r="Y1621" i="18" s="1"/>
  <c r="P1792" i="1"/>
  <c r="R1792" i="1" s="1"/>
  <c r="S1558" i="1"/>
  <c r="T1558" i="18" s="1"/>
  <c r="W1558" i="1"/>
  <c r="W1791" i="1"/>
  <c r="Y1791" i="18" s="1"/>
  <c r="P2111" i="1"/>
  <c r="R1558" i="1"/>
  <c r="S1791" i="1"/>
  <c r="R1622" i="1"/>
  <c r="Q1622" i="1"/>
  <c r="P2333" i="1"/>
  <c r="Q2333" i="1" s="1"/>
  <c r="S2477" i="1"/>
  <c r="T2477" i="18" s="1"/>
  <c r="S2331" i="1"/>
  <c r="P2454" i="1"/>
  <c r="R735" i="1"/>
  <c r="R139" i="1"/>
  <c r="P737" i="1"/>
  <c r="R737" i="1" s="1"/>
  <c r="S1972" i="1"/>
  <c r="T1972" i="18" s="1"/>
  <c r="R2405" i="1"/>
  <c r="Y2336" i="18"/>
  <c r="Q1972" i="1"/>
  <c r="R210" i="1"/>
  <c r="S2372" i="1"/>
  <c r="T2372" i="18" s="1"/>
  <c r="P2319" i="1"/>
  <c r="S133" i="1"/>
  <c r="T133" i="18" s="1"/>
  <c r="W1551" i="1"/>
  <c r="Y1551" i="18" s="1"/>
  <c r="Q2317" i="1"/>
  <c r="Q133" i="1"/>
  <c r="R1546" i="1"/>
  <c r="W664" i="1"/>
  <c r="S1546" i="1"/>
  <c r="T1546" i="18" s="1"/>
  <c r="W1944" i="1"/>
  <c r="P1947" i="1"/>
  <c r="Q1947" i="1" s="1"/>
  <c r="R1551" i="1"/>
  <c r="S1803" i="1"/>
  <c r="T1803" i="18" s="1"/>
  <c r="P1946" i="1"/>
  <c r="R1946" i="1" s="1"/>
  <c r="W1257" i="1"/>
  <c r="Q927" i="1"/>
  <c r="S1550" i="1"/>
  <c r="T1550" i="18" s="1"/>
  <c r="W1546" i="1"/>
  <c r="P1805" i="1"/>
  <c r="Q1805" i="1" s="1"/>
  <c r="Q1944" i="1"/>
  <c r="Y1810" i="18"/>
  <c r="W2470" i="1"/>
  <c r="Y2470" i="18" s="1"/>
  <c r="R1549" i="1"/>
  <c r="Q1615" i="1"/>
  <c r="W2261" i="1"/>
  <c r="Y2261" i="18" s="1"/>
  <c r="Q2471" i="1"/>
  <c r="P397" i="1"/>
  <c r="S397" i="1" s="1"/>
  <c r="R238" i="1"/>
  <c r="W2473" i="1"/>
  <c r="Y2473" i="18" s="1"/>
  <c r="Y448" i="18"/>
  <c r="P463" i="1"/>
  <c r="Q463" i="1" s="1"/>
  <c r="Q917" i="1"/>
  <c r="W1549" i="1"/>
  <c r="Y1549" i="18" s="1"/>
  <c r="Q238" i="1"/>
  <c r="Q396" i="1"/>
  <c r="R950" i="1"/>
  <c r="S917" i="1"/>
  <c r="T917" i="18" s="1"/>
  <c r="S664" i="1"/>
  <c r="T664" i="18" s="1"/>
  <c r="Q935" i="1"/>
  <c r="S218" i="1"/>
  <c r="W238" i="1"/>
  <c r="Y238" i="18" s="1"/>
  <c r="P401" i="1"/>
  <c r="Q401" i="1" s="1"/>
  <c r="R917" i="1"/>
  <c r="R664" i="1"/>
  <c r="W935" i="1"/>
  <c r="Y935" i="18" s="1"/>
  <c r="R1552" i="1"/>
  <c r="W1552" i="1"/>
  <c r="Y1552" i="18" s="1"/>
  <c r="S1620" i="1"/>
  <c r="T1620" i="18" s="1"/>
  <c r="R2407" i="1"/>
  <c r="W396" i="1"/>
  <c r="S896" i="1"/>
  <c r="S1549" i="1"/>
  <c r="T1549" i="18" s="1"/>
  <c r="R2444" i="1"/>
  <c r="P399" i="1"/>
  <c r="S399" i="1" s="1"/>
  <c r="P400" i="1"/>
  <c r="Q400" i="1" s="1"/>
  <c r="R240" i="1"/>
  <c r="S396" i="1"/>
  <c r="S240" i="1"/>
  <c r="T240" i="18" s="1"/>
  <c r="P464" i="1"/>
  <c r="R464" i="1" s="1"/>
  <c r="P398" i="1"/>
  <c r="S398" i="1" s="1"/>
  <c r="W658" i="1"/>
  <c r="S1552" i="1"/>
  <c r="T1552" i="18" s="1"/>
  <c r="S1737" i="1"/>
  <c r="S658" i="1"/>
  <c r="T658" i="18" s="1"/>
  <c r="P1738" i="1"/>
  <c r="Q1738" i="1" s="1"/>
  <c r="R2373" i="1"/>
  <c r="W1737" i="1"/>
  <c r="Y1737" i="18" s="1"/>
  <c r="W1620" i="1"/>
  <c r="Y1620" i="18" s="1"/>
  <c r="W1615" i="1"/>
  <c r="S2444" i="1"/>
  <c r="T2444" i="18" s="1"/>
  <c r="S2480" i="1"/>
  <c r="P1739" i="1"/>
  <c r="Q1739" i="1" s="1"/>
  <c r="R1620" i="1"/>
  <c r="S1615" i="1"/>
  <c r="T1615" i="18" s="1"/>
  <c r="R1737" i="1"/>
  <c r="R2474" i="1"/>
  <c r="P177" i="1"/>
  <c r="Q177" i="1" s="1"/>
  <c r="S138" i="1"/>
  <c r="Q1260" i="1"/>
  <c r="W1844" i="1"/>
  <c r="R1736" i="1"/>
  <c r="P1859" i="1"/>
  <c r="S1859" i="1" s="1"/>
  <c r="W1900" i="1"/>
  <c r="Y1900" i="18" s="1"/>
  <c r="P2332" i="1"/>
  <c r="Q2332" i="1" s="1"/>
  <c r="S2352" i="1"/>
  <c r="T2352" i="18" s="1"/>
  <c r="W2471" i="1"/>
  <c r="Y2471" i="18" s="1"/>
  <c r="Q222" i="1"/>
  <c r="W1260" i="1"/>
  <c r="S1856" i="1"/>
  <c r="S1260" i="1"/>
  <c r="T1260" i="18" s="1"/>
  <c r="P1847" i="1"/>
  <c r="S1847" i="1" s="1"/>
  <c r="P1858" i="1"/>
  <c r="R1858" i="1" s="1"/>
  <c r="P1903" i="1"/>
  <c r="S1903" i="1" s="1"/>
  <c r="S2383" i="1"/>
  <c r="T2383" i="18" s="1"/>
  <c r="W2317" i="1"/>
  <c r="Y2317" i="18" s="1"/>
  <c r="P413" i="1"/>
  <c r="Q413" i="1" s="1"/>
  <c r="S1900" i="1"/>
  <c r="T1900" i="18" s="1"/>
  <c r="R2352" i="1"/>
  <c r="P2386" i="1"/>
  <c r="Q2386" i="1" s="1"/>
  <c r="S2317" i="1"/>
  <c r="T2317" i="18" s="1"/>
  <c r="T2472" i="18"/>
  <c r="Q650" i="1"/>
  <c r="P1902" i="1"/>
  <c r="S1902" i="1" s="1"/>
  <c r="P2385" i="1"/>
  <c r="Q2385" i="1" s="1"/>
  <c r="S2470" i="1"/>
  <c r="T2470" i="18" s="1"/>
  <c r="W222" i="1"/>
  <c r="Y222" i="18" s="1"/>
  <c r="R1900" i="1"/>
  <c r="W2299" i="1"/>
  <c r="Y2299" i="18" s="1"/>
  <c r="W2331" i="1"/>
  <c r="Y2331" i="18" s="1"/>
  <c r="R2317" i="1"/>
  <c r="R2470" i="1"/>
  <c r="S2471" i="1"/>
  <c r="T2471" i="18" s="1"/>
  <c r="P2318" i="1"/>
  <c r="S241" i="1"/>
  <c r="T241" i="18" s="1"/>
  <c r="R492" i="1"/>
  <c r="S239" i="1"/>
  <c r="T239" i="18" s="1"/>
  <c r="R237" i="1"/>
  <c r="P445" i="1"/>
  <c r="Q445" i="1" s="1"/>
  <c r="S951" i="1"/>
  <c r="T951" i="18" s="1"/>
  <c r="W659" i="1"/>
  <c r="S919" i="1"/>
  <c r="S1876" i="1"/>
  <c r="T1876" i="18" s="1"/>
  <c r="W1876" i="1"/>
  <c r="Y1876" i="18" s="1"/>
  <c r="S1932" i="1"/>
  <c r="R1623" i="1"/>
  <c r="P497" i="1"/>
  <c r="Q497" i="1" s="1"/>
  <c r="S237" i="1"/>
  <c r="T237" i="18" s="1"/>
  <c r="W444" i="1"/>
  <c r="Y444" i="18" s="1"/>
  <c r="S952" i="1"/>
  <c r="S855" i="1"/>
  <c r="R919" i="1"/>
  <c r="W1556" i="1"/>
  <c r="P1879" i="1"/>
  <c r="Q1879" i="1" s="1"/>
  <c r="P1911" i="1"/>
  <c r="Q1911" i="1" s="1"/>
  <c r="Q1623" i="1"/>
  <c r="Y327" i="18"/>
  <c r="Q138" i="1"/>
  <c r="S419" i="1"/>
  <c r="T419" i="18" s="1"/>
  <c r="W492" i="1"/>
  <c r="Y492" i="18" s="1"/>
  <c r="P448" i="1"/>
  <c r="Q448" i="1" s="1"/>
  <c r="R951" i="1"/>
  <c r="W888" i="1"/>
  <c r="Y888" i="18" s="1"/>
  <c r="R855" i="1"/>
  <c r="Q919" i="1"/>
  <c r="S1908" i="1"/>
  <c r="T1908" i="18" s="1"/>
  <c r="P1935" i="1"/>
  <c r="Q1935" i="1" s="1"/>
  <c r="P1979" i="1"/>
  <c r="Q1979" i="1" s="1"/>
  <c r="Q176" i="1"/>
  <c r="R564" i="1"/>
  <c r="R925" i="1"/>
  <c r="R952" i="1"/>
  <c r="P1845" i="1"/>
  <c r="Q1845" i="1" s="1"/>
  <c r="P1909" i="1"/>
  <c r="R1909" i="1" s="1"/>
  <c r="W1618" i="1"/>
  <c r="Y1618" i="18" s="1"/>
  <c r="S1944" i="1"/>
  <c r="T1944" i="18" s="1"/>
  <c r="P2320" i="1"/>
  <c r="R2320" i="1" s="1"/>
  <c r="P1943" i="1"/>
  <c r="R1943" i="1" s="1"/>
  <c r="Q2227" i="1"/>
  <c r="Y2212" i="18"/>
  <c r="S888" i="1"/>
  <c r="T888" i="18" s="1"/>
  <c r="S925" i="1"/>
  <c r="P1877" i="1"/>
  <c r="R1877" i="1" s="1"/>
  <c r="S1618" i="1"/>
  <c r="T1618" i="18" s="1"/>
  <c r="R419" i="1"/>
  <c r="R241" i="1"/>
  <c r="R239" i="1"/>
  <c r="R888" i="1"/>
  <c r="R1618" i="1"/>
  <c r="R1944" i="1"/>
  <c r="S176" i="1"/>
  <c r="T176" i="18" s="1"/>
  <c r="P447" i="1"/>
  <c r="Q447" i="1" s="1"/>
  <c r="R1556" i="1"/>
  <c r="S1844" i="1"/>
  <c r="T1844" i="18" s="1"/>
  <c r="Y292" i="18"/>
  <c r="P411" i="1"/>
  <c r="Q411" i="1" s="1"/>
  <c r="S156" i="1"/>
  <c r="T156" i="18" s="1"/>
  <c r="P410" i="1"/>
  <c r="Q410" i="1" s="1"/>
  <c r="P412" i="1"/>
  <c r="Q412" i="1" s="1"/>
  <c r="P409" i="1"/>
  <c r="Q409" i="1" s="1"/>
  <c r="Q649" i="1"/>
  <c r="S650" i="1"/>
  <c r="T650" i="18" s="1"/>
  <c r="S2109" i="1"/>
  <c r="T2109" i="18" s="1"/>
  <c r="W2109" i="1"/>
  <c r="Y2109" i="18" s="1"/>
  <c r="R1940" i="1"/>
  <c r="P2231" i="1"/>
  <c r="Q2231" i="1" s="1"/>
  <c r="S902" i="1"/>
  <c r="S899" i="1"/>
  <c r="T899" i="18" s="1"/>
  <c r="Q156" i="1"/>
  <c r="W218" i="1"/>
  <c r="Y218" i="18" s="1"/>
  <c r="S220" i="1"/>
  <c r="W408" i="1"/>
  <c r="Q216" i="1"/>
  <c r="Q881" i="1"/>
  <c r="W649" i="1"/>
  <c r="W902" i="1"/>
  <c r="Y902" i="18" s="1"/>
  <c r="R650" i="1"/>
  <c r="R1544" i="1"/>
  <c r="W1624" i="1"/>
  <c r="Y1624" i="18" s="1"/>
  <c r="P2112" i="1"/>
  <c r="S2112" i="1" s="1"/>
  <c r="Q1619" i="1"/>
  <c r="W1749" i="1"/>
  <c r="Y1749" i="18" s="1"/>
  <c r="W1835" i="1"/>
  <c r="Q2109" i="1"/>
  <c r="P1975" i="1"/>
  <c r="Q2261" i="1"/>
  <c r="P2229" i="1"/>
  <c r="Q2229" i="1" s="1"/>
  <c r="R218" i="1"/>
  <c r="Y2342" i="18"/>
  <c r="S1621" i="1"/>
  <c r="R1624" i="1"/>
  <c r="P1836" i="1"/>
  <c r="Q1836" i="1" s="1"/>
  <c r="S1835" i="1"/>
  <c r="T1835" i="18" s="1"/>
  <c r="P1974" i="1"/>
  <c r="S1974" i="1" s="1"/>
  <c r="R2261" i="1"/>
  <c r="P2334" i="1"/>
  <c r="S2334" i="1" s="1"/>
  <c r="S1976" i="1"/>
  <c r="P2409" i="1"/>
  <c r="S2409" i="1" s="1"/>
  <c r="P465" i="1"/>
  <c r="S465" i="1" s="1"/>
  <c r="P1837" i="1"/>
  <c r="Q1837" i="1" s="1"/>
  <c r="R1972" i="1"/>
  <c r="P1977" i="1"/>
  <c r="Q1977" i="1" s="1"/>
  <c r="W220" i="1"/>
  <c r="Y220" i="18" s="1"/>
  <c r="R943" i="1"/>
  <c r="S222" i="1"/>
  <c r="P196" i="1"/>
  <c r="Q196" i="1" s="1"/>
  <c r="Q943" i="1"/>
  <c r="R1754" i="1"/>
  <c r="R1621" i="1"/>
  <c r="S408" i="1"/>
  <c r="T408" i="18" s="1"/>
  <c r="R220" i="1"/>
  <c r="R194" i="1"/>
  <c r="Q902" i="1"/>
  <c r="R927" i="1"/>
  <c r="S1754" i="1"/>
  <c r="T1754" i="18" s="1"/>
  <c r="P1973" i="1"/>
  <c r="Q1973" i="1" s="1"/>
  <c r="P2230" i="1"/>
  <c r="S2230" i="1" s="1"/>
  <c r="Y265" i="18"/>
  <c r="P195" i="1"/>
  <c r="R195" i="1" s="1"/>
  <c r="R462" i="1"/>
  <c r="S216" i="1"/>
  <c r="Q408" i="1"/>
  <c r="R899" i="1"/>
  <c r="Q910" i="1"/>
  <c r="W1557" i="1"/>
  <c r="S1963" i="1"/>
  <c r="T1963" i="18" s="1"/>
  <c r="R2331" i="1"/>
  <c r="P1942" i="1"/>
  <c r="R1942" i="1" s="1"/>
  <c r="P1938" i="1"/>
  <c r="S1938" i="1" s="1"/>
  <c r="R2477" i="1"/>
  <c r="W2449" i="1"/>
  <c r="Y2449" i="18" s="1"/>
  <c r="R1876" i="1"/>
  <c r="P2303" i="1"/>
  <c r="Q2303" i="1" s="1"/>
  <c r="P1937" i="1"/>
  <c r="R1937" i="1" s="1"/>
  <c r="Q2477" i="1"/>
  <c r="P1878" i="1"/>
  <c r="S1878" i="1" s="1"/>
  <c r="P2301" i="1"/>
  <c r="S2301" i="1" s="1"/>
  <c r="Q1936" i="1"/>
  <c r="S462" i="1"/>
  <c r="R2299" i="1"/>
  <c r="P2382" i="1"/>
  <c r="R2382" i="1" s="1"/>
  <c r="P466" i="1"/>
  <c r="P467" i="1"/>
  <c r="P2300" i="1"/>
  <c r="Q2300" i="1" s="1"/>
  <c r="W1936" i="1"/>
  <c r="P2380" i="1"/>
  <c r="Q2380" i="1" s="1"/>
  <c r="Q2299" i="1"/>
  <c r="S1936" i="1"/>
  <c r="T1936" i="18" s="1"/>
  <c r="S2373" i="1"/>
  <c r="W138" i="1"/>
  <c r="Y138" i="18" s="1"/>
  <c r="P2453" i="1"/>
  <c r="S2453" i="1" s="1"/>
  <c r="W462" i="1"/>
  <c r="S2405" i="1"/>
  <c r="T2405" i="18" s="1"/>
  <c r="W660" i="1"/>
  <c r="W663" i="1"/>
  <c r="Y663" i="18" s="1"/>
  <c r="S941" i="1"/>
  <c r="T941" i="18" s="1"/>
  <c r="S659" i="1"/>
  <c r="S1823" i="1"/>
  <c r="W1616" i="1"/>
  <c r="S1749" i="1"/>
  <c r="T1749" i="18" s="1"/>
  <c r="S140" i="1"/>
  <c r="S660" i="1"/>
  <c r="T660" i="18" s="1"/>
  <c r="S663" i="1"/>
  <c r="T663" i="18" s="1"/>
  <c r="S592" i="1"/>
  <c r="T592" i="18" s="1"/>
  <c r="Q880" i="1"/>
  <c r="R659" i="1"/>
  <c r="P1826" i="1"/>
  <c r="Q1826" i="1" s="1"/>
  <c r="S1616" i="1"/>
  <c r="T1616" i="18" s="1"/>
  <c r="P1751" i="1"/>
  <c r="R224" i="1"/>
  <c r="R234" i="1"/>
  <c r="R592" i="1"/>
  <c r="R1616" i="1"/>
  <c r="R1749" i="1"/>
  <c r="Q234" i="1"/>
  <c r="Q592" i="1"/>
  <c r="P1824" i="1"/>
  <c r="S1824" i="1" s="1"/>
  <c r="P1750" i="1"/>
  <c r="Q1750" i="1" s="1"/>
  <c r="W234" i="1"/>
  <c r="Y234" i="18" s="1"/>
  <c r="S907" i="1"/>
  <c r="T907" i="18" s="1"/>
  <c r="W1619" i="1"/>
  <c r="W1823" i="1"/>
  <c r="Y1823" i="18" s="1"/>
  <c r="S1619" i="1"/>
  <c r="S192" i="1"/>
  <c r="T192" i="18" s="1"/>
  <c r="Q140" i="1"/>
  <c r="Q192" i="1"/>
  <c r="R907" i="1"/>
  <c r="S2455" i="1"/>
  <c r="T2455" i="18" s="1"/>
  <c r="P2378" i="1"/>
  <c r="Q2378" i="1" s="1"/>
  <c r="Y752" i="18"/>
  <c r="W653" i="1"/>
  <c r="Y653" i="18" s="1"/>
  <c r="P2459" i="1"/>
  <c r="Q2459" i="1" s="1"/>
  <c r="P2344" i="1"/>
  <c r="Q2514" i="1"/>
  <c r="P2458" i="1"/>
  <c r="Q2458" i="1" s="1"/>
  <c r="W2375" i="1"/>
  <c r="P2457" i="1"/>
  <c r="S2375" i="1"/>
  <c r="T2375" i="18" s="1"/>
  <c r="R2455" i="1"/>
  <c r="P2377" i="1"/>
  <c r="Q2377" i="1" s="1"/>
  <c r="P2456" i="1"/>
  <c r="Q2456" i="1" s="1"/>
  <c r="R2375" i="1"/>
  <c r="W2514" i="1"/>
  <c r="P2460" i="1"/>
  <c r="S2460" i="1" s="1"/>
  <c r="Q2455" i="1"/>
  <c r="P2376" i="1"/>
  <c r="Q2376" i="1" s="1"/>
  <c r="S2514" i="1"/>
  <c r="Q2510" i="1"/>
  <c r="S2343" i="1"/>
  <c r="R653" i="1"/>
  <c r="Q653" i="1"/>
  <c r="S2469" i="1"/>
  <c r="T2469" i="18" s="1"/>
  <c r="R2469" i="1"/>
  <c r="P2259" i="1"/>
  <c r="S2259" i="1" s="1"/>
  <c r="Q2469" i="1"/>
  <c r="R2257" i="1"/>
  <c r="P144" i="1"/>
  <c r="R144" i="1" s="1"/>
  <c r="P2258" i="1"/>
  <c r="Q2257" i="1"/>
  <c r="R652" i="1"/>
  <c r="Q652" i="1"/>
  <c r="S651" i="1"/>
  <c r="R651" i="1"/>
  <c r="Q651" i="1"/>
  <c r="Q2289" i="1"/>
  <c r="P2278" i="1"/>
  <c r="Q2277" i="1"/>
  <c r="R142" i="1"/>
  <c r="P175" i="1"/>
  <c r="W2221" i="1"/>
  <c r="W2277" i="1"/>
  <c r="Y2277" i="18" s="1"/>
  <c r="R2249" i="1"/>
  <c r="P2225" i="1"/>
  <c r="P2280" i="1"/>
  <c r="P2223" i="1"/>
  <c r="Q2223" i="1" s="1"/>
  <c r="S2277" i="1"/>
  <c r="T2277" i="18" s="1"/>
  <c r="R2289" i="1"/>
  <c r="P2279" i="1"/>
  <c r="Q2279" i="1" s="1"/>
  <c r="P2290" i="1"/>
  <c r="Q2290" i="1" s="1"/>
  <c r="S193" i="1"/>
  <c r="T193" i="18" s="1"/>
  <c r="R193" i="1"/>
  <c r="P179" i="1"/>
  <c r="Y672" i="18"/>
  <c r="Y1913" i="18"/>
  <c r="P163" i="1"/>
  <c r="R163" i="1" s="1"/>
  <c r="Y680" i="18"/>
  <c r="Y1929" i="18"/>
  <c r="Y704" i="18"/>
  <c r="Y1757" i="18"/>
  <c r="Y2117" i="18"/>
  <c r="P171" i="1"/>
  <c r="R171" i="1" s="1"/>
  <c r="Y1789" i="18"/>
  <c r="Y2185" i="18"/>
  <c r="W142" i="1"/>
  <c r="Y400" i="18"/>
  <c r="Y1592" i="18"/>
  <c r="Y1813" i="18"/>
  <c r="Y2197" i="18"/>
  <c r="W907" i="1"/>
  <c r="R1823" i="1"/>
  <c r="P183" i="1"/>
  <c r="S183" i="1" s="1"/>
  <c r="Y1756" i="18"/>
  <c r="Y1877" i="18"/>
  <c r="Y2385" i="18"/>
  <c r="W2479" i="1"/>
  <c r="Y2479" i="18" s="1"/>
  <c r="Q1823" i="1"/>
  <c r="R2109" i="1"/>
  <c r="P167" i="1"/>
  <c r="Y656" i="18"/>
  <c r="Y2060" i="18"/>
  <c r="Y1881" i="18"/>
  <c r="Y2393" i="18"/>
  <c r="Y668" i="18"/>
  <c r="Y1885" i="18"/>
  <c r="Y2433" i="18"/>
  <c r="P2408" i="1"/>
  <c r="Q2408" i="1" s="1"/>
  <c r="R2480" i="1"/>
  <c r="P2452" i="1"/>
  <c r="R2452" i="1" s="1"/>
  <c r="Y2444" i="18"/>
  <c r="P2412" i="1"/>
  <c r="S2412" i="1" s="1"/>
  <c r="Q2407" i="1"/>
  <c r="Q2480" i="1"/>
  <c r="R2478" i="1"/>
  <c r="S2449" i="1"/>
  <c r="T2449" i="18" s="1"/>
  <c r="W2407" i="1"/>
  <c r="Y2407" i="18" s="1"/>
  <c r="P2451" i="1"/>
  <c r="S2451" i="1" s="1"/>
  <c r="P2262" i="1"/>
  <c r="Q2262" i="1" s="1"/>
  <c r="P2411" i="1"/>
  <c r="S2411" i="1" s="1"/>
  <c r="R2449" i="1"/>
  <c r="S2513" i="1"/>
  <c r="P2410" i="1"/>
  <c r="Q2410" i="1" s="1"/>
  <c r="P2450" i="1"/>
  <c r="Q2450" i="1" s="1"/>
  <c r="R2513" i="1"/>
  <c r="Q2513" i="1"/>
  <c r="W2512" i="1"/>
  <c r="S2512" i="1"/>
  <c r="T2512" i="18" s="1"/>
  <c r="Q236" i="1"/>
  <c r="P2264" i="1"/>
  <c r="Q2264" i="1" s="1"/>
  <c r="Y539" i="18"/>
  <c r="S2261" i="1"/>
  <c r="T2261" i="18" s="1"/>
  <c r="Y787" i="18"/>
  <c r="Y316" i="18"/>
  <c r="Y380" i="18"/>
  <c r="Y2357" i="18"/>
  <c r="P2041" i="1"/>
  <c r="Q2041" i="1" s="1"/>
  <c r="Y540" i="18"/>
  <c r="P2350" i="1"/>
  <c r="R2350" i="1" s="1"/>
  <c r="Y600" i="18"/>
  <c r="Y141" i="18"/>
  <c r="W2289" i="1"/>
  <c r="Y2289" i="18" s="1"/>
  <c r="Q2040" i="1"/>
  <c r="W2040" i="1"/>
  <c r="P2043" i="1"/>
  <c r="S2043" i="1" s="1"/>
  <c r="W951" i="1"/>
  <c r="Y951" i="18" s="1"/>
  <c r="S2040" i="1"/>
  <c r="Q2475" i="1"/>
  <c r="P2042" i="1"/>
  <c r="R2042" i="1" s="1"/>
  <c r="W2475" i="1"/>
  <c r="Y2475" i="18" s="1"/>
  <c r="S2511" i="1"/>
  <c r="T2511" i="18" s="1"/>
  <c r="Q884" i="1"/>
  <c r="Y1784" i="18"/>
  <c r="R2343" i="1"/>
  <c r="R884" i="1"/>
  <c r="Y410" i="18"/>
  <c r="Y614" i="18"/>
  <c r="Q2343" i="1"/>
  <c r="R140" i="1"/>
  <c r="R192" i="1"/>
  <c r="Y134" i="18"/>
  <c r="Y734" i="18"/>
  <c r="W2257" i="1"/>
  <c r="S2131" i="1"/>
  <c r="W884" i="1"/>
  <c r="Y884" i="18" s="1"/>
  <c r="Y146" i="18"/>
  <c r="Y758" i="18"/>
  <c r="P2133" i="1"/>
  <c r="Q2133" i="1" s="1"/>
  <c r="W2343" i="1"/>
  <c r="Q193" i="1"/>
  <c r="Y158" i="18"/>
  <c r="Y762" i="18"/>
  <c r="Q2131" i="1"/>
  <c r="P2260" i="1"/>
  <c r="R2260" i="1" s="1"/>
  <c r="P2346" i="1"/>
  <c r="R2346" i="1" s="1"/>
  <c r="P1846" i="1"/>
  <c r="Q1846" i="1" s="1"/>
  <c r="Y166" i="18"/>
  <c r="Y778" i="18"/>
  <c r="R216" i="1"/>
  <c r="R1844" i="1"/>
  <c r="Y262" i="18"/>
  <c r="Y782" i="18"/>
  <c r="Y302" i="18"/>
  <c r="Y786" i="18"/>
  <c r="W236" i="1"/>
  <c r="S236" i="1"/>
  <c r="W2510" i="1"/>
  <c r="Y2510" i="18" s="1"/>
  <c r="S2510" i="1"/>
  <c r="S2251" i="1"/>
  <c r="T2251" i="18" s="1"/>
  <c r="R2251" i="1"/>
  <c r="Q2251" i="1"/>
  <c r="P2124" i="1"/>
  <c r="Q2124" i="1" s="1"/>
  <c r="Q2249" i="1"/>
  <c r="Y275" i="18"/>
  <c r="Y375" i="18"/>
  <c r="S2121" i="1"/>
  <c r="T2121" i="18" s="1"/>
  <c r="Y283" i="18"/>
  <c r="Y415" i="18"/>
  <c r="P2122" i="1"/>
  <c r="Q2122" i="1" s="1"/>
  <c r="S2379" i="1"/>
  <c r="T2379" i="18" s="1"/>
  <c r="P1592" i="1"/>
  <c r="Q1592" i="1" s="1"/>
  <c r="P2250" i="1"/>
  <c r="Q2250" i="1" s="1"/>
  <c r="Y287" i="18"/>
  <c r="Y419" i="18"/>
  <c r="P2252" i="1"/>
  <c r="Y299" i="18"/>
  <c r="Y491" i="18"/>
  <c r="W2249" i="1"/>
  <c r="Y515" i="18"/>
  <c r="S2249" i="1"/>
  <c r="T2249" i="18" s="1"/>
  <c r="Y351" i="18"/>
  <c r="Y1824" i="18"/>
  <c r="Q2479" i="1"/>
  <c r="Y355" i="18"/>
  <c r="Y2332" i="18"/>
  <c r="Y259" i="18"/>
  <c r="Y371" i="18"/>
  <c r="W1261" i="1"/>
  <c r="Y1261" i="18" s="1"/>
  <c r="R1261" i="1"/>
  <c r="Q1825" i="1"/>
  <c r="S1825" i="1"/>
  <c r="R1825" i="1"/>
  <c r="R2347" i="1"/>
  <c r="W952" i="1"/>
  <c r="Y952" i="18" s="1"/>
  <c r="Y1787" i="18"/>
  <c r="Y1838" i="18"/>
  <c r="W1617" i="1"/>
  <c r="S2227" i="1"/>
  <c r="Q1976" i="1"/>
  <c r="P1941" i="1"/>
  <c r="R1941" i="1" s="1"/>
  <c r="P2126" i="1"/>
  <c r="Q2126" i="1" s="1"/>
  <c r="Q2121" i="1"/>
  <c r="P2222" i="1"/>
  <c r="Q2222" i="1" s="1"/>
  <c r="R2221" i="1"/>
  <c r="P2232" i="1"/>
  <c r="Q2232" i="1" s="1"/>
  <c r="Q2423" i="1"/>
  <c r="R2511" i="1"/>
  <c r="P2348" i="1"/>
  <c r="Q2348" i="1" s="1"/>
  <c r="Q2379" i="1"/>
  <c r="Q2478" i="1"/>
  <c r="Q2474" i="1"/>
  <c r="Y1771" i="18"/>
  <c r="Y2263" i="18"/>
  <c r="Y1906" i="18"/>
  <c r="Q244" i="1"/>
  <c r="P493" i="1"/>
  <c r="Q493" i="1" s="1"/>
  <c r="P349" i="1"/>
  <c r="R349" i="1" s="1"/>
  <c r="W242" i="1"/>
  <c r="Q237" i="1"/>
  <c r="S444" i="1"/>
  <c r="T444" i="18" s="1"/>
  <c r="Q240" i="1"/>
  <c r="W652" i="1"/>
  <c r="S765" i="1"/>
  <c r="T765" i="18" s="1"/>
  <c r="W910" i="1"/>
  <c r="Y910" i="18" s="1"/>
  <c r="S1556" i="1"/>
  <c r="Q1736" i="1"/>
  <c r="R1803" i="1"/>
  <c r="W1622" i="1"/>
  <c r="W1932" i="1"/>
  <c r="Y1932" i="18" s="1"/>
  <c r="S1617" i="1"/>
  <c r="T1617" i="18" s="1"/>
  <c r="S2423" i="1"/>
  <c r="T2423" i="18" s="1"/>
  <c r="Q1940" i="1"/>
  <c r="W2121" i="1"/>
  <c r="W2131" i="1"/>
  <c r="Q2221" i="1"/>
  <c r="W2227" i="1"/>
  <c r="Q2511" i="1"/>
  <c r="S2475" i="1"/>
  <c r="Q2347" i="1"/>
  <c r="W2379" i="1"/>
  <c r="Y2379" i="18" s="1"/>
  <c r="W2478" i="1"/>
  <c r="S2479" i="1"/>
  <c r="W2474" i="1"/>
  <c r="Y2474" i="18" s="1"/>
  <c r="W2339" i="1"/>
  <c r="Y2074" i="18"/>
  <c r="Y1859" i="18"/>
  <c r="Y2303" i="18"/>
  <c r="S417" i="1"/>
  <c r="T417" i="18" s="1"/>
  <c r="P516" i="1"/>
  <c r="Q516" i="1" s="1"/>
  <c r="R418" i="1"/>
  <c r="W514" i="1"/>
  <c r="Y514" i="18" s="1"/>
  <c r="Q492" i="1"/>
  <c r="Q348" i="1"/>
  <c r="P446" i="1"/>
  <c r="R446" i="1" s="1"/>
  <c r="R892" i="1"/>
  <c r="Q658" i="1"/>
  <c r="P767" i="1"/>
  <c r="Q767" i="1" s="1"/>
  <c r="S892" i="1"/>
  <c r="R941" i="1"/>
  <c r="S927" i="1"/>
  <c r="S943" i="1"/>
  <c r="S1557" i="1"/>
  <c r="T1557" i="18" s="1"/>
  <c r="W1550" i="1"/>
  <c r="P1804" i="1"/>
  <c r="R1804" i="1" s="1"/>
  <c r="R1617" i="1"/>
  <c r="W1976" i="1"/>
  <c r="P2125" i="1"/>
  <c r="Q2125" i="1" s="1"/>
  <c r="P2134" i="1"/>
  <c r="Q2134" i="1" s="1"/>
  <c r="P2226" i="1"/>
  <c r="Q2226" i="1" s="1"/>
  <c r="W2347" i="1"/>
  <c r="R2339" i="1"/>
  <c r="Y2206" i="18"/>
  <c r="Y2007" i="18"/>
  <c r="Y1998" i="18"/>
  <c r="Y2415" i="18"/>
  <c r="Y2070" i="18"/>
  <c r="Y2218" i="18"/>
  <c r="Y2435" i="18"/>
  <c r="Y2142" i="18"/>
  <c r="Y159" i="18"/>
  <c r="Y1863" i="18"/>
  <c r="W899" i="1"/>
  <c r="P178" i="1"/>
  <c r="P2340" i="1"/>
  <c r="S2340" i="1" s="1"/>
  <c r="Y2090" i="18"/>
  <c r="Y2318" i="18"/>
  <c r="Y2467" i="18"/>
  <c r="Y2166" i="18"/>
  <c r="Y179" i="18"/>
  <c r="Y2043" i="18"/>
  <c r="W194" i="1"/>
  <c r="P515" i="1"/>
  <c r="Q515" i="1" s="1"/>
  <c r="P495" i="1"/>
  <c r="Q495" i="1" s="1"/>
  <c r="P496" i="1"/>
  <c r="Q496" i="1" s="1"/>
  <c r="P351" i="1"/>
  <c r="Q351" i="1" s="1"/>
  <c r="P352" i="1"/>
  <c r="R352" i="1" s="1"/>
  <c r="Q444" i="1"/>
  <c r="S665" i="1"/>
  <c r="T665" i="18" s="1"/>
  <c r="P770" i="1"/>
  <c r="Q770" i="1" s="1"/>
  <c r="W892" i="1"/>
  <c r="Y892" i="18" s="1"/>
  <c r="W1803" i="1"/>
  <c r="Y1803" i="18" s="1"/>
  <c r="Q1932" i="1"/>
  <c r="P1978" i="1"/>
  <c r="R1978" i="1" s="1"/>
  <c r="W1940" i="1"/>
  <c r="P2123" i="1"/>
  <c r="Q2123" i="1" s="1"/>
  <c r="R2131" i="1"/>
  <c r="P2224" i="1"/>
  <c r="Q2224" i="1" s="1"/>
  <c r="R2227" i="1"/>
  <c r="S2347" i="1"/>
  <c r="P2381" i="1"/>
  <c r="S2381" i="1" s="1"/>
  <c r="R2512" i="1"/>
  <c r="R176" i="1"/>
  <c r="P2114" i="1"/>
  <c r="Q2114" i="1" s="1"/>
  <c r="P2341" i="1"/>
  <c r="Q2341" i="1" s="1"/>
  <c r="Y2130" i="18"/>
  <c r="Y2406" i="18"/>
  <c r="Y2434" i="18"/>
  <c r="Y2279" i="18"/>
  <c r="S514" i="1"/>
  <c r="P517" i="1"/>
  <c r="Q517" i="1" s="1"/>
  <c r="S194" i="1"/>
  <c r="S910" i="1"/>
  <c r="Q941" i="1"/>
  <c r="R1550" i="1"/>
  <c r="S1544" i="1"/>
  <c r="Y1830" i="18"/>
  <c r="Y2439" i="18"/>
  <c r="Y127" i="18"/>
  <c r="Y2014" i="18"/>
  <c r="Y2295" i="18"/>
  <c r="Y409" i="18"/>
  <c r="Y757" i="18"/>
  <c r="Y437" i="18"/>
  <c r="Y857" i="18"/>
  <c r="Y337" i="18"/>
  <c r="Y457" i="18"/>
  <c r="Y1652" i="18"/>
  <c r="Y341" i="18"/>
  <c r="Y477" i="18"/>
  <c r="Y2352" i="18"/>
  <c r="Y345" i="18"/>
  <c r="Y485" i="18"/>
  <c r="Y361" i="18"/>
  <c r="Y657" i="18"/>
  <c r="Y2009" i="18"/>
  <c r="Y365" i="18"/>
  <c r="Y669" i="18"/>
  <c r="Y391" i="18"/>
  <c r="Y389" i="18"/>
  <c r="Y709" i="18"/>
  <c r="Y2050" i="18"/>
  <c r="Y1874" i="18"/>
  <c r="Y2126" i="18"/>
  <c r="Y333" i="18"/>
  <c r="Y720" i="18"/>
  <c r="Y428" i="18"/>
  <c r="Y719" i="18"/>
  <c r="Y1849" i="18"/>
  <c r="Y2153" i="18"/>
  <c r="Y1930" i="18"/>
  <c r="Q2127" i="1"/>
  <c r="P2128" i="1"/>
  <c r="Q2128" i="1" s="1"/>
  <c r="R2127" i="1"/>
  <c r="P2129" i="1"/>
  <c r="S2129" i="1" s="1"/>
  <c r="S2127" i="1"/>
  <c r="T2127" i="18" s="1"/>
  <c r="P2130" i="1"/>
  <c r="Q2130" i="1" s="1"/>
  <c r="W2127" i="1"/>
  <c r="Y2127" i="18" s="1"/>
  <c r="Y1800" i="18"/>
  <c r="Y268" i="18"/>
  <c r="Y1820" i="18"/>
  <c r="Y447" i="18"/>
  <c r="Y314" i="18"/>
  <c r="Y1883" i="18"/>
  <c r="Y362" i="18"/>
  <c r="Y2314" i="18"/>
  <c r="Y466" i="18"/>
  <c r="Y326" i="18"/>
  <c r="Y1901" i="18"/>
  <c r="Y516" i="18"/>
  <c r="Y2329" i="18"/>
  <c r="Y675" i="18"/>
  <c r="Y356" i="18"/>
  <c r="Y748" i="18"/>
  <c r="Y269" i="18"/>
  <c r="Y1806" i="18"/>
  <c r="Y506" i="18"/>
  <c r="Y1636" i="18"/>
  <c r="Y2230" i="18"/>
  <c r="Y1637" i="18"/>
  <c r="Y1821" i="18"/>
  <c r="Y1950" i="18"/>
  <c r="T735" i="18"/>
  <c r="Y1832" i="18"/>
  <c r="Y2030" i="18"/>
  <c r="Y2374" i="18"/>
  <c r="Y1741" i="18"/>
  <c r="Y2294" i="18"/>
  <c r="Y147" i="18"/>
  <c r="Y467" i="18"/>
  <c r="Y2378" i="18"/>
  <c r="Y1796" i="18"/>
  <c r="Y169" i="18"/>
  <c r="Y2445" i="18"/>
  <c r="Y439" i="18"/>
  <c r="Y2396" i="18"/>
  <c r="Y2308" i="18"/>
  <c r="Y2382" i="18"/>
  <c r="Y772" i="18"/>
  <c r="Y1798" i="18"/>
  <c r="W2424" i="1"/>
  <c r="R2424" i="1"/>
  <c r="S2424" i="1"/>
  <c r="Y1909" i="18"/>
  <c r="Y2454" i="18"/>
  <c r="Y2350" i="18"/>
  <c r="Y726" i="18"/>
  <c r="Y2353" i="18"/>
  <c r="Q1554" i="1"/>
  <c r="S1554" i="1"/>
  <c r="T1554" i="18" s="1"/>
  <c r="R1554" i="1"/>
  <c r="W1554" i="1"/>
  <c r="Q2363" i="1"/>
  <c r="S2363" i="1"/>
  <c r="T2363" i="18" s="1"/>
  <c r="P2365" i="1"/>
  <c r="S2365" i="1" s="1"/>
  <c r="P2364" i="1"/>
  <c r="Q2364" i="1" s="1"/>
  <c r="W2363" i="1"/>
  <c r="Y2363" i="18" s="1"/>
  <c r="R2363" i="1"/>
  <c r="P2366" i="1"/>
  <c r="Q2366" i="1" s="1"/>
  <c r="Y2384" i="18"/>
  <c r="W2341" i="1"/>
  <c r="Y2341" i="18" s="1"/>
  <c r="Y323" i="18"/>
  <c r="Y175" i="18"/>
  <c r="Y133" i="18"/>
  <c r="Y1941" i="18"/>
  <c r="Y434" i="18"/>
  <c r="Y1982" i="18"/>
  <c r="Y1965" i="18"/>
  <c r="Y458" i="18"/>
  <c r="Y1855" i="18"/>
  <c r="Y2278" i="18"/>
  <c r="Y424" i="18"/>
  <c r="Y1925" i="18"/>
  <c r="Y605" i="18"/>
  <c r="Y1748" i="18"/>
  <c r="Y1954" i="18"/>
  <c r="Y781" i="18"/>
  <c r="Y2246" i="18"/>
  <c r="Y332" i="18"/>
  <c r="Y2236" i="18"/>
  <c r="Y505" i="18"/>
  <c r="Y1858" i="18"/>
  <c r="Y2328" i="18"/>
  <c r="Y487" i="18"/>
  <c r="Y1959" i="18"/>
  <c r="Y768" i="18"/>
  <c r="Y2262" i="18"/>
  <c r="Y733" i="18"/>
  <c r="Y616" i="18"/>
  <c r="Y1770" i="18"/>
  <c r="Y290" i="18"/>
  <c r="Y1975" i="18"/>
  <c r="Y2313" i="18"/>
  <c r="Y381" i="18"/>
  <c r="Y2362" i="18"/>
  <c r="Y599" i="18"/>
  <c r="Y2222" i="18"/>
  <c r="Y739" i="18"/>
  <c r="Y1792" i="18"/>
  <c r="Y2410" i="18"/>
  <c r="Y706" i="18"/>
  <c r="Y1745" i="18"/>
  <c r="Y725" i="18"/>
  <c r="Y2426" i="18"/>
  <c r="Y618" i="18"/>
  <c r="Y1898" i="18"/>
  <c r="Y2372" i="18"/>
  <c r="Y2226" i="18"/>
  <c r="Y710" i="18"/>
  <c r="Y2256" i="18"/>
  <c r="Y1841" i="18"/>
  <c r="Y2368" i="18"/>
  <c r="Y728" i="18"/>
  <c r="Y2463" i="18"/>
  <c r="Y1935" i="18"/>
  <c r="Y2394" i="18"/>
  <c r="Y2304" i="18"/>
  <c r="Q896" i="1"/>
  <c r="W896" i="1"/>
  <c r="Y2137" i="18"/>
  <c r="Y730" i="18"/>
  <c r="Y2267" i="18"/>
  <c r="Y1851" i="18"/>
  <c r="Y745" i="18"/>
  <c r="Y2029" i="18"/>
  <c r="Y2416" i="18"/>
  <c r="Y1651" i="18"/>
  <c r="Y216" i="18"/>
  <c r="Q2373" i="1"/>
  <c r="Q2424" i="1"/>
  <c r="Y2141" i="18"/>
  <c r="Y2458" i="18"/>
  <c r="Y736" i="18"/>
  <c r="Y2298" i="18"/>
  <c r="Y1847" i="18"/>
  <c r="Y2364" i="18"/>
  <c r="Y1917" i="18"/>
  <c r="Y197" i="18"/>
  <c r="Y2110" i="18"/>
  <c r="Y2442" i="18"/>
  <c r="Y1866" i="18"/>
  <c r="Y307" i="18"/>
  <c r="Y1870" i="18"/>
  <c r="Y198" i="18"/>
  <c r="Y855" i="18"/>
  <c r="Y2361" i="18"/>
  <c r="Y1890" i="18"/>
  <c r="Y1961" i="18"/>
  <c r="Y204" i="18"/>
  <c r="Y1845" i="18"/>
  <c r="Y343" i="18"/>
  <c r="Y1842" i="18"/>
  <c r="Y2272" i="18"/>
  <c r="Y1895" i="18"/>
  <c r="Q235" i="1"/>
  <c r="R235" i="1"/>
  <c r="S235" i="1"/>
  <c r="T235" i="18" s="1"/>
  <c r="W235" i="1"/>
  <c r="Y235" i="18" s="1"/>
  <c r="Y387" i="18"/>
  <c r="Y707" i="18"/>
  <c r="P2297" i="1"/>
  <c r="S2297" i="1" s="1"/>
  <c r="P2298" i="1"/>
  <c r="Q2298" i="1" s="1"/>
  <c r="Q2293" i="1"/>
  <c r="P2294" i="1"/>
  <c r="S2294" i="1" s="1"/>
  <c r="R2293" i="1"/>
  <c r="P2295" i="1"/>
  <c r="Q2295" i="1" s="1"/>
  <c r="S2293" i="1"/>
  <c r="T2293" i="18" s="1"/>
  <c r="P2296" i="1"/>
  <c r="R2296" i="1" s="1"/>
  <c r="W2293" i="1"/>
  <c r="Y2293" i="18" s="1"/>
  <c r="R932" i="1"/>
  <c r="S932" i="1"/>
  <c r="T932" i="18" s="1"/>
  <c r="W932" i="1"/>
  <c r="Q932" i="1"/>
  <c r="Y1809" i="18"/>
  <c r="Y2157" i="18"/>
  <c r="S243" i="1"/>
  <c r="W243" i="1"/>
  <c r="Q243" i="1"/>
  <c r="R243" i="1"/>
  <c r="Y891" i="18"/>
  <c r="Y2515" i="18"/>
  <c r="W940" i="1"/>
  <c r="Y940" i="18" s="1"/>
  <c r="Q940" i="1"/>
  <c r="R940" i="1"/>
  <c r="S940" i="1"/>
  <c r="T940" i="18" s="1"/>
  <c r="R2183" i="1"/>
  <c r="Q2183" i="1"/>
  <c r="P2186" i="1"/>
  <c r="P2184" i="1"/>
  <c r="S2184" i="1" s="1"/>
  <c r="P2185" i="1"/>
  <c r="S2183" i="1"/>
  <c r="T2183" i="18" s="1"/>
  <c r="W2183" i="1"/>
  <c r="Y887" i="18"/>
  <c r="R916" i="1"/>
  <c r="S916" i="1"/>
  <c r="W916" i="1"/>
  <c r="Q916" i="1"/>
  <c r="R948" i="1"/>
  <c r="S948" i="1"/>
  <c r="W948" i="1"/>
  <c r="Q948" i="1"/>
  <c r="Y2026" i="18"/>
  <c r="Y2386" i="18"/>
  <c r="W2468" i="1"/>
  <c r="Q2468" i="1"/>
  <c r="R2468" i="1"/>
  <c r="S2468" i="1"/>
  <c r="Q619" i="1"/>
  <c r="R619" i="1"/>
  <c r="S619" i="1"/>
  <c r="T619" i="18" s="1"/>
  <c r="W619" i="1"/>
  <c r="Y619" i="18" s="1"/>
  <c r="Y2376" i="18"/>
  <c r="W924" i="1"/>
  <c r="Q924" i="1"/>
  <c r="R924" i="1"/>
  <c r="S924" i="1"/>
  <c r="Y1753" i="18"/>
  <c r="Y1943" i="18"/>
  <c r="Y2397" i="18"/>
  <c r="Q2476" i="1"/>
  <c r="R2476" i="1"/>
  <c r="S2476" i="1"/>
  <c r="T2476" i="18" s="1"/>
  <c r="W2476" i="1"/>
  <c r="P618" i="1"/>
  <c r="Q618" i="1" s="1"/>
  <c r="O589" i="1"/>
  <c r="P589" i="1" s="1"/>
  <c r="P820" i="1"/>
  <c r="R820" i="1" s="1"/>
  <c r="Y258" i="18"/>
  <c r="Y435" i="18"/>
  <c r="Y181" i="18"/>
  <c r="P787" i="1"/>
  <c r="P784" i="1"/>
  <c r="P786" i="1"/>
  <c r="R783" i="1"/>
  <c r="S783" i="1"/>
  <c r="P785" i="1"/>
  <c r="Y416" i="18"/>
  <c r="Y708" i="18"/>
  <c r="Y335" i="18"/>
  <c r="Y756" i="18"/>
  <c r="Y453" i="18"/>
  <c r="Y606" i="18"/>
  <c r="Y776" i="18"/>
  <c r="Y917" i="18"/>
  <c r="Y370" i="18"/>
  <c r="Y349" i="18"/>
  <c r="Y667" i="18"/>
  <c r="Q566" i="1"/>
  <c r="S566" i="1"/>
  <c r="W566" i="1"/>
  <c r="R881" i="1"/>
  <c r="S881" i="1"/>
  <c r="Y954" i="18"/>
  <c r="Y2041" i="18"/>
  <c r="T886" i="18"/>
  <c r="Y1939" i="18"/>
  <c r="Y1644" i="18"/>
  <c r="Y1879" i="18"/>
  <c r="Y2100" i="18"/>
  <c r="Y1937" i="18"/>
  <c r="Y2258" i="18"/>
  <c r="Y1905" i="18"/>
  <c r="Y2369" i="18"/>
  <c r="Y1656" i="18"/>
  <c r="Y1828" i="18"/>
  <c r="Y1971" i="18"/>
  <c r="Y2091" i="18"/>
  <c r="Y2322" i="18"/>
  <c r="Y1846" i="18"/>
  <c r="R156" i="1"/>
  <c r="Y1739" i="18"/>
  <c r="Y2446" i="18"/>
  <c r="Y2371" i="18"/>
  <c r="Y2436" i="18"/>
  <c r="Y2408" i="18"/>
  <c r="Q2405" i="1"/>
  <c r="Y153" i="18"/>
  <c r="Y272" i="18"/>
  <c r="Y445" i="18"/>
  <c r="Y908" i="18"/>
  <c r="Y737" i="18"/>
  <c r="Y856" i="18"/>
  <c r="Y418" i="18"/>
  <c r="Y881" i="18"/>
  <c r="Y785" i="18"/>
  <c r="Y925" i="18"/>
  <c r="Y170" i="18"/>
  <c r="Y377" i="18"/>
  <c r="Y174" i="18"/>
  <c r="Y368" i="18"/>
  <c r="Y766" i="18"/>
  <c r="Y399" i="18"/>
  <c r="Y565" i="18"/>
  <c r="Y914" i="18"/>
  <c r="Y946" i="18"/>
  <c r="Y2051" i="18"/>
  <c r="Y1970" i="18"/>
  <c r="T414" i="18"/>
  <c r="Y1655" i="18"/>
  <c r="Y1887" i="18"/>
  <c r="Y2120" i="18"/>
  <c r="Y1949" i="18"/>
  <c r="Y1915" i="18"/>
  <c r="Y2138" i="18"/>
  <c r="Y1687" i="18"/>
  <c r="Y1834" i="18"/>
  <c r="Y1983" i="18"/>
  <c r="Y2118" i="18"/>
  <c r="Y1867" i="18"/>
  <c r="Y1751" i="18"/>
  <c r="Y2081" i="18"/>
  <c r="Y2228" i="18"/>
  <c r="Y2390" i="18"/>
  <c r="Y2450" i="18"/>
  <c r="Y2405" i="18"/>
  <c r="Y2411" i="18"/>
  <c r="Y2421" i="18"/>
  <c r="Y2403" i="18"/>
  <c r="Y196" i="18"/>
  <c r="Y296" i="18"/>
  <c r="Y611" i="18"/>
  <c r="Y743" i="18"/>
  <c r="Q885" i="1"/>
  <c r="R885" i="1"/>
  <c r="W885" i="1"/>
  <c r="Y463" i="18"/>
  <c r="W137" i="1"/>
  <c r="R137" i="1"/>
  <c r="Y358" i="18"/>
  <c r="Y476" i="18"/>
  <c r="Y673" i="18"/>
  <c r="Q883" i="1"/>
  <c r="W883" i="1"/>
  <c r="R883" i="1"/>
  <c r="S883" i="1"/>
  <c r="Y933" i="18"/>
  <c r="Y184" i="18"/>
  <c r="Y178" i="18"/>
  <c r="Y414" i="18"/>
  <c r="T565" i="18"/>
  <c r="Y2085" i="18"/>
  <c r="Y2208" i="18"/>
  <c r="Q418" i="1"/>
  <c r="Y1754" i="18"/>
  <c r="Y1934" i="18"/>
  <c r="Y2324" i="18"/>
  <c r="Y1951" i="18"/>
  <c r="S2289" i="1"/>
  <c r="P2292" i="1"/>
  <c r="R2292" i="1" s="1"/>
  <c r="Y176" i="18"/>
  <c r="Y1933" i="18"/>
  <c r="Y2167" i="18"/>
  <c r="Y192" i="18"/>
  <c r="Y1783" i="18"/>
  <c r="Y1837" i="18"/>
  <c r="Y1990" i="18"/>
  <c r="Y2128" i="18"/>
  <c r="Y1938" i="18"/>
  <c r="Y154" i="18"/>
  <c r="Y2122" i="18"/>
  <c r="Y2240" i="18"/>
  <c r="Q1754" i="1"/>
  <c r="W2461" i="1"/>
  <c r="P2465" i="1"/>
  <c r="P2462" i="1"/>
  <c r="P2466" i="1"/>
  <c r="Q2466" i="1" s="1"/>
  <c r="Q2461" i="1"/>
  <c r="P2464" i="1"/>
  <c r="R2464" i="1" s="1"/>
  <c r="R2461" i="1"/>
  <c r="S2461" i="1"/>
  <c r="P2463" i="1"/>
  <c r="S2413" i="1"/>
  <c r="W2413" i="1"/>
  <c r="P2415" i="1"/>
  <c r="P2417" i="1"/>
  <c r="P2414" i="1"/>
  <c r="Q2413" i="1"/>
  <c r="P2418" i="1"/>
  <c r="Q2418" i="1" s="1"/>
  <c r="R2413" i="1"/>
  <c r="Y2456" i="18"/>
  <c r="Y2448" i="18"/>
  <c r="Y313" i="18"/>
  <c r="Y126" i="18"/>
  <c r="Y746" i="18"/>
  <c r="Y228" i="18"/>
  <c r="Y144" i="18"/>
  <c r="Y443" i="18"/>
  <c r="Y495" i="18"/>
  <c r="Y679" i="18"/>
  <c r="Q887" i="1"/>
  <c r="R887" i="1"/>
  <c r="S887" i="1"/>
  <c r="Y941" i="18"/>
  <c r="Y676" i="18"/>
  <c r="R908" i="1"/>
  <c r="Q908" i="1"/>
  <c r="Y677" i="18"/>
  <c r="Y922" i="18"/>
  <c r="Y2247" i="18"/>
  <c r="Y2231" i="18"/>
  <c r="Y1778" i="18"/>
  <c r="Y2340" i="18"/>
  <c r="Y2333" i="18"/>
  <c r="T567" i="18"/>
  <c r="Y1738" i="18"/>
  <c r="Y1794" i="18"/>
  <c r="Y1853" i="18"/>
  <c r="Y1997" i="18"/>
  <c r="Y2175" i="18"/>
  <c r="Y1962" i="18"/>
  <c r="Y1958" i="18"/>
  <c r="Y2132" i="18"/>
  <c r="Y2401" i="18"/>
  <c r="R2372" i="1"/>
  <c r="Q2372" i="1"/>
  <c r="Y2420" i="18"/>
  <c r="Y320" i="18"/>
  <c r="W135" i="1"/>
  <c r="R135" i="1"/>
  <c r="Y310" i="18"/>
  <c r="Y749" i="18"/>
  <c r="R900" i="1"/>
  <c r="Q900" i="1"/>
  <c r="Y472" i="18"/>
  <c r="Y156" i="18"/>
  <c r="Y482" i="18"/>
  <c r="Y715" i="18"/>
  <c r="W900" i="1"/>
  <c r="Y284" i="18"/>
  <c r="Y718" i="18"/>
  <c r="W897" i="1"/>
  <c r="Q897" i="1"/>
  <c r="R897" i="1"/>
  <c r="S897" i="1"/>
  <c r="Q949" i="1"/>
  <c r="W949" i="1"/>
  <c r="Y483" i="18"/>
  <c r="Y738" i="18"/>
  <c r="Y536" i="18"/>
  <c r="T882" i="18"/>
  <c r="T2257" i="18"/>
  <c r="Q1791" i="1"/>
  <c r="R1791" i="1"/>
  <c r="P1793" i="1"/>
  <c r="Y1947" i="18"/>
  <c r="Y2344" i="18"/>
  <c r="Y2039" i="18"/>
  <c r="Y2354" i="18"/>
  <c r="Y567" i="18"/>
  <c r="Y1744" i="18"/>
  <c r="Y1986" i="18"/>
  <c r="Y2268" i="18"/>
  <c r="Y1802" i="18"/>
  <c r="P1857" i="1"/>
  <c r="Q1856" i="1"/>
  <c r="Y2018" i="18"/>
  <c r="Y2217" i="18"/>
  <c r="S1261" i="1"/>
  <c r="Q1261" i="1"/>
  <c r="Y1977" i="18"/>
  <c r="Q2113" i="1"/>
  <c r="R2113" i="1"/>
  <c r="R2383" i="1"/>
  <c r="P2384" i="1"/>
  <c r="Q2383" i="1"/>
  <c r="Y2440" i="18"/>
  <c r="T2403" i="18"/>
  <c r="Y143" i="18"/>
  <c r="Y317" i="18"/>
  <c r="Y755" i="18"/>
  <c r="Q905" i="1"/>
  <c r="R905" i="1"/>
  <c r="S905" i="1"/>
  <c r="W905" i="1"/>
  <c r="Y501" i="18"/>
  <c r="Y167" i="18"/>
  <c r="Y308" i="18"/>
  <c r="Y535" i="18"/>
  <c r="Y727" i="18"/>
  <c r="Q904" i="1"/>
  <c r="R904" i="1"/>
  <c r="W904" i="1"/>
  <c r="W1262" i="1"/>
  <c r="Q1262" i="1"/>
  <c r="R1262" i="1"/>
  <c r="S1262" i="1"/>
  <c r="Y322" i="18"/>
  <c r="Y493" i="18"/>
  <c r="Y754" i="18"/>
  <c r="Y278" i="18"/>
  <c r="Y604" i="18"/>
  <c r="Y224" i="18"/>
  <c r="Y496" i="18"/>
  <c r="Y716" i="18"/>
  <c r="Y930" i="18"/>
  <c r="S2299" i="1"/>
  <c r="P2302" i="1"/>
  <c r="S2302" i="1" s="1"/>
  <c r="Y1793" i="18"/>
  <c r="Y2288" i="18"/>
  <c r="Y1804" i="18"/>
  <c r="Y1973" i="18"/>
  <c r="Y2108" i="18"/>
  <c r="Y2365" i="18"/>
  <c r="Y1750" i="18"/>
  <c r="Y1993" i="18"/>
  <c r="Y2337" i="18"/>
  <c r="Y1805" i="18"/>
  <c r="Y1878" i="18"/>
  <c r="Y2242" i="18"/>
  <c r="Y1987" i="18"/>
  <c r="Y1826" i="18"/>
  <c r="Y1981" i="18"/>
  <c r="Y2176" i="18"/>
  <c r="Y2346" i="18"/>
  <c r="Y2429" i="18"/>
  <c r="T2371" i="18"/>
  <c r="Y2453" i="18"/>
  <c r="Y394" i="18"/>
  <c r="Y771" i="18"/>
  <c r="Y155" i="18"/>
  <c r="Y764" i="18"/>
  <c r="Q912" i="1"/>
  <c r="R912" i="1"/>
  <c r="W912" i="1"/>
  <c r="Y273" i="18"/>
  <c r="S564" i="1"/>
  <c r="W564" i="1"/>
  <c r="Y177" i="18"/>
  <c r="P773" i="1"/>
  <c r="P775" i="1"/>
  <c r="Q775" i="1" s="1"/>
  <c r="P772" i="1"/>
  <c r="Q771" i="1"/>
  <c r="P774" i="1"/>
  <c r="P776" i="1"/>
  <c r="R771" i="1"/>
  <c r="S771" i="1"/>
  <c r="Y329" i="18"/>
  <c r="Y502" i="18"/>
  <c r="Y763" i="18"/>
  <c r="Y295" i="18"/>
  <c r="Y511" i="18"/>
  <c r="Y784" i="18"/>
  <c r="Y882" i="18"/>
  <c r="Y1955" i="18"/>
  <c r="Y1857" i="18"/>
  <c r="Y1816" i="18"/>
  <c r="Y2002" i="18"/>
  <c r="Y2241" i="18"/>
  <c r="T884" i="18"/>
  <c r="Y1779" i="18"/>
  <c r="Y2101" i="18"/>
  <c r="Y2348" i="18"/>
  <c r="Y1814" i="18"/>
  <c r="W1908" i="1"/>
  <c r="R1908" i="1"/>
  <c r="P1910" i="1"/>
  <c r="Q1910" i="1" s="1"/>
  <c r="Y2061" i="18"/>
  <c r="Y1994" i="18"/>
  <c r="Y1991" i="18"/>
  <c r="Y2373" i="18"/>
  <c r="T1960" i="18"/>
  <c r="Y2430" i="18"/>
  <c r="S1951" i="1"/>
  <c r="Q1951" i="1"/>
  <c r="Y2414" i="18"/>
  <c r="Y2459" i="18"/>
  <c r="Y2389" i="18"/>
  <c r="Y2419" i="18"/>
  <c r="Y397" i="18"/>
  <c r="Q891" i="1"/>
  <c r="R891" i="1"/>
  <c r="S891" i="1"/>
  <c r="W164" i="1"/>
  <c r="Q164" i="1"/>
  <c r="S164" i="1"/>
  <c r="P165" i="1"/>
  <c r="Y714" i="18"/>
  <c r="Y767" i="18"/>
  <c r="Q950" i="1"/>
  <c r="W950" i="1"/>
  <c r="Y385" i="18"/>
  <c r="Y263" i="18"/>
  <c r="Y568" i="18"/>
  <c r="Y744" i="18"/>
  <c r="Y429" i="18"/>
  <c r="Y596" i="18"/>
  <c r="Y774" i="18"/>
  <c r="Y339" i="18"/>
  <c r="Y610" i="18"/>
  <c r="W136" i="1"/>
  <c r="R136" i="1"/>
  <c r="Y346" i="18"/>
  <c r="Y938" i="18"/>
  <c r="Y1966" i="18"/>
  <c r="Y139" i="18"/>
  <c r="R1932" i="1"/>
  <c r="P1933" i="1"/>
  <c r="Y1625" i="18"/>
  <c r="Y1836" i="18"/>
  <c r="Y2071" i="18"/>
  <c r="Y1825" i="18"/>
  <c r="Y140" i="18"/>
  <c r="Y1869" i="18"/>
  <c r="Y2358" i="18"/>
  <c r="Y1645" i="18"/>
  <c r="Y1817" i="18"/>
  <c r="Y1945" i="18"/>
  <c r="Y2080" i="18"/>
  <c r="Y2283" i="18"/>
  <c r="Y2237" i="18"/>
  <c r="Y1661" i="18"/>
  <c r="Y2019" i="18"/>
  <c r="Y2196" i="18"/>
  <c r="Y2380" i="18"/>
  <c r="Y2452" i="18"/>
  <c r="Y1960" i="18"/>
  <c r="Q1949" i="1"/>
  <c r="S1949" i="1"/>
  <c r="Y2427" i="18"/>
  <c r="T2339" i="18"/>
  <c r="Y2400" i="18"/>
  <c r="R2404" i="1"/>
  <c r="Q2404" i="1"/>
  <c r="Q62" i="1"/>
  <c r="R62" i="1"/>
  <c r="S62" i="1"/>
  <c r="W62" i="1"/>
  <c r="Q47" i="1"/>
  <c r="R47" i="1"/>
  <c r="S47" i="1"/>
  <c r="W47" i="1"/>
  <c r="Q63" i="1"/>
  <c r="R63" i="1"/>
  <c r="S63" i="1"/>
  <c r="W63" i="1"/>
  <c r="Q48" i="1"/>
  <c r="R48" i="1"/>
  <c r="S48" i="1"/>
  <c r="W48" i="1"/>
  <c r="Q56" i="1"/>
  <c r="R56" i="1"/>
  <c r="S56" i="1"/>
  <c r="W56" i="1"/>
  <c r="Y373" i="18"/>
  <c r="Y469" i="18"/>
  <c r="Q49" i="1"/>
  <c r="R49" i="1"/>
  <c r="S49" i="1"/>
  <c r="W49" i="1"/>
  <c r="Q65" i="1"/>
  <c r="R65" i="1"/>
  <c r="S65" i="1"/>
  <c r="W65" i="1"/>
  <c r="Q148" i="1"/>
  <c r="P149" i="1"/>
  <c r="R148" i="1"/>
  <c r="P150" i="1"/>
  <c r="S148" i="1"/>
  <c r="W148" i="1"/>
  <c r="W171" i="1"/>
  <c r="Y260" i="18"/>
  <c r="Y334" i="18"/>
  <c r="Y430" i="18"/>
  <c r="Y478" i="18"/>
  <c r="Y517" i="18"/>
  <c r="Q1119" i="1"/>
  <c r="R1119" i="1"/>
  <c r="S1119" i="1"/>
  <c r="W1119" i="1"/>
  <c r="R1149" i="1"/>
  <c r="S1149" i="1"/>
  <c r="W1149" i="1"/>
  <c r="Q1149" i="1"/>
  <c r="Q1084" i="1"/>
  <c r="R1084" i="1"/>
  <c r="S1084" i="1"/>
  <c r="W1084" i="1"/>
  <c r="S1193" i="1"/>
  <c r="W1193" i="1"/>
  <c r="Q1193" i="1"/>
  <c r="R1193" i="1"/>
  <c r="Q1085" i="1"/>
  <c r="R1085" i="1"/>
  <c r="S1085" i="1"/>
  <c r="W1085" i="1"/>
  <c r="Q1137" i="1"/>
  <c r="R1137" i="1"/>
  <c r="S1137" i="1"/>
  <c r="W1137" i="1"/>
  <c r="W1239" i="1"/>
  <c r="Q1239" i="1"/>
  <c r="R1239" i="1"/>
  <c r="S1239" i="1"/>
  <c r="S1231" i="1"/>
  <c r="W1231" i="1"/>
  <c r="Q1231" i="1"/>
  <c r="R1231" i="1"/>
  <c r="Q1134" i="1"/>
  <c r="R1134" i="1"/>
  <c r="S1134" i="1"/>
  <c r="W1134" i="1"/>
  <c r="S1218" i="1"/>
  <c r="W1218" i="1"/>
  <c r="R1218" i="1"/>
  <c r="Q1218" i="1"/>
  <c r="W1382" i="1"/>
  <c r="Q1382" i="1"/>
  <c r="R1382" i="1"/>
  <c r="S1382" i="1"/>
  <c r="W1406" i="1"/>
  <c r="Q1406" i="1"/>
  <c r="R1406" i="1"/>
  <c r="S1406" i="1"/>
  <c r="W1457" i="1"/>
  <c r="S1457" i="1"/>
  <c r="Q1457" i="1"/>
  <c r="R1457" i="1"/>
  <c r="W1483" i="1"/>
  <c r="S1483" i="1"/>
  <c r="Q1483" i="1"/>
  <c r="R1483" i="1"/>
  <c r="W1495" i="1"/>
  <c r="S1495" i="1"/>
  <c r="Q1495" i="1"/>
  <c r="R1495" i="1"/>
  <c r="W1521" i="1"/>
  <c r="S1521" i="1"/>
  <c r="Q1521" i="1"/>
  <c r="R1521" i="1"/>
  <c r="W1411" i="1"/>
  <c r="Q1411" i="1"/>
  <c r="R1411" i="1"/>
  <c r="S1411" i="1"/>
  <c r="W1435" i="1"/>
  <c r="Q1435" i="1"/>
  <c r="R1435" i="1"/>
  <c r="S1435" i="1"/>
  <c r="Y1657" i="18"/>
  <c r="Y1801" i="18"/>
  <c r="Y1865" i="18"/>
  <c r="Y1882" i="18"/>
  <c r="Y1978" i="18"/>
  <c r="Y2042" i="18"/>
  <c r="Y2173" i="18"/>
  <c r="Y2204" i="18"/>
  <c r="Q2253" i="1"/>
  <c r="P2254" i="1"/>
  <c r="R2253" i="1"/>
  <c r="P2255" i="1"/>
  <c r="S2253" i="1"/>
  <c r="P2256" i="1"/>
  <c r="W2253" i="1"/>
  <c r="Q50" i="1"/>
  <c r="R50" i="1"/>
  <c r="S50" i="1"/>
  <c r="W50" i="1"/>
  <c r="Q58" i="1"/>
  <c r="R58" i="1"/>
  <c r="S58" i="1"/>
  <c r="W58" i="1"/>
  <c r="Y270" i="18"/>
  <c r="Y344" i="18"/>
  <c r="Y392" i="18"/>
  <c r="Y440" i="18"/>
  <c r="Q878" i="1"/>
  <c r="R878" i="1"/>
  <c r="S878" i="1"/>
  <c r="W878" i="1"/>
  <c r="W918" i="1"/>
  <c r="Q918" i="1"/>
  <c r="R918" i="1"/>
  <c r="S918" i="1"/>
  <c r="O913" i="1"/>
  <c r="Q1103" i="1"/>
  <c r="R1103" i="1"/>
  <c r="S1103" i="1"/>
  <c r="W1103" i="1"/>
  <c r="R1157" i="1"/>
  <c r="S1157" i="1"/>
  <c r="W1157" i="1"/>
  <c r="Q1157" i="1"/>
  <c r="Q1068" i="1"/>
  <c r="R1068" i="1"/>
  <c r="S1068" i="1"/>
  <c r="W1068" i="1"/>
  <c r="S1185" i="1"/>
  <c r="W1185" i="1"/>
  <c r="Q1185" i="1"/>
  <c r="R1185" i="1"/>
  <c r="Q1089" i="1"/>
  <c r="R1089" i="1"/>
  <c r="S1089" i="1"/>
  <c r="W1089" i="1"/>
  <c r="Q1113" i="1"/>
  <c r="R1113" i="1"/>
  <c r="S1113" i="1"/>
  <c r="W1113" i="1"/>
  <c r="W1243" i="1"/>
  <c r="Q1243" i="1"/>
  <c r="R1243" i="1"/>
  <c r="S1243" i="1"/>
  <c r="R1145" i="1"/>
  <c r="S1145" i="1"/>
  <c r="W1145" i="1"/>
  <c r="Q1145" i="1"/>
  <c r="Q1118" i="1"/>
  <c r="R1118" i="1"/>
  <c r="S1118" i="1"/>
  <c r="W1118" i="1"/>
  <c r="S1210" i="1"/>
  <c r="W1210" i="1"/>
  <c r="R1210" i="1"/>
  <c r="Q1210" i="1"/>
  <c r="W1410" i="1"/>
  <c r="Q1410" i="1"/>
  <c r="R1410" i="1"/>
  <c r="S1410" i="1"/>
  <c r="W1459" i="1"/>
  <c r="S1459" i="1"/>
  <c r="Q1459" i="1"/>
  <c r="R1459" i="1"/>
  <c r="W1471" i="1"/>
  <c r="S1471" i="1"/>
  <c r="Q1471" i="1"/>
  <c r="R1471" i="1"/>
  <c r="W1497" i="1"/>
  <c r="S1497" i="1"/>
  <c r="Q1497" i="1"/>
  <c r="R1497" i="1"/>
  <c r="W1523" i="1"/>
  <c r="S1523" i="1"/>
  <c r="Q1523" i="1"/>
  <c r="R1523" i="1"/>
  <c r="W1535" i="1"/>
  <c r="S1535" i="1"/>
  <c r="Q1535" i="1"/>
  <c r="R1535" i="1"/>
  <c r="W1387" i="1"/>
  <c r="Q1387" i="1"/>
  <c r="R1387" i="1"/>
  <c r="S1387" i="1"/>
  <c r="W1439" i="1"/>
  <c r="Q1439" i="1"/>
  <c r="R1439" i="1"/>
  <c r="S1439" i="1"/>
  <c r="Q1772" i="1"/>
  <c r="R1772" i="1"/>
  <c r="S1772" i="1"/>
  <c r="W1772" i="1"/>
  <c r="Q1811" i="1"/>
  <c r="P1812" i="1"/>
  <c r="R1811" i="1"/>
  <c r="P1813" i="1"/>
  <c r="S1811" i="1"/>
  <c r="P1814" i="1"/>
  <c r="W1811" i="1"/>
  <c r="Y1875" i="18"/>
  <c r="Q1988" i="1"/>
  <c r="P1989" i="1"/>
  <c r="R1988" i="1"/>
  <c r="P1990" i="1"/>
  <c r="S1988" i="1"/>
  <c r="P1991" i="1"/>
  <c r="W1988" i="1"/>
  <c r="Y2052" i="18"/>
  <c r="Y2286" i="18"/>
  <c r="Q51" i="1"/>
  <c r="R51" i="1"/>
  <c r="S51" i="1"/>
  <c r="W51" i="1"/>
  <c r="Q59" i="1"/>
  <c r="R59" i="1"/>
  <c r="S59" i="1"/>
  <c r="W59" i="1"/>
  <c r="Y281" i="18"/>
  <c r="Y353" i="18"/>
  <c r="Y401" i="18"/>
  <c r="Y449" i="18"/>
  <c r="Y497" i="18"/>
  <c r="Y541" i="18"/>
  <c r="W860" i="1"/>
  <c r="Q1087" i="1"/>
  <c r="R1087" i="1"/>
  <c r="S1087" i="1"/>
  <c r="W1087" i="1"/>
  <c r="S1177" i="1"/>
  <c r="W1177" i="1"/>
  <c r="Q1177" i="1"/>
  <c r="R1177" i="1"/>
  <c r="Q1065" i="1"/>
  <c r="R1065" i="1"/>
  <c r="S1065" i="1"/>
  <c r="W1065" i="1"/>
  <c r="Q1117" i="1"/>
  <c r="R1117" i="1"/>
  <c r="S1117" i="1"/>
  <c r="W1117" i="1"/>
  <c r="W1247" i="1"/>
  <c r="Q1247" i="1"/>
  <c r="R1247" i="1"/>
  <c r="S1247" i="1"/>
  <c r="Q1102" i="1"/>
  <c r="R1102" i="1"/>
  <c r="S1102" i="1"/>
  <c r="W1102" i="1"/>
  <c r="S1202" i="1"/>
  <c r="W1202" i="1"/>
  <c r="R1202" i="1"/>
  <c r="Q1202" i="1"/>
  <c r="W1414" i="1"/>
  <c r="Q1414" i="1"/>
  <c r="R1414" i="1"/>
  <c r="S1414" i="1"/>
  <c r="W1438" i="1"/>
  <c r="Q1438" i="1"/>
  <c r="R1438" i="1"/>
  <c r="S1438" i="1"/>
  <c r="W1473" i="1"/>
  <c r="S1473" i="1"/>
  <c r="Q1473" i="1"/>
  <c r="R1473" i="1"/>
  <c r="W1499" i="1"/>
  <c r="S1499" i="1"/>
  <c r="Q1499" i="1"/>
  <c r="R1499" i="1"/>
  <c r="W1511" i="1"/>
  <c r="S1511" i="1"/>
  <c r="Q1511" i="1"/>
  <c r="R1511" i="1"/>
  <c r="W1537" i="1"/>
  <c r="S1537" i="1"/>
  <c r="Q1537" i="1"/>
  <c r="R1537" i="1"/>
  <c r="W1391" i="1"/>
  <c r="Q1391" i="1"/>
  <c r="R1391" i="1"/>
  <c r="S1391" i="1"/>
  <c r="W1443" i="1"/>
  <c r="Q1443" i="1"/>
  <c r="S1443" i="1"/>
  <c r="R1443" i="1"/>
  <c r="Q1773" i="1"/>
  <c r="R1773" i="1"/>
  <c r="S1773" i="1"/>
  <c r="W1773" i="1"/>
  <c r="Y1812" i="18"/>
  <c r="Y1886" i="18"/>
  <c r="Y1946" i="18"/>
  <c r="Y1989" i="18"/>
  <c r="Y2062" i="18"/>
  <c r="Y2112" i="18"/>
  <c r="Y2182" i="18"/>
  <c r="Y2214" i="18"/>
  <c r="P43" i="1"/>
  <c r="Q44" i="1"/>
  <c r="R44" i="1"/>
  <c r="S44" i="1"/>
  <c r="W44" i="1"/>
  <c r="Q52" i="1"/>
  <c r="R52" i="1"/>
  <c r="S52" i="1"/>
  <c r="W52" i="1"/>
  <c r="Q60" i="1"/>
  <c r="R60" i="1"/>
  <c r="S60" i="1"/>
  <c r="W60" i="1"/>
  <c r="Q68" i="1"/>
  <c r="R68" i="1"/>
  <c r="S68" i="1"/>
  <c r="W68" i="1"/>
  <c r="Y182" i="18"/>
  <c r="Y293" i="18"/>
  <c r="W926" i="1"/>
  <c r="Q926" i="1"/>
  <c r="R926" i="1"/>
  <c r="S926" i="1"/>
  <c r="Q1071" i="1"/>
  <c r="R1071" i="1"/>
  <c r="S1071" i="1"/>
  <c r="W1071" i="1"/>
  <c r="S1169" i="1"/>
  <c r="W1169" i="1"/>
  <c r="Q1169" i="1"/>
  <c r="R1169" i="1"/>
  <c r="Q1252" i="1"/>
  <c r="R1252" i="1"/>
  <c r="S1252" i="1"/>
  <c r="W1252" i="1"/>
  <c r="Q1069" i="1"/>
  <c r="R1069" i="1"/>
  <c r="S1069" i="1"/>
  <c r="W1069" i="1"/>
  <c r="Q1121" i="1"/>
  <c r="R1121" i="1"/>
  <c r="S1121" i="1"/>
  <c r="W1121" i="1"/>
  <c r="R1150" i="1"/>
  <c r="S1150" i="1"/>
  <c r="W1150" i="1"/>
  <c r="Q1150" i="1"/>
  <c r="Q1086" i="1"/>
  <c r="R1086" i="1"/>
  <c r="S1086" i="1"/>
  <c r="W1086" i="1"/>
  <c r="S1194" i="1"/>
  <c r="W1194" i="1"/>
  <c r="R1194" i="1"/>
  <c r="Q1194" i="1"/>
  <c r="W1366" i="1"/>
  <c r="Q1366" i="1"/>
  <c r="R1366" i="1"/>
  <c r="S1366" i="1"/>
  <c r="W1390" i="1"/>
  <c r="Q1390" i="1"/>
  <c r="R1390" i="1"/>
  <c r="S1390" i="1"/>
  <c r="W1442" i="1"/>
  <c r="Q1442" i="1"/>
  <c r="R1442" i="1"/>
  <c r="S1442" i="1"/>
  <c r="W1475" i="1"/>
  <c r="S1475" i="1"/>
  <c r="Q1475" i="1"/>
  <c r="R1475" i="1"/>
  <c r="W1487" i="1"/>
  <c r="S1487" i="1"/>
  <c r="Q1487" i="1"/>
  <c r="R1487" i="1"/>
  <c r="W1513" i="1"/>
  <c r="S1513" i="1"/>
  <c r="Q1513" i="1"/>
  <c r="R1513" i="1"/>
  <c r="W1539" i="1"/>
  <c r="S1539" i="1"/>
  <c r="Q1539" i="1"/>
  <c r="R1539" i="1"/>
  <c r="W1395" i="1"/>
  <c r="Q1395" i="1"/>
  <c r="R1395" i="1"/>
  <c r="S1395" i="1"/>
  <c r="W1419" i="1"/>
  <c r="Q1419" i="1"/>
  <c r="R1419" i="1"/>
  <c r="S1419" i="1"/>
  <c r="Q1774" i="1"/>
  <c r="R1774" i="1"/>
  <c r="S1774" i="1"/>
  <c r="W1774" i="1"/>
  <c r="R1896" i="1"/>
  <c r="P1898" i="1"/>
  <c r="W1896" i="1"/>
  <c r="Q1896" i="1"/>
  <c r="S1896" i="1"/>
  <c r="P1897" i="1"/>
  <c r="P1899" i="1"/>
  <c r="Y1926" i="18"/>
  <c r="Y1999" i="18"/>
  <c r="Y2072" i="18"/>
  <c r="Q53" i="1"/>
  <c r="R53" i="1"/>
  <c r="S53" i="1"/>
  <c r="W53" i="1"/>
  <c r="Y69" i="18"/>
  <c r="Y305" i="18"/>
  <c r="Q1249" i="1"/>
  <c r="R1249" i="1"/>
  <c r="S1249" i="1"/>
  <c r="W1249" i="1"/>
  <c r="R1152" i="1"/>
  <c r="S1152" i="1"/>
  <c r="W1152" i="1"/>
  <c r="Q1152" i="1"/>
  <c r="Q1236" i="1"/>
  <c r="R1236" i="1"/>
  <c r="S1236" i="1"/>
  <c r="W1236" i="1"/>
  <c r="Q1073" i="1"/>
  <c r="R1073" i="1"/>
  <c r="S1073" i="1"/>
  <c r="W1073" i="1"/>
  <c r="Q1097" i="1"/>
  <c r="R1097" i="1"/>
  <c r="S1097" i="1"/>
  <c r="W1097" i="1"/>
  <c r="R1158" i="1"/>
  <c r="S1158" i="1"/>
  <c r="W1158" i="1"/>
  <c r="Q1158" i="1"/>
  <c r="Q1070" i="1"/>
  <c r="R1070" i="1"/>
  <c r="S1070" i="1"/>
  <c r="W1070" i="1"/>
  <c r="S1186" i="1"/>
  <c r="W1186" i="1"/>
  <c r="R1186" i="1"/>
  <c r="Q1186" i="1"/>
  <c r="W1394" i="1"/>
  <c r="Q1394" i="1"/>
  <c r="R1394" i="1"/>
  <c r="S1394" i="1"/>
  <c r="W1445" i="1"/>
  <c r="Q1445" i="1"/>
  <c r="S1445" i="1"/>
  <c r="R1445" i="1"/>
  <c r="W1463" i="1"/>
  <c r="S1463" i="1"/>
  <c r="Q1463" i="1"/>
  <c r="R1463" i="1"/>
  <c r="W1489" i="1"/>
  <c r="S1489" i="1"/>
  <c r="Q1489" i="1"/>
  <c r="R1489" i="1"/>
  <c r="W1515" i="1"/>
  <c r="S1515" i="1"/>
  <c r="Q1515" i="1"/>
  <c r="R1515" i="1"/>
  <c r="W1527" i="1"/>
  <c r="S1527" i="1"/>
  <c r="Q1527" i="1"/>
  <c r="R1527" i="1"/>
  <c r="W1371" i="1"/>
  <c r="Q1371" i="1"/>
  <c r="R1371" i="1"/>
  <c r="S1371" i="1"/>
  <c r="W1423" i="1"/>
  <c r="Q1423" i="1"/>
  <c r="R1423" i="1"/>
  <c r="S1423" i="1"/>
  <c r="Q1775" i="1"/>
  <c r="R1775" i="1"/>
  <c r="S1775" i="1"/>
  <c r="W1775" i="1"/>
  <c r="Y1833" i="18"/>
  <c r="Y1897" i="18"/>
  <c r="Y1840" i="18"/>
  <c r="Y1927" i="18"/>
  <c r="Y2010" i="18"/>
  <c r="Y2082" i="18"/>
  <c r="Y2270" i="18"/>
  <c r="R207" i="1"/>
  <c r="S207" i="1"/>
  <c r="W207" i="1"/>
  <c r="Q207" i="1"/>
  <c r="P202" i="1"/>
  <c r="Y315" i="18"/>
  <c r="Y363" i="18"/>
  <c r="Y411" i="18"/>
  <c r="Y459" i="18"/>
  <c r="Y507" i="18"/>
  <c r="Q1233" i="1"/>
  <c r="R1233" i="1"/>
  <c r="S1233" i="1"/>
  <c r="W1233" i="1"/>
  <c r="Q1132" i="1"/>
  <c r="R1132" i="1"/>
  <c r="S1132" i="1"/>
  <c r="W1132" i="1"/>
  <c r="S1217" i="1"/>
  <c r="W1217" i="1"/>
  <c r="Q1217" i="1"/>
  <c r="R1217" i="1"/>
  <c r="R1155" i="1"/>
  <c r="S1155" i="1"/>
  <c r="W1155" i="1"/>
  <c r="Q1155" i="1"/>
  <c r="Q1101" i="1"/>
  <c r="R1101" i="1"/>
  <c r="S1101" i="1"/>
  <c r="W1101" i="1"/>
  <c r="S1226" i="1"/>
  <c r="W1226" i="1"/>
  <c r="Q1226" i="1"/>
  <c r="R1226" i="1"/>
  <c r="W1255" i="1"/>
  <c r="Q1255" i="1"/>
  <c r="R1255" i="1"/>
  <c r="S1255" i="1"/>
  <c r="S1178" i="1"/>
  <c r="W1178" i="1"/>
  <c r="R1178" i="1"/>
  <c r="Q1178" i="1"/>
  <c r="R1159" i="1"/>
  <c r="S1159" i="1"/>
  <c r="W1159" i="1"/>
  <c r="Q1159" i="1"/>
  <c r="W1398" i="1"/>
  <c r="Q1398" i="1"/>
  <c r="R1398" i="1"/>
  <c r="S1398" i="1"/>
  <c r="W1422" i="1"/>
  <c r="Q1422" i="1"/>
  <c r="R1422" i="1"/>
  <c r="S1422" i="1"/>
  <c r="W1465" i="1"/>
  <c r="S1465" i="1"/>
  <c r="Q1465" i="1"/>
  <c r="R1465" i="1"/>
  <c r="W1491" i="1"/>
  <c r="S1491" i="1"/>
  <c r="Q1491" i="1"/>
  <c r="R1491" i="1"/>
  <c r="W1503" i="1"/>
  <c r="S1503" i="1"/>
  <c r="Q1503" i="1"/>
  <c r="R1503" i="1"/>
  <c r="W1529" i="1"/>
  <c r="S1529" i="1"/>
  <c r="Q1529" i="1"/>
  <c r="R1529" i="1"/>
  <c r="W1375" i="1"/>
  <c r="Q1375" i="1"/>
  <c r="R1375" i="1"/>
  <c r="S1375" i="1"/>
  <c r="W1427" i="1"/>
  <c r="Q1427" i="1"/>
  <c r="R1427" i="1"/>
  <c r="S1427" i="1"/>
  <c r="W1450" i="1"/>
  <c r="Q1450" i="1"/>
  <c r="S1450" i="1"/>
  <c r="R1450" i="1"/>
  <c r="Q1776" i="1"/>
  <c r="P1777" i="1"/>
  <c r="R1776" i="1"/>
  <c r="P1778" i="1"/>
  <c r="S1776" i="1"/>
  <c r="P1779" i="1"/>
  <c r="W1776" i="1"/>
  <c r="Y1843" i="18"/>
  <c r="Y1907" i="18"/>
  <c r="Y1850" i="18"/>
  <c r="Y1829" i="18"/>
  <c r="R1928" i="1"/>
  <c r="P1930" i="1"/>
  <c r="P1929" i="1"/>
  <c r="Q1928" i="1"/>
  <c r="S1928" i="1"/>
  <c r="W1928" i="1"/>
  <c r="P1931" i="1"/>
  <c r="Q1956" i="1"/>
  <c r="P1957" i="1"/>
  <c r="R1956" i="1"/>
  <c r="P1958" i="1"/>
  <c r="S1956" i="1"/>
  <c r="P1959" i="1"/>
  <c r="W1956" i="1"/>
  <c r="Q2020" i="1"/>
  <c r="P2021" i="1"/>
  <c r="R2020" i="1"/>
  <c r="P2022" i="1"/>
  <c r="S2020" i="1"/>
  <c r="P2023" i="1"/>
  <c r="W2020" i="1"/>
  <c r="Y2092" i="18"/>
  <c r="Y2163" i="18"/>
  <c r="Y2193" i="18"/>
  <c r="Q324" i="1"/>
  <c r="P325" i="1"/>
  <c r="R324" i="1"/>
  <c r="P326" i="1"/>
  <c r="S324" i="1"/>
  <c r="P327" i="1"/>
  <c r="P328" i="1"/>
  <c r="W324" i="1"/>
  <c r="P329" i="1"/>
  <c r="Q372" i="1"/>
  <c r="P373" i="1"/>
  <c r="R372" i="1"/>
  <c r="P374" i="1"/>
  <c r="S372" i="1"/>
  <c r="P375" i="1"/>
  <c r="P376" i="1"/>
  <c r="W372" i="1"/>
  <c r="P377" i="1"/>
  <c r="Q420" i="1"/>
  <c r="P421" i="1"/>
  <c r="R420" i="1"/>
  <c r="P422" i="1"/>
  <c r="S420" i="1"/>
  <c r="P423" i="1"/>
  <c r="P424" i="1"/>
  <c r="W420" i="1"/>
  <c r="P425" i="1"/>
  <c r="Q468" i="1"/>
  <c r="P469" i="1"/>
  <c r="R468" i="1"/>
  <c r="P470" i="1"/>
  <c r="S468" i="1"/>
  <c r="P471" i="1"/>
  <c r="P472" i="1"/>
  <c r="W468" i="1"/>
  <c r="P473" i="1"/>
  <c r="R1154" i="1"/>
  <c r="S1154" i="1"/>
  <c r="W1154" i="1"/>
  <c r="Q1154" i="1"/>
  <c r="Q1116" i="1"/>
  <c r="R1116" i="1"/>
  <c r="S1116" i="1"/>
  <c r="W1116" i="1"/>
  <c r="S1209" i="1"/>
  <c r="W1209" i="1"/>
  <c r="Q1209" i="1"/>
  <c r="R1209" i="1"/>
  <c r="R1163" i="1"/>
  <c r="S1163" i="1"/>
  <c r="W1163" i="1"/>
  <c r="Q1163" i="1"/>
  <c r="Q1105" i="1"/>
  <c r="R1105" i="1"/>
  <c r="S1105" i="1"/>
  <c r="W1105" i="1"/>
  <c r="Q1129" i="1"/>
  <c r="R1129" i="1"/>
  <c r="S1129" i="1"/>
  <c r="W1129" i="1"/>
  <c r="S1170" i="1"/>
  <c r="W1170" i="1"/>
  <c r="R1170" i="1"/>
  <c r="Q1170" i="1"/>
  <c r="R1254" i="1"/>
  <c r="S1254" i="1"/>
  <c r="W1254" i="1"/>
  <c r="Q1254" i="1"/>
  <c r="W1374" i="1"/>
  <c r="Q1374" i="1"/>
  <c r="R1374" i="1"/>
  <c r="S1374" i="1"/>
  <c r="W1426" i="1"/>
  <c r="Q1426" i="1"/>
  <c r="R1426" i="1"/>
  <c r="S1426" i="1"/>
  <c r="W1467" i="1"/>
  <c r="S1467" i="1"/>
  <c r="Q1467" i="1"/>
  <c r="R1467" i="1"/>
  <c r="W1479" i="1"/>
  <c r="S1479" i="1"/>
  <c r="Q1479" i="1"/>
  <c r="R1479" i="1"/>
  <c r="W1505" i="1"/>
  <c r="S1505" i="1"/>
  <c r="Q1505" i="1"/>
  <c r="R1505" i="1"/>
  <c r="W1531" i="1"/>
  <c r="S1531" i="1"/>
  <c r="Q1531" i="1"/>
  <c r="R1531" i="1"/>
  <c r="W1543" i="1"/>
  <c r="Q1543" i="1"/>
  <c r="R1543" i="1"/>
  <c r="S1543" i="1"/>
  <c r="W1379" i="1"/>
  <c r="Q1379" i="1"/>
  <c r="R1379" i="1"/>
  <c r="S1379" i="1"/>
  <c r="W1403" i="1"/>
  <c r="Q1403" i="1"/>
  <c r="R1403" i="1"/>
  <c r="S1403" i="1"/>
  <c r="Q1646" i="1"/>
  <c r="P1647" i="1"/>
  <c r="R1646" i="1"/>
  <c r="P1648" i="1"/>
  <c r="S1646" i="1"/>
  <c r="P1649" i="1"/>
  <c r="W1646" i="1"/>
  <c r="Y1871" i="18"/>
  <c r="Y1957" i="18"/>
  <c r="Y2021" i="18"/>
  <c r="Y2102" i="18"/>
  <c r="Y2306" i="18"/>
  <c r="Q2285" i="1"/>
  <c r="P2286" i="1"/>
  <c r="S2285" i="1"/>
  <c r="P2288" i="1"/>
  <c r="W2285" i="1"/>
  <c r="P2287" i="1"/>
  <c r="R2285" i="1"/>
  <c r="Y421" i="18"/>
  <c r="W942" i="1"/>
  <c r="Q942" i="1"/>
  <c r="R942" i="1"/>
  <c r="S942" i="1"/>
  <c r="Q1135" i="1"/>
  <c r="R1135" i="1"/>
  <c r="S1135" i="1"/>
  <c r="W1135" i="1"/>
  <c r="Q1100" i="1"/>
  <c r="R1100" i="1"/>
  <c r="S1100" i="1"/>
  <c r="W1100" i="1"/>
  <c r="S1201" i="1"/>
  <c r="W1201" i="1"/>
  <c r="Q1201" i="1"/>
  <c r="R1201" i="1"/>
  <c r="S1221" i="1"/>
  <c r="Q1221" i="1"/>
  <c r="R1221" i="1"/>
  <c r="W1221" i="1"/>
  <c r="Q1081" i="1"/>
  <c r="R1081" i="1"/>
  <c r="S1081" i="1"/>
  <c r="W1081" i="1"/>
  <c r="Q1133" i="1"/>
  <c r="R1133" i="1"/>
  <c r="S1133" i="1"/>
  <c r="W1133" i="1"/>
  <c r="R1156" i="1"/>
  <c r="S1156" i="1"/>
  <c r="W1156" i="1"/>
  <c r="Q1156" i="1"/>
  <c r="R1238" i="1"/>
  <c r="S1238" i="1"/>
  <c r="W1238" i="1"/>
  <c r="Q1238" i="1"/>
  <c r="W1378" i="1"/>
  <c r="Q1378" i="1"/>
  <c r="R1378" i="1"/>
  <c r="S1378" i="1"/>
  <c r="W1430" i="1"/>
  <c r="Q1430" i="1"/>
  <c r="R1430" i="1"/>
  <c r="S1430" i="1"/>
  <c r="W1455" i="1"/>
  <c r="S1455" i="1"/>
  <c r="Q1455" i="1"/>
  <c r="R1455" i="1"/>
  <c r="W1481" i="1"/>
  <c r="S1481" i="1"/>
  <c r="Q1481" i="1"/>
  <c r="R1481" i="1"/>
  <c r="W1507" i="1"/>
  <c r="S1507" i="1"/>
  <c r="Q1507" i="1"/>
  <c r="R1507" i="1"/>
  <c r="W1519" i="1"/>
  <c r="S1519" i="1"/>
  <c r="Q1519" i="1"/>
  <c r="R1519" i="1"/>
  <c r="W1448" i="1"/>
  <c r="Q1448" i="1"/>
  <c r="S1448" i="1"/>
  <c r="R1448" i="1"/>
  <c r="W1407" i="1"/>
  <c r="Q1407" i="1"/>
  <c r="R1407" i="1"/>
  <c r="S1407" i="1"/>
  <c r="Y1647" i="18"/>
  <c r="Y1790" i="18"/>
  <c r="Q1864" i="1"/>
  <c r="P1865" i="1"/>
  <c r="R1864" i="1"/>
  <c r="P1866" i="1"/>
  <c r="W1864" i="1"/>
  <c r="P1867" i="1"/>
  <c r="S1864" i="1"/>
  <c r="Y1893" i="18"/>
  <c r="Y1967" i="18"/>
  <c r="Y2031" i="18"/>
  <c r="Y2320" i="18"/>
  <c r="Y2310" i="18"/>
  <c r="Y2325" i="18"/>
  <c r="T145" i="18"/>
  <c r="Q221" i="1"/>
  <c r="R221" i="1"/>
  <c r="S221" i="1"/>
  <c r="W221" i="1"/>
  <c r="Q284" i="1"/>
  <c r="R284" i="1"/>
  <c r="S284" i="1"/>
  <c r="T306" i="18"/>
  <c r="R388" i="1"/>
  <c r="S388" i="1"/>
  <c r="Q388" i="1"/>
  <c r="Y438" i="18"/>
  <c r="Q280" i="1"/>
  <c r="R280" i="1"/>
  <c r="S280" i="1"/>
  <c r="Q625" i="1"/>
  <c r="R625" i="1"/>
  <c r="S625" i="1"/>
  <c r="W625" i="1"/>
  <c r="Q633" i="1"/>
  <c r="R633" i="1"/>
  <c r="S633" i="1"/>
  <c r="W633" i="1"/>
  <c r="Q641" i="1"/>
  <c r="R641" i="1"/>
  <c r="S641" i="1"/>
  <c r="W641" i="1"/>
  <c r="Y712" i="18"/>
  <c r="Y760" i="18"/>
  <c r="Y236" i="18"/>
  <c r="Q355" i="1"/>
  <c r="R355" i="1"/>
  <c r="S355" i="1"/>
  <c r="Q700" i="1"/>
  <c r="R700" i="1"/>
  <c r="S700" i="1"/>
  <c r="W700" i="1"/>
  <c r="Q791" i="1"/>
  <c r="R791" i="1"/>
  <c r="S791" i="1"/>
  <c r="W791" i="1"/>
  <c r="Q799" i="1"/>
  <c r="R799" i="1"/>
  <c r="S799" i="1"/>
  <c r="W799" i="1"/>
  <c r="Q807" i="1"/>
  <c r="R807" i="1"/>
  <c r="S807" i="1"/>
  <c r="W807" i="1"/>
  <c r="Q815" i="1"/>
  <c r="R815" i="1"/>
  <c r="S815" i="1"/>
  <c r="W815" i="1"/>
  <c r="T617" i="18"/>
  <c r="W836" i="1"/>
  <c r="Q836" i="1"/>
  <c r="R836" i="1"/>
  <c r="S836" i="1"/>
  <c r="W844" i="1"/>
  <c r="Q844" i="1"/>
  <c r="R844" i="1"/>
  <c r="S844" i="1"/>
  <c r="W852" i="1"/>
  <c r="Q852" i="1"/>
  <c r="R852" i="1"/>
  <c r="S852" i="1"/>
  <c r="Q868" i="1"/>
  <c r="R868" i="1"/>
  <c r="S868" i="1"/>
  <c r="W868" i="1"/>
  <c r="Q876" i="1"/>
  <c r="R876" i="1"/>
  <c r="S876" i="1"/>
  <c r="W876" i="1"/>
  <c r="T294" i="18"/>
  <c r="T226" i="18"/>
  <c r="T342" i="18"/>
  <c r="S275" i="1"/>
  <c r="Q275" i="1"/>
  <c r="R275" i="1"/>
  <c r="Q314" i="1"/>
  <c r="R314" i="1"/>
  <c r="S314" i="1"/>
  <c r="Q263" i="1"/>
  <c r="R263" i="1"/>
  <c r="S263" i="1"/>
  <c r="T390" i="18"/>
  <c r="Q779" i="1"/>
  <c r="R779" i="1"/>
  <c r="S779" i="1"/>
  <c r="T598" i="18"/>
  <c r="T717" i="18"/>
  <c r="Q724" i="1"/>
  <c r="R724" i="1"/>
  <c r="S724" i="1"/>
  <c r="Q975" i="1"/>
  <c r="R975" i="1"/>
  <c r="S975" i="1"/>
  <c r="W975" i="1"/>
  <c r="Q983" i="1"/>
  <c r="R983" i="1"/>
  <c r="S983" i="1"/>
  <c r="W983" i="1"/>
  <c r="Q991" i="1"/>
  <c r="R991" i="1"/>
  <c r="S991" i="1"/>
  <c r="W991" i="1"/>
  <c r="Q999" i="1"/>
  <c r="R999" i="1"/>
  <c r="S999" i="1"/>
  <c r="W999" i="1"/>
  <c r="Q1007" i="1"/>
  <c r="R1007" i="1"/>
  <c r="S1007" i="1"/>
  <c r="W1007" i="1"/>
  <c r="Q1015" i="1"/>
  <c r="R1015" i="1"/>
  <c r="S1015" i="1"/>
  <c r="W1015" i="1"/>
  <c r="Q1023" i="1"/>
  <c r="R1023" i="1"/>
  <c r="S1023" i="1"/>
  <c r="W1023" i="1"/>
  <c r="Q1031" i="1"/>
  <c r="R1031" i="1"/>
  <c r="S1031" i="1"/>
  <c r="W1031" i="1"/>
  <c r="Q1039" i="1"/>
  <c r="R1039" i="1"/>
  <c r="S1039" i="1"/>
  <c r="W1039" i="1"/>
  <c r="Q1047" i="1"/>
  <c r="R1047" i="1"/>
  <c r="S1047" i="1"/>
  <c r="W1047" i="1"/>
  <c r="Q1055" i="1"/>
  <c r="R1055" i="1"/>
  <c r="S1055" i="1"/>
  <c r="W1055" i="1"/>
  <c r="Q681" i="1"/>
  <c r="R681" i="1"/>
  <c r="S681" i="1"/>
  <c r="R707" i="1"/>
  <c r="S707" i="1"/>
  <c r="Q707" i="1"/>
  <c r="Y729" i="18"/>
  <c r="Q540" i="1"/>
  <c r="R540" i="1"/>
  <c r="S540" i="1"/>
  <c r="Y612" i="18"/>
  <c r="R755" i="1"/>
  <c r="S755" i="1"/>
  <c r="Q755" i="1"/>
  <c r="T823" i="18"/>
  <c r="T831" i="18"/>
  <c r="T603" i="18"/>
  <c r="Q748" i="1"/>
  <c r="R748" i="1"/>
  <c r="S748" i="1"/>
  <c r="T933" i="18"/>
  <c r="Y621" i="18"/>
  <c r="Y683" i="18"/>
  <c r="Y691" i="18"/>
  <c r="Y824" i="18"/>
  <c r="Y832" i="18"/>
  <c r="T613" i="18"/>
  <c r="S675" i="1"/>
  <c r="Q675" i="1"/>
  <c r="R675" i="1"/>
  <c r="T688" i="18"/>
  <c r="Y773" i="18"/>
  <c r="T922" i="18"/>
  <c r="T955" i="18"/>
  <c r="T963" i="18"/>
  <c r="T971" i="18"/>
  <c r="Y903" i="18"/>
  <c r="Y895" i="18"/>
  <c r="W1264" i="1"/>
  <c r="Q1264" i="1"/>
  <c r="R1264" i="1"/>
  <c r="S1264" i="1"/>
  <c r="W1272" i="1"/>
  <c r="Q1272" i="1"/>
  <c r="R1272" i="1"/>
  <c r="S1272" i="1"/>
  <c r="W1280" i="1"/>
  <c r="Q1280" i="1"/>
  <c r="R1280" i="1"/>
  <c r="S1280" i="1"/>
  <c r="W1288" i="1"/>
  <c r="Q1288" i="1"/>
  <c r="R1288" i="1"/>
  <c r="S1288" i="1"/>
  <c r="W1296" i="1"/>
  <c r="Q1296" i="1"/>
  <c r="R1296" i="1"/>
  <c r="S1296" i="1"/>
  <c r="W1304" i="1"/>
  <c r="Q1304" i="1"/>
  <c r="R1304" i="1"/>
  <c r="S1304" i="1"/>
  <c r="W1312" i="1"/>
  <c r="Q1312" i="1"/>
  <c r="R1312" i="1"/>
  <c r="S1312" i="1"/>
  <c r="W1320" i="1"/>
  <c r="Q1320" i="1"/>
  <c r="R1320" i="1"/>
  <c r="S1320" i="1"/>
  <c r="W1328" i="1"/>
  <c r="Q1328" i="1"/>
  <c r="R1328" i="1"/>
  <c r="S1328" i="1"/>
  <c r="W1336" i="1"/>
  <c r="Q1336" i="1"/>
  <c r="R1336" i="1"/>
  <c r="S1336" i="1"/>
  <c r="W1344" i="1"/>
  <c r="Q1344" i="1"/>
  <c r="R1344" i="1"/>
  <c r="S1344" i="1"/>
  <c r="W1352" i="1"/>
  <c r="Q1352" i="1"/>
  <c r="R1352" i="1"/>
  <c r="S1352" i="1"/>
  <c r="W1360" i="1"/>
  <c r="Q1360" i="1"/>
  <c r="R1360" i="1"/>
  <c r="S1360" i="1"/>
  <c r="T937" i="18"/>
  <c r="T958" i="18"/>
  <c r="T966" i="18"/>
  <c r="T974" i="18"/>
  <c r="T906" i="18"/>
  <c r="Q1658" i="1"/>
  <c r="P1659" i="1"/>
  <c r="R1658" i="1"/>
  <c r="P1660" i="1"/>
  <c r="S1658" i="1"/>
  <c r="P1661" i="1"/>
  <c r="W1658" i="1"/>
  <c r="T1556" i="18"/>
  <c r="Q1631" i="1"/>
  <c r="R1631" i="1"/>
  <c r="S1631" i="1"/>
  <c r="W1631" i="1"/>
  <c r="Q1753" i="1"/>
  <c r="R1753" i="1"/>
  <c r="S1753" i="1"/>
  <c r="T1752" i="18"/>
  <c r="S1641" i="1"/>
  <c r="W1641" i="1"/>
  <c r="Q1641" i="1"/>
  <c r="R1641" i="1"/>
  <c r="S1692" i="1"/>
  <c r="W1692" i="1"/>
  <c r="Q1692" i="1"/>
  <c r="R1692" i="1"/>
  <c r="S1700" i="1"/>
  <c r="W1700" i="1"/>
  <c r="Q1700" i="1"/>
  <c r="R1700" i="1"/>
  <c r="S1708" i="1"/>
  <c r="W1708" i="1"/>
  <c r="Q1708" i="1"/>
  <c r="R1708" i="1"/>
  <c r="S1716" i="1"/>
  <c r="W1716" i="1"/>
  <c r="Q1716" i="1"/>
  <c r="R1716" i="1"/>
  <c r="S1758" i="1"/>
  <c r="W1758" i="1"/>
  <c r="Q1758" i="1"/>
  <c r="R1758" i="1"/>
  <c r="S1766" i="1"/>
  <c r="W1766" i="1"/>
  <c r="Q1766" i="1"/>
  <c r="R1766" i="1"/>
  <c r="S1807" i="1"/>
  <c r="P1810" i="1"/>
  <c r="W1807" i="1"/>
  <c r="Q1807" i="1"/>
  <c r="P1808" i="1"/>
  <c r="R1807" i="1"/>
  <c r="P1809" i="1"/>
  <c r="Q1886" i="1"/>
  <c r="S1886" i="1"/>
  <c r="R1886" i="1"/>
  <c r="T1912" i="18"/>
  <c r="Y1605" i="18"/>
  <c r="Y1677" i="18"/>
  <c r="Q1833" i="1"/>
  <c r="S1833" i="1"/>
  <c r="R1833" i="1"/>
  <c r="Y1884" i="18"/>
  <c r="Q1903" i="1"/>
  <c r="Y1910" i="18"/>
  <c r="Q2000" i="1"/>
  <c r="P2001" i="1"/>
  <c r="R2000" i="1"/>
  <c r="P2002" i="1"/>
  <c r="S2000" i="1"/>
  <c r="P2003" i="1"/>
  <c r="W2000" i="1"/>
  <c r="Q2063" i="1"/>
  <c r="P2064" i="1"/>
  <c r="R2063" i="1"/>
  <c r="P2065" i="1"/>
  <c r="S2063" i="1"/>
  <c r="P2066" i="1"/>
  <c r="P2067" i="1"/>
  <c r="W2063" i="1"/>
  <c r="S2113" i="1"/>
  <c r="W2113" i="1"/>
  <c r="Y2184" i="18"/>
  <c r="R2265" i="1"/>
  <c r="P2267" i="1"/>
  <c r="S2265" i="1"/>
  <c r="P2268" i="1"/>
  <c r="Q2265" i="1"/>
  <c r="W2265" i="1"/>
  <c r="P2266" i="1"/>
  <c r="T1560" i="18"/>
  <c r="T1568" i="18"/>
  <c r="T1576" i="18"/>
  <c r="T1584" i="18"/>
  <c r="T1600" i="18"/>
  <c r="Q1656" i="1"/>
  <c r="R1656" i="1"/>
  <c r="S1656" i="1"/>
  <c r="T1795" i="18"/>
  <c r="S1817" i="1"/>
  <c r="Q1817" i="1"/>
  <c r="R1817" i="1"/>
  <c r="Y1852" i="18"/>
  <c r="Y2023" i="18"/>
  <c r="Y2105" i="18"/>
  <c r="T1595" i="18"/>
  <c r="T1611" i="18"/>
  <c r="T1667" i="18"/>
  <c r="T1683" i="18"/>
  <c r="Y1734" i="18"/>
  <c r="T1781" i="18"/>
  <c r="Q1789" i="1"/>
  <c r="R1789" i="1"/>
  <c r="S1789" i="1"/>
  <c r="Q1821" i="1"/>
  <c r="R1821" i="1"/>
  <c r="S1821" i="1"/>
  <c r="Q1907" i="1"/>
  <c r="S1907" i="1"/>
  <c r="R1907" i="1"/>
  <c r="Y2056" i="18"/>
  <c r="Y2116" i="18"/>
  <c r="T1721" i="18"/>
  <c r="T1740" i="18"/>
  <c r="Q1744" i="1"/>
  <c r="R1744" i="1"/>
  <c r="S1744" i="1"/>
  <c r="S1881" i="1"/>
  <c r="Q1881" i="1"/>
  <c r="R1881" i="1"/>
  <c r="Q1950" i="1"/>
  <c r="R1950" i="1"/>
  <c r="S1950" i="1"/>
  <c r="Y2047" i="18"/>
  <c r="Y2148" i="18"/>
  <c r="Y2188" i="18"/>
  <c r="Y1593" i="18"/>
  <c r="Y1673" i="18"/>
  <c r="Q1783" i="1"/>
  <c r="R1783" i="1"/>
  <c r="S1783" i="1"/>
  <c r="R1850" i="1"/>
  <c r="S1850" i="1"/>
  <c r="Q1850" i="1"/>
  <c r="Y1921" i="18"/>
  <c r="Y1963" i="18"/>
  <c r="Y2027" i="18"/>
  <c r="Y2079" i="18"/>
  <c r="Y2260" i="18"/>
  <c r="Y1562" i="18"/>
  <c r="Y1570" i="18"/>
  <c r="Y1578" i="18"/>
  <c r="Y1586" i="18"/>
  <c r="Y1596" i="18"/>
  <c r="Y1612" i="18"/>
  <c r="Y1623" i="18"/>
  <c r="T1676" i="18"/>
  <c r="Y1727" i="18"/>
  <c r="Q1875" i="1"/>
  <c r="S1875" i="1"/>
  <c r="R1875" i="1"/>
  <c r="Y2140" i="18"/>
  <c r="Y2201" i="18"/>
  <c r="Y1663" i="18"/>
  <c r="Y1679" i="18"/>
  <c r="Q1934" i="1"/>
  <c r="R1934" i="1"/>
  <c r="S1934" i="1"/>
  <c r="Y2172" i="18"/>
  <c r="T2245" i="18"/>
  <c r="S2385" i="1"/>
  <c r="Q1918" i="1"/>
  <c r="S1918" i="1"/>
  <c r="R1918" i="1"/>
  <c r="Q2010" i="1"/>
  <c r="R2010" i="1"/>
  <c r="S2010" i="1"/>
  <c r="Q2075" i="1"/>
  <c r="R2075" i="1"/>
  <c r="S2075" i="1"/>
  <c r="Y2088" i="18"/>
  <c r="Q2355" i="1"/>
  <c r="P2356" i="1"/>
  <c r="R2355" i="1"/>
  <c r="P2357" i="1"/>
  <c r="S2355" i="1"/>
  <c r="P2358" i="1"/>
  <c r="W2355" i="1"/>
  <c r="T2404" i="18"/>
  <c r="Y2447" i="18"/>
  <c r="Q2154" i="1"/>
  <c r="R2154" i="1"/>
  <c r="S2154" i="1"/>
  <c r="R2169" i="1"/>
  <c r="S2169" i="1"/>
  <c r="Q2169" i="1"/>
  <c r="S2209" i="1"/>
  <c r="R2209" i="1"/>
  <c r="Q2209" i="1"/>
  <c r="R1871" i="1"/>
  <c r="S1871" i="1"/>
  <c r="Q1871" i="1"/>
  <c r="Q2429" i="1"/>
  <c r="R2429" i="1"/>
  <c r="S2429" i="1"/>
  <c r="W2485" i="1"/>
  <c r="Q2485" i="1"/>
  <c r="R2485" i="1"/>
  <c r="S2485" i="1"/>
  <c r="W2493" i="1"/>
  <c r="Q2493" i="1"/>
  <c r="R2493" i="1"/>
  <c r="S2493" i="1"/>
  <c r="W2517" i="1"/>
  <c r="Q2517" i="1"/>
  <c r="R2517" i="1"/>
  <c r="S2517" i="1"/>
  <c r="W2525" i="1"/>
  <c r="Q2525" i="1"/>
  <c r="R2525" i="1"/>
  <c r="S2525" i="1"/>
  <c r="W2533" i="1"/>
  <c r="Q2533" i="1"/>
  <c r="R2533" i="1"/>
  <c r="S2533" i="1"/>
  <c r="W2541" i="1"/>
  <c r="Q2541" i="1"/>
  <c r="R2541" i="1"/>
  <c r="S2541" i="1"/>
  <c r="S1994" i="1"/>
  <c r="Q1994" i="1"/>
  <c r="R1994" i="1"/>
  <c r="T2024" i="18"/>
  <c r="S2097" i="1"/>
  <c r="Q2097" i="1"/>
  <c r="R2097" i="1"/>
  <c r="Y2186" i="18"/>
  <c r="W2359" i="1"/>
  <c r="Q2359" i="1"/>
  <c r="P2360" i="1"/>
  <c r="R2359" i="1"/>
  <c r="P2361" i="1"/>
  <c r="S2359" i="1"/>
  <c r="P2362" i="1"/>
  <c r="Y2402" i="18"/>
  <c r="Q2430" i="1"/>
  <c r="R2430" i="1"/>
  <c r="S2430" i="1"/>
  <c r="Q1998" i="1"/>
  <c r="R1998" i="1"/>
  <c r="S1998" i="1"/>
  <c r="R2321" i="1"/>
  <c r="Q1967" i="1"/>
  <c r="R1967" i="1"/>
  <c r="S1967" i="1"/>
  <c r="Y2028" i="18"/>
  <c r="T2083" i="18"/>
  <c r="Q2243" i="1"/>
  <c r="R2243" i="1"/>
  <c r="S2243" i="1"/>
  <c r="Y1980" i="18"/>
  <c r="R2043" i="1"/>
  <c r="Y2195" i="18"/>
  <c r="Y2480" i="18"/>
  <c r="Y2251" i="18"/>
  <c r="Q2336" i="1"/>
  <c r="R2336" i="1"/>
  <c r="S2336" i="1"/>
  <c r="Y2502" i="18"/>
  <c r="Q28" i="1"/>
  <c r="R28" i="1"/>
  <c r="S28" i="1"/>
  <c r="W28" i="1"/>
  <c r="Q45" i="1"/>
  <c r="R45" i="1"/>
  <c r="S45" i="1"/>
  <c r="W45" i="1"/>
  <c r="Q66" i="1"/>
  <c r="R66" i="1"/>
  <c r="S66" i="1"/>
  <c r="W66" i="1"/>
  <c r="Y114" i="18"/>
  <c r="Q522" i="1"/>
  <c r="R522" i="1"/>
  <c r="S522" i="1"/>
  <c r="W522" i="1"/>
  <c r="Y367" i="18"/>
  <c r="T107" i="18"/>
  <c r="S250" i="1"/>
  <c r="W250" i="1"/>
  <c r="Q250" i="1"/>
  <c r="R250" i="1"/>
  <c r="Y671" i="18"/>
  <c r="Y162" i="18"/>
  <c r="Q31" i="1"/>
  <c r="R31" i="1"/>
  <c r="S31" i="1"/>
  <c r="W31" i="1"/>
  <c r="T134" i="18"/>
  <c r="Q57" i="1"/>
  <c r="R57" i="1"/>
  <c r="S57" i="1"/>
  <c r="W57" i="1"/>
  <c r="Y149" i="18"/>
  <c r="Y199" i="18"/>
  <c r="Q525" i="1"/>
  <c r="R525" i="1"/>
  <c r="S525" i="1"/>
  <c r="W525" i="1"/>
  <c r="Y347" i="18"/>
  <c r="Y331" i="18"/>
  <c r="T100" i="18"/>
  <c r="Q72" i="1"/>
  <c r="R72" i="1"/>
  <c r="S72" i="1"/>
  <c r="W72" i="1"/>
  <c r="Q80" i="1"/>
  <c r="R80" i="1"/>
  <c r="S80" i="1"/>
  <c r="W80" i="1"/>
  <c r="Q88" i="1"/>
  <c r="R88" i="1"/>
  <c r="S88" i="1"/>
  <c r="W88" i="1"/>
  <c r="Y191" i="18"/>
  <c r="Q24" i="1"/>
  <c r="R24" i="1"/>
  <c r="S24" i="1"/>
  <c r="W24" i="1"/>
  <c r="Q32" i="1"/>
  <c r="R32" i="1"/>
  <c r="S32" i="1"/>
  <c r="W32" i="1"/>
  <c r="Q40" i="1"/>
  <c r="R40" i="1"/>
  <c r="S40" i="1"/>
  <c r="W40" i="1"/>
  <c r="T135" i="18"/>
  <c r="Q61" i="1"/>
  <c r="R61" i="1"/>
  <c r="S61" i="1"/>
  <c r="W61" i="1"/>
  <c r="Y161" i="18"/>
  <c r="Y195" i="18"/>
  <c r="T203" i="18"/>
  <c r="Y374" i="18"/>
  <c r="Y499" i="18"/>
  <c r="Y94" i="18"/>
  <c r="Y102" i="18"/>
  <c r="Y110" i="18"/>
  <c r="Y129" i="18"/>
  <c r="Q432" i="1"/>
  <c r="P433" i="1"/>
  <c r="R432" i="1"/>
  <c r="P434" i="1"/>
  <c r="S432" i="1"/>
  <c r="P435" i="1"/>
  <c r="P436" i="1"/>
  <c r="W432" i="1"/>
  <c r="P437" i="1"/>
  <c r="Y471" i="18"/>
  <c r="Q526" i="1"/>
  <c r="R526" i="1"/>
  <c r="S526" i="1"/>
  <c r="W526" i="1"/>
  <c r="Y534" i="18"/>
  <c r="Q550" i="1"/>
  <c r="R550" i="1"/>
  <c r="S550" i="1"/>
  <c r="W550" i="1"/>
  <c r="T180" i="18"/>
  <c r="W217" i="1"/>
  <c r="Q217" i="1"/>
  <c r="R217" i="1"/>
  <c r="S217" i="1"/>
  <c r="W297" i="1"/>
  <c r="Q297" i="1"/>
  <c r="P298" i="1"/>
  <c r="R297" i="1"/>
  <c r="P299" i="1"/>
  <c r="S297" i="1"/>
  <c r="Y357" i="18"/>
  <c r="Y405" i="18"/>
  <c r="Q576" i="1"/>
  <c r="R576" i="1"/>
  <c r="S576" i="1"/>
  <c r="W576" i="1"/>
  <c r="T95" i="18"/>
  <c r="T103" i="18"/>
  <c r="T111" i="18"/>
  <c r="Y425" i="18"/>
  <c r="T210" i="18"/>
  <c r="S246" i="1"/>
  <c r="W246" i="1"/>
  <c r="Q246" i="1"/>
  <c r="R246" i="1"/>
  <c r="S254" i="1"/>
  <c r="W254" i="1"/>
  <c r="Q254" i="1"/>
  <c r="R254" i="1"/>
  <c r="S288" i="1"/>
  <c r="W288" i="1"/>
  <c r="Q288" i="1"/>
  <c r="P289" i="1"/>
  <c r="R288" i="1"/>
  <c r="P290" i="1"/>
  <c r="Y340" i="18"/>
  <c r="Y407" i="18"/>
  <c r="Y455" i="18"/>
  <c r="Y503" i="18"/>
  <c r="T128" i="18"/>
  <c r="Q147" i="1"/>
  <c r="R147" i="1"/>
  <c r="S147" i="1"/>
  <c r="Q417" i="1"/>
  <c r="Y227" i="18"/>
  <c r="Q308" i="1"/>
  <c r="R308" i="1"/>
  <c r="S308" i="1"/>
  <c r="S387" i="1"/>
  <c r="Q387" i="1"/>
  <c r="R387" i="1"/>
  <c r="Q442" i="1"/>
  <c r="R442" i="1"/>
  <c r="S442" i="1"/>
  <c r="Q626" i="1"/>
  <c r="R626" i="1"/>
  <c r="S626" i="1"/>
  <c r="W626" i="1"/>
  <c r="Q634" i="1"/>
  <c r="R634" i="1"/>
  <c r="S634" i="1"/>
  <c r="W634" i="1"/>
  <c r="Q642" i="1"/>
  <c r="R642" i="1"/>
  <c r="S642" i="1"/>
  <c r="W642" i="1"/>
  <c r="Y721" i="18"/>
  <c r="Y769" i="18"/>
  <c r="R359" i="1"/>
  <c r="S359" i="1"/>
  <c r="Q359" i="1"/>
  <c r="Q557" i="1"/>
  <c r="R557" i="1"/>
  <c r="S557" i="1"/>
  <c r="W557" i="1"/>
  <c r="Q580" i="1"/>
  <c r="R580" i="1"/>
  <c r="S580" i="1"/>
  <c r="W580" i="1"/>
  <c r="Q588" i="1"/>
  <c r="R588" i="1"/>
  <c r="S588" i="1"/>
  <c r="W588" i="1"/>
  <c r="Q693" i="1"/>
  <c r="R693" i="1"/>
  <c r="S693" i="1"/>
  <c r="W693" i="1"/>
  <c r="Q701" i="1"/>
  <c r="R701" i="1"/>
  <c r="S701" i="1"/>
  <c r="W701" i="1"/>
  <c r="Y780" i="18"/>
  <c r="Q792" i="1"/>
  <c r="R792" i="1"/>
  <c r="S792" i="1"/>
  <c r="W792" i="1"/>
  <c r="Q800" i="1"/>
  <c r="R800" i="1"/>
  <c r="S800" i="1"/>
  <c r="W800" i="1"/>
  <c r="Q808" i="1"/>
  <c r="R808" i="1"/>
  <c r="S808" i="1"/>
  <c r="W808" i="1"/>
  <c r="Q816" i="1"/>
  <c r="R816" i="1"/>
  <c r="S816" i="1"/>
  <c r="W816" i="1"/>
  <c r="Y239" i="18"/>
  <c r="W654" i="1"/>
  <c r="Q654" i="1"/>
  <c r="P655" i="1"/>
  <c r="R654" i="1"/>
  <c r="P656" i="1"/>
  <c r="S654" i="1"/>
  <c r="P657" i="1"/>
  <c r="W837" i="1"/>
  <c r="Q837" i="1"/>
  <c r="R837" i="1"/>
  <c r="S837" i="1"/>
  <c r="W845" i="1"/>
  <c r="Q845" i="1"/>
  <c r="R845" i="1"/>
  <c r="S845" i="1"/>
  <c r="Y853" i="18"/>
  <c r="Q869" i="1"/>
  <c r="R869" i="1"/>
  <c r="W869" i="1"/>
  <c r="S869" i="1"/>
  <c r="Q877" i="1"/>
  <c r="R877" i="1"/>
  <c r="W877" i="1"/>
  <c r="S877" i="1"/>
  <c r="T234" i="18"/>
  <c r="Q296" i="1"/>
  <c r="R296" i="1"/>
  <c r="S296" i="1"/>
  <c r="Q554" i="1"/>
  <c r="R554" i="1"/>
  <c r="S554" i="1"/>
  <c r="W554" i="1"/>
  <c r="Q292" i="1"/>
  <c r="R292" i="1"/>
  <c r="S292" i="1"/>
  <c r="Q344" i="1"/>
  <c r="R344" i="1"/>
  <c r="S344" i="1"/>
  <c r="Q487" i="1"/>
  <c r="R487" i="1"/>
  <c r="S487" i="1"/>
  <c r="Y229" i="18"/>
  <c r="Q274" i="1"/>
  <c r="R274" i="1"/>
  <c r="S274" i="1"/>
  <c r="Q313" i="1"/>
  <c r="R313" i="1"/>
  <c r="S313" i="1"/>
  <c r="Q337" i="1"/>
  <c r="R337" i="1"/>
  <c r="S337" i="1"/>
  <c r="Q559" i="1"/>
  <c r="R559" i="1"/>
  <c r="S559" i="1"/>
  <c r="W559" i="1"/>
  <c r="Q583" i="1"/>
  <c r="R583" i="1"/>
  <c r="W583" i="1"/>
  <c r="S583" i="1"/>
  <c r="Y601" i="18"/>
  <c r="Q392" i="1"/>
  <c r="R392" i="1"/>
  <c r="S392" i="1"/>
  <c r="Y648" i="18"/>
  <c r="R600" i="1"/>
  <c r="S600" i="1"/>
  <c r="Q600" i="1"/>
  <c r="Q976" i="1"/>
  <c r="R976" i="1"/>
  <c r="S976" i="1"/>
  <c r="W976" i="1"/>
  <c r="Q984" i="1"/>
  <c r="R984" i="1"/>
  <c r="S984" i="1"/>
  <c r="W984" i="1"/>
  <c r="Q992" i="1"/>
  <c r="R992" i="1"/>
  <c r="S992" i="1"/>
  <c r="W992" i="1"/>
  <c r="Q1000" i="1"/>
  <c r="R1000" i="1"/>
  <c r="S1000" i="1"/>
  <c r="W1000" i="1"/>
  <c r="Q1008" i="1"/>
  <c r="R1008" i="1"/>
  <c r="S1008" i="1"/>
  <c r="W1008" i="1"/>
  <c r="Q1016" i="1"/>
  <c r="R1016" i="1"/>
  <c r="S1016" i="1"/>
  <c r="W1016" i="1"/>
  <c r="Q1024" i="1"/>
  <c r="R1024" i="1"/>
  <c r="S1024" i="1"/>
  <c r="W1024" i="1"/>
  <c r="Q1032" i="1"/>
  <c r="R1032" i="1"/>
  <c r="S1032" i="1"/>
  <c r="W1032" i="1"/>
  <c r="Q1040" i="1"/>
  <c r="R1040" i="1"/>
  <c r="S1040" i="1"/>
  <c r="W1040" i="1"/>
  <c r="Q1048" i="1"/>
  <c r="R1048" i="1"/>
  <c r="S1048" i="1"/>
  <c r="W1048" i="1"/>
  <c r="Q1056" i="1"/>
  <c r="R1056" i="1"/>
  <c r="S1056" i="1"/>
  <c r="W1056" i="1"/>
  <c r="T678" i="18"/>
  <c r="Q733" i="1"/>
  <c r="R733" i="1"/>
  <c r="S733" i="1"/>
  <c r="T612" i="18"/>
  <c r="Y682" i="18"/>
  <c r="Y690" i="18"/>
  <c r="T900" i="18"/>
  <c r="W923" i="1"/>
  <c r="Q923" i="1"/>
  <c r="R923" i="1"/>
  <c r="S923" i="1"/>
  <c r="Q605" i="1"/>
  <c r="R605" i="1"/>
  <c r="S605" i="1"/>
  <c r="Q752" i="1"/>
  <c r="R752" i="1"/>
  <c r="S752" i="1"/>
  <c r="T621" i="18"/>
  <c r="T683" i="18"/>
  <c r="T691" i="18"/>
  <c r="T828" i="18"/>
  <c r="T653" i="18"/>
  <c r="Y590" i="18"/>
  <c r="Y662" i="18"/>
  <c r="T903" i="18"/>
  <c r="Y956" i="18"/>
  <c r="Y964" i="18"/>
  <c r="Y972" i="18"/>
  <c r="Y928" i="18"/>
  <c r="Y944" i="18"/>
  <c r="T895" i="18"/>
  <c r="W1265" i="1"/>
  <c r="Q1265" i="1"/>
  <c r="R1265" i="1"/>
  <c r="S1265" i="1"/>
  <c r="W1273" i="1"/>
  <c r="Q1273" i="1"/>
  <c r="R1273" i="1"/>
  <c r="S1273" i="1"/>
  <c r="W1281" i="1"/>
  <c r="Q1281" i="1"/>
  <c r="R1281" i="1"/>
  <c r="S1281" i="1"/>
  <c r="W1289" i="1"/>
  <c r="Q1289" i="1"/>
  <c r="R1289" i="1"/>
  <c r="S1289" i="1"/>
  <c r="W1297" i="1"/>
  <c r="Q1297" i="1"/>
  <c r="R1297" i="1"/>
  <c r="S1297" i="1"/>
  <c r="W1305" i="1"/>
  <c r="Q1305" i="1"/>
  <c r="R1305" i="1"/>
  <c r="S1305" i="1"/>
  <c r="W1313" i="1"/>
  <c r="Q1313" i="1"/>
  <c r="R1313" i="1"/>
  <c r="S1313" i="1"/>
  <c r="W1321" i="1"/>
  <c r="Q1321" i="1"/>
  <c r="R1321" i="1"/>
  <c r="S1321" i="1"/>
  <c r="W1329" i="1"/>
  <c r="Q1329" i="1"/>
  <c r="R1329" i="1"/>
  <c r="S1329" i="1"/>
  <c r="W1337" i="1"/>
  <c r="Q1337" i="1"/>
  <c r="R1337" i="1"/>
  <c r="S1337" i="1"/>
  <c r="W1345" i="1"/>
  <c r="Q1345" i="1"/>
  <c r="R1345" i="1"/>
  <c r="S1345" i="1"/>
  <c r="W1353" i="1"/>
  <c r="Q1353" i="1"/>
  <c r="R1353" i="1"/>
  <c r="S1353" i="1"/>
  <c r="W1361" i="1"/>
  <c r="Q1361" i="1"/>
  <c r="R1361" i="1"/>
  <c r="S1361" i="1"/>
  <c r="Y937" i="18"/>
  <c r="Y1659" i="18"/>
  <c r="Q1632" i="1"/>
  <c r="R1632" i="1"/>
  <c r="S1632" i="1"/>
  <c r="W1632" i="1"/>
  <c r="W1372" i="1"/>
  <c r="Q1372" i="1"/>
  <c r="R1372" i="1"/>
  <c r="S1372" i="1"/>
  <c r="W1388" i="1"/>
  <c r="Q1388" i="1"/>
  <c r="R1388" i="1"/>
  <c r="S1388" i="1"/>
  <c r="W1404" i="1"/>
  <c r="Q1404" i="1"/>
  <c r="R1404" i="1"/>
  <c r="S1404" i="1"/>
  <c r="W1420" i="1"/>
  <c r="Q1420" i="1"/>
  <c r="R1420" i="1"/>
  <c r="S1420" i="1"/>
  <c r="W1436" i="1"/>
  <c r="Q1436" i="1"/>
  <c r="R1436" i="1"/>
  <c r="S1436" i="1"/>
  <c r="W1456" i="1"/>
  <c r="S1456" i="1"/>
  <c r="Q1456" i="1"/>
  <c r="R1456" i="1"/>
  <c r="W1464" i="1"/>
  <c r="S1464" i="1"/>
  <c r="Q1464" i="1"/>
  <c r="R1464" i="1"/>
  <c r="W1472" i="1"/>
  <c r="S1472" i="1"/>
  <c r="Q1472" i="1"/>
  <c r="R1472" i="1"/>
  <c r="W1480" i="1"/>
  <c r="S1480" i="1"/>
  <c r="Q1480" i="1"/>
  <c r="R1480" i="1"/>
  <c r="W1488" i="1"/>
  <c r="S1488" i="1"/>
  <c r="Q1488" i="1"/>
  <c r="R1488" i="1"/>
  <c r="W1496" i="1"/>
  <c r="S1496" i="1"/>
  <c r="Q1496" i="1"/>
  <c r="R1496" i="1"/>
  <c r="W1504" i="1"/>
  <c r="S1504" i="1"/>
  <c r="Q1504" i="1"/>
  <c r="R1504" i="1"/>
  <c r="W1512" i="1"/>
  <c r="S1512" i="1"/>
  <c r="Q1512" i="1"/>
  <c r="R1512" i="1"/>
  <c r="W1520" i="1"/>
  <c r="S1520" i="1"/>
  <c r="Q1520" i="1"/>
  <c r="R1520" i="1"/>
  <c r="W1528" i="1"/>
  <c r="S1528" i="1"/>
  <c r="Q1528" i="1"/>
  <c r="R1528" i="1"/>
  <c r="W1536" i="1"/>
  <c r="S1536" i="1"/>
  <c r="Q1536" i="1"/>
  <c r="R1536" i="1"/>
  <c r="Y1544" i="18"/>
  <c r="T1791" i="18"/>
  <c r="W1444" i="1"/>
  <c r="Q1444" i="1"/>
  <c r="S1444" i="1"/>
  <c r="R1444" i="1"/>
  <c r="S1642" i="1"/>
  <c r="P1645" i="1"/>
  <c r="W1642" i="1"/>
  <c r="Q1642" i="1"/>
  <c r="P1643" i="1"/>
  <c r="R1642" i="1"/>
  <c r="P1644" i="1"/>
  <c r="S1693" i="1"/>
  <c r="W1693" i="1"/>
  <c r="Q1693" i="1"/>
  <c r="R1693" i="1"/>
  <c r="S1701" i="1"/>
  <c r="W1701" i="1"/>
  <c r="Q1701" i="1"/>
  <c r="R1701" i="1"/>
  <c r="S1709" i="1"/>
  <c r="W1709" i="1"/>
  <c r="Q1709" i="1"/>
  <c r="R1709" i="1"/>
  <c r="S1717" i="1"/>
  <c r="W1717" i="1"/>
  <c r="Q1717" i="1"/>
  <c r="R1717" i="1"/>
  <c r="S1759" i="1"/>
  <c r="W1759" i="1"/>
  <c r="Q1759" i="1"/>
  <c r="R1759" i="1"/>
  <c r="S1767" i="1"/>
  <c r="W1767" i="1"/>
  <c r="Q1767" i="1"/>
  <c r="R1767" i="1"/>
  <c r="Y1808" i="18"/>
  <c r="W1377" i="1"/>
  <c r="Q1377" i="1"/>
  <c r="R1377" i="1"/>
  <c r="S1377" i="1"/>
  <c r="W1393" i="1"/>
  <c r="Q1393" i="1"/>
  <c r="R1393" i="1"/>
  <c r="S1393" i="1"/>
  <c r="W1409" i="1"/>
  <c r="Q1409" i="1"/>
  <c r="R1409" i="1"/>
  <c r="S1409" i="1"/>
  <c r="W1425" i="1"/>
  <c r="Q1425" i="1"/>
  <c r="R1425" i="1"/>
  <c r="S1425" i="1"/>
  <c r="W1441" i="1"/>
  <c r="Q1441" i="1"/>
  <c r="R1441" i="1"/>
  <c r="S1441" i="1"/>
  <c r="Y1674" i="18"/>
  <c r="Y1777" i="18"/>
  <c r="R1888" i="1"/>
  <c r="P1890" i="1"/>
  <c r="S1888" i="1"/>
  <c r="P1891" i="1"/>
  <c r="W1888" i="1"/>
  <c r="Q1888" i="1"/>
  <c r="P1889" i="1"/>
  <c r="R1920" i="1"/>
  <c r="P1922" i="1"/>
  <c r="S1920" i="1"/>
  <c r="P1923" i="1"/>
  <c r="Q1920" i="1"/>
  <c r="W1920" i="1"/>
  <c r="P1921" i="1"/>
  <c r="T1605" i="18"/>
  <c r="R1653" i="1"/>
  <c r="S1653" i="1"/>
  <c r="Q1653" i="1"/>
  <c r="T1669" i="18"/>
  <c r="T1685" i="18"/>
  <c r="T1780" i="18"/>
  <c r="R1887" i="1"/>
  <c r="S1887" i="1"/>
  <c r="Q1887" i="1"/>
  <c r="Y1914" i="18"/>
  <c r="Y2001" i="18"/>
  <c r="Y2064" i="18"/>
  <c r="Y2123" i="18"/>
  <c r="Y2194" i="18"/>
  <c r="Y2266" i="18"/>
  <c r="Y1672" i="18"/>
  <c r="R1797" i="1"/>
  <c r="S1797" i="1"/>
  <c r="Q1797" i="1"/>
  <c r="R1855" i="1"/>
  <c r="S1855" i="1"/>
  <c r="Q1855" i="1"/>
  <c r="Y2034" i="18"/>
  <c r="W2114" i="1"/>
  <c r="T1734" i="18"/>
  <c r="Y2066" i="18"/>
  <c r="Y2125" i="18"/>
  <c r="Y1662" i="18"/>
  <c r="Y1678" i="18"/>
  <c r="Q1742" i="1"/>
  <c r="R1742" i="1"/>
  <c r="S1742" i="1"/>
  <c r="Y2057" i="18"/>
  <c r="Y2158" i="18"/>
  <c r="Y2198" i="18"/>
  <c r="T1593" i="18"/>
  <c r="Y1609" i="18"/>
  <c r="T1665" i="18"/>
  <c r="T1681" i="18"/>
  <c r="Y1732" i="18"/>
  <c r="Y1931" i="18"/>
  <c r="Y1974" i="18"/>
  <c r="Y2038" i="18"/>
  <c r="Y2089" i="18"/>
  <c r="S2281" i="1"/>
  <c r="P2284" i="1"/>
  <c r="R2281" i="1"/>
  <c r="P2283" i="1"/>
  <c r="P2282" i="1"/>
  <c r="Q2281" i="1"/>
  <c r="W2281" i="1"/>
  <c r="T1562" i="18"/>
  <c r="T1570" i="18"/>
  <c r="T1578" i="18"/>
  <c r="T1586" i="18"/>
  <c r="T1596" i="18"/>
  <c r="T1612" i="18"/>
  <c r="T1727" i="18"/>
  <c r="Q1830" i="1"/>
  <c r="R1830" i="1"/>
  <c r="S1830" i="1"/>
  <c r="T1872" i="18"/>
  <c r="R1906" i="1"/>
  <c r="S1906" i="1"/>
  <c r="Q1906" i="1"/>
  <c r="Y2150" i="18"/>
  <c r="Y1599" i="18"/>
  <c r="T1671" i="18"/>
  <c r="Y1722" i="18"/>
  <c r="Y1894" i="18"/>
  <c r="S1935" i="1"/>
  <c r="Q2110" i="1"/>
  <c r="R2110" i="1"/>
  <c r="S2110" i="1"/>
  <c r="Q2247" i="1"/>
  <c r="S2247" i="1"/>
  <c r="R2247" i="1"/>
  <c r="Q2396" i="1"/>
  <c r="R2396" i="1"/>
  <c r="S2396" i="1"/>
  <c r="Q2092" i="1"/>
  <c r="R2092" i="1"/>
  <c r="S2092" i="1"/>
  <c r="Y2254" i="18"/>
  <c r="Y2334" i="18"/>
  <c r="Y2356" i="18"/>
  <c r="Q2427" i="1"/>
  <c r="R2427" i="1"/>
  <c r="S2427" i="1"/>
  <c r="Y2457" i="18"/>
  <c r="Y2048" i="18"/>
  <c r="T2151" i="18"/>
  <c r="S2168" i="1"/>
  <c r="Q2168" i="1"/>
  <c r="R2168" i="1"/>
  <c r="T1868" i="18"/>
  <c r="Y2264" i="18"/>
  <c r="Y2443" i="18"/>
  <c r="W2486" i="1"/>
  <c r="Q2486" i="1"/>
  <c r="R2486" i="1"/>
  <c r="S2486" i="1"/>
  <c r="W2494" i="1"/>
  <c r="Q2494" i="1"/>
  <c r="R2494" i="1"/>
  <c r="S2494" i="1"/>
  <c r="W2518" i="1"/>
  <c r="Q2518" i="1"/>
  <c r="R2518" i="1"/>
  <c r="S2518" i="1"/>
  <c r="W2526" i="1"/>
  <c r="Q2526" i="1"/>
  <c r="R2526" i="1"/>
  <c r="S2526" i="1"/>
  <c r="W2534" i="1"/>
  <c r="Q2534" i="1"/>
  <c r="R2534" i="1"/>
  <c r="S2534" i="1"/>
  <c r="W2542" i="1"/>
  <c r="Q2542" i="1"/>
  <c r="R2542" i="1"/>
  <c r="S2542" i="1"/>
  <c r="S2026" i="1"/>
  <c r="Q2026" i="1"/>
  <c r="R2026" i="1"/>
  <c r="Q2096" i="1"/>
  <c r="R2096" i="1"/>
  <c r="S2096" i="1"/>
  <c r="Y2300" i="18"/>
  <c r="Y2360" i="18"/>
  <c r="Y2412" i="18"/>
  <c r="P2435" i="1"/>
  <c r="W2431" i="1"/>
  <c r="P2436" i="1"/>
  <c r="Q2431" i="1"/>
  <c r="P2432" i="1"/>
  <c r="R2431" i="1"/>
  <c r="P2433" i="1"/>
  <c r="S2431" i="1"/>
  <c r="P2434" i="1"/>
  <c r="Y2296" i="18"/>
  <c r="T1940" i="18"/>
  <c r="T1964" i="18"/>
  <c r="Q2031" i="1"/>
  <c r="R2031" i="1"/>
  <c r="S2031" i="1"/>
  <c r="Q2085" i="1"/>
  <c r="R2085" i="1"/>
  <c r="S2085" i="1"/>
  <c r="Y2098" i="18"/>
  <c r="Q2242" i="1"/>
  <c r="R2242" i="1"/>
  <c r="S2242" i="1"/>
  <c r="Y1968" i="18"/>
  <c r="S1983" i="1"/>
  <c r="Q1983" i="1"/>
  <c r="R1983" i="1"/>
  <c r="S2198" i="1"/>
  <c r="Q2198" i="1"/>
  <c r="R2198" i="1"/>
  <c r="T2407" i="18"/>
  <c r="Y2508" i="18"/>
  <c r="Q2212" i="1"/>
  <c r="R2212" i="1"/>
  <c r="S2212" i="1"/>
  <c r="Y2399" i="18"/>
  <c r="Q2328" i="1"/>
  <c r="R2328" i="1"/>
  <c r="S2328" i="1"/>
  <c r="Y2347" i="18"/>
  <c r="Y2478" i="18"/>
  <c r="Y2509" i="18"/>
  <c r="T2502" i="18"/>
  <c r="T187" i="18"/>
  <c r="Y441" i="18"/>
  <c r="Y98" i="18"/>
  <c r="Q530" i="1"/>
  <c r="R530" i="1"/>
  <c r="S530" i="1"/>
  <c r="W530" i="1"/>
  <c r="Y203" i="18"/>
  <c r="Q55" i="1"/>
  <c r="R55" i="1"/>
  <c r="S55" i="1"/>
  <c r="W55" i="1"/>
  <c r="W208" i="1"/>
  <c r="Q208" i="1"/>
  <c r="R208" i="1"/>
  <c r="S208" i="1"/>
  <c r="S426" i="1"/>
  <c r="P429" i="1"/>
  <c r="P430" i="1"/>
  <c r="W426" i="1"/>
  <c r="P431" i="1"/>
  <c r="Q426" i="1"/>
  <c r="P427" i="1"/>
  <c r="R426" i="1"/>
  <c r="P428" i="1"/>
  <c r="T244" i="18"/>
  <c r="Q71" i="1"/>
  <c r="R71" i="1"/>
  <c r="S71" i="1"/>
  <c r="W71" i="1"/>
  <c r="Q87" i="1"/>
  <c r="R87" i="1"/>
  <c r="S87" i="1"/>
  <c r="W87" i="1"/>
  <c r="Q23" i="1"/>
  <c r="R23" i="1"/>
  <c r="S23" i="1"/>
  <c r="W23" i="1"/>
  <c r="T105" i="18"/>
  <c r="Q506" i="1"/>
  <c r="R506" i="1"/>
  <c r="S506" i="1"/>
  <c r="Q46" i="1"/>
  <c r="R46" i="1"/>
  <c r="S46" i="1"/>
  <c r="W46" i="1"/>
  <c r="Y510" i="18"/>
  <c r="Q549" i="1"/>
  <c r="R549" i="1"/>
  <c r="S549" i="1"/>
  <c r="W549" i="1"/>
  <c r="Y286" i="18"/>
  <c r="Q67" i="1"/>
  <c r="R67" i="1"/>
  <c r="S67" i="1"/>
  <c r="W67" i="1"/>
  <c r="Q415" i="1"/>
  <c r="R415" i="1"/>
  <c r="S415" i="1"/>
  <c r="Y277" i="18"/>
  <c r="Y494" i="18"/>
  <c r="T108" i="18"/>
  <c r="Q211" i="1"/>
  <c r="R211" i="1"/>
  <c r="S211" i="1"/>
  <c r="W211" i="1"/>
  <c r="Y383" i="18"/>
  <c r="T504" i="18"/>
  <c r="T98" i="18"/>
  <c r="T106" i="18"/>
  <c r="T114" i="18"/>
  <c r="Q364" i="1"/>
  <c r="R364" i="1"/>
  <c r="S364" i="1"/>
  <c r="Y433" i="18"/>
  <c r="Q480" i="1"/>
  <c r="P481" i="1"/>
  <c r="R480" i="1"/>
  <c r="P482" i="1"/>
  <c r="S480" i="1"/>
  <c r="P483" i="1"/>
  <c r="P484" i="1"/>
  <c r="W480" i="1"/>
  <c r="P485" i="1"/>
  <c r="Q519" i="1"/>
  <c r="R519" i="1"/>
  <c r="S519" i="1"/>
  <c r="W519" i="1"/>
  <c r="Q527" i="1"/>
  <c r="R527" i="1"/>
  <c r="S527" i="1"/>
  <c r="W527" i="1"/>
  <c r="Q543" i="1"/>
  <c r="R543" i="1"/>
  <c r="S543" i="1"/>
  <c r="W543" i="1"/>
  <c r="Q551" i="1"/>
  <c r="R551" i="1"/>
  <c r="S551" i="1"/>
  <c r="W551" i="1"/>
  <c r="Q182" i="1"/>
  <c r="R182" i="1"/>
  <c r="S182" i="1"/>
  <c r="Y298" i="18"/>
  <c r="Y360" i="18"/>
  <c r="Q569" i="1"/>
  <c r="R569" i="1"/>
  <c r="W569" i="1"/>
  <c r="S569" i="1"/>
  <c r="Q577" i="1"/>
  <c r="R577" i="1"/>
  <c r="W577" i="1"/>
  <c r="S577" i="1"/>
  <c r="Y454" i="18"/>
  <c r="Y212" i="18"/>
  <c r="S247" i="1"/>
  <c r="W247" i="1"/>
  <c r="Q247" i="1"/>
  <c r="R247" i="1"/>
  <c r="S255" i="1"/>
  <c r="W255" i="1"/>
  <c r="Q255" i="1"/>
  <c r="R255" i="1"/>
  <c r="Y289" i="18"/>
  <c r="Y350" i="18"/>
  <c r="Y513" i="18"/>
  <c r="Q91" i="1"/>
  <c r="R91" i="1"/>
  <c r="S91" i="1"/>
  <c r="Y189" i="18"/>
  <c r="T204" i="18"/>
  <c r="T224" i="18"/>
  <c r="Q283" i="1"/>
  <c r="R283" i="1"/>
  <c r="S283" i="1"/>
  <c r="T384" i="18"/>
  <c r="Q441" i="1"/>
  <c r="R441" i="1"/>
  <c r="S441" i="1"/>
  <c r="Y230" i="18"/>
  <c r="Y303" i="18"/>
  <c r="Q627" i="1"/>
  <c r="R627" i="1"/>
  <c r="S627" i="1"/>
  <c r="W627" i="1"/>
  <c r="Q635" i="1"/>
  <c r="R635" i="1"/>
  <c r="S635" i="1"/>
  <c r="W635" i="1"/>
  <c r="Q643" i="1"/>
  <c r="R643" i="1"/>
  <c r="S643" i="1"/>
  <c r="W643" i="1"/>
  <c r="Y731" i="18"/>
  <c r="Y354" i="18"/>
  <c r="Q694" i="1"/>
  <c r="R694" i="1"/>
  <c r="S694" i="1"/>
  <c r="W694" i="1"/>
  <c r="Q702" i="1"/>
  <c r="P703" i="1"/>
  <c r="R702" i="1"/>
  <c r="P704" i="1"/>
  <c r="S702" i="1"/>
  <c r="W702" i="1"/>
  <c r="Q741" i="1"/>
  <c r="P742" i="1"/>
  <c r="R741" i="1"/>
  <c r="P743" i="1"/>
  <c r="S741" i="1"/>
  <c r="P744" i="1"/>
  <c r="P745" i="1"/>
  <c r="W741" i="1"/>
  <c r="P746" i="1"/>
  <c r="Q793" i="1"/>
  <c r="R793" i="1"/>
  <c r="S793" i="1"/>
  <c r="W793" i="1"/>
  <c r="Q801" i="1"/>
  <c r="R801" i="1"/>
  <c r="S801" i="1"/>
  <c r="W801" i="1"/>
  <c r="Q809" i="1"/>
  <c r="R809" i="1"/>
  <c r="S809" i="1"/>
  <c r="W809" i="1"/>
  <c r="Q817" i="1"/>
  <c r="R817" i="1"/>
  <c r="S817" i="1"/>
  <c r="W817" i="1"/>
  <c r="Y348" i="18"/>
  <c r="Y655" i="18"/>
  <c r="W838" i="1"/>
  <c r="Q838" i="1"/>
  <c r="R838" i="1"/>
  <c r="S838" i="1"/>
  <c r="W846" i="1"/>
  <c r="Q846" i="1"/>
  <c r="R846" i="1"/>
  <c r="S846" i="1"/>
  <c r="W862" i="1"/>
  <c r="Q862" i="1"/>
  <c r="R862" i="1"/>
  <c r="S862" i="1"/>
  <c r="Q870" i="1"/>
  <c r="R870" i="1"/>
  <c r="S870" i="1"/>
  <c r="W870" i="1"/>
  <c r="Y245" i="18"/>
  <c r="Q491" i="1"/>
  <c r="R491" i="1"/>
  <c r="S491" i="1"/>
  <c r="T229" i="18"/>
  <c r="T271" i="18"/>
  <c r="Q341" i="1"/>
  <c r="R341" i="1"/>
  <c r="S341" i="1"/>
  <c r="Y615" i="18"/>
  <c r="Q262" i="1"/>
  <c r="R262" i="1"/>
  <c r="S262" i="1"/>
  <c r="Q778" i="1"/>
  <c r="R778" i="1"/>
  <c r="S778" i="1"/>
  <c r="Y886" i="18"/>
  <c r="Y685" i="18"/>
  <c r="Q718" i="1"/>
  <c r="R718" i="1"/>
  <c r="S718" i="1"/>
  <c r="Q728" i="1"/>
  <c r="R728" i="1"/>
  <c r="S728" i="1"/>
  <c r="Y822" i="18"/>
  <c r="Y830" i="18"/>
  <c r="Q977" i="1"/>
  <c r="R977" i="1"/>
  <c r="S977" i="1"/>
  <c r="W977" i="1"/>
  <c r="Q985" i="1"/>
  <c r="R985" i="1"/>
  <c r="S985" i="1"/>
  <c r="W985" i="1"/>
  <c r="Q993" i="1"/>
  <c r="R993" i="1"/>
  <c r="S993" i="1"/>
  <c r="W993" i="1"/>
  <c r="Q1001" i="1"/>
  <c r="R1001" i="1"/>
  <c r="S1001" i="1"/>
  <c r="W1001" i="1"/>
  <c r="Q1009" i="1"/>
  <c r="R1009" i="1"/>
  <c r="S1009" i="1"/>
  <c r="W1009" i="1"/>
  <c r="Q1017" i="1"/>
  <c r="R1017" i="1"/>
  <c r="S1017" i="1"/>
  <c r="W1017" i="1"/>
  <c r="Q1025" i="1"/>
  <c r="R1025" i="1"/>
  <c r="S1025" i="1"/>
  <c r="W1025" i="1"/>
  <c r="Q1033" i="1"/>
  <c r="R1033" i="1"/>
  <c r="S1033" i="1"/>
  <c r="W1033" i="1"/>
  <c r="Q1041" i="1"/>
  <c r="R1041" i="1"/>
  <c r="S1041" i="1"/>
  <c r="W1041" i="1"/>
  <c r="Q1049" i="1"/>
  <c r="R1049" i="1"/>
  <c r="S1049" i="1"/>
  <c r="W1049" i="1"/>
  <c r="Q1057" i="1"/>
  <c r="R1057" i="1"/>
  <c r="S1057" i="1"/>
  <c r="W1057" i="1"/>
  <c r="Q680" i="1"/>
  <c r="R680" i="1"/>
  <c r="S680" i="1"/>
  <c r="S706" i="1"/>
  <c r="Q706" i="1"/>
  <c r="R706" i="1"/>
  <c r="Q732" i="1"/>
  <c r="R732" i="1"/>
  <c r="S732" i="1"/>
  <c r="T652" i="18"/>
  <c r="Q667" i="1"/>
  <c r="R667" i="1"/>
  <c r="S667" i="1"/>
  <c r="T682" i="18"/>
  <c r="T690" i="18"/>
  <c r="S754" i="1"/>
  <c r="Q754" i="1"/>
  <c r="R754" i="1"/>
  <c r="Y765" i="18"/>
  <c r="Y747" i="18"/>
  <c r="Y859" i="18"/>
  <c r="Q615" i="1"/>
  <c r="R615" i="1"/>
  <c r="S615" i="1"/>
  <c r="T597" i="18"/>
  <c r="Y674" i="18"/>
  <c r="T821" i="18"/>
  <c r="Y825" i="18"/>
  <c r="T930" i="18"/>
  <c r="Y919" i="18"/>
  <c r="Y909" i="18"/>
  <c r="S1227" i="1"/>
  <c r="Q1227" i="1"/>
  <c r="R1227" i="1"/>
  <c r="W1227" i="1"/>
  <c r="T956" i="18"/>
  <c r="T964" i="18"/>
  <c r="T972" i="18"/>
  <c r="R1147" i="1"/>
  <c r="S1147" i="1"/>
  <c r="W1147" i="1"/>
  <c r="Q1147" i="1"/>
  <c r="S1229" i="1"/>
  <c r="Q1229" i="1"/>
  <c r="R1229" i="1"/>
  <c r="W1229" i="1"/>
  <c r="Y901" i="18"/>
  <c r="Y961" i="18"/>
  <c r="Y969" i="18"/>
  <c r="Q1061" i="1"/>
  <c r="R1061" i="1"/>
  <c r="S1061" i="1"/>
  <c r="W1061" i="1"/>
  <c r="Q1077" i="1"/>
  <c r="R1077" i="1"/>
  <c r="S1077" i="1"/>
  <c r="W1077" i="1"/>
  <c r="Q1093" i="1"/>
  <c r="R1093" i="1"/>
  <c r="S1093" i="1"/>
  <c r="W1093" i="1"/>
  <c r="Q1109" i="1"/>
  <c r="R1109" i="1"/>
  <c r="S1109" i="1"/>
  <c r="W1109" i="1"/>
  <c r="Q1125" i="1"/>
  <c r="R1125" i="1"/>
  <c r="S1125" i="1"/>
  <c r="W1125" i="1"/>
  <c r="Q1141" i="1"/>
  <c r="R1141" i="1"/>
  <c r="S1141" i="1"/>
  <c r="W1141" i="1"/>
  <c r="W1235" i="1"/>
  <c r="Q1235" i="1"/>
  <c r="R1235" i="1"/>
  <c r="S1235" i="1"/>
  <c r="W1251" i="1"/>
  <c r="Q1251" i="1"/>
  <c r="R1251" i="1"/>
  <c r="S1251" i="1"/>
  <c r="W1266" i="1"/>
  <c r="Q1266" i="1"/>
  <c r="R1266" i="1"/>
  <c r="S1266" i="1"/>
  <c r="W1274" i="1"/>
  <c r="Q1274" i="1"/>
  <c r="R1274" i="1"/>
  <c r="S1274" i="1"/>
  <c r="W1282" i="1"/>
  <c r="Q1282" i="1"/>
  <c r="R1282" i="1"/>
  <c r="S1282" i="1"/>
  <c r="W1290" i="1"/>
  <c r="Q1290" i="1"/>
  <c r="R1290" i="1"/>
  <c r="S1290" i="1"/>
  <c r="W1298" i="1"/>
  <c r="Q1298" i="1"/>
  <c r="R1298" i="1"/>
  <c r="S1298" i="1"/>
  <c r="W1306" i="1"/>
  <c r="Q1306" i="1"/>
  <c r="R1306" i="1"/>
  <c r="S1306" i="1"/>
  <c r="W1314" i="1"/>
  <c r="Q1314" i="1"/>
  <c r="R1314" i="1"/>
  <c r="S1314" i="1"/>
  <c r="W1322" i="1"/>
  <c r="Q1322" i="1"/>
  <c r="R1322" i="1"/>
  <c r="S1322" i="1"/>
  <c r="W1330" i="1"/>
  <c r="Q1330" i="1"/>
  <c r="R1330" i="1"/>
  <c r="S1330" i="1"/>
  <c r="W1338" i="1"/>
  <c r="Q1338" i="1"/>
  <c r="R1338" i="1"/>
  <c r="S1338" i="1"/>
  <c r="W1346" i="1"/>
  <c r="Q1346" i="1"/>
  <c r="R1346" i="1"/>
  <c r="S1346" i="1"/>
  <c r="W1354" i="1"/>
  <c r="Q1354" i="1"/>
  <c r="R1354" i="1"/>
  <c r="S1354" i="1"/>
  <c r="W1362" i="1"/>
  <c r="Q1362" i="1"/>
  <c r="R1362" i="1"/>
  <c r="S1362" i="1"/>
  <c r="W1370" i="1"/>
  <c r="Q1370" i="1"/>
  <c r="R1370" i="1"/>
  <c r="S1370" i="1"/>
  <c r="W1386" i="1"/>
  <c r="Q1386" i="1"/>
  <c r="R1386" i="1"/>
  <c r="S1386" i="1"/>
  <c r="W1402" i="1"/>
  <c r="Q1402" i="1"/>
  <c r="R1402" i="1"/>
  <c r="S1402" i="1"/>
  <c r="W1418" i="1"/>
  <c r="Q1418" i="1"/>
  <c r="R1418" i="1"/>
  <c r="S1418" i="1"/>
  <c r="W1434" i="1"/>
  <c r="Q1434" i="1"/>
  <c r="R1434" i="1"/>
  <c r="S1434" i="1"/>
  <c r="W1453" i="1"/>
  <c r="S1453" i="1"/>
  <c r="Q1453" i="1"/>
  <c r="R1453" i="1"/>
  <c r="W1461" i="1"/>
  <c r="S1461" i="1"/>
  <c r="Q1461" i="1"/>
  <c r="R1461" i="1"/>
  <c r="W1469" i="1"/>
  <c r="S1469" i="1"/>
  <c r="Q1469" i="1"/>
  <c r="R1469" i="1"/>
  <c r="W1477" i="1"/>
  <c r="S1477" i="1"/>
  <c r="Q1477" i="1"/>
  <c r="R1477" i="1"/>
  <c r="W1485" i="1"/>
  <c r="S1485" i="1"/>
  <c r="Q1485" i="1"/>
  <c r="R1485" i="1"/>
  <c r="W1493" i="1"/>
  <c r="S1493" i="1"/>
  <c r="Q1493" i="1"/>
  <c r="R1493" i="1"/>
  <c r="W1501" i="1"/>
  <c r="S1501" i="1"/>
  <c r="Q1501" i="1"/>
  <c r="R1501" i="1"/>
  <c r="W1509" i="1"/>
  <c r="S1509" i="1"/>
  <c r="Q1509" i="1"/>
  <c r="R1509" i="1"/>
  <c r="W1517" i="1"/>
  <c r="S1517" i="1"/>
  <c r="Q1517" i="1"/>
  <c r="R1517" i="1"/>
  <c r="W1525" i="1"/>
  <c r="S1525" i="1"/>
  <c r="Q1525" i="1"/>
  <c r="R1525" i="1"/>
  <c r="W1533" i="1"/>
  <c r="S1533" i="1"/>
  <c r="Q1533" i="1"/>
  <c r="R1533" i="1"/>
  <c r="W1541" i="1"/>
  <c r="S1541" i="1"/>
  <c r="Q1541" i="1"/>
  <c r="R1541" i="1"/>
  <c r="W1367" i="1"/>
  <c r="Q1367" i="1"/>
  <c r="R1367" i="1"/>
  <c r="S1367" i="1"/>
  <c r="W1383" i="1"/>
  <c r="Q1383" i="1"/>
  <c r="R1383" i="1"/>
  <c r="S1383" i="1"/>
  <c r="W1399" i="1"/>
  <c r="Q1399" i="1"/>
  <c r="R1399" i="1"/>
  <c r="S1399" i="1"/>
  <c r="W1415" i="1"/>
  <c r="Q1415" i="1"/>
  <c r="R1415" i="1"/>
  <c r="S1415" i="1"/>
  <c r="W1431" i="1"/>
  <c r="Q1431" i="1"/>
  <c r="R1431" i="1"/>
  <c r="S1431" i="1"/>
  <c r="W1451" i="1"/>
  <c r="Q1451" i="1"/>
  <c r="S1451" i="1"/>
  <c r="R1451" i="1"/>
  <c r="Q1633" i="1"/>
  <c r="R1633" i="1"/>
  <c r="S1633" i="1"/>
  <c r="W1633" i="1"/>
  <c r="Y1545" i="18"/>
  <c r="Y1553" i="18"/>
  <c r="Q1794" i="1"/>
  <c r="R1794" i="1"/>
  <c r="S1794" i="1"/>
  <c r="Y1643" i="18"/>
  <c r="S1694" i="1"/>
  <c r="W1694" i="1"/>
  <c r="Q1694" i="1"/>
  <c r="R1694" i="1"/>
  <c r="S1702" i="1"/>
  <c r="W1702" i="1"/>
  <c r="Q1702" i="1"/>
  <c r="R1702" i="1"/>
  <c r="S1710" i="1"/>
  <c r="W1710" i="1"/>
  <c r="Q1710" i="1"/>
  <c r="R1710" i="1"/>
  <c r="S1718" i="1"/>
  <c r="W1718" i="1"/>
  <c r="Q1718" i="1"/>
  <c r="R1718" i="1"/>
  <c r="S1760" i="1"/>
  <c r="W1760" i="1"/>
  <c r="Q1760" i="1"/>
  <c r="R1760" i="1"/>
  <c r="S1768" i="1"/>
  <c r="P1771" i="1"/>
  <c r="W1768" i="1"/>
  <c r="Q1768" i="1"/>
  <c r="P1769" i="1"/>
  <c r="R1768" i="1"/>
  <c r="P1770" i="1"/>
  <c r="Y1818" i="18"/>
  <c r="Y1844" i="18"/>
  <c r="Y1563" i="18"/>
  <c r="Y1571" i="18"/>
  <c r="Y1579" i="18"/>
  <c r="Y1587" i="18"/>
  <c r="Y1594" i="18"/>
  <c r="Y1610" i="18"/>
  <c r="T1666" i="18"/>
  <c r="T1682" i="18"/>
  <c r="Y1733" i="18"/>
  <c r="T1755" i="18"/>
  <c r="Y1902" i="18"/>
  <c r="W1924" i="1"/>
  <c r="P1925" i="1"/>
  <c r="Q1924" i="1"/>
  <c r="P1926" i="1"/>
  <c r="P1927" i="1"/>
  <c r="R1924" i="1"/>
  <c r="S1924" i="1"/>
  <c r="T1650" i="18"/>
  <c r="Q1832" i="1"/>
  <c r="R1832" i="1"/>
  <c r="S1832" i="1"/>
  <c r="T1884" i="18"/>
  <c r="Y2011" i="18"/>
  <c r="Y2084" i="18"/>
  <c r="Y2133" i="18"/>
  <c r="Y2205" i="18"/>
  <c r="Y2287" i="18"/>
  <c r="T1664" i="18"/>
  <c r="T1680" i="18"/>
  <c r="Y1731" i="18"/>
  <c r="Q1816" i="1"/>
  <c r="R1816" i="1"/>
  <c r="S1816" i="1"/>
  <c r="T1852" i="18"/>
  <c r="Y1912" i="18"/>
  <c r="Q2044" i="1"/>
  <c r="P2045" i="1"/>
  <c r="R2044" i="1"/>
  <c r="P2046" i="1"/>
  <c r="S2044" i="1"/>
  <c r="P2047" i="1"/>
  <c r="W2044" i="1"/>
  <c r="Y2124" i="18"/>
  <c r="Y2076" i="18"/>
  <c r="W2135" i="1"/>
  <c r="Q2135" i="1"/>
  <c r="P2136" i="1"/>
  <c r="R2135" i="1"/>
  <c r="P2137" i="1"/>
  <c r="S2135" i="1"/>
  <c r="P2138" i="1"/>
  <c r="Y1565" i="18"/>
  <c r="Y1573" i="18"/>
  <c r="Y1581" i="18"/>
  <c r="Y1589" i="18"/>
  <c r="Y1606" i="18"/>
  <c r="T1670" i="18"/>
  <c r="T1686" i="18"/>
  <c r="Y1743" i="18"/>
  <c r="Y1880" i="18"/>
  <c r="Q1961" i="1"/>
  <c r="R1961" i="1"/>
  <c r="S1961" i="1"/>
  <c r="Y2067" i="18"/>
  <c r="Y2168" i="18"/>
  <c r="Y2209" i="18"/>
  <c r="T1609" i="18"/>
  <c r="T1732" i="18"/>
  <c r="Y1782" i="18"/>
  <c r="S1849" i="1"/>
  <c r="Q1849" i="1"/>
  <c r="R1849" i="1"/>
  <c r="T1948" i="18"/>
  <c r="S1984" i="1"/>
  <c r="P1987" i="1"/>
  <c r="W1984" i="1"/>
  <c r="Q1984" i="1"/>
  <c r="P1985" i="1"/>
  <c r="R1984" i="1"/>
  <c r="P1986" i="1"/>
  <c r="Y2049" i="18"/>
  <c r="Y2099" i="18"/>
  <c r="Y2189" i="18"/>
  <c r="Y2282" i="18"/>
  <c r="Y1799" i="18"/>
  <c r="T1827" i="18"/>
  <c r="Q1874" i="1"/>
  <c r="R1874" i="1"/>
  <c r="S1874" i="1"/>
  <c r="Y2161" i="18"/>
  <c r="T1599" i="18"/>
  <c r="T1722" i="18"/>
  <c r="Y2111" i="18"/>
  <c r="Y2181" i="18"/>
  <c r="Q2203" i="1"/>
  <c r="P2204" i="1"/>
  <c r="R2203" i="1"/>
  <c r="P2205" i="1"/>
  <c r="S2203" i="1"/>
  <c r="P2206" i="1"/>
  <c r="W2203" i="1"/>
  <c r="Q2406" i="1"/>
  <c r="R2406" i="1"/>
  <c r="S2406" i="1"/>
  <c r="Q2009" i="1"/>
  <c r="R2009" i="1"/>
  <c r="S2009" i="1"/>
  <c r="Q2074" i="1"/>
  <c r="R2074" i="1"/>
  <c r="S2074" i="1"/>
  <c r="Q2091" i="1"/>
  <c r="R2091" i="1"/>
  <c r="S2091" i="1"/>
  <c r="Y2409" i="18"/>
  <c r="Y2428" i="18"/>
  <c r="Q2052" i="1"/>
  <c r="R2052" i="1"/>
  <c r="S2052" i="1"/>
  <c r="Q2153" i="1"/>
  <c r="R2153" i="1"/>
  <c r="S2153" i="1"/>
  <c r="T2165" i="18"/>
  <c r="Q2208" i="1"/>
  <c r="S2208" i="1"/>
  <c r="R2208" i="1"/>
  <c r="S2291" i="1"/>
  <c r="R2291" i="1"/>
  <c r="Q2291" i="1"/>
  <c r="S1870" i="1"/>
  <c r="Q1870" i="1"/>
  <c r="R1870" i="1"/>
  <c r="Q2323" i="1"/>
  <c r="P2324" i="1"/>
  <c r="R2323" i="1"/>
  <c r="P2325" i="1"/>
  <c r="W2323" i="1"/>
  <c r="P2326" i="1"/>
  <c r="S2323" i="1"/>
  <c r="Q2448" i="1"/>
  <c r="R2448" i="1"/>
  <c r="S2448" i="1"/>
  <c r="W2487" i="1"/>
  <c r="Q2487" i="1"/>
  <c r="R2487" i="1"/>
  <c r="S2487" i="1"/>
  <c r="W2495" i="1"/>
  <c r="Q2495" i="1"/>
  <c r="R2495" i="1"/>
  <c r="S2495" i="1"/>
  <c r="W2519" i="1"/>
  <c r="Q2519" i="1"/>
  <c r="R2519" i="1"/>
  <c r="S2519" i="1"/>
  <c r="W2527" i="1"/>
  <c r="Q2527" i="1"/>
  <c r="R2527" i="1"/>
  <c r="S2527" i="1"/>
  <c r="W2535" i="1"/>
  <c r="Q2535" i="1"/>
  <c r="R2535" i="1"/>
  <c r="S2535" i="1"/>
  <c r="W2543" i="1"/>
  <c r="Q2543" i="1"/>
  <c r="R2543" i="1"/>
  <c r="S2543" i="1"/>
  <c r="Q1993" i="1"/>
  <c r="R1993" i="1"/>
  <c r="S1993" i="1"/>
  <c r="T2093" i="18"/>
  <c r="Y2432" i="18"/>
  <c r="Q2319" i="1"/>
  <c r="S2319" i="1"/>
  <c r="R2319" i="1"/>
  <c r="T2419" i="18"/>
  <c r="Q1966" i="1"/>
  <c r="R1966" i="1"/>
  <c r="S1966" i="1"/>
  <c r="T2028" i="18"/>
  <c r="Q2102" i="1"/>
  <c r="R2102" i="1"/>
  <c r="S2102" i="1"/>
  <c r="Y2224" i="18"/>
  <c r="T2239" i="18"/>
  <c r="Q1971" i="1"/>
  <c r="R1971" i="1"/>
  <c r="S1971" i="1"/>
  <c r="T1980" i="18"/>
  <c r="Q2042" i="1"/>
  <c r="T2195" i="18"/>
  <c r="Y2455" i="18"/>
  <c r="Y2477" i="18"/>
  <c r="Q2345" i="1"/>
  <c r="R2345" i="1"/>
  <c r="S2345" i="1"/>
  <c r="T2508" i="18"/>
  <c r="Y2367" i="18"/>
  <c r="S2402" i="1"/>
  <c r="Q2402" i="1"/>
  <c r="R2402" i="1"/>
  <c r="Y2506" i="18"/>
  <c r="T2509" i="18"/>
  <c r="Y2504" i="18"/>
  <c r="Y2507" i="18"/>
  <c r="Q76" i="1"/>
  <c r="R76" i="1"/>
  <c r="S76" i="1"/>
  <c r="W76" i="1"/>
  <c r="Q36" i="1"/>
  <c r="R36" i="1"/>
  <c r="S36" i="1"/>
  <c r="W36" i="1"/>
  <c r="T168" i="18"/>
  <c r="Y500" i="18"/>
  <c r="Q572" i="1"/>
  <c r="R572" i="1"/>
  <c r="S572" i="1"/>
  <c r="W572" i="1"/>
  <c r="Y185" i="18"/>
  <c r="S474" i="1"/>
  <c r="P477" i="1"/>
  <c r="P478" i="1"/>
  <c r="W474" i="1"/>
  <c r="P479" i="1"/>
  <c r="Q474" i="1"/>
  <c r="P475" i="1"/>
  <c r="R474" i="1"/>
  <c r="P476" i="1"/>
  <c r="T354" i="18"/>
  <c r="Q79" i="1"/>
  <c r="R79" i="1"/>
  <c r="S79" i="1"/>
  <c r="W79" i="1"/>
  <c r="S155" i="1"/>
  <c r="Q155" i="1"/>
  <c r="R155" i="1"/>
  <c r="T113" i="18"/>
  <c r="Y193" i="18"/>
  <c r="Y364" i="18"/>
  <c r="Q498" i="1"/>
  <c r="P499" i="1"/>
  <c r="R498" i="1"/>
  <c r="P500" i="1"/>
  <c r="S498" i="1"/>
  <c r="P501" i="1"/>
  <c r="P502" i="1"/>
  <c r="W498" i="1"/>
  <c r="P503" i="1"/>
  <c r="Y423" i="18"/>
  <c r="Q533" i="1"/>
  <c r="P534" i="1"/>
  <c r="R533" i="1"/>
  <c r="P535" i="1"/>
  <c r="S533" i="1"/>
  <c r="P536" i="1"/>
  <c r="W533" i="1"/>
  <c r="P537" i="1"/>
  <c r="Y180" i="18"/>
  <c r="Y395" i="18"/>
  <c r="Q575" i="1"/>
  <c r="R575" i="1"/>
  <c r="W575" i="1"/>
  <c r="S575" i="1"/>
  <c r="Y107" i="18"/>
  <c r="Y115" i="18"/>
  <c r="T130" i="18"/>
  <c r="S253" i="1"/>
  <c r="W253" i="1"/>
  <c r="Q253" i="1"/>
  <c r="R253" i="1"/>
  <c r="Y446" i="18"/>
  <c r="T116" i="18"/>
  <c r="Q122" i="1"/>
  <c r="R122" i="1"/>
  <c r="S122" i="1"/>
  <c r="W122" i="1"/>
  <c r="Q123" i="1"/>
  <c r="R123" i="1"/>
  <c r="S123" i="1"/>
  <c r="W123" i="1"/>
  <c r="Q73" i="1"/>
  <c r="R73" i="1"/>
  <c r="S73" i="1"/>
  <c r="W73" i="1"/>
  <c r="Q89" i="1"/>
  <c r="R89" i="1"/>
  <c r="S89" i="1"/>
  <c r="W89" i="1"/>
  <c r="S166" i="1"/>
  <c r="Q166" i="1"/>
  <c r="R166" i="1"/>
  <c r="Q33" i="1"/>
  <c r="R33" i="1"/>
  <c r="S33" i="1"/>
  <c r="W33" i="1"/>
  <c r="Q169" i="1"/>
  <c r="R169" i="1"/>
  <c r="S169" i="1"/>
  <c r="Y190" i="18"/>
  <c r="Y460" i="18"/>
  <c r="Q124" i="1"/>
  <c r="P125" i="1"/>
  <c r="R124" i="1"/>
  <c r="P126" i="1"/>
  <c r="S124" i="1"/>
  <c r="P127" i="1"/>
  <c r="W124" i="1"/>
  <c r="Q82" i="1"/>
  <c r="R82" i="1"/>
  <c r="S82" i="1"/>
  <c r="W82" i="1"/>
  <c r="Q26" i="1"/>
  <c r="R26" i="1"/>
  <c r="S26" i="1"/>
  <c r="W26" i="1"/>
  <c r="Q34" i="1"/>
  <c r="R34" i="1"/>
  <c r="S34" i="1"/>
  <c r="W34" i="1"/>
  <c r="Q42" i="1"/>
  <c r="R42" i="1"/>
  <c r="S42" i="1"/>
  <c r="W42" i="1"/>
  <c r="T137" i="18"/>
  <c r="Y97" i="18"/>
  <c r="Y105" i="18"/>
  <c r="Y113" i="18"/>
  <c r="T190" i="18"/>
  <c r="Y393" i="18"/>
  <c r="Y422" i="18"/>
  <c r="T197" i="18"/>
  <c r="Y404" i="18"/>
  <c r="Y442" i="18"/>
  <c r="Y481" i="18"/>
  <c r="Q520" i="1"/>
  <c r="R520" i="1"/>
  <c r="S520" i="1"/>
  <c r="W520" i="1"/>
  <c r="Q528" i="1"/>
  <c r="R528" i="1"/>
  <c r="S528" i="1"/>
  <c r="W528" i="1"/>
  <c r="Q544" i="1"/>
  <c r="R544" i="1"/>
  <c r="S544" i="1"/>
  <c r="W544" i="1"/>
  <c r="Q552" i="1"/>
  <c r="R552" i="1"/>
  <c r="S552" i="1"/>
  <c r="W552" i="1"/>
  <c r="Q201" i="1"/>
  <c r="R201" i="1"/>
  <c r="S201" i="1"/>
  <c r="W201" i="1"/>
  <c r="Y309" i="18"/>
  <c r="Q365" i="1"/>
  <c r="R365" i="1"/>
  <c r="S365" i="1"/>
  <c r="Q570" i="1"/>
  <c r="R570" i="1"/>
  <c r="S570" i="1"/>
  <c r="W570" i="1"/>
  <c r="S463" i="1"/>
  <c r="Y130" i="18"/>
  <c r="S215" i="1"/>
  <c r="W215" i="1"/>
  <c r="Q215" i="1"/>
  <c r="R215" i="1"/>
  <c r="S248" i="1"/>
  <c r="W248" i="1"/>
  <c r="Q248" i="1"/>
  <c r="R248" i="1"/>
  <c r="S256" i="1"/>
  <c r="P259" i="1"/>
  <c r="P260" i="1"/>
  <c r="W256" i="1"/>
  <c r="Q256" i="1"/>
  <c r="P257" i="1"/>
  <c r="R256" i="1"/>
  <c r="P258" i="1"/>
  <c r="S300" i="1"/>
  <c r="W300" i="1"/>
  <c r="Q300" i="1"/>
  <c r="P301" i="1"/>
  <c r="R300" i="1"/>
  <c r="P302" i="1"/>
  <c r="Y359" i="18"/>
  <c r="S416" i="1"/>
  <c r="Q416" i="1"/>
  <c r="R416" i="1"/>
  <c r="P541" i="1"/>
  <c r="W537" i="1"/>
  <c r="Y92" i="18"/>
  <c r="Y100" i="18"/>
  <c r="Y108" i="18"/>
  <c r="Y116" i="18"/>
  <c r="T189" i="18"/>
  <c r="Q158" i="1"/>
  <c r="R158" i="1"/>
  <c r="S158" i="1"/>
  <c r="Q307" i="1"/>
  <c r="R307" i="1"/>
  <c r="S307" i="1"/>
  <c r="Q386" i="1"/>
  <c r="R386" i="1"/>
  <c r="S386" i="1"/>
  <c r="T438" i="18"/>
  <c r="Q556" i="1"/>
  <c r="R556" i="1"/>
  <c r="S556" i="1"/>
  <c r="W556" i="1"/>
  <c r="T230" i="18"/>
  <c r="T303" i="18"/>
  <c r="Q628" i="1"/>
  <c r="R628" i="1"/>
  <c r="S628" i="1"/>
  <c r="W628" i="1"/>
  <c r="Q636" i="1"/>
  <c r="R636" i="1"/>
  <c r="S636" i="1"/>
  <c r="W636" i="1"/>
  <c r="W644" i="1"/>
  <c r="N2552" i="1"/>
  <c r="Y779" i="18"/>
  <c r="S358" i="1"/>
  <c r="Q358" i="1"/>
  <c r="R358" i="1"/>
  <c r="Q561" i="1"/>
  <c r="R561" i="1"/>
  <c r="S561" i="1"/>
  <c r="W561" i="1"/>
  <c r="Q582" i="1"/>
  <c r="R582" i="1"/>
  <c r="S582" i="1"/>
  <c r="W582" i="1"/>
  <c r="W593" i="1"/>
  <c r="P594" i="1"/>
  <c r="Q593" i="1"/>
  <c r="P595" i="1"/>
  <c r="R593" i="1"/>
  <c r="P596" i="1"/>
  <c r="S593" i="1"/>
  <c r="Q695" i="1"/>
  <c r="R695" i="1"/>
  <c r="S695" i="1"/>
  <c r="W695" i="1"/>
  <c r="Y703" i="18"/>
  <c r="Y742" i="18"/>
  <c r="Q794" i="1"/>
  <c r="R794" i="1"/>
  <c r="S794" i="1"/>
  <c r="W794" i="1"/>
  <c r="Q802" i="1"/>
  <c r="R802" i="1"/>
  <c r="S802" i="1"/>
  <c r="W802" i="1"/>
  <c r="Q810" i="1"/>
  <c r="R810" i="1"/>
  <c r="S810" i="1"/>
  <c r="W810" i="1"/>
  <c r="Q818" i="1"/>
  <c r="R818" i="1"/>
  <c r="S818" i="1"/>
  <c r="W818" i="1"/>
  <c r="W839" i="1"/>
  <c r="Q839" i="1"/>
  <c r="R839" i="1"/>
  <c r="S839" i="1"/>
  <c r="W847" i="1"/>
  <c r="Q847" i="1"/>
  <c r="R847" i="1"/>
  <c r="S847" i="1"/>
  <c r="W863" i="1"/>
  <c r="Q863" i="1"/>
  <c r="R863" i="1"/>
  <c r="S863" i="1"/>
  <c r="Q871" i="1"/>
  <c r="R871" i="1"/>
  <c r="W871" i="1"/>
  <c r="S871" i="1"/>
  <c r="Q295" i="1"/>
  <c r="R295" i="1"/>
  <c r="S295" i="1"/>
  <c r="Q558" i="1"/>
  <c r="R558" i="1"/>
  <c r="S558" i="1"/>
  <c r="W558" i="1"/>
  <c r="Y226" i="18"/>
  <c r="T245" i="18"/>
  <c r="Q343" i="1"/>
  <c r="R343" i="1"/>
  <c r="S343" i="1"/>
  <c r="Y486" i="18"/>
  <c r="Q273" i="1"/>
  <c r="R273" i="1"/>
  <c r="S273" i="1"/>
  <c r="Q317" i="1"/>
  <c r="R317" i="1"/>
  <c r="S317" i="1"/>
  <c r="Y336" i="18"/>
  <c r="R417" i="1"/>
  <c r="Y563" i="18"/>
  <c r="Q585" i="1"/>
  <c r="R585" i="1"/>
  <c r="W585" i="1"/>
  <c r="S585" i="1"/>
  <c r="Q391" i="1"/>
  <c r="R391" i="1"/>
  <c r="S391" i="1"/>
  <c r="S782" i="1"/>
  <c r="Q782" i="1"/>
  <c r="R782" i="1"/>
  <c r="T591" i="18"/>
  <c r="S599" i="1"/>
  <c r="Q599" i="1"/>
  <c r="R599" i="1"/>
  <c r="T685" i="18"/>
  <c r="Q727" i="1"/>
  <c r="R727" i="1"/>
  <c r="S727" i="1"/>
  <c r="Y723" i="18"/>
  <c r="T826" i="18"/>
  <c r="Q858" i="1"/>
  <c r="P859" i="1"/>
  <c r="R858" i="1"/>
  <c r="P860" i="1"/>
  <c r="S858" i="1"/>
  <c r="P861" i="1"/>
  <c r="W858" i="1"/>
  <c r="Q978" i="1"/>
  <c r="R978" i="1"/>
  <c r="S978" i="1"/>
  <c r="W978" i="1"/>
  <c r="Q986" i="1"/>
  <c r="R986" i="1"/>
  <c r="S986" i="1"/>
  <c r="W986" i="1"/>
  <c r="Q994" i="1"/>
  <c r="R994" i="1"/>
  <c r="S994" i="1"/>
  <c r="W994" i="1"/>
  <c r="Q1002" i="1"/>
  <c r="R1002" i="1"/>
  <c r="S1002" i="1"/>
  <c r="W1002" i="1"/>
  <c r="Q1010" i="1"/>
  <c r="R1010" i="1"/>
  <c r="S1010" i="1"/>
  <c r="W1010" i="1"/>
  <c r="Q1018" i="1"/>
  <c r="R1018" i="1"/>
  <c r="S1018" i="1"/>
  <c r="W1018" i="1"/>
  <c r="Q1026" i="1"/>
  <c r="R1026" i="1"/>
  <c r="S1026" i="1"/>
  <c r="W1026" i="1"/>
  <c r="Q1034" i="1"/>
  <c r="R1034" i="1"/>
  <c r="S1034" i="1"/>
  <c r="W1034" i="1"/>
  <c r="Q1042" i="1"/>
  <c r="R1042" i="1"/>
  <c r="S1042" i="1"/>
  <c r="W1042" i="1"/>
  <c r="Q1050" i="1"/>
  <c r="R1050" i="1"/>
  <c r="S1050" i="1"/>
  <c r="W1050" i="1"/>
  <c r="Y602" i="18"/>
  <c r="T646" i="18"/>
  <c r="T729" i="18"/>
  <c r="Y880" i="18"/>
  <c r="Q539" i="1"/>
  <c r="R539" i="1"/>
  <c r="S539" i="1"/>
  <c r="Q769" i="1"/>
  <c r="R769" i="1"/>
  <c r="S769" i="1"/>
  <c r="Y823" i="18"/>
  <c r="Y831" i="18"/>
  <c r="W931" i="1"/>
  <c r="Q931" i="1"/>
  <c r="R931" i="1"/>
  <c r="S931" i="1"/>
  <c r="Q604" i="1"/>
  <c r="R604" i="1"/>
  <c r="S604" i="1"/>
  <c r="Q751" i="1"/>
  <c r="R751" i="1"/>
  <c r="S751" i="1"/>
  <c r="T950" i="18"/>
  <c r="Y650" i="18"/>
  <c r="Q879" i="1"/>
  <c r="R879" i="1"/>
  <c r="W879" i="1"/>
  <c r="S879" i="1"/>
  <c r="T645" i="18"/>
  <c r="Y684" i="18"/>
  <c r="Y692" i="18"/>
  <c r="T829" i="18"/>
  <c r="T904" i="18"/>
  <c r="T943" i="18"/>
  <c r="Y959" i="18"/>
  <c r="Y967" i="18"/>
  <c r="Q1059" i="1"/>
  <c r="R1059" i="1"/>
  <c r="S1059" i="1"/>
  <c r="W1059" i="1"/>
  <c r="Q1075" i="1"/>
  <c r="R1075" i="1"/>
  <c r="S1075" i="1"/>
  <c r="W1075" i="1"/>
  <c r="Q1091" i="1"/>
  <c r="R1091" i="1"/>
  <c r="S1091" i="1"/>
  <c r="W1091" i="1"/>
  <c r="Q1107" i="1"/>
  <c r="R1107" i="1"/>
  <c r="S1107" i="1"/>
  <c r="W1107" i="1"/>
  <c r="Q1123" i="1"/>
  <c r="R1123" i="1"/>
  <c r="S1123" i="1"/>
  <c r="W1123" i="1"/>
  <c r="Q1139" i="1"/>
  <c r="R1139" i="1"/>
  <c r="S1139" i="1"/>
  <c r="W1139" i="1"/>
  <c r="R1162" i="1"/>
  <c r="S1162" i="1"/>
  <c r="W1162" i="1"/>
  <c r="Q1162" i="1"/>
  <c r="Q1237" i="1"/>
  <c r="R1237" i="1"/>
  <c r="S1237" i="1"/>
  <c r="W1237" i="1"/>
  <c r="Q1253" i="1"/>
  <c r="R1253" i="1"/>
  <c r="S1253" i="1"/>
  <c r="W1253" i="1"/>
  <c r="T909" i="18"/>
  <c r="Q1072" i="1"/>
  <c r="R1072" i="1"/>
  <c r="S1072" i="1"/>
  <c r="W1072" i="1"/>
  <c r="Q1088" i="1"/>
  <c r="R1088" i="1"/>
  <c r="S1088" i="1"/>
  <c r="W1088" i="1"/>
  <c r="Q1104" i="1"/>
  <c r="R1104" i="1"/>
  <c r="S1104" i="1"/>
  <c r="W1104" i="1"/>
  <c r="Q1120" i="1"/>
  <c r="R1120" i="1"/>
  <c r="S1120" i="1"/>
  <c r="W1120" i="1"/>
  <c r="Q1136" i="1"/>
  <c r="R1136" i="1"/>
  <c r="S1136" i="1"/>
  <c r="W1136" i="1"/>
  <c r="R1160" i="1"/>
  <c r="S1160" i="1"/>
  <c r="W1160" i="1"/>
  <c r="Q1160" i="1"/>
  <c r="S1171" i="1"/>
  <c r="W1171" i="1"/>
  <c r="Q1171" i="1"/>
  <c r="R1171" i="1"/>
  <c r="S1179" i="1"/>
  <c r="W1179" i="1"/>
  <c r="Q1179" i="1"/>
  <c r="R1179" i="1"/>
  <c r="S1187" i="1"/>
  <c r="W1187" i="1"/>
  <c r="Q1187" i="1"/>
  <c r="R1187" i="1"/>
  <c r="S1195" i="1"/>
  <c r="W1195" i="1"/>
  <c r="Q1195" i="1"/>
  <c r="R1195" i="1"/>
  <c r="S1203" i="1"/>
  <c r="W1203" i="1"/>
  <c r="Q1203" i="1"/>
  <c r="R1203" i="1"/>
  <c r="S1211" i="1"/>
  <c r="W1211" i="1"/>
  <c r="Q1211" i="1"/>
  <c r="R1211" i="1"/>
  <c r="S1219" i="1"/>
  <c r="W1219" i="1"/>
  <c r="Q1219" i="1"/>
  <c r="R1219" i="1"/>
  <c r="Q1240" i="1"/>
  <c r="R1240" i="1"/>
  <c r="S1240" i="1"/>
  <c r="W1240" i="1"/>
  <c r="Q1256" i="1"/>
  <c r="R1256" i="1"/>
  <c r="S1256" i="1"/>
  <c r="W1256" i="1"/>
  <c r="T920" i="18"/>
  <c r="T936" i="18"/>
  <c r="T901" i="18"/>
  <c r="T961" i="18"/>
  <c r="T969" i="18"/>
  <c r="W1267" i="1"/>
  <c r="Q1267" i="1"/>
  <c r="R1267" i="1"/>
  <c r="S1267" i="1"/>
  <c r="W1275" i="1"/>
  <c r="Q1275" i="1"/>
  <c r="R1275" i="1"/>
  <c r="S1275" i="1"/>
  <c r="W1283" i="1"/>
  <c r="Q1283" i="1"/>
  <c r="R1283" i="1"/>
  <c r="S1283" i="1"/>
  <c r="W1291" i="1"/>
  <c r="Q1291" i="1"/>
  <c r="R1291" i="1"/>
  <c r="S1291" i="1"/>
  <c r="W1299" i="1"/>
  <c r="Q1299" i="1"/>
  <c r="R1299" i="1"/>
  <c r="S1299" i="1"/>
  <c r="W1307" i="1"/>
  <c r="Q1307" i="1"/>
  <c r="R1307" i="1"/>
  <c r="S1307" i="1"/>
  <c r="W1315" i="1"/>
  <c r="Q1315" i="1"/>
  <c r="R1315" i="1"/>
  <c r="S1315" i="1"/>
  <c r="W1323" i="1"/>
  <c r="Q1323" i="1"/>
  <c r="R1323" i="1"/>
  <c r="S1323" i="1"/>
  <c r="W1331" i="1"/>
  <c r="Q1331" i="1"/>
  <c r="R1331" i="1"/>
  <c r="S1331" i="1"/>
  <c r="W1339" i="1"/>
  <c r="Q1339" i="1"/>
  <c r="R1339" i="1"/>
  <c r="S1339" i="1"/>
  <c r="W1347" i="1"/>
  <c r="Q1347" i="1"/>
  <c r="R1347" i="1"/>
  <c r="S1347" i="1"/>
  <c r="W1355" i="1"/>
  <c r="Q1355" i="1"/>
  <c r="R1355" i="1"/>
  <c r="S1355" i="1"/>
  <c r="W1363" i="1"/>
  <c r="Q1363" i="1"/>
  <c r="R1363" i="1"/>
  <c r="S1363" i="1"/>
  <c r="R1153" i="1"/>
  <c r="S1153" i="1"/>
  <c r="W1153" i="1"/>
  <c r="Q1153" i="1"/>
  <c r="T929" i="18"/>
  <c r="Y962" i="18"/>
  <c r="Y970" i="18"/>
  <c r="Q1058" i="1"/>
  <c r="R1058" i="1"/>
  <c r="S1058" i="1"/>
  <c r="W1058" i="1"/>
  <c r="Q1074" i="1"/>
  <c r="R1074" i="1"/>
  <c r="S1074" i="1"/>
  <c r="W1074" i="1"/>
  <c r="Q1090" i="1"/>
  <c r="R1090" i="1"/>
  <c r="S1090" i="1"/>
  <c r="W1090" i="1"/>
  <c r="Q1106" i="1"/>
  <c r="R1106" i="1"/>
  <c r="S1106" i="1"/>
  <c r="W1106" i="1"/>
  <c r="Q1122" i="1"/>
  <c r="R1122" i="1"/>
  <c r="S1122" i="1"/>
  <c r="W1122" i="1"/>
  <c r="Q1138" i="1"/>
  <c r="R1138" i="1"/>
  <c r="S1138" i="1"/>
  <c r="W1138" i="1"/>
  <c r="S1164" i="1"/>
  <c r="W1164" i="1"/>
  <c r="R1164" i="1"/>
  <c r="Q1164" i="1"/>
  <c r="S1172" i="1"/>
  <c r="W1172" i="1"/>
  <c r="R1172" i="1"/>
  <c r="Q1172" i="1"/>
  <c r="S1180" i="1"/>
  <c r="W1180" i="1"/>
  <c r="R1180" i="1"/>
  <c r="Q1180" i="1"/>
  <c r="S1188" i="1"/>
  <c r="W1188" i="1"/>
  <c r="R1188" i="1"/>
  <c r="Q1188" i="1"/>
  <c r="S1196" i="1"/>
  <c r="W1196" i="1"/>
  <c r="R1196" i="1"/>
  <c r="Q1196" i="1"/>
  <c r="S1204" i="1"/>
  <c r="W1204" i="1"/>
  <c r="R1204" i="1"/>
  <c r="Q1204" i="1"/>
  <c r="S1212" i="1"/>
  <c r="W1212" i="1"/>
  <c r="R1212" i="1"/>
  <c r="Q1212" i="1"/>
  <c r="S1220" i="1"/>
  <c r="R1220" i="1"/>
  <c r="W1220" i="1"/>
  <c r="Q1220" i="1"/>
  <c r="R1242" i="1"/>
  <c r="S1242" i="1"/>
  <c r="W1242" i="1"/>
  <c r="Q1242" i="1"/>
  <c r="Y893" i="18"/>
  <c r="S1225" i="1"/>
  <c r="Q1225" i="1"/>
  <c r="R1225" i="1"/>
  <c r="W1225" i="1"/>
  <c r="Q1626" i="1"/>
  <c r="R1626" i="1"/>
  <c r="S1626" i="1"/>
  <c r="W1626" i="1"/>
  <c r="N2554" i="1"/>
  <c r="Q1634" i="1"/>
  <c r="P1635" i="1"/>
  <c r="R1634" i="1"/>
  <c r="P1636" i="1"/>
  <c r="S1634" i="1"/>
  <c r="P1637" i="1"/>
  <c r="W1634" i="1"/>
  <c r="W1376" i="1"/>
  <c r="Q1376" i="1"/>
  <c r="R1376" i="1"/>
  <c r="S1376" i="1"/>
  <c r="W1392" i="1"/>
  <c r="Q1392" i="1"/>
  <c r="R1392" i="1"/>
  <c r="S1392" i="1"/>
  <c r="W1408" i="1"/>
  <c r="Q1408" i="1"/>
  <c r="R1408" i="1"/>
  <c r="S1408" i="1"/>
  <c r="W1424" i="1"/>
  <c r="Q1424" i="1"/>
  <c r="R1424" i="1"/>
  <c r="S1424" i="1"/>
  <c r="W1440" i="1"/>
  <c r="Q1440" i="1"/>
  <c r="R1440" i="1"/>
  <c r="S1440" i="1"/>
  <c r="W1458" i="1"/>
  <c r="S1458" i="1"/>
  <c r="Q1458" i="1"/>
  <c r="R1458" i="1"/>
  <c r="W1466" i="1"/>
  <c r="S1466" i="1"/>
  <c r="Q1466" i="1"/>
  <c r="R1466" i="1"/>
  <c r="W1474" i="1"/>
  <c r="S1474" i="1"/>
  <c r="Q1474" i="1"/>
  <c r="R1474" i="1"/>
  <c r="W1482" i="1"/>
  <c r="S1482" i="1"/>
  <c r="Q1482" i="1"/>
  <c r="R1482" i="1"/>
  <c r="W1490" i="1"/>
  <c r="S1490" i="1"/>
  <c r="Q1490" i="1"/>
  <c r="R1490" i="1"/>
  <c r="W1498" i="1"/>
  <c r="S1498" i="1"/>
  <c r="Q1498" i="1"/>
  <c r="R1498" i="1"/>
  <c r="W1506" i="1"/>
  <c r="S1506" i="1"/>
  <c r="Q1506" i="1"/>
  <c r="R1506" i="1"/>
  <c r="W1514" i="1"/>
  <c r="S1514" i="1"/>
  <c r="Q1514" i="1"/>
  <c r="R1514" i="1"/>
  <c r="W1522" i="1"/>
  <c r="S1522" i="1"/>
  <c r="Q1522" i="1"/>
  <c r="R1522" i="1"/>
  <c r="W1530" i="1"/>
  <c r="S1530" i="1"/>
  <c r="Q1530" i="1"/>
  <c r="R1530" i="1"/>
  <c r="W1538" i="1"/>
  <c r="S1538" i="1"/>
  <c r="Q1538" i="1"/>
  <c r="R1538" i="1"/>
  <c r="Y1546" i="18"/>
  <c r="W1452" i="1"/>
  <c r="Q1452" i="1"/>
  <c r="S1452" i="1"/>
  <c r="R1452" i="1"/>
  <c r="Y1653" i="18"/>
  <c r="S1695" i="1"/>
  <c r="W1695" i="1"/>
  <c r="Q1695" i="1"/>
  <c r="R1695" i="1"/>
  <c r="S1703" i="1"/>
  <c r="W1703" i="1"/>
  <c r="Q1703" i="1"/>
  <c r="R1703" i="1"/>
  <c r="S1711" i="1"/>
  <c r="W1711" i="1"/>
  <c r="Q1711" i="1"/>
  <c r="R1711" i="1"/>
  <c r="S1719" i="1"/>
  <c r="W1719" i="1"/>
  <c r="Q1719" i="1"/>
  <c r="R1719" i="1"/>
  <c r="S1761" i="1"/>
  <c r="W1761" i="1"/>
  <c r="Q1761" i="1"/>
  <c r="R1761" i="1"/>
  <c r="Y1769" i="18"/>
  <c r="W1365" i="1"/>
  <c r="Q1365" i="1"/>
  <c r="R1365" i="1"/>
  <c r="S1365" i="1"/>
  <c r="W1381" i="1"/>
  <c r="Q1381" i="1"/>
  <c r="R1381" i="1"/>
  <c r="S1381" i="1"/>
  <c r="W1397" i="1"/>
  <c r="Q1397" i="1"/>
  <c r="R1397" i="1"/>
  <c r="S1397" i="1"/>
  <c r="W1413" i="1"/>
  <c r="Q1413" i="1"/>
  <c r="R1413" i="1"/>
  <c r="S1413" i="1"/>
  <c r="W1429" i="1"/>
  <c r="Q1429" i="1"/>
  <c r="R1429" i="1"/>
  <c r="S1429" i="1"/>
  <c r="W1447" i="1"/>
  <c r="Q1447" i="1"/>
  <c r="S1447" i="1"/>
  <c r="R1447" i="1"/>
  <c r="T1563" i="18"/>
  <c r="T1571" i="18"/>
  <c r="T1579" i="18"/>
  <c r="T1587" i="18"/>
  <c r="T1594" i="18"/>
  <c r="T1610" i="18"/>
  <c r="T1733" i="18"/>
  <c r="S1757" i="1"/>
  <c r="Q1757" i="1"/>
  <c r="R1757" i="1"/>
  <c r="T1825" i="18"/>
  <c r="Q1858" i="1"/>
  <c r="Q2111" i="1"/>
  <c r="R2111" i="1"/>
  <c r="S2111" i="1"/>
  <c r="S1652" i="1"/>
  <c r="Q1652" i="1"/>
  <c r="R1652" i="1"/>
  <c r="T1932" i="18"/>
  <c r="Y2022" i="18"/>
  <c r="Y2094" i="18"/>
  <c r="Q2143" i="1"/>
  <c r="P2144" i="1"/>
  <c r="R2143" i="1"/>
  <c r="P2145" i="1"/>
  <c r="S2143" i="1"/>
  <c r="P2146" i="1"/>
  <c r="W2143" i="1"/>
  <c r="Q2215" i="1"/>
  <c r="P2216" i="1"/>
  <c r="R2215" i="1"/>
  <c r="P2217" i="1"/>
  <c r="S2215" i="1"/>
  <c r="P2218" i="1"/>
  <c r="P2219" i="1"/>
  <c r="P2220" i="1"/>
  <c r="W2215" i="1"/>
  <c r="Y2297" i="18"/>
  <c r="Y1564" i="18"/>
  <c r="Y1572" i="18"/>
  <c r="Y1580" i="18"/>
  <c r="Y1588" i="18"/>
  <c r="Y1608" i="18"/>
  <c r="Q1655" i="1"/>
  <c r="R1655" i="1"/>
  <c r="S1655" i="1"/>
  <c r="T1731" i="18"/>
  <c r="S1796" i="1"/>
  <c r="Q1796" i="1"/>
  <c r="R1796" i="1"/>
  <c r="Q1854" i="1"/>
  <c r="S1854" i="1"/>
  <c r="R1854" i="1"/>
  <c r="Q1914" i="1"/>
  <c r="R1914" i="1"/>
  <c r="S1914" i="1"/>
  <c r="Y2045" i="18"/>
  <c r="Y2134" i="18"/>
  <c r="Y1603" i="18"/>
  <c r="Y1667" i="18"/>
  <c r="Y1683" i="18"/>
  <c r="Y1781" i="18"/>
  <c r="Q1820" i="1"/>
  <c r="R1820" i="1"/>
  <c r="S1820" i="1"/>
  <c r="Y2086" i="18"/>
  <c r="Y2136" i="18"/>
  <c r="T1565" i="18"/>
  <c r="T1573" i="18"/>
  <c r="T1581" i="18"/>
  <c r="T1589" i="18"/>
  <c r="T1606" i="18"/>
  <c r="Y1729" i="18"/>
  <c r="Q1741" i="1"/>
  <c r="R1741" i="1"/>
  <c r="S1741" i="1"/>
  <c r="Y1889" i="18"/>
  <c r="W2004" i="1"/>
  <c r="Q2004" i="1"/>
  <c r="P2005" i="1"/>
  <c r="R2004" i="1"/>
  <c r="P2006" i="1"/>
  <c r="S2004" i="1"/>
  <c r="P2007" i="1"/>
  <c r="Y2077" i="18"/>
  <c r="P2181" i="1"/>
  <c r="W2177" i="1"/>
  <c r="P2182" i="1"/>
  <c r="Q2177" i="1"/>
  <c r="P2178" i="1"/>
  <c r="R2177" i="1"/>
  <c r="P2179" i="1"/>
  <c r="S2177" i="1"/>
  <c r="P2180" i="1"/>
  <c r="Y2219" i="18"/>
  <c r="Y1985" i="18"/>
  <c r="S2058" i="1"/>
  <c r="P2061" i="1"/>
  <c r="P2062" i="1"/>
  <c r="W2058" i="1"/>
  <c r="Q2058" i="1"/>
  <c r="P2059" i="1"/>
  <c r="R2058" i="1"/>
  <c r="P2060" i="1"/>
  <c r="Y2149" i="18"/>
  <c r="S2199" i="1"/>
  <c r="P2202" i="1"/>
  <c r="W2199" i="1"/>
  <c r="Q2199" i="1"/>
  <c r="P2200" i="1"/>
  <c r="R2199" i="1"/>
  <c r="P2201" i="1"/>
  <c r="Y2292" i="18"/>
  <c r="Y1676" i="18"/>
  <c r="Q1802" i="1"/>
  <c r="R1802" i="1"/>
  <c r="S1802" i="1"/>
  <c r="R1829" i="1"/>
  <c r="S1829" i="1"/>
  <c r="Q1829" i="1"/>
  <c r="S1860" i="1"/>
  <c r="P1863" i="1"/>
  <c r="W1860" i="1"/>
  <c r="Q1860" i="1"/>
  <c r="P1861" i="1"/>
  <c r="R1860" i="1"/>
  <c r="P1862" i="1"/>
  <c r="Q1913" i="1"/>
  <c r="R1913" i="1"/>
  <c r="S1913" i="1"/>
  <c r="Y2170" i="18"/>
  <c r="Y1948" i="18"/>
  <c r="Q2246" i="1"/>
  <c r="R2246" i="1"/>
  <c r="S2246" i="1"/>
  <c r="Q2416" i="1"/>
  <c r="R2416" i="1"/>
  <c r="S2416" i="1"/>
  <c r="Y1916" i="18"/>
  <c r="T2088" i="18"/>
  <c r="Y2274" i="18"/>
  <c r="Q2387" i="1"/>
  <c r="P2388" i="1"/>
  <c r="R2387" i="1"/>
  <c r="P2389" i="1"/>
  <c r="S2387" i="1"/>
  <c r="P2390" i="1"/>
  <c r="W2387" i="1"/>
  <c r="Q2437" i="1"/>
  <c r="P2438" i="1"/>
  <c r="R2437" i="1"/>
  <c r="P2439" i="1"/>
  <c r="S2437" i="1"/>
  <c r="P2440" i="1"/>
  <c r="P2441" i="1"/>
  <c r="W2437" i="1"/>
  <c r="P2442" i="1"/>
  <c r="Q2051" i="1"/>
  <c r="R2051" i="1"/>
  <c r="S2051" i="1"/>
  <c r="Q2167" i="1"/>
  <c r="R2167" i="1"/>
  <c r="S2167" i="1"/>
  <c r="T2425" i="18"/>
  <c r="W2488" i="1"/>
  <c r="Q2488" i="1"/>
  <c r="R2488" i="1"/>
  <c r="S2488" i="1"/>
  <c r="W2496" i="1"/>
  <c r="Q2496" i="1"/>
  <c r="R2496" i="1"/>
  <c r="S2496" i="1"/>
  <c r="W2520" i="1"/>
  <c r="Q2520" i="1"/>
  <c r="R2520" i="1"/>
  <c r="S2520" i="1"/>
  <c r="W2528" i="1"/>
  <c r="Q2528" i="1"/>
  <c r="R2528" i="1"/>
  <c r="S2528" i="1"/>
  <c r="W2536" i="1"/>
  <c r="Q2536" i="1"/>
  <c r="R2536" i="1"/>
  <c r="S2536" i="1"/>
  <c r="W2544" i="1"/>
  <c r="Q2544" i="1"/>
  <c r="R2544" i="1"/>
  <c r="S2544" i="1"/>
  <c r="Q1945" i="1"/>
  <c r="R1945" i="1"/>
  <c r="S1945" i="1"/>
  <c r="Q2025" i="1"/>
  <c r="R2025" i="1"/>
  <c r="S2025" i="1"/>
  <c r="Q2095" i="1"/>
  <c r="R2095" i="1"/>
  <c r="S2095" i="1"/>
  <c r="Q2233" i="1"/>
  <c r="P2234" i="1"/>
  <c r="R2233" i="1"/>
  <c r="P2235" i="1"/>
  <c r="S2233" i="1"/>
  <c r="P2236" i="1"/>
  <c r="P2237" i="1"/>
  <c r="W2233" i="1"/>
  <c r="P2238" i="1"/>
  <c r="Y2315" i="18"/>
  <c r="Y2370" i="18"/>
  <c r="Y2441" i="18"/>
  <c r="Q1997" i="1"/>
  <c r="R1997" i="1"/>
  <c r="S1997" i="1"/>
  <c r="S2422" i="1"/>
  <c r="Q2422" i="1"/>
  <c r="R2422" i="1"/>
  <c r="Q2030" i="1"/>
  <c r="R2030" i="1"/>
  <c r="S2030" i="1"/>
  <c r="Q2084" i="1"/>
  <c r="R2084" i="1"/>
  <c r="S2084" i="1"/>
  <c r="Q2101" i="1"/>
  <c r="R2101" i="1"/>
  <c r="S2101" i="1"/>
  <c r="Q2132" i="1"/>
  <c r="R2132" i="1"/>
  <c r="S2132" i="1"/>
  <c r="Y2234" i="18"/>
  <c r="Q2278" i="1"/>
  <c r="R2278" i="1"/>
  <c r="S2278" i="1"/>
  <c r="T1968" i="18"/>
  <c r="Q1982" i="1"/>
  <c r="R1982" i="1"/>
  <c r="S1982" i="1"/>
  <c r="Q2197" i="1"/>
  <c r="R2197" i="1"/>
  <c r="S2197" i="1"/>
  <c r="Y2505" i="18"/>
  <c r="Y2211" i="18"/>
  <c r="Y2335" i="18"/>
  <c r="S2370" i="1"/>
  <c r="Q2370" i="1"/>
  <c r="R2370" i="1"/>
  <c r="T2399" i="18"/>
  <c r="T2506" i="18"/>
  <c r="T2504" i="18"/>
  <c r="T2507" i="18"/>
  <c r="Y2462" i="18"/>
  <c r="Q84" i="1"/>
  <c r="R84" i="1"/>
  <c r="S84" i="1"/>
  <c r="W84" i="1"/>
  <c r="Q20" i="1"/>
  <c r="R20" i="1"/>
  <c r="S20" i="1"/>
  <c r="W20" i="1"/>
  <c r="T139" i="18"/>
  <c r="Y403" i="18"/>
  <c r="Q546" i="1"/>
  <c r="R546" i="1"/>
  <c r="S546" i="1"/>
  <c r="W546" i="1"/>
  <c r="Y740" i="18"/>
  <c r="Q121" i="1"/>
  <c r="R121" i="1"/>
  <c r="S121" i="1"/>
  <c r="W121" i="1"/>
  <c r="Q39" i="1"/>
  <c r="R39" i="1"/>
  <c r="S39" i="1"/>
  <c r="W39" i="1"/>
  <c r="T97" i="18"/>
  <c r="Y412" i="18"/>
  <c r="Y99" i="18"/>
  <c r="Y398" i="18"/>
  <c r="Q172" i="1"/>
  <c r="P173" i="1"/>
  <c r="R172" i="1"/>
  <c r="P174" i="1"/>
  <c r="S172" i="1"/>
  <c r="W172" i="1"/>
  <c r="Q81" i="1"/>
  <c r="R81" i="1"/>
  <c r="S81" i="1"/>
  <c r="W81" i="1"/>
  <c r="Q205" i="1"/>
  <c r="R205" i="1"/>
  <c r="S205" i="1"/>
  <c r="W205" i="1"/>
  <c r="Q25" i="1"/>
  <c r="R25" i="1"/>
  <c r="S25" i="1"/>
  <c r="W25" i="1"/>
  <c r="Q41" i="1"/>
  <c r="R41" i="1"/>
  <c r="S41" i="1"/>
  <c r="W41" i="1"/>
  <c r="Y202" i="18"/>
  <c r="Q54" i="1"/>
  <c r="R54" i="1"/>
  <c r="S54" i="1"/>
  <c r="W54" i="1"/>
  <c r="Y173" i="18"/>
  <c r="Q74" i="1"/>
  <c r="R74" i="1"/>
  <c r="S74" i="1"/>
  <c r="W74" i="1"/>
  <c r="Q90" i="1"/>
  <c r="R90" i="1"/>
  <c r="S90" i="1"/>
  <c r="W90" i="1"/>
  <c r="Q206" i="1"/>
  <c r="R206" i="1"/>
  <c r="S206" i="1"/>
  <c r="W206" i="1"/>
  <c r="Y125" i="18"/>
  <c r="Q75" i="1"/>
  <c r="R75" i="1"/>
  <c r="S75" i="1"/>
  <c r="W75" i="1"/>
  <c r="Q83" i="1"/>
  <c r="R83" i="1"/>
  <c r="S83" i="1"/>
  <c r="W83" i="1"/>
  <c r="Y91" i="18"/>
  <c r="R177" i="1"/>
  <c r="Q27" i="1"/>
  <c r="R27" i="1"/>
  <c r="S27" i="1"/>
  <c r="W27" i="1"/>
  <c r="Q35" i="1"/>
  <c r="R35" i="1"/>
  <c r="S35" i="1"/>
  <c r="W35" i="1"/>
  <c r="Y43" i="18"/>
  <c r="T138" i="18"/>
  <c r="T154" i="18"/>
  <c r="T93" i="18"/>
  <c r="T101" i="18"/>
  <c r="T109" i="18"/>
  <c r="T131" i="18"/>
  <c r="Y168" i="18"/>
  <c r="Y187" i="18"/>
  <c r="R191" i="1"/>
  <c r="Q191" i="1"/>
  <c r="S191" i="1"/>
  <c r="Q219" i="1"/>
  <c r="R219" i="1"/>
  <c r="S219" i="1"/>
  <c r="W219" i="1"/>
  <c r="Q402" i="1"/>
  <c r="P403" i="1"/>
  <c r="R402" i="1"/>
  <c r="P404" i="1"/>
  <c r="S402" i="1"/>
  <c r="P405" i="1"/>
  <c r="P406" i="1"/>
  <c r="W402" i="1"/>
  <c r="P407" i="1"/>
  <c r="Y431" i="18"/>
  <c r="Y508" i="18"/>
  <c r="Q199" i="1"/>
  <c r="R199" i="1"/>
  <c r="S199" i="1"/>
  <c r="Y452" i="18"/>
  <c r="Y490" i="18"/>
  <c r="Q521" i="1"/>
  <c r="R521" i="1"/>
  <c r="S521" i="1"/>
  <c r="W521" i="1"/>
  <c r="Q529" i="1"/>
  <c r="R529" i="1"/>
  <c r="S529" i="1"/>
  <c r="W529" i="1"/>
  <c r="Q545" i="1"/>
  <c r="R545" i="1"/>
  <c r="S545" i="1"/>
  <c r="W545" i="1"/>
  <c r="T132" i="18"/>
  <c r="Q181" i="1"/>
  <c r="R181" i="1"/>
  <c r="S181" i="1"/>
  <c r="W225" i="1"/>
  <c r="Q225" i="1"/>
  <c r="R225" i="1"/>
  <c r="S225" i="1"/>
  <c r="W318" i="1"/>
  <c r="P323" i="1"/>
  <c r="Q318" i="1"/>
  <c r="P319" i="1"/>
  <c r="R318" i="1"/>
  <c r="P320" i="1"/>
  <c r="S318" i="1"/>
  <c r="P321" i="1"/>
  <c r="P322" i="1"/>
  <c r="W366" i="1"/>
  <c r="P371" i="1"/>
  <c r="Q366" i="1"/>
  <c r="P367" i="1"/>
  <c r="R366" i="1"/>
  <c r="P368" i="1"/>
  <c r="S366" i="1"/>
  <c r="P369" i="1"/>
  <c r="P370" i="1"/>
  <c r="Q571" i="1"/>
  <c r="R571" i="1"/>
  <c r="W571" i="1"/>
  <c r="S571" i="1"/>
  <c r="Y95" i="18"/>
  <c r="Y103" i="18"/>
  <c r="Y111" i="18"/>
  <c r="T194" i="18"/>
  <c r="Y464" i="18"/>
  <c r="S249" i="1"/>
  <c r="W249" i="1"/>
  <c r="Q249" i="1"/>
  <c r="R249" i="1"/>
  <c r="Y257" i="18"/>
  <c r="Y301" i="18"/>
  <c r="Y369" i="18"/>
  <c r="Y417" i="18"/>
  <c r="Y465" i="18"/>
  <c r="T96" i="18"/>
  <c r="T104" i="18"/>
  <c r="T112" i="18"/>
  <c r="Y128" i="18"/>
  <c r="Q213" i="1"/>
  <c r="R213" i="1"/>
  <c r="S213" i="1"/>
  <c r="W213" i="1"/>
  <c r="R311" i="1"/>
  <c r="S311" i="1"/>
  <c r="Q311" i="1"/>
  <c r="Q440" i="1"/>
  <c r="R440" i="1"/>
  <c r="S440" i="1"/>
  <c r="Y279" i="18"/>
  <c r="Q305" i="1"/>
  <c r="R305" i="1"/>
  <c r="S305" i="1"/>
  <c r="Y594" i="18"/>
  <c r="Q629" i="1"/>
  <c r="R629" i="1"/>
  <c r="S629" i="1"/>
  <c r="W629" i="1"/>
  <c r="Q637" i="1"/>
  <c r="R637" i="1"/>
  <c r="S637" i="1"/>
  <c r="W637" i="1"/>
  <c r="Q670" i="1"/>
  <c r="P671" i="1"/>
  <c r="R670" i="1"/>
  <c r="P672" i="1"/>
  <c r="S670" i="1"/>
  <c r="P673" i="1"/>
  <c r="W670" i="1"/>
  <c r="Y244" i="18"/>
  <c r="Q357" i="1"/>
  <c r="R357" i="1"/>
  <c r="S357" i="1"/>
  <c r="Y595" i="18"/>
  <c r="Q696" i="1"/>
  <c r="R696" i="1"/>
  <c r="S696" i="1"/>
  <c r="W696" i="1"/>
  <c r="Y713" i="18"/>
  <c r="Y751" i="18"/>
  <c r="Q795" i="1"/>
  <c r="R795" i="1"/>
  <c r="S795" i="1"/>
  <c r="W795" i="1"/>
  <c r="Q803" i="1"/>
  <c r="R803" i="1"/>
  <c r="S803" i="1"/>
  <c r="W803" i="1"/>
  <c r="Q811" i="1"/>
  <c r="R811" i="1"/>
  <c r="S811" i="1"/>
  <c r="W811" i="1"/>
  <c r="Q819" i="1"/>
  <c r="R819" i="1"/>
  <c r="S819" i="1"/>
  <c r="W819" i="1"/>
  <c r="T348" i="18"/>
  <c r="W840" i="1"/>
  <c r="Q840" i="1"/>
  <c r="R840" i="1"/>
  <c r="S840" i="1"/>
  <c r="W848" i="1"/>
  <c r="Q848" i="1"/>
  <c r="R848" i="1"/>
  <c r="S848" i="1"/>
  <c r="W864" i="1"/>
  <c r="Q864" i="1"/>
  <c r="R864" i="1"/>
  <c r="S864" i="1"/>
  <c r="Q872" i="1"/>
  <c r="R872" i="1"/>
  <c r="S872" i="1"/>
  <c r="W872" i="1"/>
  <c r="Y231" i="18"/>
  <c r="Y242" i="18"/>
  <c r="Q347" i="1"/>
  <c r="R347" i="1"/>
  <c r="S347" i="1"/>
  <c r="Y396" i="18"/>
  <c r="Q490" i="1"/>
  <c r="R490" i="1"/>
  <c r="S490" i="1"/>
  <c r="Y617" i="18"/>
  <c r="Y312" i="18"/>
  <c r="R340" i="1"/>
  <c r="S340" i="1"/>
  <c r="Q340" i="1"/>
  <c r="R736" i="1"/>
  <c r="S736" i="1"/>
  <c r="Q736" i="1"/>
  <c r="Y261" i="18"/>
  <c r="Q395" i="1"/>
  <c r="R395" i="1"/>
  <c r="S395" i="1"/>
  <c r="Y777" i="18"/>
  <c r="R726" i="1"/>
  <c r="S726" i="1"/>
  <c r="Q726" i="1"/>
  <c r="Q979" i="1"/>
  <c r="R979" i="1"/>
  <c r="S979" i="1"/>
  <c r="W979" i="1"/>
  <c r="Q987" i="1"/>
  <c r="R987" i="1"/>
  <c r="S987" i="1"/>
  <c r="W987" i="1"/>
  <c r="Q995" i="1"/>
  <c r="R995" i="1"/>
  <c r="S995" i="1"/>
  <c r="W995" i="1"/>
  <c r="Q1003" i="1"/>
  <c r="R1003" i="1"/>
  <c r="S1003" i="1"/>
  <c r="W1003" i="1"/>
  <c r="Q1011" i="1"/>
  <c r="R1011" i="1"/>
  <c r="S1011" i="1"/>
  <c r="W1011" i="1"/>
  <c r="Q1019" i="1"/>
  <c r="R1019" i="1"/>
  <c r="S1019" i="1"/>
  <c r="W1019" i="1"/>
  <c r="Q1027" i="1"/>
  <c r="R1027" i="1"/>
  <c r="S1027" i="1"/>
  <c r="W1027" i="1"/>
  <c r="Q1035" i="1"/>
  <c r="R1035" i="1"/>
  <c r="S1035" i="1"/>
  <c r="W1035" i="1"/>
  <c r="Q1043" i="1"/>
  <c r="R1043" i="1"/>
  <c r="S1043" i="1"/>
  <c r="W1043" i="1"/>
  <c r="Q1051" i="1"/>
  <c r="R1051" i="1"/>
  <c r="S1051" i="1"/>
  <c r="W1051" i="1"/>
  <c r="T602" i="18"/>
  <c r="Q679" i="1"/>
  <c r="R679" i="1"/>
  <c r="S679" i="1"/>
  <c r="Q710" i="1"/>
  <c r="R710" i="1"/>
  <c r="S710" i="1"/>
  <c r="Q731" i="1"/>
  <c r="R731" i="1"/>
  <c r="S731" i="1"/>
  <c r="Y666" i="18"/>
  <c r="Q758" i="1"/>
  <c r="R758" i="1"/>
  <c r="S758" i="1"/>
  <c r="T827" i="18"/>
  <c r="Q856" i="1"/>
  <c r="R856" i="1"/>
  <c r="S856" i="1"/>
  <c r="Q750" i="1"/>
  <c r="R750" i="1"/>
  <c r="S750" i="1"/>
  <c r="T647" i="18"/>
  <c r="Y687" i="18"/>
  <c r="Y828" i="18"/>
  <c r="S911" i="1"/>
  <c r="W911" i="1"/>
  <c r="Q911" i="1"/>
  <c r="R911" i="1"/>
  <c r="R614" i="1"/>
  <c r="S614" i="1"/>
  <c r="Q614" i="1"/>
  <c r="Q677" i="1"/>
  <c r="R677" i="1"/>
  <c r="S677" i="1"/>
  <c r="T684" i="18"/>
  <c r="T692" i="18"/>
  <c r="T938" i="18"/>
  <c r="T959" i="18"/>
  <c r="T967" i="18"/>
  <c r="W1268" i="1"/>
  <c r="Q1268" i="1"/>
  <c r="R1268" i="1"/>
  <c r="S1268" i="1"/>
  <c r="W1276" i="1"/>
  <c r="Q1276" i="1"/>
  <c r="R1276" i="1"/>
  <c r="S1276" i="1"/>
  <c r="W1284" i="1"/>
  <c r="Q1284" i="1"/>
  <c r="R1284" i="1"/>
  <c r="S1284" i="1"/>
  <c r="W1292" i="1"/>
  <c r="Q1292" i="1"/>
  <c r="R1292" i="1"/>
  <c r="S1292" i="1"/>
  <c r="W1300" i="1"/>
  <c r="Q1300" i="1"/>
  <c r="R1300" i="1"/>
  <c r="S1300" i="1"/>
  <c r="W1308" i="1"/>
  <c r="Q1308" i="1"/>
  <c r="R1308" i="1"/>
  <c r="S1308" i="1"/>
  <c r="W1316" i="1"/>
  <c r="Q1316" i="1"/>
  <c r="R1316" i="1"/>
  <c r="S1316" i="1"/>
  <c r="W1324" i="1"/>
  <c r="Q1324" i="1"/>
  <c r="R1324" i="1"/>
  <c r="S1324" i="1"/>
  <c r="W1332" i="1"/>
  <c r="Q1332" i="1"/>
  <c r="R1332" i="1"/>
  <c r="S1332" i="1"/>
  <c r="W1340" i="1"/>
  <c r="Q1340" i="1"/>
  <c r="R1340" i="1"/>
  <c r="S1340" i="1"/>
  <c r="W1348" i="1"/>
  <c r="Q1348" i="1"/>
  <c r="R1348" i="1"/>
  <c r="S1348" i="1"/>
  <c r="W1356" i="1"/>
  <c r="Q1356" i="1"/>
  <c r="R1356" i="1"/>
  <c r="S1356" i="1"/>
  <c r="W1364" i="1"/>
  <c r="Q1364" i="1"/>
  <c r="R1364" i="1"/>
  <c r="S1364" i="1"/>
  <c r="Y929" i="18"/>
  <c r="T962" i="18"/>
  <c r="T970" i="18"/>
  <c r="T893" i="18"/>
  <c r="T1544" i="18"/>
  <c r="Q1627" i="1"/>
  <c r="R1627" i="1"/>
  <c r="S1627" i="1"/>
  <c r="W1627" i="1"/>
  <c r="Y1635" i="18"/>
  <c r="Y1547" i="18"/>
  <c r="Y1555" i="18"/>
  <c r="S1688" i="1"/>
  <c r="W1688" i="1"/>
  <c r="P1687" i="1"/>
  <c r="Q1688" i="1"/>
  <c r="R1688" i="1"/>
  <c r="S1696" i="1"/>
  <c r="W1696" i="1"/>
  <c r="Q1696" i="1"/>
  <c r="R1696" i="1"/>
  <c r="S1704" i="1"/>
  <c r="W1704" i="1"/>
  <c r="Q1704" i="1"/>
  <c r="R1704" i="1"/>
  <c r="S1712" i="1"/>
  <c r="W1712" i="1"/>
  <c r="Q1712" i="1"/>
  <c r="R1712" i="1"/>
  <c r="W1720" i="1"/>
  <c r="N2555" i="1"/>
  <c r="S1762" i="1"/>
  <c r="W1762" i="1"/>
  <c r="Q1762" i="1"/>
  <c r="R1762" i="1"/>
  <c r="S1785" i="1"/>
  <c r="W1785" i="1"/>
  <c r="Q1785" i="1"/>
  <c r="P1786" i="1"/>
  <c r="R1785" i="1"/>
  <c r="P1787" i="1"/>
  <c r="Y1597" i="18"/>
  <c r="Y1613" i="18"/>
  <c r="Y1669" i="18"/>
  <c r="Y1685" i="18"/>
  <c r="Y1780" i="18"/>
  <c r="Q1885" i="1"/>
  <c r="R1885" i="1"/>
  <c r="S1885" i="1"/>
  <c r="Q1901" i="1"/>
  <c r="R1901" i="1"/>
  <c r="S1901" i="1"/>
  <c r="Q2032" i="1"/>
  <c r="P2033" i="1"/>
  <c r="R2032" i="1"/>
  <c r="P2034" i="1"/>
  <c r="S2032" i="1"/>
  <c r="P2035" i="1"/>
  <c r="W2032" i="1"/>
  <c r="Q2103" i="1"/>
  <c r="P2104" i="1"/>
  <c r="R2103" i="1"/>
  <c r="P2105" i="1"/>
  <c r="S2103" i="1"/>
  <c r="P2106" i="1"/>
  <c r="P2107" i="1"/>
  <c r="W2103" i="1"/>
  <c r="P2108" i="1"/>
  <c r="Y2144" i="18"/>
  <c r="Y2216" i="18"/>
  <c r="Y2307" i="18"/>
  <c r="T1564" i="18"/>
  <c r="T1572" i="18"/>
  <c r="T1580" i="18"/>
  <c r="T1588" i="18"/>
  <c r="T1608" i="18"/>
  <c r="Y1815" i="18"/>
  <c r="S1915" i="1"/>
  <c r="Q1915" i="1"/>
  <c r="R1915" i="1"/>
  <c r="Y2055" i="18"/>
  <c r="Y2145" i="18"/>
  <c r="T1603" i="18"/>
  <c r="T1622" i="18"/>
  <c r="T1675" i="18"/>
  <c r="Y1726" i="18"/>
  <c r="Q1751" i="1"/>
  <c r="R1751" i="1"/>
  <c r="S1751" i="1"/>
  <c r="Y1788" i="18"/>
  <c r="Y2003" i="18"/>
  <c r="Y2096" i="18"/>
  <c r="Y2146" i="18"/>
  <c r="T1729" i="18"/>
  <c r="Q1883" i="1"/>
  <c r="R1883" i="1"/>
  <c r="S1883" i="1"/>
  <c r="Y1899" i="18"/>
  <c r="Y2005" i="18"/>
  <c r="Y2087" i="18"/>
  <c r="Y2178" i="18"/>
  <c r="Y2229" i="18"/>
  <c r="Y1665" i="18"/>
  <c r="Y1681" i="18"/>
  <c r="S1839" i="1"/>
  <c r="P1842" i="1"/>
  <c r="P1843" i="1"/>
  <c r="W1839" i="1"/>
  <c r="Q1839" i="1"/>
  <c r="P1840" i="1"/>
  <c r="R1839" i="1"/>
  <c r="P1841" i="1"/>
  <c r="Y1848" i="18"/>
  <c r="S1952" i="1"/>
  <c r="P1955" i="1"/>
  <c r="W1952" i="1"/>
  <c r="Q1952" i="1"/>
  <c r="P1953" i="1"/>
  <c r="R1952" i="1"/>
  <c r="P1954" i="1"/>
  <c r="Y1995" i="18"/>
  <c r="Y2059" i="18"/>
  <c r="S2159" i="1"/>
  <c r="P2162" i="1"/>
  <c r="P2163" i="1"/>
  <c r="W2159" i="1"/>
  <c r="P2164" i="1"/>
  <c r="Q2159" i="1"/>
  <c r="P2160" i="1"/>
  <c r="R2159" i="1"/>
  <c r="P2161" i="1"/>
  <c r="Y2200" i="18"/>
  <c r="Y2302" i="18"/>
  <c r="Y1566" i="18"/>
  <c r="Y1574" i="18"/>
  <c r="Y1582" i="18"/>
  <c r="Y1590" i="18"/>
  <c r="Y1604" i="18"/>
  <c r="Y1615" i="18"/>
  <c r="T1668" i="18"/>
  <c r="T1684" i="18"/>
  <c r="Y1735" i="18"/>
  <c r="T1799" i="18"/>
  <c r="Y2180" i="18"/>
  <c r="Y1671" i="18"/>
  <c r="S1838" i="1"/>
  <c r="Q1838" i="1"/>
  <c r="R1838" i="1"/>
  <c r="Y2152" i="18"/>
  <c r="Q2191" i="1"/>
  <c r="P2192" i="1"/>
  <c r="R2191" i="1"/>
  <c r="P2193" i="1"/>
  <c r="S2191" i="1"/>
  <c r="P2194" i="1"/>
  <c r="W2191" i="1"/>
  <c r="Q2342" i="1"/>
  <c r="Q2426" i="1"/>
  <c r="R2426" i="1"/>
  <c r="S2426" i="1"/>
  <c r="R1919" i="1"/>
  <c r="S1919" i="1"/>
  <c r="Q1919" i="1"/>
  <c r="Y1972" i="18"/>
  <c r="Y2073" i="18"/>
  <c r="Q2090" i="1"/>
  <c r="R2090" i="1"/>
  <c r="S2090" i="1"/>
  <c r="Y2276" i="18"/>
  <c r="Y2345" i="18"/>
  <c r="Y2366" i="18"/>
  <c r="Y2388" i="18"/>
  <c r="Y2438" i="18"/>
  <c r="Y2466" i="18"/>
  <c r="T2048" i="18"/>
  <c r="Q2152" i="1"/>
  <c r="R2152" i="1"/>
  <c r="S2152" i="1"/>
  <c r="Y2207" i="18"/>
  <c r="T2373" i="18"/>
  <c r="Q2428" i="1"/>
  <c r="R2428" i="1"/>
  <c r="S2428" i="1"/>
  <c r="Q1869" i="1"/>
  <c r="R1869" i="1"/>
  <c r="S1869" i="1"/>
  <c r="Y2223" i="18"/>
  <c r="W2481" i="1"/>
  <c r="Q2481" i="1"/>
  <c r="R2481" i="1"/>
  <c r="S2481" i="1"/>
  <c r="W2489" i="1"/>
  <c r="Q2489" i="1"/>
  <c r="R2489" i="1"/>
  <c r="S2489" i="1"/>
  <c r="W2497" i="1"/>
  <c r="Q2497" i="1"/>
  <c r="R2497" i="1"/>
  <c r="S2497" i="1"/>
  <c r="W2521" i="1"/>
  <c r="Q2521" i="1"/>
  <c r="R2521" i="1"/>
  <c r="S2521" i="1"/>
  <c r="W2529" i="1"/>
  <c r="Q2529" i="1"/>
  <c r="R2529" i="1"/>
  <c r="S2529" i="1"/>
  <c r="W2537" i="1"/>
  <c r="Q2537" i="1"/>
  <c r="R2537" i="1"/>
  <c r="S2537" i="1"/>
  <c r="W2545" i="1"/>
  <c r="Q2545" i="1"/>
  <c r="R2545" i="1"/>
  <c r="S2545" i="1"/>
  <c r="Y1992" i="18"/>
  <c r="Y2252" i="18"/>
  <c r="Y2319" i="18"/>
  <c r="Y2381" i="18"/>
  <c r="Y2451" i="18"/>
  <c r="Y2271" i="18"/>
  <c r="Q2318" i="1"/>
  <c r="R2318" i="1"/>
  <c r="S2318" i="1"/>
  <c r="Y2464" i="18"/>
  <c r="T2098" i="18"/>
  <c r="Q2225" i="1"/>
  <c r="R2225" i="1"/>
  <c r="S2225" i="1"/>
  <c r="Q2241" i="1"/>
  <c r="R2241" i="1"/>
  <c r="S2241" i="1"/>
  <c r="W2269" i="1"/>
  <c r="Q2269" i="1"/>
  <c r="P2270" i="1"/>
  <c r="S2269" i="1"/>
  <c r="P2272" i="1"/>
  <c r="P2271" i="1"/>
  <c r="R2269" i="1"/>
  <c r="Q1970" i="1"/>
  <c r="R1970" i="1"/>
  <c r="S1970" i="1"/>
  <c r="T2505" i="18"/>
  <c r="Q2344" i="1"/>
  <c r="R2344" i="1"/>
  <c r="S2344" i="1"/>
  <c r="Y2472" i="18"/>
  <c r="Q2214" i="1"/>
  <c r="R2214" i="1"/>
  <c r="S2214" i="1"/>
  <c r="S2338" i="1"/>
  <c r="Q2338" i="1"/>
  <c r="R2338" i="1"/>
  <c r="T2367" i="18"/>
  <c r="Q2401" i="1"/>
  <c r="R2401" i="1"/>
  <c r="S2401" i="1"/>
  <c r="Y2503" i="18"/>
  <c r="Q2330" i="1"/>
  <c r="R2330" i="1"/>
  <c r="S2330" i="1"/>
  <c r="Y2501" i="18"/>
  <c r="P2467" i="1"/>
  <c r="T2474" i="18"/>
  <c r="Y2513" i="18"/>
  <c r="Q118" i="1"/>
  <c r="R118" i="1"/>
  <c r="S118" i="1"/>
  <c r="W118" i="1"/>
  <c r="Y470" i="18"/>
  <c r="Y319" i="18"/>
  <c r="T218" i="18"/>
  <c r="Y157" i="18"/>
  <c r="T238" i="18"/>
  <c r="Q622" i="1"/>
  <c r="R622" i="1"/>
  <c r="S622" i="1"/>
  <c r="W622" i="1"/>
  <c r="Y382" i="18"/>
  <c r="T231" i="18"/>
  <c r="Y325" i="18"/>
  <c r="Y291" i="18"/>
  <c r="Y342" i="18"/>
  <c r="Q489" i="1"/>
  <c r="R489" i="1"/>
  <c r="S489" i="1"/>
  <c r="Y240" i="18"/>
  <c r="Q272" i="1"/>
  <c r="R272" i="1"/>
  <c r="S272" i="1"/>
  <c r="Q316" i="1"/>
  <c r="R316" i="1"/>
  <c r="S316" i="1"/>
  <c r="S339" i="1"/>
  <c r="Q339" i="1"/>
  <c r="R339" i="1"/>
  <c r="Q579" i="1"/>
  <c r="R579" i="1"/>
  <c r="W579" i="1"/>
  <c r="S579" i="1"/>
  <c r="Q587" i="1"/>
  <c r="R587" i="1"/>
  <c r="W587" i="1"/>
  <c r="S587" i="1"/>
  <c r="S265" i="1"/>
  <c r="Q265" i="1"/>
  <c r="R265" i="1"/>
  <c r="Y390" i="18"/>
  <c r="Y651" i="18"/>
  <c r="Q781" i="1"/>
  <c r="R781" i="1"/>
  <c r="S781" i="1"/>
  <c r="Y854" i="18"/>
  <c r="Y598" i="18"/>
  <c r="T723" i="18"/>
  <c r="T894" i="18"/>
  <c r="Q980" i="1"/>
  <c r="R980" i="1"/>
  <c r="S980" i="1"/>
  <c r="W980" i="1"/>
  <c r="Q988" i="1"/>
  <c r="R988" i="1"/>
  <c r="S988" i="1"/>
  <c r="W988" i="1"/>
  <c r="Q996" i="1"/>
  <c r="R996" i="1"/>
  <c r="S996" i="1"/>
  <c r="W996" i="1"/>
  <c r="Q1004" i="1"/>
  <c r="R1004" i="1"/>
  <c r="S1004" i="1"/>
  <c r="W1004" i="1"/>
  <c r="Q1012" i="1"/>
  <c r="R1012" i="1"/>
  <c r="S1012" i="1"/>
  <c r="W1012" i="1"/>
  <c r="Q1020" i="1"/>
  <c r="R1020" i="1"/>
  <c r="S1020" i="1"/>
  <c r="W1020" i="1"/>
  <c r="Q1036" i="1"/>
  <c r="R1036" i="1"/>
  <c r="S1036" i="1"/>
  <c r="W1036" i="1"/>
  <c r="Q1044" i="1"/>
  <c r="R1044" i="1"/>
  <c r="S1044" i="1"/>
  <c r="W1044" i="1"/>
  <c r="Y705" i="18"/>
  <c r="Y538" i="18"/>
  <c r="Y592" i="18"/>
  <c r="Q669" i="1"/>
  <c r="R669" i="1"/>
  <c r="S669" i="1"/>
  <c r="Y686" i="18"/>
  <c r="Y753" i="18"/>
  <c r="W939" i="1"/>
  <c r="Q939" i="1"/>
  <c r="R939" i="1"/>
  <c r="S939" i="1"/>
  <c r="T747" i="18"/>
  <c r="T952" i="18"/>
  <c r="Y664" i="18"/>
  <c r="T687" i="18"/>
  <c r="T824" i="18"/>
  <c r="T832" i="18"/>
  <c r="Y597" i="18"/>
  <c r="T674" i="18"/>
  <c r="T912" i="18"/>
  <c r="Q1063" i="1"/>
  <c r="R1063" i="1"/>
  <c r="S1063" i="1"/>
  <c r="W1063" i="1"/>
  <c r="Q1079" i="1"/>
  <c r="R1079" i="1"/>
  <c r="S1079" i="1"/>
  <c r="W1079" i="1"/>
  <c r="Q1095" i="1"/>
  <c r="R1095" i="1"/>
  <c r="S1095" i="1"/>
  <c r="W1095" i="1"/>
  <c r="Q1111" i="1"/>
  <c r="R1111" i="1"/>
  <c r="S1111" i="1"/>
  <c r="W1111" i="1"/>
  <c r="Q1127" i="1"/>
  <c r="R1127" i="1"/>
  <c r="S1127" i="1"/>
  <c r="W1127" i="1"/>
  <c r="Q1143" i="1"/>
  <c r="R1143" i="1"/>
  <c r="S1143" i="1"/>
  <c r="W1143" i="1"/>
  <c r="S1222" i="1"/>
  <c r="Q1222" i="1"/>
  <c r="R1222" i="1"/>
  <c r="W1222" i="1"/>
  <c r="Q1241" i="1"/>
  <c r="R1241" i="1"/>
  <c r="S1241" i="1"/>
  <c r="W1241" i="1"/>
  <c r="Q1258" i="1"/>
  <c r="R1258" i="1"/>
  <c r="S1258" i="1"/>
  <c r="W1258" i="1"/>
  <c r="Y898" i="18"/>
  <c r="Y960" i="18"/>
  <c r="Y968" i="18"/>
  <c r="Q1060" i="1"/>
  <c r="R1060" i="1"/>
  <c r="S1060" i="1"/>
  <c r="W1060" i="1"/>
  <c r="Q1076" i="1"/>
  <c r="R1076" i="1"/>
  <c r="S1076" i="1"/>
  <c r="W1076" i="1"/>
  <c r="Q1092" i="1"/>
  <c r="R1092" i="1"/>
  <c r="S1092" i="1"/>
  <c r="W1092" i="1"/>
  <c r="Q1108" i="1"/>
  <c r="R1108" i="1"/>
  <c r="S1108" i="1"/>
  <c r="W1108" i="1"/>
  <c r="Q1124" i="1"/>
  <c r="R1124" i="1"/>
  <c r="S1124" i="1"/>
  <c r="W1124" i="1"/>
  <c r="Q1140" i="1"/>
  <c r="R1140" i="1"/>
  <c r="S1140" i="1"/>
  <c r="W1140" i="1"/>
  <c r="S1165" i="1"/>
  <c r="W1165" i="1"/>
  <c r="Q1165" i="1"/>
  <c r="R1165" i="1"/>
  <c r="S1173" i="1"/>
  <c r="W1173" i="1"/>
  <c r="Q1173" i="1"/>
  <c r="R1173" i="1"/>
  <c r="S1181" i="1"/>
  <c r="W1181" i="1"/>
  <c r="Q1181" i="1"/>
  <c r="R1181" i="1"/>
  <c r="S1189" i="1"/>
  <c r="W1189" i="1"/>
  <c r="Q1189" i="1"/>
  <c r="R1189" i="1"/>
  <c r="S1197" i="1"/>
  <c r="W1197" i="1"/>
  <c r="Q1197" i="1"/>
  <c r="R1197" i="1"/>
  <c r="S1205" i="1"/>
  <c r="W1205" i="1"/>
  <c r="Q1205" i="1"/>
  <c r="R1205" i="1"/>
  <c r="S1213" i="1"/>
  <c r="W1213" i="1"/>
  <c r="Q1213" i="1"/>
  <c r="R1213" i="1"/>
  <c r="S1224" i="1"/>
  <c r="Q1224" i="1"/>
  <c r="R1224" i="1"/>
  <c r="W1224" i="1"/>
  <c r="Q1244" i="1"/>
  <c r="R1244" i="1"/>
  <c r="S1244" i="1"/>
  <c r="W1244" i="1"/>
  <c r="Y920" i="18"/>
  <c r="Y936" i="18"/>
  <c r="Y1260" i="18"/>
  <c r="W1269" i="1"/>
  <c r="Q1269" i="1"/>
  <c r="R1269" i="1"/>
  <c r="S1269" i="1"/>
  <c r="W1277" i="1"/>
  <c r="Q1277" i="1"/>
  <c r="R1277" i="1"/>
  <c r="S1277" i="1"/>
  <c r="W1285" i="1"/>
  <c r="Q1285" i="1"/>
  <c r="R1285" i="1"/>
  <c r="S1285" i="1"/>
  <c r="W1293" i="1"/>
  <c r="Q1293" i="1"/>
  <c r="R1293" i="1"/>
  <c r="S1293" i="1"/>
  <c r="W1301" i="1"/>
  <c r="Q1301" i="1"/>
  <c r="R1301" i="1"/>
  <c r="S1301" i="1"/>
  <c r="W1309" i="1"/>
  <c r="Q1309" i="1"/>
  <c r="R1309" i="1"/>
  <c r="S1309" i="1"/>
  <c r="W1317" i="1"/>
  <c r="Q1317" i="1"/>
  <c r="R1317" i="1"/>
  <c r="S1317" i="1"/>
  <c r="W1325" i="1"/>
  <c r="Q1325" i="1"/>
  <c r="R1325" i="1"/>
  <c r="S1325" i="1"/>
  <c r="W1333" i="1"/>
  <c r="Q1333" i="1"/>
  <c r="R1333" i="1"/>
  <c r="S1333" i="1"/>
  <c r="W1341" i="1"/>
  <c r="Q1341" i="1"/>
  <c r="R1341" i="1"/>
  <c r="S1341" i="1"/>
  <c r="W1349" i="1"/>
  <c r="Q1349" i="1"/>
  <c r="R1349" i="1"/>
  <c r="S1349" i="1"/>
  <c r="W1357" i="1"/>
  <c r="Q1357" i="1"/>
  <c r="R1357" i="1"/>
  <c r="S1357" i="1"/>
  <c r="T890" i="18"/>
  <c r="R1161" i="1"/>
  <c r="S1161" i="1"/>
  <c r="W1161" i="1"/>
  <c r="Q1161" i="1"/>
  <c r="W934" i="1"/>
  <c r="Q934" i="1"/>
  <c r="R934" i="1"/>
  <c r="S934" i="1"/>
  <c r="T945" i="18"/>
  <c r="Q1062" i="1"/>
  <c r="R1062" i="1"/>
  <c r="S1062" i="1"/>
  <c r="W1062" i="1"/>
  <c r="Q1078" i="1"/>
  <c r="R1078" i="1"/>
  <c r="S1078" i="1"/>
  <c r="W1078" i="1"/>
  <c r="Q1094" i="1"/>
  <c r="R1094" i="1"/>
  <c r="S1094" i="1"/>
  <c r="W1094" i="1"/>
  <c r="Q1110" i="1"/>
  <c r="R1110" i="1"/>
  <c r="S1110" i="1"/>
  <c r="W1110" i="1"/>
  <c r="Q1126" i="1"/>
  <c r="R1126" i="1"/>
  <c r="S1126" i="1"/>
  <c r="W1126" i="1"/>
  <c r="Q1142" i="1"/>
  <c r="R1142" i="1"/>
  <c r="S1142" i="1"/>
  <c r="W1142" i="1"/>
  <c r="S1166" i="1"/>
  <c r="W1166" i="1"/>
  <c r="R1166" i="1"/>
  <c r="Q1166" i="1"/>
  <c r="S1174" i="1"/>
  <c r="W1174" i="1"/>
  <c r="R1174" i="1"/>
  <c r="Q1174" i="1"/>
  <c r="S1182" i="1"/>
  <c r="W1182" i="1"/>
  <c r="R1182" i="1"/>
  <c r="Q1182" i="1"/>
  <c r="S1190" i="1"/>
  <c r="W1190" i="1"/>
  <c r="R1190" i="1"/>
  <c r="Q1190" i="1"/>
  <c r="S1198" i="1"/>
  <c r="W1198" i="1"/>
  <c r="R1198" i="1"/>
  <c r="Q1198" i="1"/>
  <c r="S1206" i="1"/>
  <c r="W1206" i="1"/>
  <c r="R1206" i="1"/>
  <c r="Q1206" i="1"/>
  <c r="S1214" i="1"/>
  <c r="W1214" i="1"/>
  <c r="R1214" i="1"/>
  <c r="Q1214" i="1"/>
  <c r="S1228" i="1"/>
  <c r="R1228" i="1"/>
  <c r="W1228" i="1"/>
  <c r="Q1228" i="1"/>
  <c r="R1246" i="1"/>
  <c r="S1246" i="1"/>
  <c r="W1246" i="1"/>
  <c r="Q1246" i="1"/>
  <c r="Q1259" i="1"/>
  <c r="R1259" i="1"/>
  <c r="S1259" i="1"/>
  <c r="W1259" i="1"/>
  <c r="T1545" i="18"/>
  <c r="T1553" i="18"/>
  <c r="Q1628" i="1"/>
  <c r="R1628" i="1"/>
  <c r="S1628" i="1"/>
  <c r="W1628" i="1"/>
  <c r="Y1649" i="18"/>
  <c r="W1446" i="1"/>
  <c r="Q1446" i="1"/>
  <c r="S1446" i="1"/>
  <c r="R1446" i="1"/>
  <c r="W1380" i="1"/>
  <c r="Q1380" i="1"/>
  <c r="R1380" i="1"/>
  <c r="S1380" i="1"/>
  <c r="W1396" i="1"/>
  <c r="Q1396" i="1"/>
  <c r="R1396" i="1"/>
  <c r="S1396" i="1"/>
  <c r="W1412" i="1"/>
  <c r="Q1412" i="1"/>
  <c r="R1412" i="1"/>
  <c r="S1412" i="1"/>
  <c r="W1428" i="1"/>
  <c r="Q1428" i="1"/>
  <c r="R1428" i="1"/>
  <c r="S1428" i="1"/>
  <c r="W1449" i="1"/>
  <c r="Q1449" i="1"/>
  <c r="S1449" i="1"/>
  <c r="R1449" i="1"/>
  <c r="W1460" i="1"/>
  <c r="S1460" i="1"/>
  <c r="Q1460" i="1"/>
  <c r="R1460" i="1"/>
  <c r="W1468" i="1"/>
  <c r="S1468" i="1"/>
  <c r="Q1468" i="1"/>
  <c r="R1468" i="1"/>
  <c r="W1476" i="1"/>
  <c r="S1476" i="1"/>
  <c r="Q1476" i="1"/>
  <c r="R1476" i="1"/>
  <c r="W1484" i="1"/>
  <c r="S1484" i="1"/>
  <c r="Q1484" i="1"/>
  <c r="R1484" i="1"/>
  <c r="W1492" i="1"/>
  <c r="S1492" i="1"/>
  <c r="Q1492" i="1"/>
  <c r="R1492" i="1"/>
  <c r="W1500" i="1"/>
  <c r="S1500" i="1"/>
  <c r="Q1500" i="1"/>
  <c r="R1500" i="1"/>
  <c r="W1508" i="1"/>
  <c r="S1508" i="1"/>
  <c r="Q1508" i="1"/>
  <c r="R1508" i="1"/>
  <c r="W1516" i="1"/>
  <c r="S1516" i="1"/>
  <c r="Q1516" i="1"/>
  <c r="R1516" i="1"/>
  <c r="W1524" i="1"/>
  <c r="S1524" i="1"/>
  <c r="Q1524" i="1"/>
  <c r="R1524" i="1"/>
  <c r="W1532" i="1"/>
  <c r="S1532" i="1"/>
  <c r="Q1532" i="1"/>
  <c r="R1532" i="1"/>
  <c r="W1540" i="1"/>
  <c r="S1540" i="1"/>
  <c r="Q1540" i="1"/>
  <c r="R1540" i="1"/>
  <c r="Y1556" i="18"/>
  <c r="S1638" i="1"/>
  <c r="W1638" i="1"/>
  <c r="Q1638" i="1"/>
  <c r="R1638" i="1"/>
  <c r="S1689" i="1"/>
  <c r="W1689" i="1"/>
  <c r="Q1689" i="1"/>
  <c r="R1689" i="1"/>
  <c r="S1697" i="1"/>
  <c r="W1697" i="1"/>
  <c r="Q1697" i="1"/>
  <c r="R1697" i="1"/>
  <c r="S1705" i="1"/>
  <c r="W1705" i="1"/>
  <c r="Q1705" i="1"/>
  <c r="R1705" i="1"/>
  <c r="S1713" i="1"/>
  <c r="W1713" i="1"/>
  <c r="Q1713" i="1"/>
  <c r="R1713" i="1"/>
  <c r="S1746" i="1"/>
  <c r="W1746" i="1"/>
  <c r="Q1746" i="1"/>
  <c r="P1747" i="1"/>
  <c r="R1746" i="1"/>
  <c r="P1748" i="1"/>
  <c r="S1763" i="1"/>
  <c r="W1763" i="1"/>
  <c r="Q1763" i="1"/>
  <c r="R1763" i="1"/>
  <c r="Y1786" i="18"/>
  <c r="W1369" i="1"/>
  <c r="Q1369" i="1"/>
  <c r="R1369" i="1"/>
  <c r="S1369" i="1"/>
  <c r="W1385" i="1"/>
  <c r="Q1385" i="1"/>
  <c r="R1385" i="1"/>
  <c r="S1385" i="1"/>
  <c r="W1401" i="1"/>
  <c r="Q1401" i="1"/>
  <c r="R1401" i="1"/>
  <c r="S1401" i="1"/>
  <c r="W1417" i="1"/>
  <c r="Q1417" i="1"/>
  <c r="R1417" i="1"/>
  <c r="S1417" i="1"/>
  <c r="W1433" i="1"/>
  <c r="Q1433" i="1"/>
  <c r="R1433" i="1"/>
  <c r="S1433" i="1"/>
  <c r="Y1752" i="18"/>
  <c r="Y1666" i="18"/>
  <c r="Y1682" i="18"/>
  <c r="Q1756" i="1"/>
  <c r="R1756" i="1"/>
  <c r="S1756" i="1"/>
  <c r="Y1861" i="18"/>
  <c r="T1597" i="18"/>
  <c r="T1613" i="18"/>
  <c r="Q1651" i="1"/>
  <c r="R1651" i="1"/>
  <c r="S1651" i="1"/>
  <c r="T1677" i="18"/>
  <c r="Y1728" i="18"/>
  <c r="Y1831" i="18"/>
  <c r="Y1873" i="18"/>
  <c r="Y2033" i="18"/>
  <c r="Y2104" i="18"/>
  <c r="Y2154" i="18"/>
  <c r="Y2225" i="18"/>
  <c r="Y2316" i="18"/>
  <c r="Y1654" i="18"/>
  <c r="Y1664" i="18"/>
  <c r="Y1680" i="18"/>
  <c r="Y1795" i="18"/>
  <c r="Y1822" i="18"/>
  <c r="Q1853" i="1"/>
  <c r="R1853" i="1"/>
  <c r="S1853" i="1"/>
  <c r="Y1923" i="18"/>
  <c r="Y2065" i="18"/>
  <c r="Q2155" i="1"/>
  <c r="P2156" i="1"/>
  <c r="R2155" i="1"/>
  <c r="P2157" i="1"/>
  <c r="S2155" i="1"/>
  <c r="P2158" i="1"/>
  <c r="W2155" i="1"/>
  <c r="T1726" i="18"/>
  <c r="T1788" i="18"/>
  <c r="Y1819" i="18"/>
  <c r="Y2025" i="18"/>
  <c r="Y2106" i="18"/>
  <c r="Y1670" i="18"/>
  <c r="Y1686" i="18"/>
  <c r="T1743" i="18"/>
  <c r="T1880" i="18"/>
  <c r="Y1919" i="18"/>
  <c r="Y2015" i="18"/>
  <c r="Y2097" i="18"/>
  <c r="Y2238" i="18"/>
  <c r="Y1601" i="18"/>
  <c r="T1673" i="18"/>
  <c r="Y1724" i="18"/>
  <c r="T1782" i="18"/>
  <c r="Y1862" i="18"/>
  <c r="Y1953" i="18"/>
  <c r="Y2006" i="18"/>
  <c r="S2068" i="1"/>
  <c r="P2071" i="1"/>
  <c r="P2072" i="1"/>
  <c r="W2068" i="1"/>
  <c r="Q2068" i="1"/>
  <c r="P2069" i="1"/>
  <c r="R2068" i="1"/>
  <c r="P2070" i="1"/>
  <c r="Y2160" i="18"/>
  <c r="Y2210" i="18"/>
  <c r="S2311" i="1"/>
  <c r="P2314" i="1"/>
  <c r="P2315" i="1"/>
  <c r="R2311" i="1"/>
  <c r="P2313" i="1"/>
  <c r="W2311" i="1"/>
  <c r="P2316" i="1"/>
  <c r="P2312" i="1"/>
  <c r="Q2311" i="1"/>
  <c r="T1566" i="18"/>
  <c r="T1574" i="18"/>
  <c r="T1582" i="18"/>
  <c r="T1590" i="18"/>
  <c r="T1604" i="18"/>
  <c r="T1735" i="18"/>
  <c r="Q1801" i="1"/>
  <c r="R1801" i="1"/>
  <c r="S1801" i="1"/>
  <c r="S1828" i="1"/>
  <c r="Q1828" i="1"/>
  <c r="R1828" i="1"/>
  <c r="Y2119" i="18"/>
  <c r="Y2183" i="18"/>
  <c r="Y1607" i="18"/>
  <c r="T1663" i="18"/>
  <c r="T1679" i="18"/>
  <c r="Y1730" i="18"/>
  <c r="Y2162" i="18"/>
  <c r="Y2192" i="18"/>
  <c r="Y2280" i="18"/>
  <c r="Q2304" i="1"/>
  <c r="S2304" i="1"/>
  <c r="R2304" i="1"/>
  <c r="Q2353" i="1"/>
  <c r="R2353" i="1"/>
  <c r="S2353" i="1"/>
  <c r="Q2445" i="1"/>
  <c r="R2445" i="1"/>
  <c r="S2445" i="1"/>
  <c r="T1916" i="18"/>
  <c r="Y2008" i="18"/>
  <c r="S2077" i="1"/>
  <c r="Q2077" i="1"/>
  <c r="R2077" i="1"/>
  <c r="S2264" i="1"/>
  <c r="T2351" i="18"/>
  <c r="Y2418" i="18"/>
  <c r="T2443" i="18"/>
  <c r="Y1936" i="18"/>
  <c r="Q2050" i="1"/>
  <c r="R2050" i="1"/>
  <c r="S2050" i="1"/>
  <c r="Q2166" i="1"/>
  <c r="R2166" i="1"/>
  <c r="S2166" i="1"/>
  <c r="R2240" i="1"/>
  <c r="S2240" i="1"/>
  <c r="Q2240" i="1"/>
  <c r="Y2351" i="18"/>
  <c r="W2482" i="1"/>
  <c r="Q2482" i="1"/>
  <c r="R2482" i="1"/>
  <c r="S2482" i="1"/>
  <c r="W2490" i="1"/>
  <c r="Q2490" i="1"/>
  <c r="R2490" i="1"/>
  <c r="S2490" i="1"/>
  <c r="W2498" i="1"/>
  <c r="Q2498" i="1"/>
  <c r="R2498" i="1"/>
  <c r="S2498" i="1"/>
  <c r="W2522" i="1"/>
  <c r="Q2522" i="1"/>
  <c r="R2522" i="1"/>
  <c r="S2522" i="1"/>
  <c r="W2530" i="1"/>
  <c r="Q2530" i="1"/>
  <c r="R2530" i="1"/>
  <c r="S2530" i="1"/>
  <c r="W2538" i="1"/>
  <c r="Q2538" i="1"/>
  <c r="R2538" i="1"/>
  <c r="S2538" i="1"/>
  <c r="W2546" i="1"/>
  <c r="Q2546" i="1"/>
  <c r="R2546" i="1"/>
  <c r="S2546" i="1"/>
  <c r="R1963" i="1"/>
  <c r="Y2024" i="18"/>
  <c r="Q2094" i="1"/>
  <c r="R2094" i="1"/>
  <c r="S2094" i="1"/>
  <c r="W2391" i="1"/>
  <c r="Q2391" i="1"/>
  <c r="P2392" i="1"/>
  <c r="R2391" i="1"/>
  <c r="P2393" i="1"/>
  <c r="S2391" i="1"/>
  <c r="P2394" i="1"/>
  <c r="Q2421" i="1"/>
  <c r="R2421" i="1"/>
  <c r="S2421" i="1"/>
  <c r="Y2460" i="18"/>
  <c r="T1976" i="18"/>
  <c r="Y1996" i="18"/>
  <c r="Q2273" i="1"/>
  <c r="P2274" i="1"/>
  <c r="R2273" i="1"/>
  <c r="P2275" i="1"/>
  <c r="W2273" i="1"/>
  <c r="P2276" i="1"/>
  <c r="S2273" i="1"/>
  <c r="Y2309" i="18"/>
  <c r="Q1965" i="1"/>
  <c r="R1965" i="1"/>
  <c r="S1965" i="1"/>
  <c r="Y2083" i="18"/>
  <c r="Q2100" i="1"/>
  <c r="R2100" i="1"/>
  <c r="S2100" i="1"/>
  <c r="Y2290" i="18"/>
  <c r="Q1981" i="1"/>
  <c r="R1981" i="1"/>
  <c r="S1981" i="1"/>
  <c r="Q2196" i="1"/>
  <c r="R2196" i="1"/>
  <c r="S2196" i="1"/>
  <c r="Y2511" i="18"/>
  <c r="T2211" i="18"/>
  <c r="T2335" i="18"/>
  <c r="Q2369" i="1"/>
  <c r="R2369" i="1"/>
  <c r="S2369" i="1"/>
  <c r="T2503" i="18"/>
  <c r="Y2327" i="18"/>
  <c r="S2349" i="1"/>
  <c r="Q2349" i="1"/>
  <c r="R2349" i="1"/>
  <c r="T2501" i="18"/>
  <c r="Y2468" i="18"/>
  <c r="T2513" i="18"/>
  <c r="W183" i="1"/>
  <c r="Q362" i="1"/>
  <c r="R362" i="1"/>
  <c r="S362" i="1"/>
  <c r="Y106" i="18"/>
  <c r="T99" i="18"/>
  <c r="Y473" i="18"/>
  <c r="S266" i="1"/>
  <c r="P269" i="1"/>
  <c r="P270" i="1"/>
  <c r="W266" i="1"/>
  <c r="Q266" i="1"/>
  <c r="P267" i="1"/>
  <c r="R266" i="1"/>
  <c r="P268" i="1"/>
  <c r="S378" i="1"/>
  <c r="P381" i="1"/>
  <c r="P382" i="1"/>
  <c r="W378" i="1"/>
  <c r="P383" i="1"/>
  <c r="Q378" i="1"/>
  <c r="P379" i="1"/>
  <c r="R378" i="1"/>
  <c r="P380" i="1"/>
  <c r="Q64" i="1"/>
  <c r="R64" i="1"/>
  <c r="S64" i="1"/>
  <c r="W64" i="1"/>
  <c r="Q160" i="1"/>
  <c r="P161" i="1"/>
  <c r="R160" i="1"/>
  <c r="P162" i="1"/>
  <c r="S160" i="1"/>
  <c r="W160" i="1"/>
  <c r="Q146" i="1"/>
  <c r="R146" i="1"/>
  <c r="S146" i="1"/>
  <c r="T279" i="18"/>
  <c r="Q630" i="1"/>
  <c r="R630" i="1"/>
  <c r="S630" i="1"/>
  <c r="W630" i="1"/>
  <c r="Y788" i="18"/>
  <c r="Q607" i="1"/>
  <c r="R607" i="1"/>
  <c r="S607" i="1"/>
  <c r="W607" i="1"/>
  <c r="Y722" i="18"/>
  <c r="Q796" i="1"/>
  <c r="R796" i="1"/>
  <c r="S796" i="1"/>
  <c r="W796" i="1"/>
  <c r="Q804" i="1"/>
  <c r="R804" i="1"/>
  <c r="S804" i="1"/>
  <c r="W804" i="1"/>
  <c r="Y820" i="18"/>
  <c r="W833" i="1"/>
  <c r="Q833" i="1"/>
  <c r="R833" i="1"/>
  <c r="S833" i="1"/>
  <c r="W849" i="1"/>
  <c r="Q849" i="1"/>
  <c r="R849" i="1"/>
  <c r="S849" i="1"/>
  <c r="W865" i="1"/>
  <c r="Q865" i="1"/>
  <c r="R865" i="1"/>
  <c r="S865" i="1"/>
  <c r="T242" i="18"/>
  <c r="Q562" i="1"/>
  <c r="R562" i="1"/>
  <c r="S562" i="1"/>
  <c r="W562" i="1"/>
  <c r="Q1052" i="1"/>
  <c r="R1052" i="1"/>
  <c r="S1052" i="1"/>
  <c r="W1052" i="1"/>
  <c r="Q119" i="1"/>
  <c r="R119" i="1"/>
  <c r="S119" i="1"/>
  <c r="W119" i="1"/>
  <c r="Y150" i="18"/>
  <c r="Q200" i="1"/>
  <c r="S200" i="1"/>
  <c r="W200" i="1"/>
  <c r="R200" i="1"/>
  <c r="Q77" i="1"/>
  <c r="R77" i="1"/>
  <c r="S77" i="1"/>
  <c r="W77" i="1"/>
  <c r="Q85" i="1"/>
  <c r="R85" i="1"/>
  <c r="S85" i="1"/>
  <c r="W85" i="1"/>
  <c r="Y152" i="18"/>
  <c r="Q21" i="1"/>
  <c r="R21" i="1"/>
  <c r="S21" i="1"/>
  <c r="W21" i="1"/>
  <c r="Q29" i="1"/>
  <c r="R29" i="1"/>
  <c r="S29" i="1"/>
  <c r="W29" i="1"/>
  <c r="Q37" i="1"/>
  <c r="R37" i="1"/>
  <c r="S37" i="1"/>
  <c r="W37" i="1"/>
  <c r="T140" i="18"/>
  <c r="Q170" i="1"/>
  <c r="R170" i="1"/>
  <c r="S170" i="1"/>
  <c r="T360" i="18"/>
  <c r="Q450" i="1"/>
  <c r="P451" i="1"/>
  <c r="R450" i="1"/>
  <c r="P452" i="1"/>
  <c r="S450" i="1"/>
  <c r="P453" i="1"/>
  <c r="P454" i="1"/>
  <c r="W450" i="1"/>
  <c r="P455" i="1"/>
  <c r="Y479" i="18"/>
  <c r="T94" i="18"/>
  <c r="T102" i="18"/>
  <c r="T110" i="18"/>
  <c r="T129" i="18"/>
  <c r="Q198" i="1"/>
  <c r="R198" i="1"/>
  <c r="S198" i="1"/>
  <c r="Y461" i="18"/>
  <c r="Q523" i="1"/>
  <c r="R523" i="1"/>
  <c r="S523" i="1"/>
  <c r="W523" i="1"/>
  <c r="Q531" i="1"/>
  <c r="R531" i="1"/>
  <c r="S531" i="1"/>
  <c r="W531" i="1"/>
  <c r="Q547" i="1"/>
  <c r="R547" i="1"/>
  <c r="S547" i="1"/>
  <c r="W547" i="1"/>
  <c r="Y188" i="18"/>
  <c r="W209" i="1"/>
  <c r="Q209" i="1"/>
  <c r="R209" i="1"/>
  <c r="S209" i="1"/>
  <c r="Y274" i="18"/>
  <c r="Y328" i="18"/>
  <c r="Y376" i="18"/>
  <c r="Q573" i="1"/>
  <c r="R573" i="1"/>
  <c r="W573" i="1"/>
  <c r="S573" i="1"/>
  <c r="T185" i="18"/>
  <c r="Y512" i="18"/>
  <c r="Y165" i="18"/>
  <c r="S251" i="1"/>
  <c r="W251" i="1"/>
  <c r="Q251" i="1"/>
  <c r="R251" i="1"/>
  <c r="Y267" i="18"/>
  <c r="Y321" i="18"/>
  <c r="Y379" i="18"/>
  <c r="Y427" i="18"/>
  <c r="Y475" i="18"/>
  <c r="Y186" i="18"/>
  <c r="T157" i="18"/>
  <c r="T216" i="18"/>
  <c r="T227" i="18"/>
  <c r="Y282" i="18"/>
  <c r="S310" i="1"/>
  <c r="Q310" i="1"/>
  <c r="R310" i="1"/>
  <c r="Q389" i="1"/>
  <c r="R389" i="1"/>
  <c r="S389" i="1"/>
  <c r="Q439" i="1"/>
  <c r="R439" i="1"/>
  <c r="S439" i="1"/>
  <c r="Q281" i="1"/>
  <c r="R281" i="1"/>
  <c r="S281" i="1"/>
  <c r="Q304" i="1"/>
  <c r="R304" i="1"/>
  <c r="S304" i="1"/>
  <c r="Q623" i="1"/>
  <c r="R623" i="1"/>
  <c r="S623" i="1"/>
  <c r="W623" i="1"/>
  <c r="Q631" i="1"/>
  <c r="R631" i="1"/>
  <c r="S631" i="1"/>
  <c r="W631" i="1"/>
  <c r="Q639" i="1"/>
  <c r="R639" i="1"/>
  <c r="S639" i="1"/>
  <c r="W639" i="1"/>
  <c r="Y681" i="18"/>
  <c r="Y750" i="18"/>
  <c r="Q356" i="1"/>
  <c r="R356" i="1"/>
  <c r="S356" i="1"/>
  <c r="Q608" i="1"/>
  <c r="P609" i="1"/>
  <c r="R608" i="1"/>
  <c r="P610" i="1"/>
  <c r="S608" i="1"/>
  <c r="P611" i="1"/>
  <c r="W608" i="1"/>
  <c r="Q698" i="1"/>
  <c r="R698" i="1"/>
  <c r="S698" i="1"/>
  <c r="W698" i="1"/>
  <c r="Y732" i="18"/>
  <c r="Y770" i="18"/>
  <c r="Q789" i="1"/>
  <c r="R789" i="1"/>
  <c r="S789" i="1"/>
  <c r="W789" i="1"/>
  <c r="Q797" i="1"/>
  <c r="R797" i="1"/>
  <c r="S797" i="1"/>
  <c r="W797" i="1"/>
  <c r="Q805" i="1"/>
  <c r="R805" i="1"/>
  <c r="S805" i="1"/>
  <c r="W805" i="1"/>
  <c r="Q813" i="1"/>
  <c r="R813" i="1"/>
  <c r="S813" i="1"/>
  <c r="W813" i="1"/>
  <c r="Y861" i="18"/>
  <c r="W834" i="1"/>
  <c r="Q834" i="1"/>
  <c r="R834" i="1"/>
  <c r="S834" i="1"/>
  <c r="W842" i="1"/>
  <c r="Q842" i="1"/>
  <c r="R842" i="1"/>
  <c r="S842" i="1"/>
  <c r="W850" i="1"/>
  <c r="Q850" i="1"/>
  <c r="R850" i="1"/>
  <c r="S850" i="1"/>
  <c r="Q866" i="1"/>
  <c r="R866" i="1"/>
  <c r="S866" i="1"/>
  <c r="W866" i="1"/>
  <c r="Q874" i="1"/>
  <c r="R874" i="1"/>
  <c r="S874" i="1"/>
  <c r="W874" i="1"/>
  <c r="Y237" i="18"/>
  <c r="T291" i="18"/>
  <c r="Q346" i="1"/>
  <c r="R346" i="1"/>
  <c r="S346" i="1"/>
  <c r="T396" i="18"/>
  <c r="Q449" i="1"/>
  <c r="R449" i="1"/>
  <c r="S449" i="1"/>
  <c r="T486" i="18"/>
  <c r="Q315" i="1"/>
  <c r="R315" i="1"/>
  <c r="S315" i="1"/>
  <c r="T336" i="18"/>
  <c r="Y775" i="18"/>
  <c r="Q264" i="1"/>
  <c r="R264" i="1"/>
  <c r="S264" i="1"/>
  <c r="Q394" i="1"/>
  <c r="R394" i="1"/>
  <c r="S394" i="1"/>
  <c r="T648" i="18"/>
  <c r="Q780" i="1"/>
  <c r="R780" i="1"/>
  <c r="S780" i="1"/>
  <c r="Q857" i="1"/>
  <c r="R857" i="1"/>
  <c r="S857" i="1"/>
  <c r="Y591" i="18"/>
  <c r="Y689" i="18"/>
  <c r="Q721" i="1"/>
  <c r="R721" i="1"/>
  <c r="S721" i="1"/>
  <c r="S725" i="1"/>
  <c r="Q725" i="1"/>
  <c r="R725" i="1"/>
  <c r="Y826" i="18"/>
  <c r="Q981" i="1"/>
  <c r="R981" i="1"/>
  <c r="S981" i="1"/>
  <c r="W981" i="1"/>
  <c r="Q989" i="1"/>
  <c r="R989" i="1"/>
  <c r="S989" i="1"/>
  <c r="W989" i="1"/>
  <c r="Q997" i="1"/>
  <c r="R997" i="1"/>
  <c r="S997" i="1"/>
  <c r="W997" i="1"/>
  <c r="Q1005" i="1"/>
  <c r="R1005" i="1"/>
  <c r="S1005" i="1"/>
  <c r="W1005" i="1"/>
  <c r="Q1013" i="1"/>
  <c r="R1013" i="1"/>
  <c r="S1013" i="1"/>
  <c r="W1013" i="1"/>
  <c r="Q1021" i="1"/>
  <c r="R1021" i="1"/>
  <c r="S1021" i="1"/>
  <c r="W1021" i="1"/>
  <c r="Q1029" i="1"/>
  <c r="R1029" i="1"/>
  <c r="S1029" i="1"/>
  <c r="W1029" i="1"/>
  <c r="Q1037" i="1"/>
  <c r="R1037" i="1"/>
  <c r="S1037" i="1"/>
  <c r="W1037" i="1"/>
  <c r="Q1045" i="1"/>
  <c r="R1045" i="1"/>
  <c r="S1045" i="1"/>
  <c r="W1045" i="1"/>
  <c r="Q1053" i="1"/>
  <c r="R1053" i="1"/>
  <c r="S1053" i="1"/>
  <c r="W1053" i="1"/>
  <c r="Y646" i="18"/>
  <c r="Q708" i="1"/>
  <c r="R708" i="1"/>
  <c r="S708" i="1"/>
  <c r="Q709" i="1"/>
  <c r="R709" i="1"/>
  <c r="S709" i="1"/>
  <c r="Q730" i="1"/>
  <c r="R730" i="1"/>
  <c r="S730" i="1"/>
  <c r="Q542" i="1"/>
  <c r="R542" i="1"/>
  <c r="S542" i="1"/>
  <c r="T666" i="18"/>
  <c r="T686" i="18"/>
  <c r="Q756" i="1"/>
  <c r="R756" i="1"/>
  <c r="S756" i="1"/>
  <c r="Q757" i="1"/>
  <c r="R757" i="1"/>
  <c r="S757" i="1"/>
  <c r="Y913" i="18"/>
  <c r="Y603" i="18"/>
  <c r="Q749" i="1"/>
  <c r="R749" i="1"/>
  <c r="S749" i="1"/>
  <c r="Y613" i="18"/>
  <c r="Y659" i="18"/>
  <c r="O644" i="1"/>
  <c r="R676" i="1"/>
  <c r="S676" i="1"/>
  <c r="Q676" i="1"/>
  <c r="Y821" i="18"/>
  <c r="Y829" i="18"/>
  <c r="T914" i="18"/>
  <c r="T946" i="18"/>
  <c r="Y927" i="18"/>
  <c r="Y943" i="18"/>
  <c r="T898" i="18"/>
  <c r="T960" i="18"/>
  <c r="T968" i="18"/>
  <c r="Y889" i="18"/>
  <c r="Y957" i="18"/>
  <c r="Y965" i="18"/>
  <c r="Y973" i="18"/>
  <c r="T1257" i="18"/>
  <c r="W1270" i="1"/>
  <c r="Q1270" i="1"/>
  <c r="R1270" i="1"/>
  <c r="S1270" i="1"/>
  <c r="W1278" i="1"/>
  <c r="Q1278" i="1"/>
  <c r="R1278" i="1"/>
  <c r="S1278" i="1"/>
  <c r="W1286" i="1"/>
  <c r="Q1286" i="1"/>
  <c r="R1286" i="1"/>
  <c r="S1286" i="1"/>
  <c r="W1294" i="1"/>
  <c r="Q1294" i="1"/>
  <c r="R1294" i="1"/>
  <c r="S1294" i="1"/>
  <c r="W1302" i="1"/>
  <c r="Q1302" i="1"/>
  <c r="R1302" i="1"/>
  <c r="S1302" i="1"/>
  <c r="W1310" i="1"/>
  <c r="Q1310" i="1"/>
  <c r="R1310" i="1"/>
  <c r="S1310" i="1"/>
  <c r="W1318" i="1"/>
  <c r="Q1318" i="1"/>
  <c r="R1318" i="1"/>
  <c r="S1318" i="1"/>
  <c r="W1326" i="1"/>
  <c r="Q1326" i="1"/>
  <c r="R1326" i="1"/>
  <c r="S1326" i="1"/>
  <c r="W1334" i="1"/>
  <c r="Q1334" i="1"/>
  <c r="R1334" i="1"/>
  <c r="S1334" i="1"/>
  <c r="W1342" i="1"/>
  <c r="Q1342" i="1"/>
  <c r="R1342" i="1"/>
  <c r="S1342" i="1"/>
  <c r="W1350" i="1"/>
  <c r="Q1350" i="1"/>
  <c r="R1350" i="1"/>
  <c r="S1350" i="1"/>
  <c r="W1358" i="1"/>
  <c r="Q1358" i="1"/>
  <c r="R1358" i="1"/>
  <c r="S1358" i="1"/>
  <c r="T921" i="18"/>
  <c r="Y945" i="18"/>
  <c r="Y916" i="18"/>
  <c r="Y932" i="18"/>
  <c r="Y948" i="18"/>
  <c r="Q1629" i="1"/>
  <c r="R1629" i="1"/>
  <c r="S1629" i="1"/>
  <c r="W1629" i="1"/>
  <c r="Y1660" i="18"/>
  <c r="Y1557" i="18"/>
  <c r="R1847" i="1"/>
  <c r="S1639" i="1"/>
  <c r="W1639" i="1"/>
  <c r="Q1639" i="1"/>
  <c r="R1639" i="1"/>
  <c r="S1690" i="1"/>
  <c r="W1690" i="1"/>
  <c r="Q1690" i="1"/>
  <c r="R1690" i="1"/>
  <c r="S1698" i="1"/>
  <c r="W1698" i="1"/>
  <c r="Q1698" i="1"/>
  <c r="R1698" i="1"/>
  <c r="S1706" i="1"/>
  <c r="W1706" i="1"/>
  <c r="Q1706" i="1"/>
  <c r="R1706" i="1"/>
  <c r="S1714" i="1"/>
  <c r="W1714" i="1"/>
  <c r="Q1714" i="1"/>
  <c r="R1714" i="1"/>
  <c r="Y1747" i="18"/>
  <c r="S1764" i="1"/>
  <c r="W1764" i="1"/>
  <c r="Q1764" i="1"/>
  <c r="R1764" i="1"/>
  <c r="Y1559" i="18"/>
  <c r="Y1567" i="18"/>
  <c r="Y1575" i="18"/>
  <c r="Y1583" i="18"/>
  <c r="Y1591" i="18"/>
  <c r="Y1602" i="18"/>
  <c r="T1674" i="18"/>
  <c r="Y1725" i="18"/>
  <c r="Y1736" i="18"/>
  <c r="T1728" i="18"/>
  <c r="S1806" i="1"/>
  <c r="Q1806" i="1"/>
  <c r="R1806" i="1"/>
  <c r="R1834" i="1"/>
  <c r="S1834" i="1"/>
  <c r="Q1834" i="1"/>
  <c r="Y1969" i="18"/>
  <c r="Q2053" i="1"/>
  <c r="P2054" i="1"/>
  <c r="R2053" i="1"/>
  <c r="P2055" i="1"/>
  <c r="S2053" i="1"/>
  <c r="P2056" i="1"/>
  <c r="P2057" i="1"/>
  <c r="W2053" i="1"/>
  <c r="Y2164" i="18"/>
  <c r="Y2235" i="18"/>
  <c r="Y2326" i="18"/>
  <c r="Q1657" i="1"/>
  <c r="R1657" i="1"/>
  <c r="S1657" i="1"/>
  <c r="T1672" i="18"/>
  <c r="Y1723" i="18"/>
  <c r="R1818" i="1"/>
  <c r="S1818" i="1"/>
  <c r="Q1818" i="1"/>
  <c r="Q2012" i="1"/>
  <c r="P2013" i="1"/>
  <c r="R2012" i="1"/>
  <c r="P2014" i="1"/>
  <c r="S2012" i="1"/>
  <c r="P2015" i="1"/>
  <c r="W2012" i="1"/>
  <c r="Y2075" i="18"/>
  <c r="Y2156" i="18"/>
  <c r="Q1790" i="1"/>
  <c r="R1790" i="1"/>
  <c r="S1790" i="1"/>
  <c r="Q1822" i="1"/>
  <c r="R1822" i="1"/>
  <c r="S1822" i="1"/>
  <c r="Y2035" i="18"/>
  <c r="Y1561" i="18"/>
  <c r="Y1569" i="18"/>
  <c r="Y1577" i="18"/>
  <c r="Y1585" i="18"/>
  <c r="Y1598" i="18"/>
  <c r="Y1614" i="18"/>
  <c r="T1662" i="18"/>
  <c r="T1678" i="18"/>
  <c r="S1745" i="1"/>
  <c r="Q1745" i="1"/>
  <c r="R1745" i="1"/>
  <c r="R1882" i="1"/>
  <c r="S1882" i="1"/>
  <c r="Q1882" i="1"/>
  <c r="Y1922" i="18"/>
  <c r="W2036" i="1"/>
  <c r="Q2036" i="1"/>
  <c r="P2037" i="1"/>
  <c r="R2036" i="1"/>
  <c r="P2038" i="1"/>
  <c r="S2036" i="1"/>
  <c r="P2039" i="1"/>
  <c r="Y2107" i="18"/>
  <c r="Y2248" i="18"/>
  <c r="T1601" i="18"/>
  <c r="T1724" i="18"/>
  <c r="S1784" i="1"/>
  <c r="Q1784" i="1"/>
  <c r="R1784" i="1"/>
  <c r="Q1851" i="1"/>
  <c r="R1851" i="1"/>
  <c r="S1851" i="1"/>
  <c r="Y1891" i="18"/>
  <c r="S2016" i="1"/>
  <c r="P2019" i="1"/>
  <c r="W2016" i="1"/>
  <c r="Q2016" i="1"/>
  <c r="P2017" i="1"/>
  <c r="R2016" i="1"/>
  <c r="P2018" i="1"/>
  <c r="Y2069" i="18"/>
  <c r="Y2169" i="18"/>
  <c r="Y2220" i="18"/>
  <c r="Y2312" i="18"/>
  <c r="Q1873" i="1"/>
  <c r="R1873" i="1"/>
  <c r="S1873" i="1"/>
  <c r="Y2129" i="18"/>
  <c r="T1607" i="18"/>
  <c r="T1730" i="18"/>
  <c r="Y2245" i="18"/>
  <c r="Q1975" i="1"/>
  <c r="R1975" i="1"/>
  <c r="S1975" i="1"/>
  <c r="Q2011" i="1"/>
  <c r="R2011" i="1"/>
  <c r="S2011" i="1"/>
  <c r="Q2076" i="1"/>
  <c r="R2076" i="1"/>
  <c r="S2076" i="1"/>
  <c r="R2089" i="1"/>
  <c r="S2089" i="1"/>
  <c r="Q2089" i="1"/>
  <c r="Y2232" i="18"/>
  <c r="Q2397" i="1"/>
  <c r="R2397" i="1"/>
  <c r="S2397" i="1"/>
  <c r="Q2170" i="1"/>
  <c r="R2170" i="1"/>
  <c r="S2170" i="1"/>
  <c r="T2331" i="18"/>
  <c r="T2395" i="18"/>
  <c r="Q2447" i="1"/>
  <c r="R2447" i="1"/>
  <c r="S2447" i="1"/>
  <c r="Y1868" i="18"/>
  <c r="Y2383" i="18"/>
  <c r="W2483" i="1"/>
  <c r="Q2483" i="1"/>
  <c r="R2483" i="1"/>
  <c r="S2483" i="1"/>
  <c r="W2491" i="1"/>
  <c r="Q2491" i="1"/>
  <c r="R2491" i="1"/>
  <c r="S2491" i="1"/>
  <c r="W2499" i="1"/>
  <c r="N2556" i="1"/>
  <c r="W2523" i="1"/>
  <c r="Q2523" i="1"/>
  <c r="R2523" i="1"/>
  <c r="S2523" i="1"/>
  <c r="W2531" i="1"/>
  <c r="Q2531" i="1"/>
  <c r="R2531" i="1"/>
  <c r="S2531" i="1"/>
  <c r="W2539" i="1"/>
  <c r="Q2539" i="1"/>
  <c r="R2539" i="1"/>
  <c r="S2539" i="1"/>
  <c r="Y1944" i="18"/>
  <c r="R1995" i="1"/>
  <c r="S1995" i="1"/>
  <c r="Q1995" i="1"/>
  <c r="Y2255" i="18"/>
  <c r="Y2338" i="18"/>
  <c r="Y2392" i="18"/>
  <c r="Y2422" i="18"/>
  <c r="Q1999" i="1"/>
  <c r="R1999" i="1"/>
  <c r="S1999" i="1"/>
  <c r="R2210" i="1"/>
  <c r="S2210" i="1"/>
  <c r="Q2210" i="1"/>
  <c r="Q2321" i="1"/>
  <c r="Q1943" i="1"/>
  <c r="Q2029" i="1"/>
  <c r="R2029" i="1"/>
  <c r="S2029" i="1"/>
  <c r="S2087" i="1"/>
  <c r="Q2087" i="1"/>
  <c r="R2087" i="1"/>
  <c r="Y2121" i="18"/>
  <c r="T2221" i="18"/>
  <c r="Q2228" i="1"/>
  <c r="S2228" i="1"/>
  <c r="R2228" i="1"/>
  <c r="Q2244" i="1"/>
  <c r="R2244" i="1"/>
  <c r="S2244" i="1"/>
  <c r="Y2330" i="18"/>
  <c r="Q1969" i="1"/>
  <c r="R1969" i="1"/>
  <c r="S1969" i="1"/>
  <c r="Q2457" i="1"/>
  <c r="R2457" i="1"/>
  <c r="S2457" i="1"/>
  <c r="Y2469" i="18"/>
  <c r="Q2213" i="1"/>
  <c r="R2213" i="1"/>
  <c r="S2213" i="1"/>
  <c r="Q2337" i="1"/>
  <c r="R2337" i="1"/>
  <c r="S2337" i="1"/>
  <c r="Q2400" i="1"/>
  <c r="R2400" i="1"/>
  <c r="S2400" i="1"/>
  <c r="T2327" i="18"/>
  <c r="T2478" i="18"/>
  <c r="Y2465" i="18"/>
  <c r="Y2417" i="18"/>
  <c r="Q151" i="1"/>
  <c r="P152" i="1"/>
  <c r="R151" i="1"/>
  <c r="P153" i="1"/>
  <c r="S151" i="1"/>
  <c r="W151" i="1"/>
  <c r="Y413" i="18"/>
  <c r="Y264" i="18"/>
  <c r="T115" i="18"/>
  <c r="Y311" i="18"/>
  <c r="Y306" i="18"/>
  <c r="Q385" i="1"/>
  <c r="R385" i="1"/>
  <c r="S385" i="1"/>
  <c r="Q560" i="1"/>
  <c r="R560" i="1"/>
  <c r="S560" i="1"/>
  <c r="W560" i="1"/>
  <c r="Q638" i="1"/>
  <c r="R638" i="1"/>
  <c r="S638" i="1"/>
  <c r="W638" i="1"/>
  <c r="Y488" i="18"/>
  <c r="Q584" i="1"/>
  <c r="R584" i="1"/>
  <c r="S584" i="1"/>
  <c r="W584" i="1"/>
  <c r="Q697" i="1"/>
  <c r="R697" i="1"/>
  <c r="S697" i="1"/>
  <c r="W697" i="1"/>
  <c r="Y761" i="18"/>
  <c r="Q812" i="1"/>
  <c r="R812" i="1"/>
  <c r="S812" i="1"/>
  <c r="W812" i="1"/>
  <c r="R350" i="1"/>
  <c r="S350" i="1"/>
  <c r="Q350" i="1"/>
  <c r="W841" i="1"/>
  <c r="Q841" i="1"/>
  <c r="R841" i="1"/>
  <c r="S841" i="1"/>
  <c r="Q873" i="1"/>
  <c r="R873" i="1"/>
  <c r="W873" i="1"/>
  <c r="S873" i="1"/>
  <c r="Q1028" i="1"/>
  <c r="R1028" i="1"/>
  <c r="S1028" i="1"/>
  <c r="W1028" i="1"/>
  <c r="Q120" i="1"/>
  <c r="R120" i="1"/>
  <c r="S120" i="1"/>
  <c r="W120" i="1"/>
  <c r="Q70" i="1"/>
  <c r="R70" i="1"/>
  <c r="S70" i="1"/>
  <c r="W70" i="1"/>
  <c r="Q78" i="1"/>
  <c r="R78" i="1"/>
  <c r="S78" i="1"/>
  <c r="W78" i="1"/>
  <c r="Q86" i="1"/>
  <c r="R86" i="1"/>
  <c r="S86" i="1"/>
  <c r="W86" i="1"/>
  <c r="W163" i="1"/>
  <c r="Q163" i="1"/>
  <c r="S163" i="1"/>
  <c r="Q22" i="1"/>
  <c r="R22" i="1"/>
  <c r="S22" i="1"/>
  <c r="W22" i="1"/>
  <c r="Q30" i="1"/>
  <c r="R30" i="1"/>
  <c r="S30" i="1"/>
  <c r="W30" i="1"/>
  <c r="Q38" i="1"/>
  <c r="R38" i="1"/>
  <c r="S38" i="1"/>
  <c r="W38" i="1"/>
  <c r="T141" i="18"/>
  <c r="Y93" i="18"/>
  <c r="Y101" i="18"/>
  <c r="Y109" i="18"/>
  <c r="Y131" i="18"/>
  <c r="Q363" i="1"/>
  <c r="R363" i="1"/>
  <c r="S363" i="1"/>
  <c r="Y451" i="18"/>
  <c r="Y489" i="18"/>
  <c r="Y518" i="18"/>
  <c r="Q509" i="1"/>
  <c r="P510" i="1"/>
  <c r="R509" i="1"/>
  <c r="P511" i="1"/>
  <c r="S509" i="1"/>
  <c r="P512" i="1"/>
  <c r="P513" i="1"/>
  <c r="W509" i="1"/>
  <c r="Q524" i="1"/>
  <c r="R524" i="1"/>
  <c r="S524" i="1"/>
  <c r="W524" i="1"/>
  <c r="Q532" i="1"/>
  <c r="R532" i="1"/>
  <c r="S532" i="1"/>
  <c r="W532" i="1"/>
  <c r="Q548" i="1"/>
  <c r="R548" i="1"/>
  <c r="S548" i="1"/>
  <c r="W548" i="1"/>
  <c r="Y132" i="18"/>
  <c r="T188" i="18"/>
  <c r="T212" i="18"/>
  <c r="W285" i="1"/>
  <c r="Q285" i="1"/>
  <c r="P286" i="1"/>
  <c r="R285" i="1"/>
  <c r="P287" i="1"/>
  <c r="S285" i="1"/>
  <c r="Y338" i="18"/>
  <c r="Y386" i="18"/>
  <c r="Q574" i="1"/>
  <c r="R574" i="1"/>
  <c r="S574" i="1"/>
  <c r="W574" i="1"/>
  <c r="Y406" i="18"/>
  <c r="S223" i="1"/>
  <c r="W223" i="1"/>
  <c r="Q223" i="1"/>
  <c r="R223" i="1"/>
  <c r="S252" i="1"/>
  <c r="W252" i="1"/>
  <c r="Q252" i="1"/>
  <c r="R252" i="1"/>
  <c r="S276" i="1"/>
  <c r="W276" i="1"/>
  <c r="Q276" i="1"/>
  <c r="P277" i="1"/>
  <c r="R276" i="1"/>
  <c r="P278" i="1"/>
  <c r="S330" i="1"/>
  <c r="P333" i="1"/>
  <c r="P334" i="1"/>
  <c r="W330" i="1"/>
  <c r="P335" i="1"/>
  <c r="Q330" i="1"/>
  <c r="P331" i="1"/>
  <c r="R330" i="1"/>
  <c r="P332" i="1"/>
  <c r="Y388" i="18"/>
  <c r="Y436" i="18"/>
  <c r="Y484" i="18"/>
  <c r="T92" i="18"/>
  <c r="Y96" i="18"/>
  <c r="Y104" i="18"/>
  <c r="Y112" i="18"/>
  <c r="T186" i="18"/>
  <c r="Y145" i="18"/>
  <c r="Q159" i="1"/>
  <c r="R159" i="1"/>
  <c r="S159" i="1"/>
  <c r="Q361" i="1"/>
  <c r="R361" i="1"/>
  <c r="S361" i="1"/>
  <c r="T282" i="18"/>
  <c r="Q309" i="1"/>
  <c r="R309" i="1"/>
  <c r="S309" i="1"/>
  <c r="Y384" i="18"/>
  <c r="Q443" i="1"/>
  <c r="R443" i="1"/>
  <c r="S443" i="1"/>
  <c r="Q738" i="1"/>
  <c r="Q624" i="1"/>
  <c r="R624" i="1"/>
  <c r="S624" i="1"/>
  <c r="W624" i="1"/>
  <c r="Q632" i="1"/>
  <c r="R632" i="1"/>
  <c r="S632" i="1"/>
  <c r="W632" i="1"/>
  <c r="Q640" i="1"/>
  <c r="R640" i="1"/>
  <c r="S640" i="1"/>
  <c r="W640" i="1"/>
  <c r="Q711" i="1"/>
  <c r="P712" i="1"/>
  <c r="R711" i="1"/>
  <c r="P713" i="1"/>
  <c r="S711" i="1"/>
  <c r="P714" i="1"/>
  <c r="P715" i="1"/>
  <c r="W711" i="1"/>
  <c r="P716" i="1"/>
  <c r="Q759" i="1"/>
  <c r="P760" i="1"/>
  <c r="R759" i="1"/>
  <c r="P761" i="1"/>
  <c r="S759" i="1"/>
  <c r="P762" i="1"/>
  <c r="P763" i="1"/>
  <c r="W759" i="1"/>
  <c r="P764" i="1"/>
  <c r="T492" i="18"/>
  <c r="Q553" i="1"/>
  <c r="R553" i="1"/>
  <c r="S553" i="1"/>
  <c r="W553" i="1"/>
  <c r="Q578" i="1"/>
  <c r="R578" i="1"/>
  <c r="S578" i="1"/>
  <c r="W578" i="1"/>
  <c r="Q586" i="1"/>
  <c r="R586" i="1"/>
  <c r="S586" i="1"/>
  <c r="W586" i="1"/>
  <c r="Y609" i="18"/>
  <c r="Q699" i="1"/>
  <c r="R699" i="1"/>
  <c r="S699" i="1"/>
  <c r="W699" i="1"/>
  <c r="Y735" i="18"/>
  <c r="Q790" i="1"/>
  <c r="R790" i="1"/>
  <c r="S790" i="1"/>
  <c r="W790" i="1"/>
  <c r="Q798" i="1"/>
  <c r="R798" i="1"/>
  <c r="S798" i="1"/>
  <c r="W798" i="1"/>
  <c r="Q806" i="1"/>
  <c r="R806" i="1"/>
  <c r="S806" i="1"/>
  <c r="W806" i="1"/>
  <c r="Q814" i="1"/>
  <c r="R814" i="1"/>
  <c r="S814" i="1"/>
  <c r="W814" i="1"/>
  <c r="Y542" i="18"/>
  <c r="W835" i="1"/>
  <c r="Q835" i="1"/>
  <c r="R835" i="1"/>
  <c r="S835" i="1"/>
  <c r="W843" i="1"/>
  <c r="Q843" i="1"/>
  <c r="R843" i="1"/>
  <c r="S843" i="1"/>
  <c r="W851" i="1"/>
  <c r="Q851" i="1"/>
  <c r="R851" i="1"/>
  <c r="S851" i="1"/>
  <c r="Q867" i="1"/>
  <c r="R867" i="1"/>
  <c r="W867" i="1"/>
  <c r="S867" i="1"/>
  <c r="Q875" i="1"/>
  <c r="R875" i="1"/>
  <c r="W875" i="1"/>
  <c r="S875" i="1"/>
  <c r="Y294" i="18"/>
  <c r="P563" i="1"/>
  <c r="Q293" i="1"/>
  <c r="R293" i="1"/>
  <c r="S293" i="1"/>
  <c r="Q345" i="1"/>
  <c r="R345" i="1"/>
  <c r="S345" i="1"/>
  <c r="Q488" i="1"/>
  <c r="R488" i="1"/>
  <c r="S488" i="1"/>
  <c r="Y271" i="18"/>
  <c r="T312" i="18"/>
  <c r="Q338" i="1"/>
  <c r="R338" i="1"/>
  <c r="S338" i="1"/>
  <c r="Q555" i="1"/>
  <c r="R555" i="1"/>
  <c r="S555" i="1"/>
  <c r="W555" i="1"/>
  <c r="Q581" i="1"/>
  <c r="R581" i="1"/>
  <c r="W581" i="1"/>
  <c r="S581" i="1"/>
  <c r="Y589" i="18"/>
  <c r="T261" i="18"/>
  <c r="Q393" i="1"/>
  <c r="R393" i="1"/>
  <c r="S393" i="1"/>
  <c r="T777" i="18"/>
  <c r="T854" i="18"/>
  <c r="Q601" i="1"/>
  <c r="R601" i="1"/>
  <c r="S601" i="1"/>
  <c r="Y660" i="18"/>
  <c r="T689" i="18"/>
  <c r="Q720" i="1"/>
  <c r="R720" i="1"/>
  <c r="S720" i="1"/>
  <c r="T822" i="18"/>
  <c r="T830" i="18"/>
  <c r="Q982" i="1"/>
  <c r="R982" i="1"/>
  <c r="S982" i="1"/>
  <c r="W982" i="1"/>
  <c r="Q990" i="1"/>
  <c r="R990" i="1"/>
  <c r="S990" i="1"/>
  <c r="W990" i="1"/>
  <c r="Q998" i="1"/>
  <c r="R998" i="1"/>
  <c r="S998" i="1"/>
  <c r="W998" i="1"/>
  <c r="Q1006" i="1"/>
  <c r="R1006" i="1"/>
  <c r="S1006" i="1"/>
  <c r="W1006" i="1"/>
  <c r="Q1014" i="1"/>
  <c r="R1014" i="1"/>
  <c r="S1014" i="1"/>
  <c r="W1014" i="1"/>
  <c r="Q1022" i="1"/>
  <c r="R1022" i="1"/>
  <c r="S1022" i="1"/>
  <c r="W1022" i="1"/>
  <c r="Q1030" i="1"/>
  <c r="R1030" i="1"/>
  <c r="S1030" i="1"/>
  <c r="W1030" i="1"/>
  <c r="Q1038" i="1"/>
  <c r="R1038" i="1"/>
  <c r="S1038" i="1"/>
  <c r="W1038" i="1"/>
  <c r="Q1046" i="1"/>
  <c r="R1046" i="1"/>
  <c r="S1046" i="1"/>
  <c r="W1046" i="1"/>
  <c r="Q1054" i="1"/>
  <c r="R1054" i="1"/>
  <c r="S1054" i="1"/>
  <c r="W1054" i="1"/>
  <c r="Y620" i="18"/>
  <c r="T649" i="18"/>
  <c r="Y678" i="18"/>
  <c r="T705" i="18"/>
  <c r="S734" i="1"/>
  <c r="Q734" i="1"/>
  <c r="R734" i="1"/>
  <c r="T538" i="18"/>
  <c r="Y658" i="18"/>
  <c r="Q668" i="1"/>
  <c r="R668" i="1"/>
  <c r="S668" i="1"/>
  <c r="T753" i="18"/>
  <c r="Y827" i="18"/>
  <c r="Y894" i="18"/>
  <c r="W915" i="1"/>
  <c r="Q915" i="1"/>
  <c r="R915" i="1"/>
  <c r="S915" i="1"/>
  <c r="N2553" i="1"/>
  <c r="W947" i="1"/>
  <c r="Q947" i="1"/>
  <c r="R947" i="1"/>
  <c r="S947" i="1"/>
  <c r="Q606" i="1"/>
  <c r="R606" i="1"/>
  <c r="S606" i="1"/>
  <c r="T661" i="18"/>
  <c r="T925" i="18"/>
  <c r="T954" i="18"/>
  <c r="Y647" i="18"/>
  <c r="Q616" i="1"/>
  <c r="R616" i="1"/>
  <c r="S616" i="1"/>
  <c r="T659" i="18"/>
  <c r="T590" i="18"/>
  <c r="Y645" i="18"/>
  <c r="Y688" i="18"/>
  <c r="T825" i="18"/>
  <c r="T885" i="18"/>
  <c r="T919" i="18"/>
  <c r="T935" i="18"/>
  <c r="Y955" i="18"/>
  <c r="Y963" i="18"/>
  <c r="Y971" i="18"/>
  <c r="Q1067" i="1"/>
  <c r="R1067" i="1"/>
  <c r="S1067" i="1"/>
  <c r="W1067" i="1"/>
  <c r="Q1083" i="1"/>
  <c r="R1083" i="1"/>
  <c r="S1083" i="1"/>
  <c r="W1083" i="1"/>
  <c r="Q1099" i="1"/>
  <c r="R1099" i="1"/>
  <c r="S1099" i="1"/>
  <c r="W1099" i="1"/>
  <c r="Q1115" i="1"/>
  <c r="R1115" i="1"/>
  <c r="S1115" i="1"/>
  <c r="W1115" i="1"/>
  <c r="Q1131" i="1"/>
  <c r="R1131" i="1"/>
  <c r="S1131" i="1"/>
  <c r="W1131" i="1"/>
  <c r="R1146" i="1"/>
  <c r="S1146" i="1"/>
  <c r="W1146" i="1"/>
  <c r="Q1146" i="1"/>
  <c r="S1230" i="1"/>
  <c r="Q1230" i="1"/>
  <c r="R1230" i="1"/>
  <c r="W1230" i="1"/>
  <c r="Q1245" i="1"/>
  <c r="R1245" i="1"/>
  <c r="S1245" i="1"/>
  <c r="W1245" i="1"/>
  <c r="Q1064" i="1"/>
  <c r="R1064" i="1"/>
  <c r="S1064" i="1"/>
  <c r="W1064" i="1"/>
  <c r="Q1080" i="1"/>
  <c r="R1080" i="1"/>
  <c r="S1080" i="1"/>
  <c r="W1080" i="1"/>
  <c r="Q1096" i="1"/>
  <c r="R1096" i="1"/>
  <c r="S1096" i="1"/>
  <c r="W1096" i="1"/>
  <c r="Q1112" i="1"/>
  <c r="R1112" i="1"/>
  <c r="S1112" i="1"/>
  <c r="W1112" i="1"/>
  <c r="Q1128" i="1"/>
  <c r="R1128" i="1"/>
  <c r="S1128" i="1"/>
  <c r="W1128" i="1"/>
  <c r="R1144" i="1"/>
  <c r="S1144" i="1"/>
  <c r="W1144" i="1"/>
  <c r="Q1144" i="1"/>
  <c r="S1167" i="1"/>
  <c r="W1167" i="1"/>
  <c r="Q1167" i="1"/>
  <c r="R1167" i="1"/>
  <c r="S1175" i="1"/>
  <c r="W1175" i="1"/>
  <c r="Q1175" i="1"/>
  <c r="R1175" i="1"/>
  <c r="S1183" i="1"/>
  <c r="W1183" i="1"/>
  <c r="Q1183" i="1"/>
  <c r="R1183" i="1"/>
  <c r="S1191" i="1"/>
  <c r="W1191" i="1"/>
  <c r="Q1191" i="1"/>
  <c r="R1191" i="1"/>
  <c r="S1199" i="1"/>
  <c r="W1199" i="1"/>
  <c r="Q1199" i="1"/>
  <c r="R1199" i="1"/>
  <c r="S1207" i="1"/>
  <c r="W1207" i="1"/>
  <c r="Q1207" i="1"/>
  <c r="R1207" i="1"/>
  <c r="S1215" i="1"/>
  <c r="W1215" i="1"/>
  <c r="Q1215" i="1"/>
  <c r="R1215" i="1"/>
  <c r="Q1232" i="1"/>
  <c r="R1232" i="1"/>
  <c r="S1232" i="1"/>
  <c r="W1232" i="1"/>
  <c r="Q1248" i="1"/>
  <c r="R1248" i="1"/>
  <c r="S1248" i="1"/>
  <c r="W1248" i="1"/>
  <c r="T889" i="18"/>
  <c r="T928" i="18"/>
  <c r="T944" i="18"/>
  <c r="T957" i="18"/>
  <c r="T965" i="18"/>
  <c r="T973" i="18"/>
  <c r="W1263" i="1"/>
  <c r="Q1263" i="1"/>
  <c r="R1263" i="1"/>
  <c r="S1263" i="1"/>
  <c r="W1271" i="1"/>
  <c r="Q1271" i="1"/>
  <c r="R1271" i="1"/>
  <c r="S1271" i="1"/>
  <c r="W1279" i="1"/>
  <c r="Q1279" i="1"/>
  <c r="R1279" i="1"/>
  <c r="S1279" i="1"/>
  <c r="W1287" i="1"/>
  <c r="Q1287" i="1"/>
  <c r="R1287" i="1"/>
  <c r="S1287" i="1"/>
  <c r="W1295" i="1"/>
  <c r="Q1295" i="1"/>
  <c r="R1295" i="1"/>
  <c r="S1295" i="1"/>
  <c r="W1303" i="1"/>
  <c r="Q1303" i="1"/>
  <c r="R1303" i="1"/>
  <c r="S1303" i="1"/>
  <c r="W1311" i="1"/>
  <c r="Q1311" i="1"/>
  <c r="R1311" i="1"/>
  <c r="S1311" i="1"/>
  <c r="W1319" i="1"/>
  <c r="Q1319" i="1"/>
  <c r="R1319" i="1"/>
  <c r="S1319" i="1"/>
  <c r="W1327" i="1"/>
  <c r="Q1327" i="1"/>
  <c r="R1327" i="1"/>
  <c r="S1327" i="1"/>
  <c r="W1335" i="1"/>
  <c r="Q1335" i="1"/>
  <c r="R1335" i="1"/>
  <c r="S1335" i="1"/>
  <c r="W1343" i="1"/>
  <c r="Q1343" i="1"/>
  <c r="R1343" i="1"/>
  <c r="S1343" i="1"/>
  <c r="W1351" i="1"/>
  <c r="Q1351" i="1"/>
  <c r="R1351" i="1"/>
  <c r="S1351" i="1"/>
  <c r="W1359" i="1"/>
  <c r="Q1359" i="1"/>
  <c r="R1359" i="1"/>
  <c r="S1359" i="1"/>
  <c r="Y890" i="18"/>
  <c r="S1223" i="1"/>
  <c r="W1223" i="1"/>
  <c r="Q1223" i="1"/>
  <c r="R1223" i="1"/>
  <c r="Y921" i="18"/>
  <c r="Y958" i="18"/>
  <c r="Y966" i="18"/>
  <c r="Y974" i="18"/>
  <c r="Q1066" i="1"/>
  <c r="R1066" i="1"/>
  <c r="S1066" i="1"/>
  <c r="W1066" i="1"/>
  <c r="Q1082" i="1"/>
  <c r="R1082" i="1"/>
  <c r="S1082" i="1"/>
  <c r="W1082" i="1"/>
  <c r="Q1098" i="1"/>
  <c r="R1098" i="1"/>
  <c r="S1098" i="1"/>
  <c r="W1098" i="1"/>
  <c r="Q1114" i="1"/>
  <c r="R1114" i="1"/>
  <c r="S1114" i="1"/>
  <c r="W1114" i="1"/>
  <c r="Q1130" i="1"/>
  <c r="R1130" i="1"/>
  <c r="S1130" i="1"/>
  <c r="W1130" i="1"/>
  <c r="R1148" i="1"/>
  <c r="S1148" i="1"/>
  <c r="W1148" i="1"/>
  <c r="Q1148" i="1"/>
  <c r="S1168" i="1"/>
  <c r="W1168" i="1"/>
  <c r="R1168" i="1"/>
  <c r="Q1168" i="1"/>
  <c r="S1176" i="1"/>
  <c r="W1176" i="1"/>
  <c r="R1176" i="1"/>
  <c r="Q1176" i="1"/>
  <c r="S1184" i="1"/>
  <c r="W1184" i="1"/>
  <c r="R1184" i="1"/>
  <c r="Q1184" i="1"/>
  <c r="S1192" i="1"/>
  <c r="W1192" i="1"/>
  <c r="R1192" i="1"/>
  <c r="Q1192" i="1"/>
  <c r="S1200" i="1"/>
  <c r="W1200" i="1"/>
  <c r="R1200" i="1"/>
  <c r="Q1200" i="1"/>
  <c r="S1208" i="1"/>
  <c r="W1208" i="1"/>
  <c r="R1208" i="1"/>
  <c r="Q1208" i="1"/>
  <c r="S1216" i="1"/>
  <c r="W1216" i="1"/>
  <c r="R1216" i="1"/>
  <c r="Q1216" i="1"/>
  <c r="R1234" i="1"/>
  <c r="S1234" i="1"/>
  <c r="W1234" i="1"/>
  <c r="Q1234" i="1"/>
  <c r="R1250" i="1"/>
  <c r="S1250" i="1"/>
  <c r="W1250" i="1"/>
  <c r="Q1250" i="1"/>
  <c r="Y906" i="18"/>
  <c r="R1151" i="1"/>
  <c r="S1151" i="1"/>
  <c r="W1151" i="1"/>
  <c r="Q1151" i="1"/>
  <c r="Y1648" i="18"/>
  <c r="T1547" i="18"/>
  <c r="T1555" i="18"/>
  <c r="Q1630" i="1"/>
  <c r="R1630" i="1"/>
  <c r="S1630" i="1"/>
  <c r="W1630" i="1"/>
  <c r="Y1742" i="18"/>
  <c r="W1368" i="1"/>
  <c r="Q1368" i="1"/>
  <c r="R1368" i="1"/>
  <c r="S1368" i="1"/>
  <c r="W1384" i="1"/>
  <c r="Q1384" i="1"/>
  <c r="R1384" i="1"/>
  <c r="S1384" i="1"/>
  <c r="W1400" i="1"/>
  <c r="Q1400" i="1"/>
  <c r="R1400" i="1"/>
  <c r="S1400" i="1"/>
  <c r="W1416" i="1"/>
  <c r="Q1416" i="1"/>
  <c r="R1416" i="1"/>
  <c r="S1416" i="1"/>
  <c r="W1432" i="1"/>
  <c r="Q1432" i="1"/>
  <c r="R1432" i="1"/>
  <c r="S1432" i="1"/>
  <c r="W1454" i="1"/>
  <c r="S1454" i="1"/>
  <c r="Q1454" i="1"/>
  <c r="R1454" i="1"/>
  <c r="W1462" i="1"/>
  <c r="S1462" i="1"/>
  <c r="Q1462" i="1"/>
  <c r="R1462" i="1"/>
  <c r="W1470" i="1"/>
  <c r="S1470" i="1"/>
  <c r="Q1470" i="1"/>
  <c r="R1470" i="1"/>
  <c r="W1478" i="1"/>
  <c r="S1478" i="1"/>
  <c r="Q1478" i="1"/>
  <c r="R1478" i="1"/>
  <c r="W1486" i="1"/>
  <c r="S1486" i="1"/>
  <c r="Q1486" i="1"/>
  <c r="R1486" i="1"/>
  <c r="W1494" i="1"/>
  <c r="S1494" i="1"/>
  <c r="Q1494" i="1"/>
  <c r="R1494" i="1"/>
  <c r="W1502" i="1"/>
  <c r="S1502" i="1"/>
  <c r="Q1502" i="1"/>
  <c r="R1502" i="1"/>
  <c r="W1510" i="1"/>
  <c r="S1510" i="1"/>
  <c r="Q1510" i="1"/>
  <c r="R1510" i="1"/>
  <c r="W1518" i="1"/>
  <c r="S1518" i="1"/>
  <c r="Q1518" i="1"/>
  <c r="R1518" i="1"/>
  <c r="W1526" i="1"/>
  <c r="S1526" i="1"/>
  <c r="Q1526" i="1"/>
  <c r="R1526" i="1"/>
  <c r="W1534" i="1"/>
  <c r="S1534" i="1"/>
  <c r="Q1534" i="1"/>
  <c r="R1534" i="1"/>
  <c r="W1542" i="1"/>
  <c r="S1542" i="1"/>
  <c r="Q1542" i="1"/>
  <c r="R1542" i="1"/>
  <c r="Y1558" i="18"/>
  <c r="S1640" i="1"/>
  <c r="W1640" i="1"/>
  <c r="Q1640" i="1"/>
  <c r="R1640" i="1"/>
  <c r="S1691" i="1"/>
  <c r="W1691" i="1"/>
  <c r="Q1691" i="1"/>
  <c r="R1691" i="1"/>
  <c r="S1699" i="1"/>
  <c r="W1699" i="1"/>
  <c r="Q1699" i="1"/>
  <c r="R1699" i="1"/>
  <c r="S1707" i="1"/>
  <c r="W1707" i="1"/>
  <c r="Q1707" i="1"/>
  <c r="R1707" i="1"/>
  <c r="S1715" i="1"/>
  <c r="W1715" i="1"/>
  <c r="Q1715" i="1"/>
  <c r="R1715" i="1"/>
  <c r="S1765" i="1"/>
  <c r="W1765" i="1"/>
  <c r="Q1765" i="1"/>
  <c r="R1765" i="1"/>
  <c r="Y1797" i="18"/>
  <c r="W1373" i="1"/>
  <c r="Q1373" i="1"/>
  <c r="R1373" i="1"/>
  <c r="S1373" i="1"/>
  <c r="W1389" i="1"/>
  <c r="Q1389" i="1"/>
  <c r="R1389" i="1"/>
  <c r="S1389" i="1"/>
  <c r="W1405" i="1"/>
  <c r="Q1405" i="1"/>
  <c r="R1405" i="1"/>
  <c r="S1405" i="1"/>
  <c r="W1421" i="1"/>
  <c r="Q1421" i="1"/>
  <c r="R1421" i="1"/>
  <c r="S1421" i="1"/>
  <c r="W1437" i="1"/>
  <c r="Q1437" i="1"/>
  <c r="R1437" i="1"/>
  <c r="S1437" i="1"/>
  <c r="T1559" i="18"/>
  <c r="T1567" i="18"/>
  <c r="T1575" i="18"/>
  <c r="T1583" i="18"/>
  <c r="T1591" i="18"/>
  <c r="T1602" i="18"/>
  <c r="T1621" i="18"/>
  <c r="T1725" i="18"/>
  <c r="T1736" i="18"/>
  <c r="Y1755" i="18"/>
  <c r="Y1854" i="18"/>
  <c r="Y1872" i="18"/>
  <c r="Y1911" i="18"/>
  <c r="Y1650" i="18"/>
  <c r="T1831" i="18"/>
  <c r="Y1904" i="18"/>
  <c r="Y1979" i="18"/>
  <c r="Y2054" i="18"/>
  <c r="Y2174" i="18"/>
  <c r="Y2244" i="18"/>
  <c r="Y1560" i="18"/>
  <c r="Y1568" i="18"/>
  <c r="Y1576" i="18"/>
  <c r="Y1584" i="18"/>
  <c r="Y1600" i="18"/>
  <c r="Y1619" i="18"/>
  <c r="T1654" i="18"/>
  <c r="T1723" i="18"/>
  <c r="Q1798" i="1"/>
  <c r="R1798" i="1"/>
  <c r="S1798" i="1"/>
  <c r="T1815" i="18"/>
  <c r="Y1903" i="18"/>
  <c r="Y2013" i="18"/>
  <c r="Y2095" i="18"/>
  <c r="Y1595" i="18"/>
  <c r="Y1611" i="18"/>
  <c r="Y1675" i="18"/>
  <c r="T1819" i="18"/>
  <c r="Y2046" i="18"/>
  <c r="W2115" i="1"/>
  <c r="P2120" i="1"/>
  <c r="Q2115" i="1"/>
  <c r="P2116" i="1"/>
  <c r="R2115" i="1"/>
  <c r="P2117" i="1"/>
  <c r="S2115" i="1"/>
  <c r="P2118" i="1"/>
  <c r="P2119" i="1"/>
  <c r="T1561" i="18"/>
  <c r="T1569" i="18"/>
  <c r="T1577" i="18"/>
  <c r="T1585" i="18"/>
  <c r="T1598" i="18"/>
  <c r="T1614" i="18"/>
  <c r="Y1721" i="18"/>
  <c r="Y1740" i="18"/>
  <c r="Y1942" i="18"/>
  <c r="Y2037" i="18"/>
  <c r="W2147" i="1"/>
  <c r="Q2147" i="1"/>
  <c r="P2148" i="1"/>
  <c r="R2147" i="1"/>
  <c r="P2149" i="1"/>
  <c r="S2147" i="1"/>
  <c r="P2150" i="1"/>
  <c r="W2187" i="1"/>
  <c r="Q2187" i="1"/>
  <c r="P2188" i="1"/>
  <c r="R2187" i="1"/>
  <c r="P2189" i="1"/>
  <c r="S2187" i="1"/>
  <c r="P2190" i="1"/>
  <c r="Y2259" i="18"/>
  <c r="T1848" i="18"/>
  <c r="Y1918" i="18"/>
  <c r="S1962" i="1"/>
  <c r="Q1962" i="1"/>
  <c r="R1962" i="1"/>
  <c r="Y2017" i="18"/>
  <c r="S2078" i="1"/>
  <c r="P2081" i="1"/>
  <c r="P2082" i="1"/>
  <c r="W2078" i="1"/>
  <c r="Q2078" i="1"/>
  <c r="P2079" i="1"/>
  <c r="R2078" i="1"/>
  <c r="P2080" i="1"/>
  <c r="Y2179" i="18"/>
  <c r="Y2250" i="18"/>
  <c r="Y2321" i="18"/>
  <c r="Y1668" i="18"/>
  <c r="Y1684" i="18"/>
  <c r="Q1800" i="1"/>
  <c r="R1800" i="1"/>
  <c r="S1800" i="1"/>
  <c r="Y1827" i="18"/>
  <c r="Q1905" i="1"/>
  <c r="S1905" i="1"/>
  <c r="R1905" i="1"/>
  <c r="R2139" i="1"/>
  <c r="P2141" i="1"/>
  <c r="S2139" i="1"/>
  <c r="P2142" i="1"/>
  <c r="W2139" i="1"/>
  <c r="Q2139" i="1"/>
  <c r="P2140" i="1"/>
  <c r="Y2190" i="18"/>
  <c r="S1892" i="1"/>
  <c r="P1895" i="1"/>
  <c r="W1892" i="1"/>
  <c r="Q1892" i="1"/>
  <c r="P1893" i="1"/>
  <c r="R1892" i="1"/>
  <c r="P1894" i="1"/>
  <c r="Q1963" i="1"/>
  <c r="Q2171" i="1"/>
  <c r="P2172" i="1"/>
  <c r="R2171" i="1"/>
  <c r="P2173" i="1"/>
  <c r="S2171" i="1"/>
  <c r="P2174" i="1"/>
  <c r="P2175" i="1"/>
  <c r="W2171" i="1"/>
  <c r="P2176" i="1"/>
  <c r="Y2202" i="18"/>
  <c r="S2248" i="1"/>
  <c r="R2248" i="1"/>
  <c r="Q2248" i="1"/>
  <c r="Y2284" i="18"/>
  <c r="Y2301" i="18"/>
  <c r="Q2374" i="1"/>
  <c r="R2374" i="1"/>
  <c r="S2374" i="1"/>
  <c r="R1917" i="1"/>
  <c r="Q1917" i="1"/>
  <c r="S1917" i="1"/>
  <c r="T2008" i="18"/>
  <c r="T2073" i="18"/>
  <c r="Q2263" i="1"/>
  <c r="S2263" i="1"/>
  <c r="R2263" i="1"/>
  <c r="Q2354" i="1"/>
  <c r="R2354" i="1"/>
  <c r="S2354" i="1"/>
  <c r="Y2377" i="18"/>
  <c r="Y2398" i="18"/>
  <c r="Q2446" i="1"/>
  <c r="R2446" i="1"/>
  <c r="S2446" i="1"/>
  <c r="R2049" i="1"/>
  <c r="S2049" i="1"/>
  <c r="Q2049" i="1"/>
  <c r="Y2151" i="18"/>
  <c r="Y2165" i="18"/>
  <c r="Q2258" i="1"/>
  <c r="S2258" i="1"/>
  <c r="R2258" i="1"/>
  <c r="Y2291" i="18"/>
  <c r="Q2398" i="1"/>
  <c r="R2398" i="1"/>
  <c r="S2398" i="1"/>
  <c r="Y2243" i="18"/>
  <c r="Q2420" i="1"/>
  <c r="R2420" i="1"/>
  <c r="S2420" i="1"/>
  <c r="W2484" i="1"/>
  <c r="Q2484" i="1"/>
  <c r="R2484" i="1"/>
  <c r="S2484" i="1"/>
  <c r="W2492" i="1"/>
  <c r="Q2492" i="1"/>
  <c r="R2492" i="1"/>
  <c r="S2492" i="1"/>
  <c r="W2516" i="1"/>
  <c r="P2515" i="1"/>
  <c r="Q2516" i="1"/>
  <c r="R2516" i="1"/>
  <c r="S2516" i="1"/>
  <c r="W2524" i="1"/>
  <c r="Q2524" i="1"/>
  <c r="R2524" i="1"/>
  <c r="S2524" i="1"/>
  <c r="W2532" i="1"/>
  <c r="Q2532" i="1"/>
  <c r="R2532" i="1"/>
  <c r="S2532" i="1"/>
  <c r="W2540" i="1"/>
  <c r="Q2540" i="1"/>
  <c r="R2540" i="1"/>
  <c r="S2540" i="1"/>
  <c r="T1992" i="18"/>
  <c r="R2027" i="1"/>
  <c r="S2027" i="1"/>
  <c r="Q2027" i="1"/>
  <c r="Y2093" i="18"/>
  <c r="Y2349" i="18"/>
  <c r="Y2395" i="18"/>
  <c r="Y2425" i="18"/>
  <c r="T1996" i="18"/>
  <c r="Y2213" i="18"/>
  <c r="Y2275" i="18"/>
  <c r="S2321" i="1"/>
  <c r="Y1964" i="18"/>
  <c r="Q2086" i="1"/>
  <c r="R2086" i="1"/>
  <c r="S2086" i="1"/>
  <c r="R2099" i="1"/>
  <c r="S2099" i="1"/>
  <c r="Q2099" i="1"/>
  <c r="Y2239" i="18"/>
  <c r="S2280" i="1"/>
  <c r="R2280" i="1"/>
  <c r="Q2280" i="1"/>
  <c r="Q2305" i="1"/>
  <c r="P2306" i="1"/>
  <c r="S2305" i="1"/>
  <c r="P2308" i="1"/>
  <c r="P2309" i="1"/>
  <c r="W2305" i="1"/>
  <c r="P2310" i="1"/>
  <c r="R2305" i="1"/>
  <c r="P2307" i="1"/>
  <c r="Y2343" i="18"/>
  <c r="Y2423" i="18"/>
  <c r="Q2368" i="1"/>
  <c r="R2368" i="1"/>
  <c r="S2368" i="1"/>
  <c r="S2329" i="1"/>
  <c r="Q2329" i="1"/>
  <c r="R2329" i="1"/>
  <c r="Q2454" i="1"/>
  <c r="R2454" i="1"/>
  <c r="S2454" i="1"/>
  <c r="R2409" i="1" l="1"/>
  <c r="Q2409" i="1"/>
  <c r="Q1937" i="1"/>
  <c r="R463" i="1"/>
  <c r="S400" i="1"/>
  <c r="R400" i="1"/>
  <c r="Q508" i="1"/>
  <c r="S2456" i="1"/>
  <c r="R398" i="1"/>
  <c r="R738" i="1"/>
  <c r="S143" i="1"/>
  <c r="R2342" i="1"/>
  <c r="Q1938" i="1"/>
  <c r="S2378" i="1"/>
  <c r="R1739" i="1"/>
  <c r="Q2382" i="1"/>
  <c r="S1739" i="1"/>
  <c r="T1739" i="18" s="1"/>
  <c r="R2378" i="1"/>
  <c r="S2382" i="1"/>
  <c r="T2382" i="18" s="1"/>
  <c r="R1824" i="1"/>
  <c r="Q2297" i="1"/>
  <c r="S413" i="1"/>
  <c r="R2230" i="1"/>
  <c r="R413" i="1"/>
  <c r="S2128" i="1"/>
  <c r="R143" i="1"/>
  <c r="S1845" i="1"/>
  <c r="S177" i="1"/>
  <c r="S1750" i="1"/>
  <c r="T1750" i="18" s="1"/>
  <c r="R1750" i="1"/>
  <c r="S767" i="1"/>
  <c r="T767" i="18" s="1"/>
  <c r="R767" i="1"/>
  <c r="Q737" i="1"/>
  <c r="S2322" i="1"/>
  <c r="S719" i="1"/>
  <c r="S196" i="1"/>
  <c r="Q457" i="1"/>
  <c r="R719" i="1"/>
  <c r="R196" i="1"/>
  <c r="R1935" i="1"/>
  <c r="Q1946" i="1"/>
  <c r="R2322" i="1"/>
  <c r="Q1877" i="1"/>
  <c r="S1973" i="1"/>
  <c r="T1973" i="18" s="1"/>
  <c r="S2450" i="1"/>
  <c r="R2450" i="1"/>
  <c r="R232" i="1"/>
  <c r="W232" i="1"/>
  <c r="Y232" i="18" s="1"/>
  <c r="S232" i="1"/>
  <c r="T232" i="18" s="1"/>
  <c r="Q232" i="1"/>
  <c r="M233" i="1"/>
  <c r="N233" i="1" s="1"/>
  <c r="O228" i="1" s="1"/>
  <c r="O2548" i="1" s="1"/>
  <c r="L2559" i="1"/>
  <c r="Q505" i="1"/>
  <c r="R2229" i="1"/>
  <c r="Q766" i="1"/>
  <c r="Q464" i="1"/>
  <c r="R2126" i="1"/>
  <c r="S464" i="1"/>
  <c r="Q1792" i="1"/>
  <c r="S1939" i="1"/>
  <c r="T1939" i="18" s="1"/>
  <c r="S2126" i="1"/>
  <c r="S497" i="1"/>
  <c r="T497" i="18" s="1"/>
  <c r="R1939" i="1"/>
  <c r="S445" i="1"/>
  <c r="T445" i="18" s="1"/>
  <c r="R497" i="1"/>
  <c r="Q195" i="1"/>
  <c r="S766" i="1"/>
  <c r="T766" i="18" s="1"/>
  <c r="R505" i="1"/>
  <c r="S351" i="1"/>
  <c r="S493" i="1"/>
  <c r="T493" i="18" s="1"/>
  <c r="Q1978" i="1"/>
  <c r="S2114" i="1"/>
  <c r="T2114" i="18" s="1"/>
  <c r="R353" i="1"/>
  <c r="Q494" i="1"/>
  <c r="Q2346" i="1"/>
  <c r="R2122" i="1"/>
  <c r="S1978" i="1"/>
  <c r="T1978" i="18" s="1"/>
  <c r="R493" i="1"/>
  <c r="S195" i="1"/>
  <c r="T195" i="18" s="1"/>
  <c r="S1977" i="1"/>
  <c r="T1977" i="18" s="1"/>
  <c r="Q349" i="1"/>
  <c r="Q1847" i="1"/>
  <c r="Q353" i="1"/>
  <c r="S349" i="1"/>
  <c r="T349" i="18" s="1"/>
  <c r="S517" i="1"/>
  <c r="S518" i="1"/>
  <c r="T518" i="18" s="1"/>
  <c r="S458" i="1"/>
  <c r="T458" i="18" s="1"/>
  <c r="R518" i="1"/>
  <c r="S2333" i="1"/>
  <c r="T2333" i="18" s="1"/>
  <c r="R458" i="1"/>
  <c r="S740" i="1"/>
  <c r="T740" i="18" s="1"/>
  <c r="R2333" i="1"/>
  <c r="R740" i="1"/>
  <c r="S411" i="1"/>
  <c r="T411" i="18" s="1"/>
  <c r="S788" i="1"/>
  <c r="T788" i="18" s="1"/>
  <c r="R411" i="1"/>
  <c r="R788" i="1"/>
  <c r="S457" i="1"/>
  <c r="T457" i="18" s="1"/>
  <c r="S412" i="1"/>
  <c r="T412" i="18" s="1"/>
  <c r="S1877" i="1"/>
  <c r="T1877" i="18" s="1"/>
  <c r="R412" i="1"/>
  <c r="R465" i="1"/>
  <c r="R494" i="1"/>
  <c r="Q2043" i="1"/>
  <c r="S2320" i="1"/>
  <c r="T2320" i="18" s="1"/>
  <c r="R618" i="1"/>
  <c r="Q2411" i="1"/>
  <c r="S2226" i="1"/>
  <c r="T2226" i="18" s="1"/>
  <c r="R2226" i="1"/>
  <c r="S2123" i="1"/>
  <c r="T2123" i="18" s="1"/>
  <c r="R2294" i="1"/>
  <c r="Q2320" i="1"/>
  <c r="R399" i="1"/>
  <c r="S401" i="1"/>
  <c r="T401" i="18" s="1"/>
  <c r="R401" i="1"/>
  <c r="R2411" i="1"/>
  <c r="R2334" i="1"/>
  <c r="Q2334" i="1"/>
  <c r="S409" i="1"/>
  <c r="T409" i="18" s="1"/>
  <c r="S2408" i="1"/>
  <c r="S507" i="1"/>
  <c r="R2408" i="1"/>
  <c r="S515" i="1"/>
  <c r="R507" i="1"/>
  <c r="R515" i="1"/>
  <c r="S2134" i="1"/>
  <c r="T2134" i="18" s="1"/>
  <c r="R2134" i="1"/>
  <c r="S2386" i="1"/>
  <c r="T2386" i="18" s="1"/>
  <c r="R2386" i="1"/>
  <c r="Q2259" i="1"/>
  <c r="S1937" i="1"/>
  <c r="R1977" i="1"/>
  <c r="S1805" i="1"/>
  <c r="Q820" i="1"/>
  <c r="Q2184" i="1"/>
  <c r="S1947" i="1"/>
  <c r="T1947" i="18" s="1"/>
  <c r="Q2260" i="1"/>
  <c r="Q1941" i="1"/>
  <c r="R2279" i="1"/>
  <c r="R1805" i="1"/>
  <c r="S2279" i="1"/>
  <c r="R1947" i="1"/>
  <c r="S2376" i="1"/>
  <c r="T2376" i="18" s="1"/>
  <c r="S2260" i="1"/>
  <c r="T2260" i="18" s="1"/>
  <c r="S1941" i="1"/>
  <c r="T1941" i="18" s="1"/>
  <c r="R2376" i="1"/>
  <c r="R2381" i="1"/>
  <c r="R2451" i="1"/>
  <c r="R1974" i="1"/>
  <c r="S2348" i="1"/>
  <c r="T2348" i="18" s="1"/>
  <c r="R2348" i="1"/>
  <c r="S1943" i="1"/>
  <c r="T1943" i="18" s="1"/>
  <c r="S508" i="1"/>
  <c r="T508" i="18" s="1"/>
  <c r="Q2381" i="1"/>
  <c r="Q2451" i="1"/>
  <c r="R2184" i="1"/>
  <c r="S768" i="1"/>
  <c r="T768" i="18" s="1"/>
  <c r="Q446" i="1"/>
  <c r="S496" i="1"/>
  <c r="T496" i="18" s="1"/>
  <c r="R768" i="1"/>
  <c r="S446" i="1"/>
  <c r="T446" i="18" s="1"/>
  <c r="R496" i="1"/>
  <c r="S461" i="1"/>
  <c r="T461" i="18" s="1"/>
  <c r="R461" i="1"/>
  <c r="R397" i="1"/>
  <c r="S737" i="1"/>
  <c r="T737" i="18" s="1"/>
  <c r="Q397" i="1"/>
  <c r="R2365" i="1"/>
  <c r="R2466" i="1"/>
  <c r="Q2365" i="1"/>
  <c r="S2466" i="1"/>
  <c r="T2466" i="18" s="1"/>
  <c r="S2229" i="1"/>
  <c r="T2229" i="18" s="1"/>
  <c r="S1826" i="1"/>
  <c r="T1826" i="18" s="1"/>
  <c r="S2130" i="1"/>
  <c r="T2130" i="18" s="1"/>
  <c r="R2290" i="1"/>
  <c r="R1826" i="1"/>
  <c r="R2130" i="1"/>
  <c r="S2290" i="1"/>
  <c r="T2290" i="18" s="1"/>
  <c r="Q2302" i="1"/>
  <c r="S2122" i="1"/>
  <c r="T2122" i="18" s="1"/>
  <c r="R2302" i="1"/>
  <c r="S1911" i="1"/>
  <c r="T1911" i="18" s="1"/>
  <c r="S2262" i="1"/>
  <c r="T2262" i="18" s="1"/>
  <c r="R1859" i="1"/>
  <c r="R1911" i="1"/>
  <c r="R2262" i="1"/>
  <c r="Q1859" i="1"/>
  <c r="S1792" i="1"/>
  <c r="T1792" i="18" s="1"/>
  <c r="S2346" i="1"/>
  <c r="R2453" i="1"/>
  <c r="R2114" i="1"/>
  <c r="Q398" i="1"/>
  <c r="R517" i="1"/>
  <c r="R2412" i="1"/>
  <c r="Q399" i="1"/>
  <c r="R1845" i="1"/>
  <c r="Q2412" i="1"/>
  <c r="R2300" i="1"/>
  <c r="S2300" i="1"/>
  <c r="T2300" i="18" s="1"/>
  <c r="S722" i="1"/>
  <c r="T722" i="18" s="1"/>
  <c r="S2459" i="1"/>
  <c r="T2459" i="18" s="1"/>
  <c r="S2377" i="1"/>
  <c r="S2133" i="1"/>
  <c r="R722" i="1"/>
  <c r="R2459" i="1"/>
  <c r="S1858" i="1"/>
  <c r="T1858" i="18" s="1"/>
  <c r="Q352" i="1"/>
  <c r="Q1804" i="1"/>
  <c r="R2377" i="1"/>
  <c r="S1946" i="1"/>
  <c r="T1946" i="18" s="1"/>
  <c r="S820" i="1"/>
  <c r="T820" i="18" s="1"/>
  <c r="R409" i="1"/>
  <c r="R2128" i="1"/>
  <c r="Q171" i="1"/>
  <c r="S1837" i="1"/>
  <c r="T1837" i="18" s="1"/>
  <c r="R1837" i="1"/>
  <c r="Q2350" i="1"/>
  <c r="S2224" i="1"/>
  <c r="T2224" i="18" s="1"/>
  <c r="S2458" i="1"/>
  <c r="T2458" i="18" s="1"/>
  <c r="S1979" i="1"/>
  <c r="T1979" i="18" s="1"/>
  <c r="S2350" i="1"/>
  <c r="T2350" i="18" s="1"/>
  <c r="R2297" i="1"/>
  <c r="S171" i="1"/>
  <c r="T171" i="18" s="1"/>
  <c r="R2224" i="1"/>
  <c r="R2458" i="1"/>
  <c r="R1979" i="1"/>
  <c r="S739" i="1"/>
  <c r="T739" i="18" s="1"/>
  <c r="R1902" i="1"/>
  <c r="S2125" i="1"/>
  <c r="T2125" i="18" s="1"/>
  <c r="R2125" i="1"/>
  <c r="R739" i="1"/>
  <c r="R1973" i="1"/>
  <c r="Q1902" i="1"/>
  <c r="R2341" i="1"/>
  <c r="T927" i="18"/>
  <c r="S460" i="1"/>
  <c r="T460" i="18" s="1"/>
  <c r="R2133" i="1"/>
  <c r="S2250" i="1"/>
  <c r="T2250" i="18" s="1"/>
  <c r="S770" i="1"/>
  <c r="T770" i="18" s="1"/>
  <c r="S1738" i="1"/>
  <c r="T1738" i="18" s="1"/>
  <c r="S2341" i="1"/>
  <c r="T2341" i="18" s="1"/>
  <c r="R2250" i="1"/>
  <c r="R460" i="1"/>
  <c r="T896" i="18"/>
  <c r="R770" i="1"/>
  <c r="T222" i="18"/>
  <c r="R1738" i="1"/>
  <c r="T916" i="18"/>
  <c r="Y194" i="18"/>
  <c r="Y243" i="18"/>
  <c r="T1856" i="18"/>
  <c r="Y2514" i="18"/>
  <c r="S2303" i="1"/>
  <c r="T2424" i="18"/>
  <c r="T220" i="18"/>
  <c r="T236" i="18"/>
  <c r="Q1974" i="1"/>
  <c r="R2303" i="1"/>
  <c r="R2123" i="1"/>
  <c r="Q2294" i="1"/>
  <c r="R1938" i="1"/>
  <c r="R2456" i="1"/>
  <c r="Y462" i="18"/>
  <c r="T2040" i="18"/>
  <c r="S459" i="1"/>
  <c r="T459" i="18" s="1"/>
  <c r="T2343" i="18"/>
  <c r="Q2301" i="1"/>
  <c r="R459" i="1"/>
  <c r="T2475" i="18"/>
  <c r="Y1616" i="18"/>
  <c r="S447" i="1"/>
  <c r="T447" i="18" s="1"/>
  <c r="R2301" i="1"/>
  <c r="R447" i="1"/>
  <c r="Y1257" i="18"/>
  <c r="S516" i="1"/>
  <c r="T516" i="18" s="1"/>
  <c r="Y907" i="18"/>
  <c r="T924" i="18"/>
  <c r="Q2296" i="1"/>
  <c r="S2364" i="1"/>
  <c r="T2364" i="18" s="1"/>
  <c r="T892" i="18"/>
  <c r="T2480" i="18"/>
  <c r="R2259" i="1"/>
  <c r="R2264" i="1"/>
  <c r="T1737" i="18"/>
  <c r="Q1909" i="1"/>
  <c r="Y652" i="18"/>
  <c r="Y1976" i="18"/>
  <c r="Y1835" i="18"/>
  <c r="T948" i="18"/>
  <c r="Y649" i="18"/>
  <c r="Y1940" i="18"/>
  <c r="R1903" i="1"/>
  <c r="T462" i="18"/>
  <c r="S2296" i="1"/>
  <c r="R2364" i="1"/>
  <c r="T2227" i="18"/>
  <c r="S1909" i="1"/>
  <c r="T1909" i="18" s="1"/>
  <c r="S1879" i="1"/>
  <c r="T1879" i="18" s="1"/>
  <c r="S448" i="1"/>
  <c r="T448" i="18" s="1"/>
  <c r="Y2339" i="18"/>
  <c r="R1879" i="1"/>
  <c r="R448" i="1"/>
  <c r="T1619" i="18"/>
  <c r="Q2340" i="1"/>
  <c r="S2380" i="1"/>
  <c r="T2380" i="18" s="1"/>
  <c r="Y2221" i="18"/>
  <c r="T514" i="18"/>
  <c r="R2340" i="1"/>
  <c r="Y2040" i="18"/>
  <c r="R2380" i="1"/>
  <c r="T902" i="18"/>
  <c r="R445" i="1"/>
  <c r="S352" i="1"/>
  <c r="T352" i="18" s="1"/>
  <c r="T2340" i="18"/>
  <c r="T2473" i="18"/>
  <c r="F9" i="7"/>
  <c r="S13" i="11" s="1"/>
  <c r="T910" i="18"/>
  <c r="T2479" i="18"/>
  <c r="R183" i="1"/>
  <c r="T1878" i="18"/>
  <c r="S2366" i="1"/>
  <c r="T1823" i="18"/>
  <c r="R2460" i="1"/>
  <c r="Q2453" i="1"/>
  <c r="R2385" i="1"/>
  <c r="Q183" i="1"/>
  <c r="Y2512" i="18"/>
  <c r="S880" i="1"/>
  <c r="R2366" i="1"/>
  <c r="Y408" i="18"/>
  <c r="Q2460" i="1"/>
  <c r="S1910" i="1"/>
  <c r="T1910" i="18" s="1"/>
  <c r="Q1942" i="1"/>
  <c r="R2129" i="1"/>
  <c r="R2112" i="1"/>
  <c r="Y2375" i="18"/>
  <c r="S495" i="1"/>
  <c r="T495" i="18" s="1"/>
  <c r="S410" i="1"/>
  <c r="T410" i="18" s="1"/>
  <c r="S2298" i="1"/>
  <c r="R880" i="1"/>
  <c r="S2332" i="1"/>
  <c r="T2332" i="18" s="1"/>
  <c r="T243" i="18"/>
  <c r="S1942" i="1"/>
  <c r="T1942" i="18" s="1"/>
  <c r="Q2129" i="1"/>
  <c r="Q2112" i="1"/>
  <c r="Y1550" i="18"/>
  <c r="R495" i="1"/>
  <c r="R410" i="1"/>
  <c r="R2298" i="1"/>
  <c r="S1592" i="1"/>
  <c r="T1592" i="18" s="1"/>
  <c r="S2231" i="1"/>
  <c r="T2231" i="18" s="1"/>
  <c r="R2332" i="1"/>
  <c r="T465" i="18"/>
  <c r="Q465" i="1"/>
  <c r="Y2249" i="18"/>
  <c r="R1846" i="1"/>
  <c r="S2223" i="1"/>
  <c r="Y2131" i="18"/>
  <c r="R1592" i="1"/>
  <c r="R2231" i="1"/>
  <c r="S1836" i="1"/>
  <c r="T2468" i="18"/>
  <c r="T855" i="18"/>
  <c r="S2222" i="1"/>
  <c r="R2223" i="1"/>
  <c r="R1836" i="1"/>
  <c r="S2042" i="1"/>
  <c r="T2042" i="18" s="1"/>
  <c r="Q1824" i="1"/>
  <c r="Q2230" i="1"/>
  <c r="R2222" i="1"/>
  <c r="S1846" i="1"/>
  <c r="T183" i="18"/>
  <c r="R1910" i="1"/>
  <c r="Y142" i="18"/>
  <c r="R1878" i="1"/>
  <c r="Q1878" i="1"/>
  <c r="Q467" i="1"/>
  <c r="R467" i="1"/>
  <c r="S467" i="1"/>
  <c r="Q466" i="1"/>
  <c r="R466" i="1"/>
  <c r="S466" i="1"/>
  <c r="Y924" i="18"/>
  <c r="T651" i="18"/>
  <c r="Y2257" i="18"/>
  <c r="S1804" i="1"/>
  <c r="T2514" i="18"/>
  <c r="Y899" i="18"/>
  <c r="Q144" i="1"/>
  <c r="S144" i="1"/>
  <c r="R175" i="1"/>
  <c r="Q175" i="1"/>
  <c r="S175" i="1"/>
  <c r="S167" i="1"/>
  <c r="Q167" i="1"/>
  <c r="R351" i="1"/>
  <c r="Y2476" i="18"/>
  <c r="R516" i="1"/>
  <c r="S2232" i="1"/>
  <c r="T2232" i="18" s="1"/>
  <c r="T2131" i="18"/>
  <c r="T2347" i="18"/>
  <c r="Q2292" i="1"/>
  <c r="S2410" i="1"/>
  <c r="T2410" i="18" s="1"/>
  <c r="R2232" i="1"/>
  <c r="S2292" i="1"/>
  <c r="Y1554" i="18"/>
  <c r="Y1617" i="18"/>
  <c r="R2410" i="1"/>
  <c r="R2295" i="1"/>
  <c r="S2041" i="1"/>
  <c r="T2041" i="18" s="1"/>
  <c r="Y1622" i="18"/>
  <c r="Q2452" i="1"/>
  <c r="S2295" i="1"/>
  <c r="T2295" i="18" s="1"/>
  <c r="S179" i="1"/>
  <c r="Q179" i="1"/>
  <c r="R179" i="1"/>
  <c r="R2041" i="1"/>
  <c r="S2452" i="1"/>
  <c r="T2452" i="18" s="1"/>
  <c r="Y2227" i="18"/>
  <c r="S2124" i="1"/>
  <c r="T2124" i="18" s="1"/>
  <c r="R167" i="1"/>
  <c r="R2124" i="1"/>
  <c r="T2510" i="18"/>
  <c r="Q2252" i="1"/>
  <c r="R2252" i="1"/>
  <c r="S2252" i="1"/>
  <c r="S2418" i="1"/>
  <c r="T2418" i="18" s="1"/>
  <c r="S618" i="1"/>
  <c r="R178" i="1"/>
  <c r="Q178" i="1"/>
  <c r="S178" i="1"/>
  <c r="R2418" i="1"/>
  <c r="Y2424" i="18"/>
  <c r="Y896" i="18"/>
  <c r="T164" i="18"/>
  <c r="Q772" i="1"/>
  <c r="S772" i="1"/>
  <c r="R772" i="1"/>
  <c r="Y897" i="18"/>
  <c r="Q2463" i="1"/>
  <c r="S2463" i="1"/>
  <c r="R2463" i="1"/>
  <c r="Y2461" i="18"/>
  <c r="Y566" i="18"/>
  <c r="T783" i="18"/>
  <c r="Q2186" i="1"/>
  <c r="S2186" i="1"/>
  <c r="R2186" i="1"/>
  <c r="Y950" i="18"/>
  <c r="R775" i="1"/>
  <c r="S775" i="1"/>
  <c r="Y564" i="18"/>
  <c r="Y912" i="18"/>
  <c r="Y1262" i="18"/>
  <c r="T2461" i="18"/>
  <c r="Y883" i="18"/>
  <c r="T566" i="18"/>
  <c r="Y136" i="18"/>
  <c r="Y164" i="18"/>
  <c r="Q773" i="1"/>
  <c r="S773" i="1"/>
  <c r="R773" i="1"/>
  <c r="T564" i="18"/>
  <c r="Y904" i="18"/>
  <c r="Q786" i="1"/>
  <c r="S786" i="1"/>
  <c r="R786" i="1"/>
  <c r="T891" i="18"/>
  <c r="T771" i="18"/>
  <c r="Y905" i="18"/>
  <c r="Y949" i="18"/>
  <c r="T887" i="18"/>
  <c r="R2414" i="1"/>
  <c r="Q2414" i="1"/>
  <c r="S2414" i="1"/>
  <c r="Q2464" i="1"/>
  <c r="S2464" i="1"/>
  <c r="T2289" i="18"/>
  <c r="S784" i="1"/>
  <c r="Q784" i="1"/>
  <c r="R784" i="1"/>
  <c r="T905" i="18"/>
  <c r="Q1793" i="1"/>
  <c r="R1793" i="1"/>
  <c r="S1793" i="1"/>
  <c r="S2417" i="1"/>
  <c r="Q2417" i="1"/>
  <c r="R2417" i="1"/>
  <c r="Q787" i="1"/>
  <c r="R787" i="1"/>
  <c r="S787" i="1"/>
  <c r="T1949" i="18"/>
  <c r="S776" i="1"/>
  <c r="R776" i="1"/>
  <c r="Q776" i="1"/>
  <c r="R1857" i="1"/>
  <c r="S1857" i="1"/>
  <c r="Q1857" i="1"/>
  <c r="T897" i="18"/>
  <c r="Y900" i="18"/>
  <c r="Y135" i="18"/>
  <c r="Q2415" i="1"/>
  <c r="R2415" i="1"/>
  <c r="S2415" i="1"/>
  <c r="Y885" i="18"/>
  <c r="Y1908" i="18"/>
  <c r="S774" i="1"/>
  <c r="Q774" i="1"/>
  <c r="R774" i="1"/>
  <c r="T1262" i="18"/>
  <c r="Q2384" i="1"/>
  <c r="S2384" i="1"/>
  <c r="R2384" i="1"/>
  <c r="Y2413" i="18"/>
  <c r="R2462" i="1"/>
  <c r="S2462" i="1"/>
  <c r="Q2462" i="1"/>
  <c r="Y137" i="18"/>
  <c r="T881" i="18"/>
  <c r="Q2185" i="1"/>
  <c r="S2185" i="1"/>
  <c r="R2185" i="1"/>
  <c r="R1933" i="1"/>
  <c r="Q1933" i="1"/>
  <c r="S1933" i="1"/>
  <c r="Q165" i="1"/>
  <c r="R165" i="1"/>
  <c r="S165" i="1"/>
  <c r="T1951" i="18"/>
  <c r="T2299" i="18"/>
  <c r="T1261" i="18"/>
  <c r="T2413" i="18"/>
  <c r="S2465" i="1"/>
  <c r="R2465" i="1"/>
  <c r="Q2465" i="1"/>
  <c r="T883" i="18"/>
  <c r="Q785" i="1"/>
  <c r="R785" i="1"/>
  <c r="S785" i="1"/>
  <c r="Q2120" i="1"/>
  <c r="R2120" i="1"/>
  <c r="S2120" i="1"/>
  <c r="T1462" i="18"/>
  <c r="Y851" i="18"/>
  <c r="Y553" i="18"/>
  <c r="T2129" i="18"/>
  <c r="T1917" i="18"/>
  <c r="Q2173" i="1"/>
  <c r="R2173" i="1"/>
  <c r="S2173" i="1"/>
  <c r="Q2082" i="1"/>
  <c r="R2082" i="1"/>
  <c r="S2082" i="1"/>
  <c r="R2189" i="1"/>
  <c r="S2189" i="1"/>
  <c r="Q2189" i="1"/>
  <c r="T2532" i="18"/>
  <c r="Y2492" i="18"/>
  <c r="T2446" i="18"/>
  <c r="Y1892" i="18"/>
  <c r="Q2081" i="1"/>
  <c r="R2081" i="1"/>
  <c r="S2081" i="1"/>
  <c r="S2148" i="1"/>
  <c r="Q2148" i="1"/>
  <c r="R2148" i="1"/>
  <c r="R2118" i="1"/>
  <c r="S2118" i="1"/>
  <c r="Q2118" i="1"/>
  <c r="T1437" i="18"/>
  <c r="T1373" i="18"/>
  <c r="Y1715" i="18"/>
  <c r="Y1699" i="18"/>
  <c r="T1384" i="18"/>
  <c r="T1234" i="18"/>
  <c r="Y1192" i="18"/>
  <c r="Y1176" i="18"/>
  <c r="T1359" i="18"/>
  <c r="T1295" i="18"/>
  <c r="R2306" i="1"/>
  <c r="S2306" i="1"/>
  <c r="Q2306" i="1"/>
  <c r="T2027" i="18"/>
  <c r="T2484" i="18"/>
  <c r="Q2172" i="1"/>
  <c r="R2172" i="1"/>
  <c r="S2172" i="1"/>
  <c r="R1895" i="1"/>
  <c r="Q1895" i="1"/>
  <c r="S1895" i="1"/>
  <c r="Q2140" i="1"/>
  <c r="R2140" i="1"/>
  <c r="S2140" i="1"/>
  <c r="T1905" i="18"/>
  <c r="T1800" i="18"/>
  <c r="T2078" i="18"/>
  <c r="S2188" i="1"/>
  <c r="Q2188" i="1"/>
  <c r="R2188" i="1"/>
  <c r="T2115" i="18"/>
  <c r="T1715" i="18"/>
  <c r="T1699" i="18"/>
  <c r="T1640" i="18"/>
  <c r="T1208" i="18"/>
  <c r="T1192" i="18"/>
  <c r="T1176" i="18"/>
  <c r="T1223" i="18"/>
  <c r="T1248" i="18"/>
  <c r="T1128" i="18"/>
  <c r="T1096" i="18"/>
  <c r="T1064" i="18"/>
  <c r="T1131" i="18"/>
  <c r="T1099" i="18"/>
  <c r="T1067" i="18"/>
  <c r="T734" i="18"/>
  <c r="Y555" i="18"/>
  <c r="T814" i="18"/>
  <c r="T798" i="18"/>
  <c r="Y759" i="18"/>
  <c r="R716" i="1"/>
  <c r="S716" i="1"/>
  <c r="Q716" i="1"/>
  <c r="R277" i="1"/>
  <c r="S277" i="1"/>
  <c r="Q277" i="1"/>
  <c r="T285" i="18"/>
  <c r="Y548" i="18"/>
  <c r="Y524" i="18"/>
  <c r="Q511" i="1"/>
  <c r="R511" i="1"/>
  <c r="S511" i="1"/>
  <c r="Y86" i="18"/>
  <c r="Y70" i="18"/>
  <c r="T1028" i="18"/>
  <c r="Y697" i="18"/>
  <c r="T151" i="18"/>
  <c r="T2400" i="18"/>
  <c r="T2483" i="18"/>
  <c r="T2170" i="18"/>
  <c r="Q2018" i="1"/>
  <c r="R2018" i="1"/>
  <c r="S2018" i="1"/>
  <c r="Y2036" i="18"/>
  <c r="T1882" i="18"/>
  <c r="T1657" i="18"/>
  <c r="T1834" i="18"/>
  <c r="T1764" i="18"/>
  <c r="Y1629" i="18"/>
  <c r="T757" i="18"/>
  <c r="T709" i="18"/>
  <c r="Y1045" i="18"/>
  <c r="Y1029" i="18"/>
  <c r="Y1013" i="18"/>
  <c r="Y997" i="18"/>
  <c r="Y981" i="18"/>
  <c r="Y850" i="18"/>
  <c r="Y834" i="18"/>
  <c r="T813" i="18"/>
  <c r="T797" i="18"/>
  <c r="S611" i="1"/>
  <c r="Q611" i="1"/>
  <c r="R611" i="1"/>
  <c r="T631" i="18"/>
  <c r="Y209" i="18"/>
  <c r="T547" i="18"/>
  <c r="T523" i="18"/>
  <c r="S454" i="1"/>
  <c r="Q454" i="1"/>
  <c r="R454" i="1"/>
  <c r="Y1052" i="18"/>
  <c r="T562" i="18"/>
  <c r="Y849" i="18"/>
  <c r="T796" i="18"/>
  <c r="Q162" i="1"/>
  <c r="R162" i="1"/>
  <c r="S162" i="1"/>
  <c r="Q380" i="1"/>
  <c r="R380" i="1"/>
  <c r="S380" i="1"/>
  <c r="T378" i="18"/>
  <c r="T266" i="18"/>
  <c r="T2094" i="18"/>
  <c r="T1801" i="18"/>
  <c r="Y2311" i="18"/>
  <c r="Q2071" i="1"/>
  <c r="R2071" i="1"/>
  <c r="S2071" i="1"/>
  <c r="T1651" i="18"/>
  <c r="T1763" i="18"/>
  <c r="Y1540" i="18"/>
  <c r="Y1524" i="18"/>
  <c r="Y1508" i="18"/>
  <c r="Y1492" i="18"/>
  <c r="Y1476" i="18"/>
  <c r="Y1460" i="18"/>
  <c r="Y1428" i="18"/>
  <c r="Y1396" i="18"/>
  <c r="Y1446" i="18"/>
  <c r="T1628" i="18"/>
  <c r="T1259" i="18"/>
  <c r="Y1228" i="18"/>
  <c r="T1142" i="18"/>
  <c r="T1110" i="18"/>
  <c r="T1078" i="18"/>
  <c r="Y934" i="18"/>
  <c r="T1140" i="18"/>
  <c r="T1108" i="18"/>
  <c r="T1076" i="18"/>
  <c r="T339" i="18"/>
  <c r="T399" i="18"/>
  <c r="T2381" i="18"/>
  <c r="T2401" i="18"/>
  <c r="T2344" i="18"/>
  <c r="T1970" i="18"/>
  <c r="T2225" i="18"/>
  <c r="T2545" i="18"/>
  <c r="T2529" i="18"/>
  <c r="T2497" i="18"/>
  <c r="T2481" i="18"/>
  <c r="T2428" i="18"/>
  <c r="Q2193" i="1"/>
  <c r="R2193" i="1"/>
  <c r="S2193" i="1"/>
  <c r="Y1952" i="18"/>
  <c r="T1839" i="18"/>
  <c r="Q2106" i="1"/>
  <c r="R2106" i="1"/>
  <c r="S2106" i="1"/>
  <c r="T2032" i="18"/>
  <c r="T1785" i="18"/>
  <c r="Y1627" i="18"/>
  <c r="T1364" i="18"/>
  <c r="T1348" i="18"/>
  <c r="T1332" i="18"/>
  <c r="T1316" i="18"/>
  <c r="T1300" i="18"/>
  <c r="T1284" i="18"/>
  <c r="T1268" i="18"/>
  <c r="T677" i="18"/>
  <c r="T736" i="18"/>
  <c r="T864" i="18"/>
  <c r="T840" i="18"/>
  <c r="Y819" i="18"/>
  <c r="Y803" i="18"/>
  <c r="Q672" i="1"/>
  <c r="R672" i="1"/>
  <c r="S672" i="1"/>
  <c r="Y629" i="18"/>
  <c r="Q370" i="1"/>
  <c r="R370" i="1"/>
  <c r="S370" i="1"/>
  <c r="Y366" i="18"/>
  <c r="Q323" i="1"/>
  <c r="R323" i="1"/>
  <c r="S323" i="1"/>
  <c r="T545" i="18"/>
  <c r="T521" i="18"/>
  <c r="Q403" i="1"/>
  <c r="R403" i="1"/>
  <c r="S403" i="1"/>
  <c r="Y90" i="18"/>
  <c r="Q174" i="1"/>
  <c r="R174" i="1"/>
  <c r="S174" i="1"/>
  <c r="Y39" i="18"/>
  <c r="T20" i="18"/>
  <c r="T2030" i="18"/>
  <c r="T2422" i="18"/>
  <c r="Q2237" i="1"/>
  <c r="S2237" i="1"/>
  <c r="R2237" i="1"/>
  <c r="T2025" i="18"/>
  <c r="T2437" i="18"/>
  <c r="Q2388" i="1"/>
  <c r="R2388" i="1"/>
  <c r="S2388" i="1"/>
  <c r="T2246" i="18"/>
  <c r="Q1862" i="1"/>
  <c r="R1862" i="1"/>
  <c r="S1862" i="1"/>
  <c r="T1829" i="18"/>
  <c r="R2059" i="1"/>
  <c r="S2059" i="1"/>
  <c r="Q2059" i="1"/>
  <c r="S2005" i="1"/>
  <c r="Q2005" i="1"/>
  <c r="R2005" i="1"/>
  <c r="T1820" i="18"/>
  <c r="Q2216" i="1"/>
  <c r="R2216" i="1"/>
  <c r="S2216" i="1"/>
  <c r="T1413" i="18"/>
  <c r="T1381" i="18"/>
  <c r="Y1761" i="18"/>
  <c r="Y1711" i="18"/>
  <c r="Y1695" i="18"/>
  <c r="T1538" i="18"/>
  <c r="T1522" i="18"/>
  <c r="T1506" i="18"/>
  <c r="T1490" i="18"/>
  <c r="T1474" i="18"/>
  <c r="T1458" i="18"/>
  <c r="Y1122" i="18"/>
  <c r="Y1090" i="18"/>
  <c r="Y1058" i="18"/>
  <c r="T1153" i="18"/>
  <c r="Y1240" i="18"/>
  <c r="Y1120" i="18"/>
  <c r="Y1088" i="18"/>
  <c r="T1162" i="18"/>
  <c r="T879" i="18"/>
  <c r="Y1050" i="18"/>
  <c r="Y1034" i="18"/>
  <c r="Y1018" i="18"/>
  <c r="Y1002" i="18"/>
  <c r="Y986" i="18"/>
  <c r="Y858" i="18"/>
  <c r="T391" i="18"/>
  <c r="Y585" i="18"/>
  <c r="T317" i="18"/>
  <c r="Y847" i="18"/>
  <c r="Q596" i="1"/>
  <c r="R596" i="1"/>
  <c r="S596" i="1"/>
  <c r="T358" i="18"/>
  <c r="Y644" i="18"/>
  <c r="T307" i="18"/>
  <c r="Q302" i="1"/>
  <c r="R302" i="1"/>
  <c r="S302" i="1"/>
  <c r="R257" i="1"/>
  <c r="S257" i="1"/>
  <c r="Q257" i="1"/>
  <c r="Y248" i="18"/>
  <c r="T552" i="18"/>
  <c r="T528" i="18"/>
  <c r="T124" i="18"/>
  <c r="T73" i="18"/>
  <c r="T122" i="18"/>
  <c r="T533" i="18"/>
  <c r="Q500" i="1"/>
  <c r="R500" i="1"/>
  <c r="S500" i="1"/>
  <c r="T79" i="18"/>
  <c r="Q477" i="1"/>
  <c r="R477" i="1"/>
  <c r="S477" i="1"/>
  <c r="Y572" i="18"/>
  <c r="T2102" i="18"/>
  <c r="R2325" i="1"/>
  <c r="S2325" i="1"/>
  <c r="Q2325" i="1"/>
  <c r="T2009" i="18"/>
  <c r="T1849" i="18"/>
  <c r="Q2136" i="1"/>
  <c r="R2136" i="1"/>
  <c r="S2136" i="1"/>
  <c r="T2044" i="18"/>
  <c r="Y1768" i="18"/>
  <c r="T1633" i="18"/>
  <c r="T1451" i="18"/>
  <c r="T1125" i="18"/>
  <c r="T1093" i="18"/>
  <c r="T1061" i="18"/>
  <c r="T1229" i="18"/>
  <c r="T718" i="18"/>
  <c r="T262" i="18"/>
  <c r="Y870" i="18"/>
  <c r="T846" i="18"/>
  <c r="Q746" i="1"/>
  <c r="R746" i="1"/>
  <c r="S746" i="1"/>
  <c r="T694" i="18"/>
  <c r="T441" i="18"/>
  <c r="Q481" i="1"/>
  <c r="R481" i="1"/>
  <c r="S481" i="1"/>
  <c r="T364" i="18"/>
  <c r="T549" i="18"/>
  <c r="Q431" i="1"/>
  <c r="R431" i="1"/>
  <c r="S431" i="1"/>
  <c r="Y208" i="18"/>
  <c r="T2031" i="18"/>
  <c r="T1935" i="18"/>
  <c r="T1906" i="18"/>
  <c r="T1830" i="18"/>
  <c r="Q2284" i="1"/>
  <c r="S2284" i="1"/>
  <c r="R2284" i="1"/>
  <c r="T1797" i="18"/>
  <c r="T1653" i="18"/>
  <c r="S1891" i="1"/>
  <c r="Q1891" i="1"/>
  <c r="R1891" i="1"/>
  <c r="Y1425" i="18"/>
  <c r="Y1393" i="18"/>
  <c r="Q1645" i="1"/>
  <c r="R1645" i="1"/>
  <c r="S1645" i="1"/>
  <c r="T1420" i="18"/>
  <c r="T1388" i="18"/>
  <c r="Y923" i="18"/>
  <c r="T397" i="18"/>
  <c r="T554" i="18"/>
  <c r="T869" i="18"/>
  <c r="Y654" i="18"/>
  <c r="T693" i="18"/>
  <c r="T580" i="18"/>
  <c r="T359" i="18"/>
  <c r="Y634" i="18"/>
  <c r="T442" i="18"/>
  <c r="Y288" i="18"/>
  <c r="Y246" i="18"/>
  <c r="T550" i="18"/>
  <c r="R436" i="1"/>
  <c r="S436" i="1"/>
  <c r="Q436" i="1"/>
  <c r="T32" i="18"/>
  <c r="T2456" i="18"/>
  <c r="T2243" i="18"/>
  <c r="Q2357" i="1"/>
  <c r="R2357" i="1"/>
  <c r="S2357" i="1"/>
  <c r="T2010" i="18"/>
  <c r="T1950" i="18"/>
  <c r="Q2267" i="1"/>
  <c r="R2267" i="1"/>
  <c r="S2267" i="1"/>
  <c r="Y2113" i="18"/>
  <c r="Q2064" i="1"/>
  <c r="R2064" i="1"/>
  <c r="S2064" i="1"/>
  <c r="Y1055" i="18"/>
  <c r="Y1039" i="18"/>
  <c r="Y1023" i="18"/>
  <c r="Y1007" i="18"/>
  <c r="Y991" i="18"/>
  <c r="Y975" i="18"/>
  <c r="T263" i="18"/>
  <c r="T275" i="18"/>
  <c r="T876" i="18"/>
  <c r="T700" i="18"/>
  <c r="T633" i="18"/>
  <c r="T221" i="18"/>
  <c r="R1866" i="1"/>
  <c r="S1866" i="1"/>
  <c r="Q1866" i="1"/>
  <c r="T1407" i="18"/>
  <c r="T1430" i="18"/>
  <c r="Y1133" i="18"/>
  <c r="Y1221" i="18"/>
  <c r="Y1100" i="18"/>
  <c r="T942" i="18"/>
  <c r="Q1649" i="1"/>
  <c r="R1649" i="1"/>
  <c r="S1649" i="1"/>
  <c r="T1505" i="18"/>
  <c r="T1467" i="18"/>
  <c r="Y1170" i="18"/>
  <c r="Y1209" i="18"/>
  <c r="T1154" i="18"/>
  <c r="Q422" i="1"/>
  <c r="R422" i="1"/>
  <c r="S422" i="1"/>
  <c r="T372" i="18"/>
  <c r="Q327" i="1"/>
  <c r="R327" i="1"/>
  <c r="S327" i="1"/>
  <c r="Y2020" i="18"/>
  <c r="Q1959" i="1"/>
  <c r="R1959" i="1"/>
  <c r="S1959" i="1"/>
  <c r="T1928" i="18"/>
  <c r="Q1778" i="1"/>
  <c r="R1778" i="1"/>
  <c r="S1778" i="1"/>
  <c r="T1427" i="18"/>
  <c r="T1422" i="18"/>
  <c r="T1255" i="18"/>
  <c r="Y1101" i="18"/>
  <c r="Y1233" i="18"/>
  <c r="Y1423" i="18"/>
  <c r="Y1527" i="18"/>
  <c r="Y1489" i="18"/>
  <c r="Y1445" i="18"/>
  <c r="T1186" i="18"/>
  <c r="Q1897" i="1"/>
  <c r="S1897" i="1"/>
  <c r="R1897" i="1"/>
  <c r="T1513" i="18"/>
  <c r="T1475" i="18"/>
  <c r="Y1194" i="18"/>
  <c r="T1150" i="18"/>
  <c r="Y1169" i="18"/>
  <c r="T1773" i="18"/>
  <c r="T1102" i="18"/>
  <c r="T1117" i="18"/>
  <c r="Y860" i="18"/>
  <c r="T1811" i="18"/>
  <c r="Y1387" i="18"/>
  <c r="Y1523" i="18"/>
  <c r="Y1471" i="18"/>
  <c r="Y1410" i="18"/>
  <c r="Y1243" i="18"/>
  <c r="Y1411" i="18"/>
  <c r="Y1495" i="18"/>
  <c r="Y1457" i="18"/>
  <c r="Y1382" i="18"/>
  <c r="Y1239" i="18"/>
  <c r="Q149" i="1"/>
  <c r="R149" i="1"/>
  <c r="S149" i="1"/>
  <c r="Y2078" i="18"/>
  <c r="R2149" i="1"/>
  <c r="S2149" i="1"/>
  <c r="Q2149" i="1"/>
  <c r="T1542" i="18"/>
  <c r="Y1114" i="18"/>
  <c r="Q713" i="1"/>
  <c r="R713" i="1"/>
  <c r="S713" i="1"/>
  <c r="Q332" i="1"/>
  <c r="R332" i="1"/>
  <c r="S332" i="1"/>
  <c r="T2086" i="18"/>
  <c r="T2398" i="18"/>
  <c r="T2374" i="18"/>
  <c r="Q2176" i="1"/>
  <c r="R2176" i="1"/>
  <c r="S2176" i="1"/>
  <c r="T1892" i="18"/>
  <c r="Q2080" i="1"/>
  <c r="R2080" i="1"/>
  <c r="S2080" i="1"/>
  <c r="T1962" i="18"/>
  <c r="Y2147" i="18"/>
  <c r="S2117" i="1"/>
  <c r="Q2117" i="1"/>
  <c r="R2117" i="1"/>
  <c r="T1534" i="18"/>
  <c r="T1518" i="18"/>
  <c r="T1502" i="18"/>
  <c r="T1486" i="18"/>
  <c r="T1470" i="18"/>
  <c r="T1454" i="18"/>
  <c r="Y1130" i="18"/>
  <c r="Y1098" i="18"/>
  <c r="Y1066" i="18"/>
  <c r="Y1215" i="18"/>
  <c r="Y1199" i="18"/>
  <c r="Y1183" i="18"/>
  <c r="Y1167" i="18"/>
  <c r="T947" i="18"/>
  <c r="Y915" i="18"/>
  <c r="Y1054" i="18"/>
  <c r="Y1038" i="18"/>
  <c r="Y1022" i="18"/>
  <c r="Y1006" i="18"/>
  <c r="Y990" i="18"/>
  <c r="T555" i="18"/>
  <c r="Y843" i="18"/>
  <c r="Y578" i="18"/>
  <c r="S763" i="1"/>
  <c r="Q763" i="1"/>
  <c r="R763" i="1"/>
  <c r="Y711" i="18"/>
  <c r="Y640" i="18"/>
  <c r="Y624" i="18"/>
  <c r="Q335" i="1"/>
  <c r="R335" i="1"/>
  <c r="S335" i="1"/>
  <c r="S287" i="1"/>
  <c r="Q287" i="1"/>
  <c r="R287" i="1"/>
  <c r="T548" i="18"/>
  <c r="T524" i="18"/>
  <c r="Y38" i="18"/>
  <c r="Y22" i="18"/>
  <c r="T86" i="18"/>
  <c r="T70" i="18"/>
  <c r="T697" i="18"/>
  <c r="Q153" i="1"/>
  <c r="R153" i="1"/>
  <c r="S153" i="1"/>
  <c r="T2457" i="18"/>
  <c r="T2210" i="18"/>
  <c r="Y2539" i="18"/>
  <c r="Y2523" i="18"/>
  <c r="T2076" i="18"/>
  <c r="Q2054" i="1"/>
  <c r="R2054" i="1"/>
  <c r="S2054" i="1"/>
  <c r="Y1714" i="18"/>
  <c r="Y1698" i="18"/>
  <c r="Y1639" i="18"/>
  <c r="T1629" i="18"/>
  <c r="Y1358" i="18"/>
  <c r="Y1342" i="18"/>
  <c r="Y1326" i="18"/>
  <c r="Y1310" i="18"/>
  <c r="Y1294" i="18"/>
  <c r="Y1278" i="18"/>
  <c r="T1045" i="18"/>
  <c r="T1029" i="18"/>
  <c r="T1013" i="18"/>
  <c r="T997" i="18"/>
  <c r="T981" i="18"/>
  <c r="T264" i="18"/>
  <c r="Y866" i="18"/>
  <c r="T842" i="18"/>
  <c r="T608" i="18"/>
  <c r="Q453" i="1"/>
  <c r="R453" i="1"/>
  <c r="S453" i="1"/>
  <c r="Y29" i="18"/>
  <c r="T1052" i="18"/>
  <c r="T865" i="18"/>
  <c r="T833" i="18"/>
  <c r="Y607" i="18"/>
  <c r="Y630" i="18"/>
  <c r="Q268" i="1"/>
  <c r="R268" i="1"/>
  <c r="S268" i="1"/>
  <c r="T2273" i="18"/>
  <c r="S2392" i="1"/>
  <c r="Q2392" i="1"/>
  <c r="R2392" i="1"/>
  <c r="Y2538" i="18"/>
  <c r="Y2522" i="18"/>
  <c r="Y2490" i="18"/>
  <c r="T2264" i="18"/>
  <c r="T2304" i="18"/>
  <c r="Q2313" i="1"/>
  <c r="R2313" i="1"/>
  <c r="S2313" i="1"/>
  <c r="T2068" i="18"/>
  <c r="Q1748" i="1"/>
  <c r="R1748" i="1"/>
  <c r="S1748" i="1"/>
  <c r="Y1713" i="18"/>
  <c r="Y1697" i="18"/>
  <c r="Y1638" i="18"/>
  <c r="T1412" i="18"/>
  <c r="T1380" i="18"/>
  <c r="Y1206" i="18"/>
  <c r="Y1190" i="18"/>
  <c r="Y1174" i="18"/>
  <c r="Y1205" i="18"/>
  <c r="Y1189" i="18"/>
  <c r="Y1173" i="18"/>
  <c r="Y1258" i="18"/>
  <c r="Y1222" i="18"/>
  <c r="Y1127" i="18"/>
  <c r="Y1095" i="18"/>
  <c r="Y1063" i="18"/>
  <c r="T316" i="18"/>
  <c r="Y2269" i="18"/>
  <c r="R2160" i="1"/>
  <c r="S2160" i="1"/>
  <c r="Q2160" i="1"/>
  <c r="Q1955" i="1"/>
  <c r="R1955" i="1"/>
  <c r="S1955" i="1"/>
  <c r="Q1841" i="1"/>
  <c r="R1841" i="1"/>
  <c r="S1841" i="1"/>
  <c r="T2103" i="18"/>
  <c r="Q2034" i="1"/>
  <c r="R2034" i="1"/>
  <c r="S2034" i="1"/>
  <c r="Y1712" i="18"/>
  <c r="Y1696" i="18"/>
  <c r="T1627" i="18"/>
  <c r="Y1051" i="18"/>
  <c r="Y1035" i="18"/>
  <c r="Y1019" i="18"/>
  <c r="Y1003" i="18"/>
  <c r="Y987" i="18"/>
  <c r="T490" i="18"/>
  <c r="T819" i="18"/>
  <c r="T803" i="18"/>
  <c r="T357" i="18"/>
  <c r="T629" i="18"/>
  <c r="R369" i="1"/>
  <c r="S369" i="1"/>
  <c r="Q369" i="1"/>
  <c r="Q322" i="1"/>
  <c r="R322" i="1"/>
  <c r="S322" i="1"/>
  <c r="Y318" i="18"/>
  <c r="R407" i="1"/>
  <c r="S407" i="1"/>
  <c r="Q407" i="1"/>
  <c r="Y27" i="18"/>
  <c r="T90" i="18"/>
  <c r="T39" i="18"/>
  <c r="T1982" i="18"/>
  <c r="T2302" i="18"/>
  <c r="Q2236" i="1"/>
  <c r="R2236" i="1"/>
  <c r="S2236" i="1"/>
  <c r="Y2544" i="18"/>
  <c r="Y2528" i="18"/>
  <c r="Y2496" i="18"/>
  <c r="T2051" i="18"/>
  <c r="Q2439" i="1"/>
  <c r="R2439" i="1"/>
  <c r="S2439" i="1"/>
  <c r="Q2201" i="1"/>
  <c r="R2201" i="1"/>
  <c r="S2201" i="1"/>
  <c r="S2178" i="1"/>
  <c r="Q2178" i="1"/>
  <c r="R2178" i="1"/>
  <c r="T1741" i="18"/>
  <c r="Y2215" i="18"/>
  <c r="T1447" i="18"/>
  <c r="T1761" i="18"/>
  <c r="T1711" i="18"/>
  <c r="T1695" i="18"/>
  <c r="T1452" i="18"/>
  <c r="Y1538" i="18"/>
  <c r="Y1522" i="18"/>
  <c r="Y1506" i="18"/>
  <c r="Y1490" i="18"/>
  <c r="Y1474" i="18"/>
  <c r="Y1458" i="18"/>
  <c r="Y1424" i="18"/>
  <c r="Y1392" i="18"/>
  <c r="Y1634" i="18"/>
  <c r="Y1626" i="18"/>
  <c r="Y1242" i="18"/>
  <c r="T1122" i="18"/>
  <c r="T1090" i="18"/>
  <c r="T1058" i="18"/>
  <c r="Y1355" i="18"/>
  <c r="Y1339" i="18"/>
  <c r="Y1323" i="18"/>
  <c r="Y1307" i="18"/>
  <c r="Y1291" i="18"/>
  <c r="Y1275" i="18"/>
  <c r="T1240" i="18"/>
  <c r="Y1160" i="18"/>
  <c r="T1120" i="18"/>
  <c r="T1088" i="18"/>
  <c r="Y879" i="18"/>
  <c r="T1050" i="18"/>
  <c r="T1034" i="18"/>
  <c r="T1018" i="18"/>
  <c r="T1002" i="18"/>
  <c r="T986" i="18"/>
  <c r="Q861" i="1"/>
  <c r="R861" i="1"/>
  <c r="S861" i="1"/>
  <c r="T863" i="18"/>
  <c r="T839" i="18"/>
  <c r="Y818" i="18"/>
  <c r="Y802" i="18"/>
  <c r="Y636" i="18"/>
  <c r="T158" i="18"/>
  <c r="T416" i="18"/>
  <c r="T248" i="18"/>
  <c r="T413" i="18"/>
  <c r="Q126" i="1"/>
  <c r="R126" i="1"/>
  <c r="S126" i="1"/>
  <c r="T169" i="18"/>
  <c r="Y253" i="18"/>
  <c r="Q535" i="1"/>
  <c r="S535" i="1"/>
  <c r="R535" i="1"/>
  <c r="Q476" i="1"/>
  <c r="R476" i="1"/>
  <c r="S476" i="1"/>
  <c r="T474" i="18"/>
  <c r="T572" i="18"/>
  <c r="T1966" i="18"/>
  <c r="Y2535" i="18"/>
  <c r="Y2519" i="18"/>
  <c r="Y2487" i="18"/>
  <c r="T1870" i="18"/>
  <c r="T2291" i="18"/>
  <c r="Y2203" i="18"/>
  <c r="Q1986" i="1"/>
  <c r="R1986" i="1"/>
  <c r="S1986" i="1"/>
  <c r="Q2046" i="1"/>
  <c r="R2046" i="1"/>
  <c r="S2046" i="1"/>
  <c r="T1816" i="18"/>
  <c r="T1924" i="18"/>
  <c r="Q1771" i="1"/>
  <c r="R1771" i="1"/>
  <c r="S1771" i="1"/>
  <c r="Y1718" i="18"/>
  <c r="Y1702" i="18"/>
  <c r="T1541" i="18"/>
  <c r="T1525" i="18"/>
  <c r="T1509" i="18"/>
  <c r="T1493" i="18"/>
  <c r="T1477" i="18"/>
  <c r="T1461" i="18"/>
  <c r="T615" i="18"/>
  <c r="Y1049" i="18"/>
  <c r="Y1033" i="18"/>
  <c r="Y1017" i="18"/>
  <c r="Y1001" i="18"/>
  <c r="Y985" i="18"/>
  <c r="T870" i="18"/>
  <c r="Y741" i="18"/>
  <c r="Y702" i="18"/>
  <c r="T283" i="18"/>
  <c r="Y551" i="18"/>
  <c r="Y527" i="18"/>
  <c r="Q485" i="1"/>
  <c r="R485" i="1"/>
  <c r="S485" i="1"/>
  <c r="Y46" i="18"/>
  <c r="Y426" i="18"/>
  <c r="Y55" i="18"/>
  <c r="S2432" i="1"/>
  <c r="Q2432" i="1"/>
  <c r="R2432" i="1"/>
  <c r="T2230" i="18"/>
  <c r="T2092" i="18"/>
  <c r="T2301" i="18"/>
  <c r="T2281" i="18"/>
  <c r="Q1923" i="1"/>
  <c r="R1923" i="1"/>
  <c r="S1923" i="1"/>
  <c r="T1888" i="18"/>
  <c r="T1441" i="18"/>
  <c r="T1409" i="18"/>
  <c r="T1377" i="18"/>
  <c r="Y1759" i="18"/>
  <c r="Y1709" i="18"/>
  <c r="Y1693" i="18"/>
  <c r="T1642" i="18"/>
  <c r="Y1048" i="18"/>
  <c r="Y1032" i="18"/>
  <c r="Y1016" i="18"/>
  <c r="Y1000" i="18"/>
  <c r="Y984" i="18"/>
  <c r="T719" i="18"/>
  <c r="T313" i="18"/>
  <c r="T344" i="18"/>
  <c r="Y869" i="18"/>
  <c r="Y837" i="18"/>
  <c r="T353" i="18"/>
  <c r="T634" i="18"/>
  <c r="T288" i="18"/>
  <c r="T246" i="18"/>
  <c r="T297" i="18"/>
  <c r="Y526" i="18"/>
  <c r="S435" i="1"/>
  <c r="Q435" i="1"/>
  <c r="R435" i="1"/>
  <c r="Y61" i="18"/>
  <c r="Y80" i="18"/>
  <c r="Y525" i="18"/>
  <c r="Y57" i="18"/>
  <c r="Y522" i="18"/>
  <c r="Y28" i="18"/>
  <c r="T2453" i="18"/>
  <c r="T2043" i="18"/>
  <c r="Y2359" i="18"/>
  <c r="Y2533" i="18"/>
  <c r="Y2517" i="18"/>
  <c r="Y2485" i="18"/>
  <c r="T1871" i="18"/>
  <c r="T2209" i="18"/>
  <c r="T2385" i="18"/>
  <c r="T2113" i="18"/>
  <c r="T1833" i="18"/>
  <c r="Y1807" i="18"/>
  <c r="T1055" i="18"/>
  <c r="T1039" i="18"/>
  <c r="T1023" i="18"/>
  <c r="T1007" i="18"/>
  <c r="T991" i="18"/>
  <c r="T975" i="18"/>
  <c r="T779" i="18"/>
  <c r="Y815" i="18"/>
  <c r="Y799" i="18"/>
  <c r="T388" i="18"/>
  <c r="T284" i="18"/>
  <c r="Y1238" i="18"/>
  <c r="T1133" i="18"/>
  <c r="T1100" i="18"/>
  <c r="T1646" i="18"/>
  <c r="Y1403" i="18"/>
  <c r="Y1543" i="18"/>
  <c r="Y1505" i="18"/>
  <c r="Y1467" i="18"/>
  <c r="Y1374" i="18"/>
  <c r="T1170" i="18"/>
  <c r="T1209" i="18"/>
  <c r="Q469" i="1"/>
  <c r="R469" i="1"/>
  <c r="S469" i="1"/>
  <c r="Q374" i="1"/>
  <c r="R374" i="1"/>
  <c r="S374" i="1"/>
  <c r="T324" i="18"/>
  <c r="Q2023" i="1"/>
  <c r="R2023" i="1"/>
  <c r="S2023" i="1"/>
  <c r="T1956" i="18"/>
  <c r="Y1159" i="18"/>
  <c r="T1101" i="18"/>
  <c r="T1233" i="18"/>
  <c r="Y1775" i="18"/>
  <c r="T1371" i="18"/>
  <c r="T1394" i="18"/>
  <c r="Y1070" i="18"/>
  <c r="Y1097" i="18"/>
  <c r="Y1236" i="18"/>
  <c r="Y1249" i="18"/>
  <c r="Y53" i="18"/>
  <c r="T1896" i="18"/>
  <c r="Y1395" i="18"/>
  <c r="Y1513" i="18"/>
  <c r="Y1475" i="18"/>
  <c r="Y1390" i="18"/>
  <c r="T1194" i="18"/>
  <c r="T1169" i="18"/>
  <c r="Y926" i="18"/>
  <c r="T1511" i="18"/>
  <c r="T1473" i="18"/>
  <c r="Y1177" i="18"/>
  <c r="Y51" i="18"/>
  <c r="Y1988" i="18"/>
  <c r="Q1813" i="1"/>
  <c r="R1813" i="1"/>
  <c r="S1813" i="1"/>
  <c r="T1439" i="18"/>
  <c r="Y1113" i="18"/>
  <c r="P913" i="1"/>
  <c r="O2553" i="1"/>
  <c r="F12" i="7"/>
  <c r="S16" i="11" s="1"/>
  <c r="T1435" i="18"/>
  <c r="T1406" i="18"/>
  <c r="Y1137" i="18"/>
  <c r="Y171" i="18"/>
  <c r="T2049" i="18"/>
  <c r="T2171" i="18"/>
  <c r="Y1191" i="18"/>
  <c r="T330" i="18"/>
  <c r="T2368" i="18"/>
  <c r="Y2540" i="18"/>
  <c r="T2223" i="18"/>
  <c r="T2378" i="18"/>
  <c r="T2280" i="18"/>
  <c r="T2321" i="18"/>
  <c r="Y2532" i="18"/>
  <c r="Q2515" i="1"/>
  <c r="R2515" i="1"/>
  <c r="S2515" i="1"/>
  <c r="T2263" i="18"/>
  <c r="T2248" i="18"/>
  <c r="Y2171" i="18"/>
  <c r="Y2139" i="18"/>
  <c r="Y2187" i="18"/>
  <c r="Y1437" i="18"/>
  <c r="Y1405" i="18"/>
  <c r="Y1373" i="18"/>
  <c r="Y1534" i="18"/>
  <c r="Y1518" i="18"/>
  <c r="Y1502" i="18"/>
  <c r="Y1486" i="18"/>
  <c r="Y1470" i="18"/>
  <c r="Y1454" i="18"/>
  <c r="Y1416" i="18"/>
  <c r="Y1384" i="18"/>
  <c r="Y1250" i="18"/>
  <c r="T1130" i="18"/>
  <c r="T1098" i="18"/>
  <c r="T1066" i="18"/>
  <c r="Y1359" i="18"/>
  <c r="Y1343" i="18"/>
  <c r="Y1327" i="18"/>
  <c r="Y1311" i="18"/>
  <c r="Y1295" i="18"/>
  <c r="Y1279" i="18"/>
  <c r="Y1263" i="18"/>
  <c r="T1215" i="18"/>
  <c r="T1199" i="18"/>
  <c r="T1183" i="18"/>
  <c r="T1167" i="18"/>
  <c r="T1230" i="18"/>
  <c r="T1054" i="18"/>
  <c r="T1038" i="18"/>
  <c r="T1022" i="18"/>
  <c r="T1006" i="18"/>
  <c r="T990" i="18"/>
  <c r="T601" i="18"/>
  <c r="T293" i="18"/>
  <c r="T875" i="18"/>
  <c r="T851" i="18"/>
  <c r="T835" i="18"/>
  <c r="T578" i="18"/>
  <c r="Q762" i="1"/>
  <c r="R762" i="1"/>
  <c r="S762" i="1"/>
  <c r="S715" i="1"/>
  <c r="Q715" i="1"/>
  <c r="R715" i="1"/>
  <c r="T640" i="18"/>
  <c r="T624" i="18"/>
  <c r="Y330" i="18"/>
  <c r="Y276" i="18"/>
  <c r="Y223" i="18"/>
  <c r="Y574" i="18"/>
  <c r="Q510" i="1"/>
  <c r="R510" i="1"/>
  <c r="S510" i="1"/>
  <c r="T38" i="18"/>
  <c r="T22" i="18"/>
  <c r="Y841" i="18"/>
  <c r="Y560" i="18"/>
  <c r="T2531" i="18"/>
  <c r="R2017" i="1"/>
  <c r="S2017" i="1"/>
  <c r="Q2017" i="1"/>
  <c r="T1784" i="18"/>
  <c r="Q2039" i="1"/>
  <c r="R2039" i="1"/>
  <c r="S2039" i="1"/>
  <c r="T1822" i="18"/>
  <c r="Y2012" i="18"/>
  <c r="T1818" i="18"/>
  <c r="T1714" i="18"/>
  <c r="T1698" i="18"/>
  <c r="T1639" i="18"/>
  <c r="T1350" i="18"/>
  <c r="T1334" i="18"/>
  <c r="T1318" i="18"/>
  <c r="T1302" i="18"/>
  <c r="T1286" i="18"/>
  <c r="T1270" i="18"/>
  <c r="T749" i="18"/>
  <c r="T542" i="18"/>
  <c r="T725" i="18"/>
  <c r="T857" i="18"/>
  <c r="T866" i="18"/>
  <c r="Q610" i="1"/>
  <c r="R610" i="1"/>
  <c r="S610" i="1"/>
  <c r="T281" i="18"/>
  <c r="Y251" i="18"/>
  <c r="T198" i="18"/>
  <c r="T450" i="18"/>
  <c r="T29" i="18"/>
  <c r="Y85" i="18"/>
  <c r="T607" i="18"/>
  <c r="T630" i="18"/>
  <c r="Q161" i="1"/>
  <c r="R161" i="1"/>
  <c r="S161" i="1"/>
  <c r="R379" i="1"/>
  <c r="S379" i="1"/>
  <c r="Q379" i="1"/>
  <c r="T2349" i="18"/>
  <c r="Q2276" i="1"/>
  <c r="R2276" i="1"/>
  <c r="S2276" i="1"/>
  <c r="T2421" i="18"/>
  <c r="T2546" i="18"/>
  <c r="T2530" i="18"/>
  <c r="T2498" i="18"/>
  <c r="T2482" i="18"/>
  <c r="T2445" i="18"/>
  <c r="Q2070" i="1"/>
  <c r="R2070" i="1"/>
  <c r="S2070" i="1"/>
  <c r="Y2155" i="18"/>
  <c r="Y1417" i="18"/>
  <c r="Y1385" i="18"/>
  <c r="T1713" i="18"/>
  <c r="T1697" i="18"/>
  <c r="T1638" i="18"/>
  <c r="T1449" i="18"/>
  <c r="T1228" i="18"/>
  <c r="T1206" i="18"/>
  <c r="T1190" i="18"/>
  <c r="T1174" i="18"/>
  <c r="Y1161" i="18"/>
  <c r="Y1349" i="18"/>
  <c r="Y1333" i="18"/>
  <c r="Y1317" i="18"/>
  <c r="Y1301" i="18"/>
  <c r="Y1285" i="18"/>
  <c r="Y1269" i="18"/>
  <c r="T1224" i="18"/>
  <c r="T1205" i="18"/>
  <c r="T1189" i="18"/>
  <c r="T1173" i="18"/>
  <c r="T1258" i="18"/>
  <c r="T1127" i="18"/>
  <c r="T1095" i="18"/>
  <c r="T1063" i="18"/>
  <c r="Y1036" i="18"/>
  <c r="Y1012" i="18"/>
  <c r="Y996" i="18"/>
  <c r="Y980" i="18"/>
  <c r="T579" i="18"/>
  <c r="P117" i="1"/>
  <c r="F7" i="7"/>
  <c r="T2241" i="18"/>
  <c r="T2318" i="18"/>
  <c r="T2152" i="18"/>
  <c r="T2342" i="18"/>
  <c r="Q2192" i="1"/>
  <c r="R2192" i="1"/>
  <c r="S2192" i="1"/>
  <c r="T1952" i="18"/>
  <c r="Q2105" i="1"/>
  <c r="R2105" i="1"/>
  <c r="S2105" i="1"/>
  <c r="T1712" i="18"/>
  <c r="T1696" i="18"/>
  <c r="T614" i="18"/>
  <c r="T679" i="18"/>
  <c r="T1051" i="18"/>
  <c r="T1035" i="18"/>
  <c r="T1019" i="18"/>
  <c r="T1003" i="18"/>
  <c r="T987" i="18"/>
  <c r="Q671" i="1"/>
  <c r="R671" i="1"/>
  <c r="S671" i="1"/>
  <c r="T305" i="18"/>
  <c r="Y213" i="18"/>
  <c r="T366" i="18"/>
  <c r="R321" i="1"/>
  <c r="S321" i="1"/>
  <c r="Q321" i="1"/>
  <c r="T225" i="18"/>
  <c r="T199" i="18"/>
  <c r="Y402" i="18"/>
  <c r="Y219" i="18"/>
  <c r="T27" i="18"/>
  <c r="Y75" i="18"/>
  <c r="Y25" i="18"/>
  <c r="Y81" i="18"/>
  <c r="Q173" i="1"/>
  <c r="R173" i="1"/>
  <c r="S173" i="1"/>
  <c r="T2278" i="18"/>
  <c r="T2101" i="18"/>
  <c r="T1997" i="18"/>
  <c r="T2233" i="18"/>
  <c r="T2536" i="18"/>
  <c r="T2520" i="18"/>
  <c r="T2488" i="18"/>
  <c r="T2366" i="18"/>
  <c r="T2365" i="18"/>
  <c r="R1861" i="1"/>
  <c r="S1861" i="1"/>
  <c r="Q1861" i="1"/>
  <c r="T1802" i="18"/>
  <c r="Y2058" i="18"/>
  <c r="Y2004" i="18"/>
  <c r="T1655" i="18"/>
  <c r="R2220" i="1"/>
  <c r="S2220" i="1"/>
  <c r="Q2220" i="1"/>
  <c r="Y2143" i="18"/>
  <c r="T1440" i="18"/>
  <c r="T1408" i="18"/>
  <c r="T1376" i="18"/>
  <c r="S1637" i="1"/>
  <c r="Q1637" i="1"/>
  <c r="R1637" i="1"/>
  <c r="T1626" i="18"/>
  <c r="T1242" i="18"/>
  <c r="Y1212" i="18"/>
  <c r="Y1196" i="18"/>
  <c r="Y1180" i="18"/>
  <c r="Y1164" i="18"/>
  <c r="T1363" i="18"/>
  <c r="T1347" i="18"/>
  <c r="T1331" i="18"/>
  <c r="T1315" i="18"/>
  <c r="T1299" i="18"/>
  <c r="T1283" i="18"/>
  <c r="T1267" i="18"/>
  <c r="Y1211" i="18"/>
  <c r="Y1195" i="18"/>
  <c r="Y1179" i="18"/>
  <c r="T1160" i="18"/>
  <c r="Y1237" i="18"/>
  <c r="Y1139" i="18"/>
  <c r="Y1107" i="18"/>
  <c r="Y1075" i="18"/>
  <c r="T931" i="18"/>
  <c r="T769" i="18"/>
  <c r="T858" i="18"/>
  <c r="T295" i="18"/>
  <c r="T818" i="18"/>
  <c r="T802" i="18"/>
  <c r="Q595" i="1"/>
  <c r="R595" i="1"/>
  <c r="S595" i="1"/>
  <c r="Y561" i="18"/>
  <c r="T636" i="18"/>
  <c r="Y537" i="18"/>
  <c r="R301" i="1"/>
  <c r="S301" i="1"/>
  <c r="Q301" i="1"/>
  <c r="Y256" i="18"/>
  <c r="Y34" i="18"/>
  <c r="Y82" i="18"/>
  <c r="T166" i="18"/>
  <c r="T253" i="18"/>
  <c r="Q499" i="1"/>
  <c r="R499" i="1"/>
  <c r="S499" i="1"/>
  <c r="Y76" i="18"/>
  <c r="T2409" i="18"/>
  <c r="T2543" i="18"/>
  <c r="T2527" i="18"/>
  <c r="T2495" i="18"/>
  <c r="T2448" i="18"/>
  <c r="Q2324" i="1"/>
  <c r="S2324" i="1"/>
  <c r="R2324" i="1"/>
  <c r="T2091" i="18"/>
  <c r="Q2206" i="1"/>
  <c r="R2206" i="1"/>
  <c r="S2206" i="1"/>
  <c r="T1874" i="18"/>
  <c r="Y2135" i="18"/>
  <c r="T1768" i="18"/>
  <c r="T1718" i="18"/>
  <c r="T1702" i="18"/>
  <c r="Y1451" i="18"/>
  <c r="Y1415" i="18"/>
  <c r="Y1383" i="18"/>
  <c r="Y1541" i="18"/>
  <c r="Y1525" i="18"/>
  <c r="Y1509" i="18"/>
  <c r="Y1493" i="18"/>
  <c r="Y1477" i="18"/>
  <c r="Y1461" i="18"/>
  <c r="Y1434" i="18"/>
  <c r="Y1402" i="18"/>
  <c r="Y1370" i="18"/>
  <c r="Y1362" i="18"/>
  <c r="Y1346" i="18"/>
  <c r="Y1330" i="18"/>
  <c r="Y1314" i="18"/>
  <c r="Y1298" i="18"/>
  <c r="Y1282" i="18"/>
  <c r="Y1266" i="18"/>
  <c r="Y1235" i="18"/>
  <c r="Y1147" i="18"/>
  <c r="T1227" i="18"/>
  <c r="T754" i="18"/>
  <c r="T1049" i="18"/>
  <c r="T1033" i="18"/>
  <c r="T1017" i="18"/>
  <c r="T1001" i="18"/>
  <c r="T985" i="18"/>
  <c r="Y817" i="18"/>
  <c r="Y801" i="18"/>
  <c r="R745" i="1"/>
  <c r="S745" i="1"/>
  <c r="Q745" i="1"/>
  <c r="T702" i="18"/>
  <c r="Y643" i="18"/>
  <c r="Y627" i="18"/>
  <c r="Y247" i="18"/>
  <c r="T569" i="18"/>
  <c r="T551" i="18"/>
  <c r="T527" i="18"/>
  <c r="Y480" i="18"/>
  <c r="T415" i="18"/>
  <c r="T46" i="18"/>
  <c r="Y23" i="18"/>
  <c r="Y71" i="18"/>
  <c r="Q430" i="1"/>
  <c r="R430" i="1"/>
  <c r="S430" i="1"/>
  <c r="T55" i="18"/>
  <c r="T2328" i="18"/>
  <c r="T2198" i="18"/>
  <c r="Y2542" i="18"/>
  <c r="Y2526" i="18"/>
  <c r="Y2494" i="18"/>
  <c r="T1742" i="18"/>
  <c r="T1920" i="18"/>
  <c r="Q1890" i="1"/>
  <c r="R1890" i="1"/>
  <c r="S1890" i="1"/>
  <c r="T1759" i="18"/>
  <c r="T1709" i="18"/>
  <c r="T1693" i="18"/>
  <c r="T1536" i="18"/>
  <c r="T1520" i="18"/>
  <c r="T1504" i="18"/>
  <c r="T1488" i="18"/>
  <c r="T1472" i="18"/>
  <c r="T1456" i="18"/>
  <c r="Y1361" i="18"/>
  <c r="Y1345" i="18"/>
  <c r="Y1329" i="18"/>
  <c r="Y1313" i="18"/>
  <c r="Y1297" i="18"/>
  <c r="Y1281" i="18"/>
  <c r="Y1265" i="18"/>
  <c r="T605" i="18"/>
  <c r="T1048" i="18"/>
  <c r="T1032" i="18"/>
  <c r="T1016" i="18"/>
  <c r="T1000" i="18"/>
  <c r="T984" i="18"/>
  <c r="Y559" i="18"/>
  <c r="T845" i="18"/>
  <c r="R657" i="1"/>
  <c r="S657" i="1"/>
  <c r="Q657" i="1"/>
  <c r="Y816" i="18"/>
  <c r="Y800" i="18"/>
  <c r="S299" i="1"/>
  <c r="Q299" i="1"/>
  <c r="R299" i="1"/>
  <c r="Y217" i="18"/>
  <c r="T526" i="18"/>
  <c r="T432" i="18"/>
  <c r="T61" i="18"/>
  <c r="T80" i="18"/>
  <c r="T525" i="18"/>
  <c r="T57" i="18"/>
  <c r="T522" i="18"/>
  <c r="T28" i="18"/>
  <c r="T2430" i="18"/>
  <c r="T2097" i="18"/>
  <c r="T2541" i="18"/>
  <c r="T2525" i="18"/>
  <c r="T2493" i="18"/>
  <c r="T2429" i="18"/>
  <c r="Q2356" i="1"/>
  <c r="R2356" i="1"/>
  <c r="S2356" i="1"/>
  <c r="T1907" i="18"/>
  <c r="Y2063" i="18"/>
  <c r="Y2000" i="18"/>
  <c r="Q1810" i="1"/>
  <c r="R1810" i="1"/>
  <c r="S1810" i="1"/>
  <c r="Y1758" i="18"/>
  <c r="Y1708" i="18"/>
  <c r="Y1692" i="18"/>
  <c r="Y1631" i="18"/>
  <c r="Y1658" i="18"/>
  <c r="Y1360" i="18"/>
  <c r="Y1344" i="18"/>
  <c r="Y1328" i="18"/>
  <c r="Y1312" i="18"/>
  <c r="Y1296" i="18"/>
  <c r="Y1280" i="18"/>
  <c r="Y1264" i="18"/>
  <c r="T540" i="18"/>
  <c r="Y852" i="18"/>
  <c r="Y836" i="18"/>
  <c r="T815" i="18"/>
  <c r="T799" i="18"/>
  <c r="Q1865" i="1"/>
  <c r="S1865" i="1"/>
  <c r="R1865" i="1"/>
  <c r="T1519" i="18"/>
  <c r="T1481" i="18"/>
  <c r="T1238" i="18"/>
  <c r="Q1648" i="1"/>
  <c r="R1648" i="1"/>
  <c r="S1648" i="1"/>
  <c r="T1379" i="18"/>
  <c r="T1426" i="18"/>
  <c r="Y1129" i="18"/>
  <c r="Y1116" i="18"/>
  <c r="S473" i="1"/>
  <c r="Q473" i="1"/>
  <c r="R473" i="1"/>
  <c r="Q421" i="1"/>
  <c r="R421" i="1"/>
  <c r="S421" i="1"/>
  <c r="Q326" i="1"/>
  <c r="R326" i="1"/>
  <c r="S326" i="1"/>
  <c r="T2020" i="18"/>
  <c r="Q1958" i="1"/>
  <c r="R1958" i="1"/>
  <c r="S1958" i="1"/>
  <c r="Q1929" i="1"/>
  <c r="R1929" i="1"/>
  <c r="S1929" i="1"/>
  <c r="Q1777" i="1"/>
  <c r="R1777" i="1"/>
  <c r="S1777" i="1"/>
  <c r="T1529" i="18"/>
  <c r="T1491" i="18"/>
  <c r="T1159" i="18"/>
  <c r="Y1217" i="18"/>
  <c r="Q202" i="1"/>
  <c r="R202" i="1"/>
  <c r="S202" i="1"/>
  <c r="T1775" i="18"/>
  <c r="T1070" i="18"/>
  <c r="T1097" i="18"/>
  <c r="T1236" i="18"/>
  <c r="T1249" i="18"/>
  <c r="T53" i="18"/>
  <c r="T1419" i="18"/>
  <c r="T1442" i="18"/>
  <c r="T1366" i="18"/>
  <c r="Y1086" i="18"/>
  <c r="Y1121" i="18"/>
  <c r="Y1252" i="18"/>
  <c r="Y1071" i="18"/>
  <c r="Y60" i="18"/>
  <c r="Y44" i="18"/>
  <c r="Y1391" i="18"/>
  <c r="Y1511" i="18"/>
  <c r="Y1473" i="18"/>
  <c r="Y1414" i="18"/>
  <c r="T1177" i="18"/>
  <c r="T51" i="18"/>
  <c r="Q1991" i="1"/>
  <c r="R1991" i="1"/>
  <c r="S1991" i="1"/>
  <c r="Y1145" i="18"/>
  <c r="T1113" i="18"/>
  <c r="Y1157" i="18"/>
  <c r="T918" i="18"/>
  <c r="Y58" i="18"/>
  <c r="Y2253" i="18"/>
  <c r="T1137" i="18"/>
  <c r="Y1149" i="18"/>
  <c r="Y65" i="18"/>
  <c r="Y48" i="18"/>
  <c r="Y47" i="18"/>
  <c r="Q2309" i="1"/>
  <c r="S2309" i="1"/>
  <c r="R2309" i="1"/>
  <c r="R1893" i="1"/>
  <c r="Q1893" i="1"/>
  <c r="S1893" i="1"/>
  <c r="T1510" i="18"/>
  <c r="T1144" i="18"/>
  <c r="T398" i="18"/>
  <c r="Y586" i="18"/>
  <c r="Y632" i="18"/>
  <c r="Y2524" i="18"/>
  <c r="Q2307" i="1"/>
  <c r="R2307" i="1"/>
  <c r="S2307" i="1"/>
  <c r="S2310" i="1"/>
  <c r="R2310" i="1"/>
  <c r="Q2310" i="1"/>
  <c r="T2540" i="18"/>
  <c r="T2524" i="18"/>
  <c r="Y2516" i="18"/>
  <c r="Y2484" i="18"/>
  <c r="Q2175" i="1"/>
  <c r="R2175" i="1"/>
  <c r="S2175" i="1"/>
  <c r="Q1894" i="1"/>
  <c r="S1894" i="1"/>
  <c r="R1894" i="1"/>
  <c r="Q2142" i="1"/>
  <c r="R2142" i="1"/>
  <c r="S2142" i="1"/>
  <c r="R2079" i="1"/>
  <c r="S2079" i="1"/>
  <c r="Q2079" i="1"/>
  <c r="Q2150" i="1"/>
  <c r="R2150" i="1"/>
  <c r="S2150" i="1"/>
  <c r="Q2116" i="1"/>
  <c r="R2116" i="1"/>
  <c r="S2116" i="1"/>
  <c r="T1421" i="18"/>
  <c r="T1389" i="18"/>
  <c r="Y1765" i="18"/>
  <c r="Y1707" i="18"/>
  <c r="Y1691" i="18"/>
  <c r="T1432" i="18"/>
  <c r="T1400" i="18"/>
  <c r="T1368" i="18"/>
  <c r="T1250" i="18"/>
  <c r="Y1216" i="18"/>
  <c r="Y1200" i="18"/>
  <c r="Y1184" i="18"/>
  <c r="Y1168" i="18"/>
  <c r="T1351" i="18"/>
  <c r="T1335" i="18"/>
  <c r="T1319" i="18"/>
  <c r="T1303" i="18"/>
  <c r="T1287" i="18"/>
  <c r="T1271" i="18"/>
  <c r="Y1232" i="18"/>
  <c r="Y1112" i="18"/>
  <c r="Y1080" i="18"/>
  <c r="Y1245" i="18"/>
  <c r="Y1115" i="18"/>
  <c r="Y1083" i="18"/>
  <c r="T616" i="18"/>
  <c r="T720" i="18"/>
  <c r="T488" i="18"/>
  <c r="Q563" i="1"/>
  <c r="R563" i="1"/>
  <c r="S563" i="1"/>
  <c r="Y875" i="18"/>
  <c r="Y806" i="18"/>
  <c r="Y790" i="18"/>
  <c r="Y699" i="18"/>
  <c r="T759" i="18"/>
  <c r="Q714" i="1"/>
  <c r="R714" i="1"/>
  <c r="S714" i="1"/>
  <c r="T738" i="18"/>
  <c r="T361" i="18"/>
  <c r="Q334" i="1"/>
  <c r="R334" i="1"/>
  <c r="S334" i="1"/>
  <c r="T276" i="18"/>
  <c r="T223" i="18"/>
  <c r="T574" i="18"/>
  <c r="Q286" i="1"/>
  <c r="R286" i="1"/>
  <c r="S286" i="1"/>
  <c r="Y120" i="18"/>
  <c r="T873" i="18"/>
  <c r="T560" i="18"/>
  <c r="Q152" i="1"/>
  <c r="R152" i="1"/>
  <c r="S152" i="1"/>
  <c r="T2337" i="18"/>
  <c r="T2244" i="18"/>
  <c r="T1999" i="18"/>
  <c r="Y2499" i="18"/>
  <c r="Y2483" i="18"/>
  <c r="T2447" i="18"/>
  <c r="T2036" i="18"/>
  <c r="S2015" i="1"/>
  <c r="Q2015" i="1"/>
  <c r="R2015" i="1"/>
  <c r="Y2053" i="18"/>
  <c r="T1847" i="18"/>
  <c r="T676" i="18"/>
  <c r="T756" i="18"/>
  <c r="T708" i="18"/>
  <c r="T721" i="18"/>
  <c r="Y805" i="18"/>
  <c r="Y789" i="18"/>
  <c r="Y698" i="18"/>
  <c r="Y639" i="18"/>
  <c r="Y623" i="18"/>
  <c r="T439" i="18"/>
  <c r="T310" i="18"/>
  <c r="T251" i="18"/>
  <c r="Y531" i="18"/>
  <c r="Q452" i="1"/>
  <c r="R452" i="1"/>
  <c r="S452" i="1"/>
  <c r="T143" i="18"/>
  <c r="T85" i="18"/>
  <c r="Y200" i="18"/>
  <c r="Y804" i="18"/>
  <c r="T146" i="18"/>
  <c r="R267" i="1"/>
  <c r="S267" i="1"/>
  <c r="Q267" i="1"/>
  <c r="T362" i="18"/>
  <c r="Y2273" i="18"/>
  <c r="Y2391" i="18"/>
  <c r="T2240" i="18"/>
  <c r="T2259" i="18"/>
  <c r="R2315" i="1"/>
  <c r="S2315" i="1"/>
  <c r="Q2315" i="1"/>
  <c r="S2158" i="1"/>
  <c r="Q2158" i="1"/>
  <c r="R2158" i="1"/>
  <c r="T1433" i="18"/>
  <c r="T1401" i="18"/>
  <c r="T1369" i="18"/>
  <c r="R1747" i="1"/>
  <c r="S1747" i="1"/>
  <c r="Q1747" i="1"/>
  <c r="T1532" i="18"/>
  <c r="T1516" i="18"/>
  <c r="T1500" i="18"/>
  <c r="T1484" i="18"/>
  <c r="T1468" i="18"/>
  <c r="Y1126" i="18"/>
  <c r="Y1094" i="18"/>
  <c r="Y1062" i="18"/>
  <c r="T1161" i="18"/>
  <c r="T1357" i="18"/>
  <c r="T1341" i="18"/>
  <c r="T1325" i="18"/>
  <c r="T1309" i="18"/>
  <c r="T1293" i="18"/>
  <c r="T1277" i="18"/>
  <c r="Y1244" i="18"/>
  <c r="Y1124" i="18"/>
  <c r="Y1092" i="18"/>
  <c r="Y1060" i="18"/>
  <c r="T939" i="18"/>
  <c r="T1036" i="18"/>
  <c r="T1012" i="18"/>
  <c r="T996" i="18"/>
  <c r="T980" i="18"/>
  <c r="Y579" i="18"/>
  <c r="T2338" i="18"/>
  <c r="Y2545" i="18"/>
  <c r="Y2529" i="18"/>
  <c r="Y2497" i="18"/>
  <c r="Y2481" i="18"/>
  <c r="Q2164" i="1"/>
  <c r="R2164" i="1"/>
  <c r="S2164" i="1"/>
  <c r="R1840" i="1"/>
  <c r="S1840" i="1"/>
  <c r="Q1840" i="1"/>
  <c r="Q2033" i="1"/>
  <c r="R2033" i="1"/>
  <c r="S2033" i="1"/>
  <c r="T1901" i="18"/>
  <c r="Q1787" i="1"/>
  <c r="R1787" i="1"/>
  <c r="S1787" i="1"/>
  <c r="Y1762" i="18"/>
  <c r="Y1364" i="18"/>
  <c r="Y1348" i="18"/>
  <c r="Y1332" i="18"/>
  <c r="Y1316" i="18"/>
  <c r="Y1300" i="18"/>
  <c r="Y1284" i="18"/>
  <c r="Y1268" i="18"/>
  <c r="T758" i="18"/>
  <c r="T726" i="18"/>
  <c r="T340" i="18"/>
  <c r="Y864" i="18"/>
  <c r="Y840" i="18"/>
  <c r="T440" i="18"/>
  <c r="T213" i="18"/>
  <c r="S368" i="1"/>
  <c r="Q368" i="1"/>
  <c r="R368" i="1"/>
  <c r="T318" i="18"/>
  <c r="Y529" i="18"/>
  <c r="S406" i="1"/>
  <c r="Q406" i="1"/>
  <c r="R406" i="1"/>
  <c r="T219" i="18"/>
  <c r="T75" i="18"/>
  <c r="T25" i="18"/>
  <c r="T81" i="18"/>
  <c r="P19" i="1"/>
  <c r="F5" i="7"/>
  <c r="Q2235" i="1"/>
  <c r="R2235" i="1"/>
  <c r="S2235" i="1"/>
  <c r="T1945" i="18"/>
  <c r="Q2438" i="1"/>
  <c r="R2438" i="1"/>
  <c r="S2438" i="1"/>
  <c r="Y2387" i="18"/>
  <c r="R2200" i="1"/>
  <c r="S2200" i="1"/>
  <c r="Q2200" i="1"/>
  <c r="Q2062" i="1"/>
  <c r="R2062" i="1"/>
  <c r="S2062" i="1"/>
  <c r="Q2182" i="1"/>
  <c r="R2182" i="1"/>
  <c r="S2182" i="1"/>
  <c r="T1914" i="18"/>
  <c r="T1796" i="18"/>
  <c r="S2219" i="1"/>
  <c r="R2219" i="1"/>
  <c r="Q2219" i="1"/>
  <c r="Q2146" i="1"/>
  <c r="R2146" i="1"/>
  <c r="S2146" i="1"/>
  <c r="Y1447" i="18"/>
  <c r="Y1413" i="18"/>
  <c r="Y1381" i="18"/>
  <c r="Y1452" i="18"/>
  <c r="T1634" i="18"/>
  <c r="T1212" i="18"/>
  <c r="T1196" i="18"/>
  <c r="T1180" i="18"/>
  <c r="T1164" i="18"/>
  <c r="T1211" i="18"/>
  <c r="T1195" i="18"/>
  <c r="T1179" i="18"/>
  <c r="T1237" i="18"/>
  <c r="T1139" i="18"/>
  <c r="T1107" i="18"/>
  <c r="T1075" i="18"/>
  <c r="Q860" i="1"/>
  <c r="R860" i="1"/>
  <c r="S860" i="1"/>
  <c r="T727" i="18"/>
  <c r="T273" i="18"/>
  <c r="Y695" i="18"/>
  <c r="T561" i="18"/>
  <c r="Y556" i="18"/>
  <c r="Q541" i="1"/>
  <c r="R541" i="1"/>
  <c r="S541" i="1"/>
  <c r="Q260" i="1"/>
  <c r="R260" i="1"/>
  <c r="S260" i="1"/>
  <c r="Y201" i="18"/>
  <c r="Y544" i="18"/>
  <c r="Y520" i="18"/>
  <c r="T34" i="18"/>
  <c r="T82" i="18"/>
  <c r="Q125" i="1"/>
  <c r="R125" i="1"/>
  <c r="S125" i="1"/>
  <c r="Y89" i="18"/>
  <c r="Y123" i="18"/>
  <c r="Q534" i="1"/>
  <c r="R534" i="1"/>
  <c r="S534" i="1"/>
  <c r="R503" i="1"/>
  <c r="S503" i="1"/>
  <c r="Q503" i="1"/>
  <c r="R475" i="1"/>
  <c r="S475" i="1"/>
  <c r="Q475" i="1"/>
  <c r="T76" i="18"/>
  <c r="T1971" i="18"/>
  <c r="T2319" i="18"/>
  <c r="T2208" i="18"/>
  <c r="T2153" i="18"/>
  <c r="T1937" i="18"/>
  <c r="T2203" i="18"/>
  <c r="R1985" i="1"/>
  <c r="S1985" i="1"/>
  <c r="Q1985" i="1"/>
  <c r="Q2045" i="1"/>
  <c r="R2045" i="1"/>
  <c r="S2045" i="1"/>
  <c r="R1927" i="1"/>
  <c r="Q1927" i="1"/>
  <c r="S1927" i="1"/>
  <c r="T1431" i="18"/>
  <c r="T1399" i="18"/>
  <c r="T1367" i="18"/>
  <c r="T1418" i="18"/>
  <c r="T1386" i="18"/>
  <c r="T1354" i="18"/>
  <c r="T1338" i="18"/>
  <c r="T1322" i="18"/>
  <c r="T1306" i="18"/>
  <c r="T1290" i="18"/>
  <c r="T1274" i="18"/>
  <c r="T1251" i="18"/>
  <c r="Y1141" i="18"/>
  <c r="Y1109" i="18"/>
  <c r="Y1077" i="18"/>
  <c r="T1147" i="18"/>
  <c r="T706" i="18"/>
  <c r="Y846" i="18"/>
  <c r="T817" i="18"/>
  <c r="T801" i="18"/>
  <c r="S744" i="1"/>
  <c r="Q744" i="1"/>
  <c r="R744" i="1"/>
  <c r="Q704" i="1"/>
  <c r="R704" i="1"/>
  <c r="S704" i="1"/>
  <c r="T643" i="18"/>
  <c r="T627" i="18"/>
  <c r="T247" i="18"/>
  <c r="Y569" i="18"/>
  <c r="R484" i="1"/>
  <c r="S484" i="1"/>
  <c r="Q484" i="1"/>
  <c r="T506" i="18"/>
  <c r="T23" i="18"/>
  <c r="T71" i="18"/>
  <c r="Q429" i="1"/>
  <c r="R429" i="1"/>
  <c r="S429" i="1"/>
  <c r="Y530" i="18"/>
  <c r="T1983" i="18"/>
  <c r="T2279" i="18"/>
  <c r="Q2436" i="1"/>
  <c r="R2436" i="1"/>
  <c r="S2436" i="1"/>
  <c r="T2026" i="18"/>
  <c r="T2534" i="18"/>
  <c r="T2518" i="18"/>
  <c r="T2486" i="18"/>
  <c r="T1938" i="18"/>
  <c r="T2247" i="18"/>
  <c r="Y2281" i="18"/>
  <c r="T1887" i="18"/>
  <c r="Q1922" i="1"/>
  <c r="R1922" i="1"/>
  <c r="S1922" i="1"/>
  <c r="Q1644" i="1"/>
  <c r="R1644" i="1"/>
  <c r="S1644" i="1"/>
  <c r="T1444" i="18"/>
  <c r="Y1536" i="18"/>
  <c r="Y1520" i="18"/>
  <c r="Y1504" i="18"/>
  <c r="Y1488" i="18"/>
  <c r="Y1472" i="18"/>
  <c r="Y1456" i="18"/>
  <c r="Y1420" i="18"/>
  <c r="Y1388" i="18"/>
  <c r="Y1632" i="18"/>
  <c r="T1353" i="18"/>
  <c r="T1337" i="18"/>
  <c r="T1321" i="18"/>
  <c r="T1305" i="18"/>
  <c r="T1289" i="18"/>
  <c r="T1273" i="18"/>
  <c r="T559" i="18"/>
  <c r="T296" i="18"/>
  <c r="T654" i="18"/>
  <c r="T816" i="18"/>
  <c r="T800" i="18"/>
  <c r="Y701" i="18"/>
  <c r="Y588" i="18"/>
  <c r="Y557" i="18"/>
  <c r="T147" i="18"/>
  <c r="Y576" i="18"/>
  <c r="Q434" i="1"/>
  <c r="R434" i="1"/>
  <c r="S434" i="1"/>
  <c r="Y40" i="18"/>
  <c r="Y24" i="18"/>
  <c r="Y31" i="18"/>
  <c r="Y250" i="18"/>
  <c r="Y66" i="18"/>
  <c r="Q2362" i="1"/>
  <c r="R2362" i="1"/>
  <c r="S2362" i="1"/>
  <c r="T1994" i="18"/>
  <c r="T2169" i="18"/>
  <c r="T1934" i="18"/>
  <c r="T2184" i="18"/>
  <c r="Q2266" i="1"/>
  <c r="R2266" i="1"/>
  <c r="S2266" i="1"/>
  <c r="S2067" i="1"/>
  <c r="Q2067" i="1"/>
  <c r="R2067" i="1"/>
  <c r="Q2003" i="1"/>
  <c r="R2003" i="1"/>
  <c r="S2003" i="1"/>
  <c r="T1805" i="18"/>
  <c r="T1807" i="18"/>
  <c r="T1758" i="18"/>
  <c r="T1708" i="18"/>
  <c r="T1692" i="18"/>
  <c r="T1631" i="18"/>
  <c r="Q1661" i="1"/>
  <c r="R1661" i="1"/>
  <c r="S1661" i="1"/>
  <c r="T1352" i="18"/>
  <c r="T1336" i="18"/>
  <c r="T1320" i="18"/>
  <c r="T1304" i="18"/>
  <c r="T1288" i="18"/>
  <c r="T1272" i="18"/>
  <c r="T314" i="18"/>
  <c r="Y868" i="18"/>
  <c r="T844" i="18"/>
  <c r="Y641" i="18"/>
  <c r="Y625" i="18"/>
  <c r="Y1407" i="18"/>
  <c r="Y1519" i="18"/>
  <c r="Y1481" i="18"/>
  <c r="Y1430" i="18"/>
  <c r="T1221" i="18"/>
  <c r="Y942" i="18"/>
  <c r="Q2287" i="1"/>
  <c r="R2287" i="1"/>
  <c r="S2287" i="1"/>
  <c r="Y1254" i="18"/>
  <c r="T1129" i="18"/>
  <c r="Y1163" i="18"/>
  <c r="T1116" i="18"/>
  <c r="Y468" i="18"/>
  <c r="S425" i="1"/>
  <c r="Q425" i="1"/>
  <c r="R425" i="1"/>
  <c r="Q373" i="1"/>
  <c r="R373" i="1"/>
  <c r="S373" i="1"/>
  <c r="Q2022" i="1"/>
  <c r="R2022" i="1"/>
  <c r="S2022" i="1"/>
  <c r="Q1930" i="1"/>
  <c r="R1930" i="1"/>
  <c r="S1930" i="1"/>
  <c r="Y1427" i="18"/>
  <c r="Y1529" i="18"/>
  <c r="Y1491" i="18"/>
  <c r="Y1422" i="18"/>
  <c r="Y1255" i="18"/>
  <c r="T1217" i="18"/>
  <c r="T1515" i="18"/>
  <c r="T1463" i="18"/>
  <c r="Y1896" i="18"/>
  <c r="T1086" i="18"/>
  <c r="T1121" i="18"/>
  <c r="T1252" i="18"/>
  <c r="T1071" i="18"/>
  <c r="T60" i="18"/>
  <c r="T44" i="18"/>
  <c r="T1438" i="18"/>
  <c r="T1247" i="18"/>
  <c r="Y1065" i="18"/>
  <c r="Y1087" i="18"/>
  <c r="T1988" i="18"/>
  <c r="Q1812" i="1"/>
  <c r="R1812" i="1"/>
  <c r="S1812" i="1"/>
  <c r="T1535" i="18"/>
  <c r="T1497" i="18"/>
  <c r="T1459" i="18"/>
  <c r="Y1210" i="18"/>
  <c r="T1145" i="18"/>
  <c r="Y1185" i="18"/>
  <c r="T1157" i="18"/>
  <c r="T58" i="18"/>
  <c r="Q2256" i="1"/>
  <c r="R2256" i="1"/>
  <c r="S2256" i="1"/>
  <c r="T1521" i="18"/>
  <c r="T1483" i="18"/>
  <c r="Y1218" i="18"/>
  <c r="Y1231" i="18"/>
  <c r="Y1193" i="18"/>
  <c r="T1149" i="18"/>
  <c r="T65" i="18"/>
  <c r="T48" i="18"/>
  <c r="T47" i="18"/>
  <c r="T2329" i="18"/>
  <c r="T2187" i="18"/>
  <c r="T1526" i="18"/>
  <c r="Y1207" i="18"/>
  <c r="T1146" i="18"/>
  <c r="Y1030" i="18"/>
  <c r="Y2531" i="18"/>
  <c r="T2454" i="18"/>
  <c r="Y2305" i="18"/>
  <c r="T2099" i="18"/>
  <c r="T2492" i="18"/>
  <c r="T2420" i="18"/>
  <c r="T2334" i="18"/>
  <c r="Q2174" i="1"/>
  <c r="R2174" i="1"/>
  <c r="S2174" i="1"/>
  <c r="T2139" i="18"/>
  <c r="Q2190" i="1"/>
  <c r="R2190" i="1"/>
  <c r="S2190" i="1"/>
  <c r="T2147" i="18"/>
  <c r="T2112" i="18"/>
  <c r="T1765" i="18"/>
  <c r="T1707" i="18"/>
  <c r="T1691" i="18"/>
  <c r="Y1151" i="18"/>
  <c r="T1216" i="18"/>
  <c r="T1200" i="18"/>
  <c r="T1184" i="18"/>
  <c r="T1168" i="18"/>
  <c r="T1232" i="18"/>
  <c r="Y1144" i="18"/>
  <c r="T1112" i="18"/>
  <c r="T1080" i="18"/>
  <c r="T1245" i="18"/>
  <c r="Y1146" i="18"/>
  <c r="T1115" i="18"/>
  <c r="T1083" i="18"/>
  <c r="Y947" i="18"/>
  <c r="T581" i="18"/>
  <c r="T338" i="18"/>
  <c r="T806" i="18"/>
  <c r="T790" i="18"/>
  <c r="T699" i="18"/>
  <c r="Q761" i="1"/>
  <c r="R761" i="1"/>
  <c r="S761" i="1"/>
  <c r="T711" i="18"/>
  <c r="T159" i="18"/>
  <c r="Q333" i="1"/>
  <c r="R333" i="1"/>
  <c r="S333" i="1"/>
  <c r="Y532" i="18"/>
  <c r="Y509" i="18"/>
  <c r="Y78" i="18"/>
  <c r="P69" i="1"/>
  <c r="F6" i="7"/>
  <c r="T120" i="18"/>
  <c r="Y873" i="18"/>
  <c r="T350" i="18"/>
  <c r="Y584" i="18"/>
  <c r="T1969" i="18"/>
  <c r="T2491" i="18"/>
  <c r="T2011" i="18"/>
  <c r="Y2016" i="18"/>
  <c r="R2038" i="1"/>
  <c r="S2038" i="1"/>
  <c r="Q2038" i="1"/>
  <c r="T1745" i="18"/>
  <c r="T2012" i="18"/>
  <c r="S2057" i="1"/>
  <c r="Q2057" i="1"/>
  <c r="R2057" i="1"/>
  <c r="T1806" i="18"/>
  <c r="Y1053" i="18"/>
  <c r="Y1037" i="18"/>
  <c r="Y1021" i="18"/>
  <c r="Y1005" i="18"/>
  <c r="Y989" i="18"/>
  <c r="Y842" i="18"/>
  <c r="T805" i="18"/>
  <c r="T789" i="18"/>
  <c r="T698" i="18"/>
  <c r="Q609" i="1"/>
  <c r="R609" i="1"/>
  <c r="S609" i="1"/>
  <c r="T356" i="18"/>
  <c r="T639" i="18"/>
  <c r="T623" i="18"/>
  <c r="T573" i="18"/>
  <c r="T531" i="18"/>
  <c r="T170" i="18"/>
  <c r="T200" i="18"/>
  <c r="Y119" i="18"/>
  <c r="T400" i="18"/>
  <c r="Y865" i="18"/>
  <c r="Y833" i="18"/>
  <c r="T804" i="18"/>
  <c r="Y64" i="18"/>
  <c r="Q383" i="1"/>
  <c r="R383" i="1"/>
  <c r="S383" i="1"/>
  <c r="T2412" i="18"/>
  <c r="T2196" i="18"/>
  <c r="R2275" i="1"/>
  <c r="S2275" i="1"/>
  <c r="Q2275" i="1"/>
  <c r="T2166" i="18"/>
  <c r="Q2314" i="1"/>
  <c r="S2314" i="1"/>
  <c r="R2314" i="1"/>
  <c r="R2069" i="1"/>
  <c r="S2069" i="1"/>
  <c r="Q2069" i="1"/>
  <c r="T2155" i="18"/>
  <c r="Y1532" i="18"/>
  <c r="Y1516" i="18"/>
  <c r="Y1500" i="18"/>
  <c r="Y1484" i="18"/>
  <c r="Y1468" i="18"/>
  <c r="Y1449" i="18"/>
  <c r="Y1412" i="18"/>
  <c r="Y1380" i="18"/>
  <c r="Y1246" i="18"/>
  <c r="T1126" i="18"/>
  <c r="T1094" i="18"/>
  <c r="T1062" i="18"/>
  <c r="T1244" i="18"/>
  <c r="T1124" i="18"/>
  <c r="T1092" i="18"/>
  <c r="T1060" i="18"/>
  <c r="T1222" i="18"/>
  <c r="T781" i="18"/>
  <c r="T272" i="18"/>
  <c r="Y622" i="18"/>
  <c r="T2214" i="18"/>
  <c r="R2271" i="1"/>
  <c r="S2271" i="1"/>
  <c r="Q2271" i="1"/>
  <c r="T2537" i="18"/>
  <c r="T2521" i="18"/>
  <c r="T2489" i="18"/>
  <c r="T1838" i="18"/>
  <c r="Y2159" i="18"/>
  <c r="Q1954" i="1"/>
  <c r="R1954" i="1"/>
  <c r="S1954" i="1"/>
  <c r="Q2104" i="1"/>
  <c r="R2104" i="1"/>
  <c r="S2104" i="1"/>
  <c r="T1762" i="18"/>
  <c r="T1356" i="18"/>
  <c r="T1340" i="18"/>
  <c r="T1324" i="18"/>
  <c r="T1308" i="18"/>
  <c r="T1292" i="18"/>
  <c r="T1276" i="18"/>
  <c r="T731" i="18"/>
  <c r="Y872" i="18"/>
  <c r="T848" i="18"/>
  <c r="Y811" i="18"/>
  <c r="Y795" i="18"/>
  <c r="Y696" i="18"/>
  <c r="Y637" i="18"/>
  <c r="S320" i="1"/>
  <c r="Q320" i="1"/>
  <c r="R320" i="1"/>
  <c r="T529" i="18"/>
  <c r="Q405" i="1"/>
  <c r="R405" i="1"/>
  <c r="S405" i="1"/>
  <c r="Y206" i="18"/>
  <c r="Y74" i="18"/>
  <c r="Y121" i="18"/>
  <c r="Y546" i="18"/>
  <c r="Y84" i="18"/>
  <c r="T2451" i="18"/>
  <c r="R2442" i="1"/>
  <c r="S2442" i="1"/>
  <c r="Q2442" i="1"/>
  <c r="Q2390" i="1"/>
  <c r="R2390" i="1"/>
  <c r="S2390" i="1"/>
  <c r="Y1860" i="18"/>
  <c r="Q2061" i="1"/>
  <c r="R2061" i="1"/>
  <c r="S2061" i="1"/>
  <c r="Y2177" i="18"/>
  <c r="Q2007" i="1"/>
  <c r="R2007" i="1"/>
  <c r="S2007" i="1"/>
  <c r="Q2218" i="1"/>
  <c r="S2218" i="1"/>
  <c r="R2218" i="1"/>
  <c r="T2143" i="18"/>
  <c r="T1429" i="18"/>
  <c r="T1397" i="18"/>
  <c r="T1365" i="18"/>
  <c r="Y1719" i="18"/>
  <c r="Y1703" i="18"/>
  <c r="T1530" i="18"/>
  <c r="T1514" i="18"/>
  <c r="T1498" i="18"/>
  <c r="T1482" i="18"/>
  <c r="T1466" i="18"/>
  <c r="Q1636" i="1"/>
  <c r="R1636" i="1"/>
  <c r="S1636" i="1"/>
  <c r="Y1225" i="18"/>
  <c r="Y1138" i="18"/>
  <c r="Y1106" i="18"/>
  <c r="Y1074" i="18"/>
  <c r="Y1256" i="18"/>
  <c r="Y1136" i="18"/>
  <c r="Y1104" i="18"/>
  <c r="Y1072" i="18"/>
  <c r="T751" i="18"/>
  <c r="Y1042" i="18"/>
  <c r="Y1026" i="18"/>
  <c r="Y1010" i="18"/>
  <c r="Y994" i="18"/>
  <c r="Y978" i="18"/>
  <c r="Y863" i="18"/>
  <c r="Y839" i="18"/>
  <c r="T695" i="18"/>
  <c r="Q594" i="1"/>
  <c r="R594" i="1"/>
  <c r="S594" i="1"/>
  <c r="T556" i="18"/>
  <c r="Y300" i="18"/>
  <c r="Q259" i="1"/>
  <c r="R259" i="1"/>
  <c r="S259" i="1"/>
  <c r="Y215" i="18"/>
  <c r="T463" i="18"/>
  <c r="T365" i="18"/>
  <c r="T201" i="18"/>
  <c r="T544" i="18"/>
  <c r="T520" i="18"/>
  <c r="Y33" i="18"/>
  <c r="T89" i="18"/>
  <c r="T123" i="18"/>
  <c r="Y498" i="18"/>
  <c r="T2294" i="18"/>
  <c r="Q2205" i="1"/>
  <c r="R2205" i="1"/>
  <c r="S2205" i="1"/>
  <c r="R2138" i="1"/>
  <c r="S2138" i="1"/>
  <c r="Q2138" i="1"/>
  <c r="S1926" i="1"/>
  <c r="Q1926" i="1"/>
  <c r="R1926" i="1"/>
  <c r="Q1770" i="1"/>
  <c r="R1770" i="1"/>
  <c r="S1770" i="1"/>
  <c r="T1141" i="18"/>
  <c r="T1109" i="18"/>
  <c r="T1077" i="18"/>
  <c r="T680" i="18"/>
  <c r="T491" i="18"/>
  <c r="T862" i="18"/>
  <c r="T838" i="18"/>
  <c r="T741" i="18"/>
  <c r="S483" i="1"/>
  <c r="Q483" i="1"/>
  <c r="R483" i="1"/>
  <c r="Y211" i="18"/>
  <c r="Q428" i="1"/>
  <c r="R428" i="1"/>
  <c r="S428" i="1"/>
  <c r="T426" i="18"/>
  <c r="T530" i="18"/>
  <c r="T2377" i="18"/>
  <c r="Y2431" i="18"/>
  <c r="T2128" i="18"/>
  <c r="T2427" i="18"/>
  <c r="T2396" i="18"/>
  <c r="Y1441" i="18"/>
  <c r="Y1409" i="18"/>
  <c r="Y1377" i="18"/>
  <c r="T1436" i="18"/>
  <c r="T1404" i="18"/>
  <c r="T1372" i="18"/>
  <c r="T1632" i="18"/>
  <c r="T733" i="18"/>
  <c r="T274" i="18"/>
  <c r="T292" i="18"/>
  <c r="T877" i="18"/>
  <c r="S656" i="1"/>
  <c r="Q656" i="1"/>
  <c r="R656" i="1"/>
  <c r="T701" i="18"/>
  <c r="T588" i="18"/>
  <c r="T557" i="18"/>
  <c r="Y642" i="18"/>
  <c r="Y626" i="18"/>
  <c r="Q290" i="1"/>
  <c r="R290" i="1"/>
  <c r="S290" i="1"/>
  <c r="Y254" i="18"/>
  <c r="T576" i="18"/>
  <c r="Q298" i="1"/>
  <c r="R298" i="1"/>
  <c r="S298" i="1"/>
  <c r="T40" i="18"/>
  <c r="T24" i="18"/>
  <c r="T31" i="18"/>
  <c r="T250" i="18"/>
  <c r="T66" i="18"/>
  <c r="T2336" i="18"/>
  <c r="T1998" i="18"/>
  <c r="T2359" i="18"/>
  <c r="T1974" i="18"/>
  <c r="T2303" i="18"/>
  <c r="T1821" i="18"/>
  <c r="T1656" i="18"/>
  <c r="Y2265" i="18"/>
  <c r="Q2066" i="1"/>
  <c r="R2066" i="1"/>
  <c r="S2066" i="1"/>
  <c r="T2000" i="18"/>
  <c r="T1658" i="18"/>
  <c r="T755" i="18"/>
  <c r="Y1047" i="18"/>
  <c r="Y1031" i="18"/>
  <c r="Y1015" i="18"/>
  <c r="Y999" i="18"/>
  <c r="Y983" i="18"/>
  <c r="T724" i="18"/>
  <c r="T868" i="18"/>
  <c r="T494" i="18"/>
  <c r="T641" i="18"/>
  <c r="T625" i="18"/>
  <c r="T1378" i="18"/>
  <c r="Y1081" i="18"/>
  <c r="Y1135" i="18"/>
  <c r="Y2285" i="18"/>
  <c r="Q1647" i="1"/>
  <c r="R1647" i="1"/>
  <c r="S1647" i="1"/>
  <c r="T1531" i="18"/>
  <c r="T1479" i="18"/>
  <c r="T1254" i="18"/>
  <c r="T1163" i="18"/>
  <c r="Q472" i="1"/>
  <c r="R472" i="1"/>
  <c r="S472" i="1"/>
  <c r="Y420" i="18"/>
  <c r="S377" i="1"/>
  <c r="Q377" i="1"/>
  <c r="R377" i="1"/>
  <c r="Q325" i="1"/>
  <c r="R325" i="1"/>
  <c r="S325" i="1"/>
  <c r="Q1957" i="1"/>
  <c r="R1957" i="1"/>
  <c r="S1957" i="1"/>
  <c r="T1375" i="18"/>
  <c r="T1398" i="18"/>
  <c r="Y1132" i="18"/>
  <c r="Y207" i="18"/>
  <c r="Y1371" i="18"/>
  <c r="Y1515" i="18"/>
  <c r="Y1463" i="18"/>
  <c r="Y1394" i="18"/>
  <c r="R1898" i="1"/>
  <c r="S1898" i="1"/>
  <c r="Q1898" i="1"/>
  <c r="T1539" i="18"/>
  <c r="T1487" i="18"/>
  <c r="T1443" i="18"/>
  <c r="T1065" i="18"/>
  <c r="T1087" i="18"/>
  <c r="Q1990" i="1"/>
  <c r="R1990" i="1"/>
  <c r="S1990" i="1"/>
  <c r="Y1439" i="18"/>
  <c r="Y1535" i="18"/>
  <c r="Y1497" i="18"/>
  <c r="Y1459" i="18"/>
  <c r="T1210" i="18"/>
  <c r="T1185" i="18"/>
  <c r="T2253" i="18"/>
  <c r="Y1435" i="18"/>
  <c r="Y1521" i="18"/>
  <c r="Y1483" i="18"/>
  <c r="Y1406" i="18"/>
  <c r="T1218" i="18"/>
  <c r="T1231" i="18"/>
  <c r="T1193" i="18"/>
  <c r="Y148" i="18"/>
  <c r="T1494" i="18"/>
  <c r="Y1175" i="18"/>
  <c r="Y1014" i="18"/>
  <c r="Y581" i="18"/>
  <c r="T532" i="18"/>
  <c r="R513" i="1"/>
  <c r="S513" i="1"/>
  <c r="Q513" i="1"/>
  <c r="Y30" i="18"/>
  <c r="T163" i="18"/>
  <c r="T78" i="18"/>
  <c r="T584" i="18"/>
  <c r="T2087" i="18"/>
  <c r="T2322" i="18"/>
  <c r="T1873" i="18"/>
  <c r="Q2019" i="1"/>
  <c r="R2019" i="1"/>
  <c r="S2019" i="1"/>
  <c r="T1851" i="18"/>
  <c r="P1720" i="1"/>
  <c r="O2555" i="1"/>
  <c r="F14" i="7"/>
  <c r="T1790" i="18"/>
  <c r="Q2014" i="1"/>
  <c r="R2014" i="1"/>
  <c r="S2014" i="1"/>
  <c r="Q2056" i="1"/>
  <c r="R2056" i="1"/>
  <c r="S2056" i="1"/>
  <c r="Y1706" i="18"/>
  <c r="Y1690" i="18"/>
  <c r="Y1350" i="18"/>
  <c r="Y1334" i="18"/>
  <c r="Y1318" i="18"/>
  <c r="Y1302" i="18"/>
  <c r="Y1286" i="18"/>
  <c r="Y1270" i="18"/>
  <c r="P644" i="1"/>
  <c r="F10" i="7"/>
  <c r="O2552" i="1"/>
  <c r="T730" i="18"/>
  <c r="T1053" i="18"/>
  <c r="T1037" i="18"/>
  <c r="T1021" i="18"/>
  <c r="T1005" i="18"/>
  <c r="T989" i="18"/>
  <c r="T780" i="18"/>
  <c r="T449" i="18"/>
  <c r="Y874" i="18"/>
  <c r="T850" i="18"/>
  <c r="T834" i="18"/>
  <c r="Y573" i="18"/>
  <c r="T209" i="18"/>
  <c r="T517" i="18"/>
  <c r="Q451" i="1"/>
  <c r="R451" i="1"/>
  <c r="S451" i="1"/>
  <c r="Y37" i="18"/>
  <c r="Y21" i="18"/>
  <c r="T119" i="18"/>
  <c r="T849" i="18"/>
  <c r="T64" i="18"/>
  <c r="Y378" i="18"/>
  <c r="Y266" i="18"/>
  <c r="T2450" i="18"/>
  <c r="T2126" i="18"/>
  <c r="Q2394" i="1"/>
  <c r="R2394" i="1"/>
  <c r="S2394" i="1"/>
  <c r="Y2546" i="18"/>
  <c r="Y2530" i="18"/>
  <c r="Y2498" i="18"/>
  <c r="Y2482" i="18"/>
  <c r="T2077" i="18"/>
  <c r="T2353" i="18"/>
  <c r="T2311" i="18"/>
  <c r="Q2157" i="1"/>
  <c r="R2157" i="1"/>
  <c r="S2157" i="1"/>
  <c r="T1853" i="18"/>
  <c r="Y1746" i="18"/>
  <c r="Y1705" i="18"/>
  <c r="Y1689" i="18"/>
  <c r="T1428" i="18"/>
  <c r="T1396" i="18"/>
  <c r="T1246" i="18"/>
  <c r="Y1214" i="18"/>
  <c r="Y1198" i="18"/>
  <c r="Y1182" i="18"/>
  <c r="Y1166" i="18"/>
  <c r="T934" i="18"/>
  <c r="Y1213" i="18"/>
  <c r="Y1197" i="18"/>
  <c r="Y1181" i="18"/>
  <c r="Y1165" i="18"/>
  <c r="Y1241" i="18"/>
  <c r="Y1143" i="18"/>
  <c r="Y1111" i="18"/>
  <c r="Y1079" i="18"/>
  <c r="T669" i="18"/>
  <c r="T265" i="18"/>
  <c r="T489" i="18"/>
  <c r="T622" i="18"/>
  <c r="T2408" i="18"/>
  <c r="Q2272" i="1"/>
  <c r="R2272" i="1"/>
  <c r="S2272" i="1"/>
  <c r="T1869" i="18"/>
  <c r="T2090" i="18"/>
  <c r="T1919" i="18"/>
  <c r="Y2191" i="18"/>
  <c r="Q2163" i="1"/>
  <c r="R2163" i="1"/>
  <c r="S2163" i="1"/>
  <c r="Y1839" i="18"/>
  <c r="R2108" i="1"/>
  <c r="S2108" i="1"/>
  <c r="Q2108" i="1"/>
  <c r="R1786" i="1"/>
  <c r="S1786" i="1"/>
  <c r="Q1786" i="1"/>
  <c r="Y1704" i="18"/>
  <c r="S1687" i="1"/>
  <c r="Q1687" i="1"/>
  <c r="R1687" i="1"/>
  <c r="Y1043" i="18"/>
  <c r="Y1027" i="18"/>
  <c r="Y1011" i="18"/>
  <c r="Y995" i="18"/>
  <c r="Y979" i="18"/>
  <c r="T347" i="18"/>
  <c r="T872" i="18"/>
  <c r="T811" i="18"/>
  <c r="T795" i="18"/>
  <c r="T696" i="18"/>
  <c r="Y670" i="18"/>
  <c r="T637" i="18"/>
  <c r="Q367" i="1"/>
  <c r="R367" i="1"/>
  <c r="S367" i="1"/>
  <c r="Y225" i="18"/>
  <c r="T402" i="18"/>
  <c r="Y35" i="18"/>
  <c r="T206" i="18"/>
  <c r="T74" i="18"/>
  <c r="T121" i="18"/>
  <c r="T546" i="18"/>
  <c r="T84" i="18"/>
  <c r="T2084" i="18"/>
  <c r="Q2234" i="1"/>
  <c r="R2234" i="1"/>
  <c r="S2234" i="1"/>
  <c r="T2095" i="18"/>
  <c r="Y2536" i="18"/>
  <c r="Y2520" i="18"/>
  <c r="Y2488" i="18"/>
  <c r="Y2437" i="18"/>
  <c r="T2387" i="18"/>
  <c r="T1913" i="18"/>
  <c r="Q1863" i="1"/>
  <c r="R1863" i="1"/>
  <c r="S1863" i="1"/>
  <c r="Y2199" i="18"/>
  <c r="T2058" i="18"/>
  <c r="Q2180" i="1"/>
  <c r="R2180" i="1"/>
  <c r="S2180" i="1"/>
  <c r="Q2181" i="1"/>
  <c r="R2181" i="1"/>
  <c r="S2181" i="1"/>
  <c r="T2004" i="18"/>
  <c r="T2215" i="18"/>
  <c r="Q2145" i="1"/>
  <c r="R2145" i="1"/>
  <c r="S2145" i="1"/>
  <c r="T1652" i="18"/>
  <c r="T1719" i="18"/>
  <c r="T1703" i="18"/>
  <c r="Y1530" i="18"/>
  <c r="Y1514" i="18"/>
  <c r="Y1498" i="18"/>
  <c r="Y1482" i="18"/>
  <c r="Y1466" i="18"/>
  <c r="Y1440" i="18"/>
  <c r="Y1408" i="18"/>
  <c r="Y1376" i="18"/>
  <c r="P1625" i="1"/>
  <c r="O2554" i="1"/>
  <c r="F13" i="7"/>
  <c r="S17" i="11" s="1"/>
  <c r="Y1220" i="18"/>
  <c r="T1138" i="18"/>
  <c r="T1106" i="18"/>
  <c r="T1074" i="18"/>
  <c r="Y1363" i="18"/>
  <c r="Y1347" i="18"/>
  <c r="Y1331" i="18"/>
  <c r="Y1315" i="18"/>
  <c r="Y1299" i="18"/>
  <c r="Y1283" i="18"/>
  <c r="Y1267" i="18"/>
  <c r="T1256" i="18"/>
  <c r="T1136" i="18"/>
  <c r="T1104" i="18"/>
  <c r="T1072" i="18"/>
  <c r="Y931" i="18"/>
  <c r="T539" i="18"/>
  <c r="T1042" i="18"/>
  <c r="T1026" i="18"/>
  <c r="T1010" i="18"/>
  <c r="T994" i="18"/>
  <c r="T978" i="18"/>
  <c r="Q859" i="1"/>
  <c r="R859" i="1"/>
  <c r="S859" i="1"/>
  <c r="T871" i="18"/>
  <c r="T847" i="18"/>
  <c r="Y810" i="18"/>
  <c r="Y794" i="18"/>
  <c r="Y593" i="18"/>
  <c r="Y628" i="18"/>
  <c r="T386" i="18"/>
  <c r="T300" i="18"/>
  <c r="T256" i="18"/>
  <c r="T215" i="18"/>
  <c r="Y570" i="18"/>
  <c r="T33" i="18"/>
  <c r="T575" i="18"/>
  <c r="R537" i="1"/>
  <c r="S537" i="1"/>
  <c r="Q537" i="1"/>
  <c r="S502" i="1"/>
  <c r="Q502" i="1"/>
  <c r="R502" i="1"/>
  <c r="Q479" i="1"/>
  <c r="R479" i="1"/>
  <c r="S479" i="1"/>
  <c r="T2402" i="18"/>
  <c r="T2345" i="18"/>
  <c r="Y2543" i="18"/>
  <c r="Y2527" i="18"/>
  <c r="Y2495" i="18"/>
  <c r="T2323" i="18"/>
  <c r="T2074" i="18"/>
  <c r="Y1984" i="18"/>
  <c r="T1961" i="18"/>
  <c r="T2135" i="18"/>
  <c r="T1832" i="18"/>
  <c r="Y1760" i="18"/>
  <c r="Y1710" i="18"/>
  <c r="Y1694" i="18"/>
  <c r="T1794" i="18"/>
  <c r="T1824" i="18"/>
  <c r="T1533" i="18"/>
  <c r="T1517" i="18"/>
  <c r="T1501" i="18"/>
  <c r="T1485" i="18"/>
  <c r="T1469" i="18"/>
  <c r="T1453" i="18"/>
  <c r="Y1229" i="18"/>
  <c r="Y1057" i="18"/>
  <c r="Y1041" i="18"/>
  <c r="Y1025" i="18"/>
  <c r="Y1009" i="18"/>
  <c r="Y993" i="18"/>
  <c r="Y977" i="18"/>
  <c r="T728" i="18"/>
  <c r="T341" i="18"/>
  <c r="Q743" i="1"/>
  <c r="R743" i="1"/>
  <c r="S743" i="1"/>
  <c r="Q703" i="1"/>
  <c r="R703" i="1"/>
  <c r="S703" i="1"/>
  <c r="Y543" i="18"/>
  <c r="Y519" i="18"/>
  <c r="T480" i="18"/>
  <c r="T211" i="18"/>
  <c r="Y67" i="18"/>
  <c r="T208" i="18"/>
  <c r="T2242" i="18"/>
  <c r="T2085" i="18"/>
  <c r="Q2434" i="1"/>
  <c r="R2434" i="1"/>
  <c r="S2434" i="1"/>
  <c r="Q2435" i="1"/>
  <c r="R2435" i="1"/>
  <c r="S2435" i="1"/>
  <c r="T2297" i="18"/>
  <c r="T2110" i="18"/>
  <c r="R2282" i="1"/>
  <c r="S2282" i="1"/>
  <c r="Q2282" i="1"/>
  <c r="Y2114" i="18"/>
  <c r="T1855" i="18"/>
  <c r="Q1889" i="1"/>
  <c r="R1889" i="1"/>
  <c r="S1889" i="1"/>
  <c r="T1425" i="18"/>
  <c r="T1393" i="18"/>
  <c r="Y1767" i="18"/>
  <c r="Y1717" i="18"/>
  <c r="Y1701" i="18"/>
  <c r="R1643" i="1"/>
  <c r="S1643" i="1"/>
  <c r="Q1643" i="1"/>
  <c r="Y1444" i="18"/>
  <c r="T923" i="18"/>
  <c r="Y1056" i="18"/>
  <c r="Y1040" i="18"/>
  <c r="Y1024" i="18"/>
  <c r="Y1008" i="18"/>
  <c r="Y992" i="18"/>
  <c r="Y976" i="18"/>
  <c r="T600" i="18"/>
  <c r="T392" i="18"/>
  <c r="T487" i="18"/>
  <c r="Y877" i="18"/>
  <c r="Y845" i="18"/>
  <c r="T642" i="18"/>
  <c r="T626" i="18"/>
  <c r="T387" i="18"/>
  <c r="T254" i="18"/>
  <c r="Q433" i="1"/>
  <c r="R433" i="1"/>
  <c r="S433" i="1"/>
  <c r="Y88" i="18"/>
  <c r="Y72" i="18"/>
  <c r="Y45" i="18"/>
  <c r="T2346" i="18"/>
  <c r="R2361" i="1"/>
  <c r="S2361" i="1"/>
  <c r="Q2361" i="1"/>
  <c r="Y2541" i="18"/>
  <c r="Y2525" i="18"/>
  <c r="Y2493" i="18"/>
  <c r="T2154" i="18"/>
  <c r="Y2355" i="18"/>
  <c r="T2075" i="18"/>
  <c r="T1850" i="18"/>
  <c r="T1881" i="18"/>
  <c r="T1817" i="18"/>
  <c r="T2063" i="18"/>
  <c r="Q2002" i="1"/>
  <c r="R2002" i="1"/>
  <c r="S2002" i="1"/>
  <c r="Q1809" i="1"/>
  <c r="R1809" i="1"/>
  <c r="S1809" i="1"/>
  <c r="Q1660" i="1"/>
  <c r="R1660" i="1"/>
  <c r="S1660" i="1"/>
  <c r="T675" i="18"/>
  <c r="T707" i="18"/>
  <c r="T1047" i="18"/>
  <c r="T1031" i="18"/>
  <c r="T1015" i="18"/>
  <c r="T999" i="18"/>
  <c r="T983" i="18"/>
  <c r="Y807" i="18"/>
  <c r="Y791" i="18"/>
  <c r="T1864" i="18"/>
  <c r="T1448" i="18"/>
  <c r="Y1156" i="18"/>
  <c r="T1081" i="18"/>
  <c r="T1135" i="18"/>
  <c r="Q2288" i="1"/>
  <c r="R2288" i="1"/>
  <c r="S2288" i="1"/>
  <c r="Y1379" i="18"/>
  <c r="Y1531" i="18"/>
  <c r="Y1479" i="18"/>
  <c r="Y1426" i="18"/>
  <c r="Q471" i="1"/>
  <c r="R471" i="1"/>
  <c r="S471" i="1"/>
  <c r="Q424" i="1"/>
  <c r="R424" i="1"/>
  <c r="S424" i="1"/>
  <c r="Y372" i="18"/>
  <c r="S329" i="1"/>
  <c r="Q329" i="1"/>
  <c r="R329" i="1"/>
  <c r="Q2021" i="1"/>
  <c r="R2021" i="1"/>
  <c r="S2021" i="1"/>
  <c r="Y1776" i="18"/>
  <c r="T1450" i="18"/>
  <c r="Y1155" i="18"/>
  <c r="T1132" i="18"/>
  <c r="T207" i="18"/>
  <c r="T1423" i="18"/>
  <c r="Y1073" i="18"/>
  <c r="Y1419" i="18"/>
  <c r="Y1539" i="18"/>
  <c r="Y1487" i="18"/>
  <c r="Y1442" i="18"/>
  <c r="Y1366" i="18"/>
  <c r="T1537" i="18"/>
  <c r="T1499" i="18"/>
  <c r="Y1202" i="18"/>
  <c r="Y59" i="18"/>
  <c r="Y1772" i="18"/>
  <c r="T1387" i="18"/>
  <c r="T1410" i="18"/>
  <c r="Y1118" i="18"/>
  <c r="T1243" i="18"/>
  <c r="Y1089" i="18"/>
  <c r="Y1068" i="18"/>
  <c r="Y1103" i="18"/>
  <c r="Y918" i="18"/>
  <c r="Q2255" i="1"/>
  <c r="R2255" i="1"/>
  <c r="S2255" i="1"/>
  <c r="T1411" i="18"/>
  <c r="T1382" i="18"/>
  <c r="Y1134" i="18"/>
  <c r="T1239" i="18"/>
  <c r="Y1085" i="18"/>
  <c r="Y1084" i="18"/>
  <c r="Y1119" i="18"/>
  <c r="T148" i="18"/>
  <c r="T1151" i="18"/>
  <c r="Y1046" i="18"/>
  <c r="Y982" i="18"/>
  <c r="Y285" i="18"/>
  <c r="T2354" i="18"/>
  <c r="Q2119" i="1"/>
  <c r="R2119" i="1"/>
  <c r="S2119" i="1"/>
  <c r="Y2115" i="18"/>
  <c r="Y1421" i="18"/>
  <c r="Y1389" i="18"/>
  <c r="Y1542" i="18"/>
  <c r="Y1526" i="18"/>
  <c r="Y1510" i="18"/>
  <c r="Y1494" i="18"/>
  <c r="Y1478" i="18"/>
  <c r="Y1462" i="18"/>
  <c r="Y1432" i="18"/>
  <c r="Y1400" i="18"/>
  <c r="Y1368" i="18"/>
  <c r="T1630" i="18"/>
  <c r="Y1234" i="18"/>
  <c r="Y1148" i="18"/>
  <c r="T1114" i="18"/>
  <c r="T1082" i="18"/>
  <c r="Y1351" i="18"/>
  <c r="Y1335" i="18"/>
  <c r="Y1319" i="18"/>
  <c r="Y1303" i="18"/>
  <c r="Y1287" i="18"/>
  <c r="Y1271" i="18"/>
  <c r="T1207" i="18"/>
  <c r="T1191" i="18"/>
  <c r="T1175" i="18"/>
  <c r="T606" i="18"/>
  <c r="T915" i="18"/>
  <c r="T1046" i="18"/>
  <c r="T1030" i="18"/>
  <c r="T1014" i="18"/>
  <c r="T998" i="18"/>
  <c r="T982" i="18"/>
  <c r="T867" i="18"/>
  <c r="T843" i="18"/>
  <c r="T586" i="18"/>
  <c r="T553" i="18"/>
  <c r="Q760" i="1"/>
  <c r="R760" i="1"/>
  <c r="S760" i="1"/>
  <c r="T632" i="18"/>
  <c r="T443" i="18"/>
  <c r="Q278" i="1"/>
  <c r="R278" i="1"/>
  <c r="S278" i="1"/>
  <c r="Y252" i="18"/>
  <c r="S512" i="1"/>
  <c r="Q512" i="1"/>
  <c r="R512" i="1"/>
  <c r="T30" i="18"/>
  <c r="Y812" i="18"/>
  <c r="Y638" i="18"/>
  <c r="T385" i="18"/>
  <c r="T2213" i="18"/>
  <c r="T2029" i="18"/>
  <c r="T1995" i="18"/>
  <c r="T2539" i="18"/>
  <c r="T2523" i="18"/>
  <c r="T2016" i="18"/>
  <c r="S2037" i="1"/>
  <c r="Q2037" i="1"/>
  <c r="R2037" i="1"/>
  <c r="T2053" i="18"/>
  <c r="T1706" i="18"/>
  <c r="T1690" i="18"/>
  <c r="T1358" i="18"/>
  <c r="T1342" i="18"/>
  <c r="T1326" i="18"/>
  <c r="T1310" i="18"/>
  <c r="T1294" i="18"/>
  <c r="T1278" i="18"/>
  <c r="T394" i="18"/>
  <c r="T315" i="18"/>
  <c r="T346" i="18"/>
  <c r="T874" i="18"/>
  <c r="T389" i="18"/>
  <c r="R455" i="1"/>
  <c r="S455" i="1"/>
  <c r="Q455" i="1"/>
  <c r="T37" i="18"/>
  <c r="T21" i="18"/>
  <c r="Y77" i="18"/>
  <c r="Y160" i="18"/>
  <c r="Q382" i="1"/>
  <c r="R382" i="1"/>
  <c r="S382" i="1"/>
  <c r="Q270" i="1"/>
  <c r="R270" i="1"/>
  <c r="S270" i="1"/>
  <c r="Y183" i="18"/>
  <c r="T2100" i="18"/>
  <c r="Q2274" i="1"/>
  <c r="S2274" i="1"/>
  <c r="R2274" i="1"/>
  <c r="T2391" i="18"/>
  <c r="T2538" i="18"/>
  <c r="T2522" i="18"/>
  <c r="T2490" i="18"/>
  <c r="R2312" i="1"/>
  <c r="S2312" i="1"/>
  <c r="Q2312" i="1"/>
  <c r="Y2068" i="18"/>
  <c r="T1756" i="18"/>
  <c r="Y1433" i="18"/>
  <c r="Y1401" i="18"/>
  <c r="Y1369" i="18"/>
  <c r="T1746" i="18"/>
  <c r="T1705" i="18"/>
  <c r="T1689" i="18"/>
  <c r="T1446" i="18"/>
  <c r="T1214" i="18"/>
  <c r="T1198" i="18"/>
  <c r="T1182" i="18"/>
  <c r="T1166" i="18"/>
  <c r="Y1357" i="18"/>
  <c r="Y1341" i="18"/>
  <c r="Y1325" i="18"/>
  <c r="Y1309" i="18"/>
  <c r="Y1293" i="18"/>
  <c r="Y1277" i="18"/>
  <c r="T1213" i="18"/>
  <c r="T1197" i="18"/>
  <c r="T1181" i="18"/>
  <c r="T1165" i="18"/>
  <c r="T1241" i="18"/>
  <c r="T1143" i="18"/>
  <c r="T1111" i="18"/>
  <c r="T1079" i="18"/>
  <c r="Y939" i="18"/>
  <c r="Y1044" i="18"/>
  <c r="Y1020" i="18"/>
  <c r="Y1004" i="18"/>
  <c r="Y988" i="18"/>
  <c r="T587" i="18"/>
  <c r="Y118" i="18"/>
  <c r="T2269" i="18"/>
  <c r="Q2194" i="1"/>
  <c r="R2194" i="1"/>
  <c r="S2194" i="1"/>
  <c r="Q2162" i="1"/>
  <c r="R2162" i="1"/>
  <c r="S2162" i="1"/>
  <c r="R1953" i="1"/>
  <c r="S1953" i="1"/>
  <c r="Q1953" i="1"/>
  <c r="Q1843" i="1"/>
  <c r="S1843" i="1"/>
  <c r="R1843" i="1"/>
  <c r="T1883" i="18"/>
  <c r="T1915" i="18"/>
  <c r="Y2103" i="18"/>
  <c r="Y2032" i="18"/>
  <c r="T1885" i="18"/>
  <c r="Y1720" i="18"/>
  <c r="T1704" i="18"/>
  <c r="Y1688" i="18"/>
  <c r="Y911" i="18"/>
  <c r="T750" i="18"/>
  <c r="T1043" i="18"/>
  <c r="T1027" i="18"/>
  <c r="T1011" i="18"/>
  <c r="T995" i="18"/>
  <c r="T979" i="18"/>
  <c r="T395" i="18"/>
  <c r="Q673" i="1"/>
  <c r="R673" i="1"/>
  <c r="S673" i="1"/>
  <c r="Y249" i="18"/>
  <c r="T571" i="18"/>
  <c r="Q319" i="1"/>
  <c r="R319" i="1"/>
  <c r="S319" i="1"/>
  <c r="T181" i="18"/>
  <c r="Q404" i="1"/>
  <c r="R404" i="1"/>
  <c r="S404" i="1"/>
  <c r="T191" i="18"/>
  <c r="T35" i="18"/>
  <c r="Y83" i="18"/>
  <c r="Y54" i="18"/>
  <c r="Y41" i="18"/>
  <c r="Y205" i="18"/>
  <c r="Y172" i="18"/>
  <c r="T2370" i="18"/>
  <c r="T2197" i="18"/>
  <c r="S2238" i="1"/>
  <c r="R2238" i="1"/>
  <c r="Q2238" i="1"/>
  <c r="T2544" i="18"/>
  <c r="T2528" i="18"/>
  <c r="T2496" i="18"/>
  <c r="T2167" i="18"/>
  <c r="S2441" i="1"/>
  <c r="Q2441" i="1"/>
  <c r="R2441" i="1"/>
  <c r="Q2389" i="1"/>
  <c r="R2389" i="1"/>
  <c r="S2389" i="1"/>
  <c r="T1860" i="18"/>
  <c r="Q2202" i="1"/>
  <c r="R2202" i="1"/>
  <c r="S2202" i="1"/>
  <c r="Q2060" i="1"/>
  <c r="R2060" i="1"/>
  <c r="S2060" i="1"/>
  <c r="T2177" i="18"/>
  <c r="R2006" i="1"/>
  <c r="S2006" i="1"/>
  <c r="Q2006" i="1"/>
  <c r="Q2217" i="1"/>
  <c r="R2217" i="1"/>
  <c r="S2217" i="1"/>
  <c r="T2111" i="18"/>
  <c r="T1424" i="18"/>
  <c r="T1392" i="18"/>
  <c r="Q1635" i="1"/>
  <c r="R1635" i="1"/>
  <c r="S1635" i="1"/>
  <c r="Y1204" i="18"/>
  <c r="Y1188" i="18"/>
  <c r="Y1172" i="18"/>
  <c r="T1355" i="18"/>
  <c r="T1339" i="18"/>
  <c r="T1323" i="18"/>
  <c r="T1307" i="18"/>
  <c r="T1291" i="18"/>
  <c r="T1275" i="18"/>
  <c r="Y1219" i="18"/>
  <c r="Y1203" i="18"/>
  <c r="Y1187" i="18"/>
  <c r="Y1171" i="18"/>
  <c r="Y1253" i="18"/>
  <c r="Y1123" i="18"/>
  <c r="Y1091" i="18"/>
  <c r="Y1059" i="18"/>
  <c r="T599" i="18"/>
  <c r="Y558" i="18"/>
  <c r="Y871" i="18"/>
  <c r="T351" i="18"/>
  <c r="T810" i="18"/>
  <c r="T794" i="18"/>
  <c r="Y582" i="18"/>
  <c r="T628" i="18"/>
  <c r="T464" i="18"/>
  <c r="Q258" i="1"/>
  <c r="R258" i="1"/>
  <c r="S258" i="1"/>
  <c r="T570" i="18"/>
  <c r="Y42" i="18"/>
  <c r="Y26" i="18"/>
  <c r="Y124" i="18"/>
  <c r="Y575" i="18"/>
  <c r="Y533" i="18"/>
  <c r="Q501" i="1"/>
  <c r="R501" i="1"/>
  <c r="S501" i="1"/>
  <c r="T155" i="18"/>
  <c r="Y474" i="18"/>
  <c r="Y36" i="18"/>
  <c r="T2535" i="18"/>
  <c r="T2519" i="18"/>
  <c r="T2487" i="18"/>
  <c r="Q2326" i="1"/>
  <c r="R2326" i="1"/>
  <c r="S2326" i="1"/>
  <c r="T2052" i="18"/>
  <c r="T2406" i="18"/>
  <c r="Q2204" i="1"/>
  <c r="R2204" i="1"/>
  <c r="S2204" i="1"/>
  <c r="Q1987" i="1"/>
  <c r="R1987" i="1"/>
  <c r="S1987" i="1"/>
  <c r="S2137" i="1"/>
  <c r="Q2137" i="1"/>
  <c r="R2137" i="1"/>
  <c r="Y2044" i="18"/>
  <c r="T1902" i="18"/>
  <c r="Q1925" i="1"/>
  <c r="R1925" i="1"/>
  <c r="S1925" i="1"/>
  <c r="R1769" i="1"/>
  <c r="S1769" i="1"/>
  <c r="Q1769" i="1"/>
  <c r="T1760" i="18"/>
  <c r="T1710" i="18"/>
  <c r="T1694" i="18"/>
  <c r="Y1431" i="18"/>
  <c r="Y1399" i="18"/>
  <c r="Y1367" i="18"/>
  <c r="Y1533" i="18"/>
  <c r="Y1517" i="18"/>
  <c r="Y1501" i="18"/>
  <c r="Y1485" i="18"/>
  <c r="Y1469" i="18"/>
  <c r="Y1453" i="18"/>
  <c r="Y1418" i="18"/>
  <c r="Y1386" i="18"/>
  <c r="Y1354" i="18"/>
  <c r="Y1338" i="18"/>
  <c r="Y1322" i="18"/>
  <c r="Y1306" i="18"/>
  <c r="Y1290" i="18"/>
  <c r="Y1274" i="18"/>
  <c r="Y1251" i="18"/>
  <c r="T732" i="18"/>
  <c r="T1057" i="18"/>
  <c r="T1041" i="18"/>
  <c r="T1025" i="18"/>
  <c r="T1009" i="18"/>
  <c r="T993" i="18"/>
  <c r="T977" i="18"/>
  <c r="Y809" i="18"/>
  <c r="Y793" i="18"/>
  <c r="Y635" i="18"/>
  <c r="Y255" i="18"/>
  <c r="T577" i="18"/>
  <c r="T182" i="18"/>
  <c r="T543" i="18"/>
  <c r="T519" i="18"/>
  <c r="Q482" i="1"/>
  <c r="R482" i="1"/>
  <c r="S482" i="1"/>
  <c r="T67" i="18"/>
  <c r="Y87" i="18"/>
  <c r="R427" i="1"/>
  <c r="S427" i="1"/>
  <c r="Q427" i="1"/>
  <c r="T2133" i="18"/>
  <c r="T2431" i="18"/>
  <c r="T2096" i="18"/>
  <c r="Y2534" i="18"/>
  <c r="Y2518" i="18"/>
  <c r="Y2486" i="18"/>
  <c r="T2168" i="18"/>
  <c r="Q2283" i="1"/>
  <c r="R2283" i="1"/>
  <c r="S2283" i="1"/>
  <c r="Q1921" i="1"/>
  <c r="R1921" i="1"/>
  <c r="S1921" i="1"/>
  <c r="T1859" i="18"/>
  <c r="T1767" i="18"/>
  <c r="T1717" i="18"/>
  <c r="T1701" i="18"/>
  <c r="T1528" i="18"/>
  <c r="T1512" i="18"/>
  <c r="T1496" i="18"/>
  <c r="T1480" i="18"/>
  <c r="T1464" i="18"/>
  <c r="Y1353" i="18"/>
  <c r="Y1337" i="18"/>
  <c r="Y1321" i="18"/>
  <c r="Y1305" i="18"/>
  <c r="Y1289" i="18"/>
  <c r="Y1273" i="18"/>
  <c r="T1056" i="18"/>
  <c r="T1040" i="18"/>
  <c r="T1024" i="18"/>
  <c r="T1008" i="18"/>
  <c r="T992" i="18"/>
  <c r="T976" i="18"/>
  <c r="T583" i="18"/>
  <c r="T337" i="18"/>
  <c r="T837" i="18"/>
  <c r="Q655" i="1"/>
  <c r="R655" i="1"/>
  <c r="S655" i="1"/>
  <c r="Y808" i="18"/>
  <c r="Y792" i="18"/>
  <c r="T308" i="18"/>
  <c r="R289" i="1"/>
  <c r="S289" i="1"/>
  <c r="Q289" i="1"/>
  <c r="T196" i="18"/>
  <c r="Y297" i="18"/>
  <c r="Q437" i="1"/>
  <c r="R437" i="1"/>
  <c r="S437" i="1"/>
  <c r="T88" i="18"/>
  <c r="T72" i="18"/>
  <c r="T45" i="18"/>
  <c r="T1967" i="18"/>
  <c r="T2533" i="18"/>
  <c r="T2517" i="18"/>
  <c r="T2485" i="18"/>
  <c r="Q2358" i="1"/>
  <c r="R2358" i="1"/>
  <c r="S2358" i="1"/>
  <c r="T1744" i="18"/>
  <c r="Q2268" i="1"/>
  <c r="S2268" i="1"/>
  <c r="R2268" i="1"/>
  <c r="Q2065" i="1"/>
  <c r="R2065" i="1"/>
  <c r="S2065" i="1"/>
  <c r="Y1766" i="18"/>
  <c r="Y1716" i="18"/>
  <c r="Y1700" i="18"/>
  <c r="Y1641" i="18"/>
  <c r="Y1352" i="18"/>
  <c r="Y1336" i="18"/>
  <c r="Y1320" i="18"/>
  <c r="Y1304" i="18"/>
  <c r="Y1288" i="18"/>
  <c r="Y1272" i="18"/>
  <c r="T748" i="18"/>
  <c r="Y844" i="18"/>
  <c r="T807" i="18"/>
  <c r="T791" i="18"/>
  <c r="T355" i="18"/>
  <c r="Q1867" i="1"/>
  <c r="R1867" i="1"/>
  <c r="S1867" i="1"/>
  <c r="T1507" i="18"/>
  <c r="T1455" i="18"/>
  <c r="T1156" i="18"/>
  <c r="Y1201" i="18"/>
  <c r="T2285" i="18"/>
  <c r="T1403" i="18"/>
  <c r="T1543" i="18"/>
  <c r="T1374" i="18"/>
  <c r="Y1105" i="18"/>
  <c r="T468" i="18"/>
  <c r="Q423" i="1"/>
  <c r="R423" i="1"/>
  <c r="S423" i="1"/>
  <c r="Q376" i="1"/>
  <c r="R376" i="1"/>
  <c r="S376" i="1"/>
  <c r="Y324" i="18"/>
  <c r="Q1931" i="1"/>
  <c r="R1931" i="1"/>
  <c r="S1931" i="1"/>
  <c r="Q1779" i="1"/>
  <c r="R1779" i="1"/>
  <c r="S1779" i="1"/>
  <c r="T1503" i="18"/>
  <c r="T1465" i="18"/>
  <c r="Y1178" i="18"/>
  <c r="Y1226" i="18"/>
  <c r="T1155" i="18"/>
  <c r="T1445" i="18"/>
  <c r="Y1158" i="18"/>
  <c r="T1073" i="18"/>
  <c r="Y1152" i="18"/>
  <c r="Y1774" i="18"/>
  <c r="T1395" i="18"/>
  <c r="T1390" i="18"/>
  <c r="Y1069" i="18"/>
  <c r="T926" i="18"/>
  <c r="Y68" i="18"/>
  <c r="Y52" i="18"/>
  <c r="Q43" i="1"/>
  <c r="R43" i="1"/>
  <c r="S43" i="1"/>
  <c r="Y1443" i="18"/>
  <c r="Y1537" i="18"/>
  <c r="Y1499" i="18"/>
  <c r="Y1438" i="18"/>
  <c r="T1202" i="18"/>
  <c r="Y1247" i="18"/>
  <c r="T59" i="18"/>
  <c r="Q1989" i="1"/>
  <c r="R1989" i="1"/>
  <c r="S1989" i="1"/>
  <c r="Y1811" i="18"/>
  <c r="T1772" i="18"/>
  <c r="T1118" i="18"/>
  <c r="T1089" i="18"/>
  <c r="T1068" i="18"/>
  <c r="T1103" i="18"/>
  <c r="Y878" i="18"/>
  <c r="R589" i="1"/>
  <c r="S589" i="1"/>
  <c r="Q589" i="1"/>
  <c r="Y50" i="18"/>
  <c r="T1134" i="18"/>
  <c r="T1085" i="18"/>
  <c r="T1084" i="18"/>
  <c r="T1119" i="18"/>
  <c r="Q150" i="1"/>
  <c r="R150" i="1"/>
  <c r="S150" i="1"/>
  <c r="Y49" i="18"/>
  <c r="Y56" i="18"/>
  <c r="Y63" i="18"/>
  <c r="Y62" i="18"/>
  <c r="Q2141" i="1"/>
  <c r="R2141" i="1"/>
  <c r="S2141" i="1"/>
  <c r="T1798" i="18"/>
  <c r="T1478" i="18"/>
  <c r="Y1630" i="18"/>
  <c r="Y1082" i="18"/>
  <c r="Y998" i="18"/>
  <c r="Y835" i="18"/>
  <c r="Q2308" i="1"/>
  <c r="R2308" i="1"/>
  <c r="S2308" i="1"/>
  <c r="T2258" i="18"/>
  <c r="P2499" i="1"/>
  <c r="O2556" i="1"/>
  <c r="F15" i="7"/>
  <c r="T2411" i="18"/>
  <c r="T2305" i="18"/>
  <c r="T2516" i="18"/>
  <c r="T1405" i="18"/>
  <c r="Y1640" i="18"/>
  <c r="T1416" i="18"/>
  <c r="Y1208" i="18"/>
  <c r="T1148" i="18"/>
  <c r="Y1223" i="18"/>
  <c r="T1343" i="18"/>
  <c r="T1327" i="18"/>
  <c r="T1311" i="18"/>
  <c r="T1279" i="18"/>
  <c r="T1263" i="18"/>
  <c r="Y1248" i="18"/>
  <c r="Y1128" i="18"/>
  <c r="Y1096" i="18"/>
  <c r="Y1064" i="18"/>
  <c r="Y1230" i="18"/>
  <c r="Y1131" i="18"/>
  <c r="Y1099" i="18"/>
  <c r="Y1067" i="18"/>
  <c r="T668" i="18"/>
  <c r="T393" i="18"/>
  <c r="T345" i="18"/>
  <c r="Y867" i="18"/>
  <c r="Y814" i="18"/>
  <c r="Y798" i="18"/>
  <c r="R764" i="1"/>
  <c r="S764" i="1"/>
  <c r="Q764" i="1"/>
  <c r="Q712" i="1"/>
  <c r="R712" i="1"/>
  <c r="S712" i="1"/>
  <c r="T309" i="18"/>
  <c r="R331" i="1"/>
  <c r="S331" i="1"/>
  <c r="Q331" i="1"/>
  <c r="T252" i="18"/>
  <c r="T509" i="18"/>
  <c r="T363" i="18"/>
  <c r="Y163" i="18"/>
  <c r="Y1028" i="18"/>
  <c r="T841" i="18"/>
  <c r="T812" i="18"/>
  <c r="T638" i="18"/>
  <c r="Y151" i="18"/>
  <c r="T2228" i="18"/>
  <c r="Y2491" i="18"/>
  <c r="T2397" i="18"/>
  <c r="T2089" i="18"/>
  <c r="T1975" i="18"/>
  <c r="Q2013" i="1"/>
  <c r="R2013" i="1"/>
  <c r="S2013" i="1"/>
  <c r="Q2055" i="1"/>
  <c r="R2055" i="1"/>
  <c r="S2055" i="1"/>
  <c r="Y1764" i="18"/>
  <c r="Y813" i="18"/>
  <c r="Y797" i="18"/>
  <c r="Y608" i="18"/>
  <c r="Y631" i="18"/>
  <c r="T304" i="18"/>
  <c r="Y547" i="18"/>
  <c r="Y523" i="18"/>
  <c r="Y450" i="18"/>
  <c r="T77" i="18"/>
  <c r="Y562" i="18"/>
  <c r="Y796" i="18"/>
  <c r="T160" i="18"/>
  <c r="Q381" i="1"/>
  <c r="R381" i="1"/>
  <c r="S381" i="1"/>
  <c r="Q269" i="1"/>
  <c r="R269" i="1"/>
  <c r="S269" i="1"/>
  <c r="T2369" i="18"/>
  <c r="T1981" i="18"/>
  <c r="T1965" i="18"/>
  <c r="R2393" i="1"/>
  <c r="S2393" i="1"/>
  <c r="Q2393" i="1"/>
  <c r="T2050" i="18"/>
  <c r="T1828" i="18"/>
  <c r="Q2316" i="1"/>
  <c r="R2316" i="1"/>
  <c r="S2316" i="1"/>
  <c r="Q2072" i="1"/>
  <c r="R2072" i="1"/>
  <c r="S2072" i="1"/>
  <c r="Q2156" i="1"/>
  <c r="R2156" i="1"/>
  <c r="S2156" i="1"/>
  <c r="T1417" i="18"/>
  <c r="T1385" i="18"/>
  <c r="Y1763" i="18"/>
  <c r="T1540" i="18"/>
  <c r="T1524" i="18"/>
  <c r="T1508" i="18"/>
  <c r="T1492" i="18"/>
  <c r="T1476" i="18"/>
  <c r="T1460" i="18"/>
  <c r="Y1628" i="18"/>
  <c r="Y1259" i="18"/>
  <c r="Y1142" i="18"/>
  <c r="Y1110" i="18"/>
  <c r="Y1078" i="18"/>
  <c r="T1349" i="18"/>
  <c r="T1333" i="18"/>
  <c r="T1317" i="18"/>
  <c r="T1301" i="18"/>
  <c r="T1285" i="18"/>
  <c r="T1269" i="18"/>
  <c r="Y1224" i="18"/>
  <c r="Y1140" i="18"/>
  <c r="Y1108" i="18"/>
  <c r="Y1076" i="18"/>
  <c r="T1044" i="18"/>
  <c r="T1020" i="18"/>
  <c r="T1004" i="18"/>
  <c r="T988" i="18"/>
  <c r="Y587" i="18"/>
  <c r="T118" i="18"/>
  <c r="Q2467" i="1"/>
  <c r="R2467" i="1"/>
  <c r="S2467" i="1"/>
  <c r="T2330" i="18"/>
  <c r="S2270" i="1"/>
  <c r="R2270" i="1"/>
  <c r="Q2270" i="1"/>
  <c r="Y2537" i="18"/>
  <c r="Y2521" i="18"/>
  <c r="Y2489" i="18"/>
  <c r="T2426" i="18"/>
  <c r="T2191" i="18"/>
  <c r="Q2161" i="1"/>
  <c r="R2161" i="1"/>
  <c r="S2161" i="1"/>
  <c r="T2159" i="18"/>
  <c r="Q1842" i="1"/>
  <c r="R1842" i="1"/>
  <c r="S1842" i="1"/>
  <c r="T1751" i="18"/>
  <c r="S2107" i="1"/>
  <c r="Q2107" i="1"/>
  <c r="R2107" i="1"/>
  <c r="Q2035" i="1"/>
  <c r="R2035" i="1"/>
  <c r="S2035" i="1"/>
  <c r="Y1785" i="18"/>
  <c r="T1688" i="18"/>
  <c r="Y1356" i="18"/>
  <c r="Y1340" i="18"/>
  <c r="Y1324" i="18"/>
  <c r="Y1308" i="18"/>
  <c r="Y1292" i="18"/>
  <c r="Y1276" i="18"/>
  <c r="T911" i="18"/>
  <c r="T856" i="18"/>
  <c r="T710" i="18"/>
  <c r="Y848" i="18"/>
  <c r="T670" i="18"/>
  <c r="T311" i="18"/>
  <c r="T515" i="18"/>
  <c r="T249" i="18"/>
  <c r="Y571" i="18"/>
  <c r="Q371" i="1"/>
  <c r="R371" i="1"/>
  <c r="S371" i="1"/>
  <c r="Y545" i="18"/>
  <c r="Y521" i="18"/>
  <c r="T177" i="18"/>
  <c r="T83" i="18"/>
  <c r="T54" i="18"/>
  <c r="T41" i="18"/>
  <c r="T205" i="18"/>
  <c r="T172" i="18"/>
  <c r="Y20" i="18"/>
  <c r="T2132" i="18"/>
  <c r="Y2233" i="18"/>
  <c r="Q2440" i="1"/>
  <c r="R2440" i="1"/>
  <c r="S2440" i="1"/>
  <c r="T2416" i="18"/>
  <c r="T2199" i="18"/>
  <c r="R2179" i="1"/>
  <c r="S2179" i="1"/>
  <c r="Q2179" i="1"/>
  <c r="T1854" i="18"/>
  <c r="Q2144" i="1"/>
  <c r="R2144" i="1"/>
  <c r="S2144" i="1"/>
  <c r="T1757" i="18"/>
  <c r="Y1429" i="18"/>
  <c r="Y1397" i="18"/>
  <c r="Y1365" i="18"/>
  <c r="T1845" i="18"/>
  <c r="T1225" i="18"/>
  <c r="T1220" i="18"/>
  <c r="T1204" i="18"/>
  <c r="T1188" i="18"/>
  <c r="T1172" i="18"/>
  <c r="Y1153" i="18"/>
  <c r="T1219" i="18"/>
  <c r="T1203" i="18"/>
  <c r="T1187" i="18"/>
  <c r="T1171" i="18"/>
  <c r="T1253" i="18"/>
  <c r="Y1162" i="18"/>
  <c r="T1123" i="18"/>
  <c r="T1091" i="18"/>
  <c r="T1059" i="18"/>
  <c r="T604" i="18"/>
  <c r="T782" i="18"/>
  <c r="T585" i="18"/>
  <c r="T343" i="18"/>
  <c r="T558" i="18"/>
  <c r="T593" i="18"/>
  <c r="T582" i="18"/>
  <c r="Y552" i="18"/>
  <c r="Y528" i="18"/>
  <c r="T507" i="18"/>
  <c r="T42" i="18"/>
  <c r="T26" i="18"/>
  <c r="Q127" i="1"/>
  <c r="R127" i="1"/>
  <c r="S127" i="1"/>
  <c r="Y73" i="18"/>
  <c r="Y122" i="18"/>
  <c r="S536" i="1"/>
  <c r="R536" i="1"/>
  <c r="Q536" i="1"/>
  <c r="T498" i="18"/>
  <c r="Y79" i="18"/>
  <c r="Q478" i="1"/>
  <c r="R478" i="1"/>
  <c r="S478" i="1"/>
  <c r="T36" i="18"/>
  <c r="T1993" i="18"/>
  <c r="Y2323" i="18"/>
  <c r="T1984" i="18"/>
  <c r="S2047" i="1"/>
  <c r="Q2047" i="1"/>
  <c r="R2047" i="1"/>
  <c r="Y1924" i="18"/>
  <c r="Y1633" i="18"/>
  <c r="T1415" i="18"/>
  <c r="T1383" i="18"/>
  <c r="T1434" i="18"/>
  <c r="T1402" i="18"/>
  <c r="T1370" i="18"/>
  <c r="T1362" i="18"/>
  <c r="T1346" i="18"/>
  <c r="T1330" i="18"/>
  <c r="T1314" i="18"/>
  <c r="T1298" i="18"/>
  <c r="T1282" i="18"/>
  <c r="T1266" i="18"/>
  <c r="T1235" i="18"/>
  <c r="Y1125" i="18"/>
  <c r="Y1093" i="18"/>
  <c r="Y1061" i="18"/>
  <c r="Y1227" i="18"/>
  <c r="T667" i="18"/>
  <c r="T778" i="18"/>
  <c r="Y862" i="18"/>
  <c r="Y838" i="18"/>
  <c r="T809" i="18"/>
  <c r="T793" i="18"/>
  <c r="Q742" i="1"/>
  <c r="R742" i="1"/>
  <c r="S742" i="1"/>
  <c r="Y694" i="18"/>
  <c r="T635" i="18"/>
  <c r="T91" i="18"/>
  <c r="T255" i="18"/>
  <c r="Y577" i="18"/>
  <c r="Y549" i="18"/>
  <c r="T87" i="18"/>
  <c r="T2212" i="18"/>
  <c r="T2460" i="18"/>
  <c r="R2433" i="1"/>
  <c r="S2433" i="1"/>
  <c r="Q2433" i="1"/>
  <c r="T2542" i="18"/>
  <c r="T2526" i="18"/>
  <c r="T2494" i="18"/>
  <c r="Y1920" i="18"/>
  <c r="Y1888" i="18"/>
  <c r="Y1642" i="18"/>
  <c r="Y1528" i="18"/>
  <c r="Y1512" i="18"/>
  <c r="Y1496" i="18"/>
  <c r="Y1480" i="18"/>
  <c r="Y1464" i="18"/>
  <c r="Y1436" i="18"/>
  <c r="Y1404" i="18"/>
  <c r="Y1372" i="18"/>
  <c r="T1361" i="18"/>
  <c r="T1345" i="18"/>
  <c r="T1329" i="18"/>
  <c r="T1313" i="18"/>
  <c r="T1297" i="18"/>
  <c r="T1281" i="18"/>
  <c r="T1265" i="18"/>
  <c r="T752" i="18"/>
  <c r="Y583" i="18"/>
  <c r="Y554" i="18"/>
  <c r="T808" i="18"/>
  <c r="T792" i="18"/>
  <c r="Y693" i="18"/>
  <c r="Y580" i="18"/>
  <c r="T505" i="18"/>
  <c r="T217" i="18"/>
  <c r="Y550" i="18"/>
  <c r="Y432" i="18"/>
  <c r="Y32" i="18"/>
  <c r="S2360" i="1"/>
  <c r="Q2360" i="1"/>
  <c r="R2360" i="1"/>
  <c r="T2355" i="18"/>
  <c r="T1918" i="18"/>
  <c r="T1875" i="18"/>
  <c r="T1783" i="18"/>
  <c r="T1789" i="18"/>
  <c r="T2265" i="18"/>
  <c r="Q2001" i="1"/>
  <c r="R2001" i="1"/>
  <c r="S2001" i="1"/>
  <c r="T1903" i="18"/>
  <c r="T1886" i="18"/>
  <c r="R1808" i="1"/>
  <c r="S1808" i="1"/>
  <c r="Q1808" i="1"/>
  <c r="T1766" i="18"/>
  <c r="T1716" i="18"/>
  <c r="T1700" i="18"/>
  <c r="T1641" i="18"/>
  <c r="T1753" i="18"/>
  <c r="Q1659" i="1"/>
  <c r="R1659" i="1"/>
  <c r="S1659" i="1"/>
  <c r="T1360" i="18"/>
  <c r="T1344" i="18"/>
  <c r="T1328" i="18"/>
  <c r="T1312" i="18"/>
  <c r="T1296" i="18"/>
  <c r="T1280" i="18"/>
  <c r="T1264" i="18"/>
  <c r="T681" i="18"/>
  <c r="Y876" i="18"/>
  <c r="T852" i="18"/>
  <c r="T836" i="18"/>
  <c r="Y700" i="18"/>
  <c r="Y633" i="18"/>
  <c r="T280" i="18"/>
  <c r="Y221" i="18"/>
  <c r="Y1864" i="18"/>
  <c r="Y1448" i="18"/>
  <c r="Y1507" i="18"/>
  <c r="Y1455" i="18"/>
  <c r="Y1378" i="18"/>
  <c r="T1201" i="18"/>
  <c r="R2286" i="1"/>
  <c r="S2286" i="1"/>
  <c r="Q2286" i="1"/>
  <c r="Y1646" i="18"/>
  <c r="T1105" i="18"/>
  <c r="Y1154" i="18"/>
  <c r="Q470" i="1"/>
  <c r="R470" i="1"/>
  <c r="S470" i="1"/>
  <c r="T420" i="18"/>
  <c r="Q375" i="1"/>
  <c r="R375" i="1"/>
  <c r="S375" i="1"/>
  <c r="Q328" i="1"/>
  <c r="R328" i="1"/>
  <c r="S328" i="1"/>
  <c r="Y1956" i="18"/>
  <c r="Y1928" i="18"/>
  <c r="T1776" i="18"/>
  <c r="Y1450" i="18"/>
  <c r="Y1375" i="18"/>
  <c r="Y1503" i="18"/>
  <c r="Y1465" i="18"/>
  <c r="Y1398" i="18"/>
  <c r="T1178" i="18"/>
  <c r="T1226" i="18"/>
  <c r="T1527" i="18"/>
  <c r="T1489" i="18"/>
  <c r="Y1186" i="18"/>
  <c r="T1158" i="18"/>
  <c r="T1152" i="18"/>
  <c r="Q1899" i="1"/>
  <c r="R1899" i="1"/>
  <c r="S1899" i="1"/>
  <c r="T1774" i="18"/>
  <c r="Y1150" i="18"/>
  <c r="T1069" i="18"/>
  <c r="T68" i="18"/>
  <c r="T52" i="18"/>
  <c r="Y1773" i="18"/>
  <c r="T1391" i="18"/>
  <c r="T1414" i="18"/>
  <c r="Y1102" i="18"/>
  <c r="Y1117" i="18"/>
  <c r="P853" i="1"/>
  <c r="F11" i="7"/>
  <c r="Q1814" i="1"/>
  <c r="R1814" i="1"/>
  <c r="S1814" i="1"/>
  <c r="T1523" i="18"/>
  <c r="T1471" i="18"/>
  <c r="T878" i="18"/>
  <c r="T50" i="18"/>
  <c r="Q2254" i="1"/>
  <c r="R2254" i="1"/>
  <c r="S2254" i="1"/>
  <c r="T1495" i="18"/>
  <c r="T1457" i="18"/>
  <c r="T49" i="18"/>
  <c r="T56" i="18"/>
  <c r="T63" i="18"/>
  <c r="T62" i="18"/>
  <c r="W233" i="1" l="1"/>
  <c r="S233" i="1"/>
  <c r="T233" i="18" s="1"/>
  <c r="N2560" i="1"/>
  <c r="N2551" i="1"/>
  <c r="N2550" i="1"/>
  <c r="R233" i="1"/>
  <c r="Q233" i="1"/>
  <c r="T880" i="18"/>
  <c r="T1836" i="18"/>
  <c r="T2222" i="18"/>
  <c r="T1804" i="18"/>
  <c r="T2296" i="18"/>
  <c r="T2298" i="18"/>
  <c r="T2292" i="18"/>
  <c r="T1846" i="18"/>
  <c r="T618" i="18"/>
  <c r="T466" i="18"/>
  <c r="T467" i="18"/>
  <c r="T144" i="18"/>
  <c r="T175" i="18"/>
  <c r="T179" i="18"/>
  <c r="T167" i="18"/>
  <c r="T2252" i="18"/>
  <c r="T178" i="18"/>
  <c r="T1933" i="18"/>
  <c r="T786" i="18"/>
  <c r="T772" i="18"/>
  <c r="T785" i="18"/>
  <c r="T1857" i="18"/>
  <c r="T2417" i="18"/>
  <c r="T775" i="18"/>
  <c r="T1793" i="18"/>
  <c r="T2186" i="18"/>
  <c r="T2462" i="18"/>
  <c r="T2415" i="18"/>
  <c r="T2465" i="18"/>
  <c r="T2185" i="18"/>
  <c r="T2384" i="18"/>
  <c r="T787" i="18"/>
  <c r="T2464" i="18"/>
  <c r="T165" i="18"/>
  <c r="T776" i="18"/>
  <c r="T784" i="18"/>
  <c r="T774" i="18"/>
  <c r="T2414" i="18"/>
  <c r="T773" i="18"/>
  <c r="T2463" i="18"/>
  <c r="T328" i="18"/>
  <c r="T2254" i="18"/>
  <c r="T742" i="18"/>
  <c r="T127" i="18"/>
  <c r="T1814" i="18"/>
  <c r="T2286" i="18"/>
  <c r="T1659" i="18"/>
  <c r="T2001" i="18"/>
  <c r="T331" i="18"/>
  <c r="T712" i="18"/>
  <c r="S2499" i="1"/>
  <c r="P2500" i="1"/>
  <c r="Q2499" i="1"/>
  <c r="R2499" i="1"/>
  <c r="T2204" i="18"/>
  <c r="T2037" i="18"/>
  <c r="T2119" i="18"/>
  <c r="T2163" i="18"/>
  <c r="T451" i="18"/>
  <c r="T2056" i="18"/>
  <c r="T472" i="18"/>
  <c r="T2066" i="18"/>
  <c r="T1770" i="18"/>
  <c r="T2218" i="18"/>
  <c r="T2069" i="18"/>
  <c r="T2190" i="18"/>
  <c r="T2256" i="18"/>
  <c r="T2287" i="18"/>
  <c r="T2003" i="18"/>
  <c r="T434" i="18"/>
  <c r="T484" i="18"/>
  <c r="T1927" i="18"/>
  <c r="T125" i="18"/>
  <c r="T2182" i="18"/>
  <c r="T2235" i="18"/>
  <c r="T406" i="18"/>
  <c r="T267" i="18"/>
  <c r="T452" i="18"/>
  <c r="T2142" i="18"/>
  <c r="T202" i="18"/>
  <c r="T745" i="18"/>
  <c r="T499" i="18"/>
  <c r="Q117" i="1"/>
  <c r="R117" i="1"/>
  <c r="S117" i="1"/>
  <c r="T2039" i="18"/>
  <c r="S913" i="1"/>
  <c r="Q913" i="1"/>
  <c r="R913" i="1"/>
  <c r="T476" i="18"/>
  <c r="T2439" i="18"/>
  <c r="T1841" i="18"/>
  <c r="T1959" i="18"/>
  <c r="T500" i="18"/>
  <c r="T302" i="18"/>
  <c r="T2018" i="18"/>
  <c r="T1899" i="18"/>
  <c r="T375" i="18"/>
  <c r="T2360" i="18"/>
  <c r="T478" i="18"/>
  <c r="T2156" i="18"/>
  <c r="T150" i="18"/>
  <c r="T2283" i="18"/>
  <c r="T1769" i="18"/>
  <c r="T1953" i="18"/>
  <c r="T2255" i="18"/>
  <c r="T424" i="18"/>
  <c r="T1809" i="18"/>
  <c r="T743" i="18"/>
  <c r="T537" i="18"/>
  <c r="T859" i="18"/>
  <c r="T1957" i="18"/>
  <c r="T377" i="18"/>
  <c r="T2205" i="18"/>
  <c r="T2061" i="18"/>
  <c r="T2174" i="18"/>
  <c r="T2022" i="18"/>
  <c r="T425" i="18"/>
  <c r="T1661" i="18"/>
  <c r="T2362" i="18"/>
  <c r="T534" i="18"/>
  <c r="T260" i="18"/>
  <c r="T2164" i="18"/>
  <c r="T1958" i="18"/>
  <c r="T1865" i="18"/>
  <c r="T1810" i="18"/>
  <c r="T299" i="18"/>
  <c r="T1890" i="18"/>
  <c r="T1986" i="18"/>
  <c r="T369" i="18"/>
  <c r="T1748" i="18"/>
  <c r="T453" i="18"/>
  <c r="T1897" i="18"/>
  <c r="T327" i="18"/>
  <c r="T2357" i="18"/>
  <c r="T2136" i="18"/>
  <c r="T2325" i="18"/>
  <c r="T2059" i="18"/>
  <c r="T1862" i="18"/>
  <c r="T277" i="18"/>
  <c r="T2140" i="18"/>
  <c r="T2306" i="18"/>
  <c r="T2082" i="18"/>
  <c r="T470" i="18"/>
  <c r="T1808" i="18"/>
  <c r="T2047" i="18"/>
  <c r="T536" i="18"/>
  <c r="T2144" i="18"/>
  <c r="T2440" i="18"/>
  <c r="T2467" i="18"/>
  <c r="T2013" i="18"/>
  <c r="T1931" i="18"/>
  <c r="T2065" i="18"/>
  <c r="T1635" i="18"/>
  <c r="T2441" i="18"/>
  <c r="T2312" i="18"/>
  <c r="T455" i="18"/>
  <c r="T329" i="18"/>
  <c r="T2435" i="18"/>
  <c r="T479" i="18"/>
  <c r="Q1625" i="1"/>
  <c r="R1625" i="1"/>
  <c r="S1625" i="1"/>
  <c r="T2108" i="18"/>
  <c r="T2157" i="18"/>
  <c r="T2007" i="18"/>
  <c r="T2390" i="18"/>
  <c r="T405" i="18"/>
  <c r="T2104" i="18"/>
  <c r="T383" i="18"/>
  <c r="T2038" i="18"/>
  <c r="T1922" i="18"/>
  <c r="T429" i="18"/>
  <c r="T704" i="18"/>
  <c r="S9" i="11"/>
  <c r="T1787" i="18"/>
  <c r="T152" i="18"/>
  <c r="T2150" i="18"/>
  <c r="T326" i="18"/>
  <c r="T473" i="18"/>
  <c r="T301" i="18"/>
  <c r="T1861" i="18"/>
  <c r="T321" i="18"/>
  <c r="T2276" i="18"/>
  <c r="T379" i="18"/>
  <c r="T2017" i="18"/>
  <c r="T469" i="18"/>
  <c r="T126" i="18"/>
  <c r="T2313" i="18"/>
  <c r="T287" i="18"/>
  <c r="T763" i="18"/>
  <c r="T332" i="18"/>
  <c r="T422" i="18"/>
  <c r="T746" i="18"/>
  <c r="T2388" i="18"/>
  <c r="T2237" i="18"/>
  <c r="T2193" i="18"/>
  <c r="T380" i="18"/>
  <c r="T454" i="18"/>
  <c r="T716" i="18"/>
  <c r="T2148" i="18"/>
  <c r="S15" i="11"/>
  <c r="T2433" i="18"/>
  <c r="T1842" i="18"/>
  <c r="T2270" i="18"/>
  <c r="T269" i="18"/>
  <c r="T589" i="18"/>
  <c r="T376" i="18"/>
  <c r="T655" i="18"/>
  <c r="T1925" i="18"/>
  <c r="T258" i="18"/>
  <c r="T2006" i="18"/>
  <c r="T2060" i="18"/>
  <c r="T2162" i="18"/>
  <c r="T270" i="18"/>
  <c r="T760" i="18"/>
  <c r="T2234" i="18"/>
  <c r="T2272" i="18"/>
  <c r="T2014" i="18"/>
  <c r="T513" i="18"/>
  <c r="T1647" i="18"/>
  <c r="T2271" i="18"/>
  <c r="T2314" i="18"/>
  <c r="T609" i="18"/>
  <c r="T1812" i="18"/>
  <c r="T2045" i="18"/>
  <c r="T860" i="18"/>
  <c r="T2219" i="18"/>
  <c r="T2062" i="18"/>
  <c r="T2033" i="18"/>
  <c r="T714" i="18"/>
  <c r="T2310" i="18"/>
  <c r="T1893" i="18"/>
  <c r="T1777" i="18"/>
  <c r="T1648" i="18"/>
  <c r="T2070" i="18"/>
  <c r="T2515" i="18"/>
  <c r="T2432" i="18"/>
  <c r="T861" i="18"/>
  <c r="T2236" i="18"/>
  <c r="T1955" i="18"/>
  <c r="T153" i="18"/>
  <c r="T335" i="18"/>
  <c r="T1649" i="18"/>
  <c r="T1866" i="18"/>
  <c r="T2064" i="18"/>
  <c r="T481" i="18"/>
  <c r="T2106" i="18"/>
  <c r="T2071" i="18"/>
  <c r="T611" i="18"/>
  <c r="T511" i="18"/>
  <c r="T2081" i="18"/>
  <c r="S853" i="1"/>
  <c r="Q853" i="1"/>
  <c r="R853" i="1"/>
  <c r="T2179" i="18"/>
  <c r="T2107" i="18"/>
  <c r="T2161" i="18"/>
  <c r="T2072" i="18"/>
  <c r="T764" i="18"/>
  <c r="T43" i="18"/>
  <c r="T2137" i="18"/>
  <c r="T501" i="18"/>
  <c r="T278" i="18"/>
  <c r="T471" i="18"/>
  <c r="T2002" i="18"/>
  <c r="T2361" i="18"/>
  <c r="T433" i="18"/>
  <c r="T1643" i="18"/>
  <c r="T1889" i="18"/>
  <c r="T2282" i="18"/>
  <c r="T2181" i="18"/>
  <c r="T367" i="18"/>
  <c r="T325" i="18"/>
  <c r="T290" i="18"/>
  <c r="T1636" i="18"/>
  <c r="T2275" i="18"/>
  <c r="T2057" i="18"/>
  <c r="S10" i="11"/>
  <c r="T373" i="18"/>
  <c r="T475" i="18"/>
  <c r="T541" i="18"/>
  <c r="T334" i="18"/>
  <c r="T563" i="18"/>
  <c r="T1894" i="18"/>
  <c r="T2307" i="18"/>
  <c r="T430" i="18"/>
  <c r="T2206" i="18"/>
  <c r="T161" i="18"/>
  <c r="T510" i="18"/>
  <c r="T485" i="18"/>
  <c r="T535" i="18"/>
  <c r="T2178" i="18"/>
  <c r="T268" i="18"/>
  <c r="T2054" i="18"/>
  <c r="T2080" i="18"/>
  <c r="T2267" i="18"/>
  <c r="T2284" i="18"/>
  <c r="T431" i="18"/>
  <c r="T2216" i="18"/>
  <c r="T174" i="18"/>
  <c r="T323" i="18"/>
  <c r="T1895" i="18"/>
  <c r="T2173" i="18"/>
  <c r="T1867" i="18"/>
  <c r="T482" i="18"/>
  <c r="T1987" i="18"/>
  <c r="T2326" i="18"/>
  <c r="T2389" i="18"/>
  <c r="T2238" i="18"/>
  <c r="T2274" i="18"/>
  <c r="T512" i="18"/>
  <c r="T2021" i="18"/>
  <c r="T2434" i="18"/>
  <c r="T2145" i="18"/>
  <c r="T2019" i="18"/>
  <c r="T1990" i="18"/>
  <c r="T298" i="18"/>
  <c r="T1926" i="18"/>
  <c r="T594" i="18"/>
  <c r="T320" i="18"/>
  <c r="T1954" i="18"/>
  <c r="Q69" i="1"/>
  <c r="R69" i="1"/>
  <c r="S69" i="1"/>
  <c r="T761" i="18"/>
  <c r="T2067" i="18"/>
  <c r="T2436" i="18"/>
  <c r="Q19" i="1"/>
  <c r="R19" i="1"/>
  <c r="S19" i="1"/>
  <c r="T2158" i="18"/>
  <c r="T2015" i="18"/>
  <c r="T421" i="18"/>
  <c r="T1637" i="18"/>
  <c r="T2105" i="18"/>
  <c r="T715" i="18"/>
  <c r="T1813" i="18"/>
  <c r="T435" i="18"/>
  <c r="T2201" i="18"/>
  <c r="T407" i="18"/>
  <c r="T322" i="18"/>
  <c r="T2392" i="18"/>
  <c r="T2176" i="18"/>
  <c r="T713" i="18"/>
  <c r="T2149" i="18"/>
  <c r="T149" i="18"/>
  <c r="T436" i="18"/>
  <c r="T1645" i="18"/>
  <c r="T596" i="18"/>
  <c r="T403" i="18"/>
  <c r="T370" i="18"/>
  <c r="T162" i="18"/>
  <c r="T2120" i="18"/>
  <c r="T371" i="18"/>
  <c r="T381" i="18"/>
  <c r="S19" i="11"/>
  <c r="T2141" i="18"/>
  <c r="T423" i="18"/>
  <c r="T2268" i="18"/>
  <c r="T2358" i="18"/>
  <c r="T1921" i="18"/>
  <c r="T2202" i="18"/>
  <c r="T404" i="18"/>
  <c r="T673" i="18"/>
  <c r="T1843" i="18"/>
  <c r="T2194" i="18"/>
  <c r="T382" i="18"/>
  <c r="T1660" i="18"/>
  <c r="T703" i="18"/>
  <c r="T1863" i="18"/>
  <c r="S14" i="11"/>
  <c r="Q1720" i="1"/>
  <c r="R1720" i="1"/>
  <c r="S1720" i="1"/>
  <c r="T428" i="18"/>
  <c r="T259" i="18"/>
  <c r="T2442" i="18"/>
  <c r="T333" i="18"/>
  <c r="T1930" i="18"/>
  <c r="T2266" i="18"/>
  <c r="T2146" i="18"/>
  <c r="T2079" i="18"/>
  <c r="T2175" i="18"/>
  <c r="T1929" i="18"/>
  <c r="T2356" i="18"/>
  <c r="T2324" i="18"/>
  <c r="T595" i="18"/>
  <c r="T173" i="18"/>
  <c r="T671" i="18"/>
  <c r="T2192" i="18"/>
  <c r="T762" i="18"/>
  <c r="G12" i="7"/>
  <c r="T2023" i="18"/>
  <c r="T1923" i="18"/>
  <c r="T2046" i="18"/>
  <c r="T1891" i="18"/>
  <c r="T257" i="18"/>
  <c r="T672" i="18"/>
  <c r="T2188" i="18"/>
  <c r="T2118" i="18"/>
  <c r="T2035" i="18"/>
  <c r="T2316" i="18"/>
  <c r="T2393" i="18"/>
  <c r="T2055" i="18"/>
  <c r="T2308" i="18"/>
  <c r="T1989" i="18"/>
  <c r="T1779" i="18"/>
  <c r="T437" i="18"/>
  <c r="T289" i="18"/>
  <c r="T427" i="18"/>
  <c r="T2217" i="18"/>
  <c r="T319" i="18"/>
  <c r="T2288" i="18"/>
  <c r="T502" i="18"/>
  <c r="T2180" i="18"/>
  <c r="T1687" i="18"/>
  <c r="T1786" i="18"/>
  <c r="T2394" i="18"/>
  <c r="Q644" i="1"/>
  <c r="R644" i="1"/>
  <c r="S644" i="1"/>
  <c r="T1898" i="18"/>
  <c r="T656" i="18"/>
  <c r="T483" i="18"/>
  <c r="T2138" i="18"/>
  <c r="T1644" i="18"/>
  <c r="T744" i="18"/>
  <c r="T1985" i="18"/>
  <c r="T503" i="18"/>
  <c r="T2200" i="18"/>
  <c r="T2438" i="18"/>
  <c r="T368" i="18"/>
  <c r="T1840" i="18"/>
  <c r="T1747" i="18"/>
  <c r="T2315" i="18"/>
  <c r="T286" i="18"/>
  <c r="T2116" i="18"/>
  <c r="T2309" i="18"/>
  <c r="T1991" i="18"/>
  <c r="T657" i="18"/>
  <c r="T2220" i="18"/>
  <c r="S11" i="11"/>
  <c r="T610" i="18"/>
  <c r="T374" i="18"/>
  <c r="T1771" i="18"/>
  <c r="T2034" i="18"/>
  <c r="T2160" i="18"/>
  <c r="T2117" i="18"/>
  <c r="T1778" i="18"/>
  <c r="T477" i="18"/>
  <c r="T2005" i="18"/>
  <c r="T2172" i="18"/>
  <c r="T2189" i="18"/>
  <c r="O2551" i="1" l="1"/>
  <c r="P228" i="1"/>
  <c r="F8" i="7"/>
  <c r="O2557" i="1"/>
  <c r="O2560" i="1"/>
  <c r="Y233" i="18"/>
  <c r="W17" i="1"/>
  <c r="G10" i="7"/>
  <c r="T19" i="18"/>
  <c r="G9" i="7"/>
  <c r="T117" i="18"/>
  <c r="Q2500" i="1"/>
  <c r="R2500" i="1"/>
  <c r="S2500" i="1"/>
  <c r="T913" i="18"/>
  <c r="T2499" i="18"/>
  <c r="T853" i="18"/>
  <c r="T644" i="18"/>
  <c r="T1720" i="18"/>
  <c r="T69" i="18"/>
  <c r="T1625" i="18"/>
  <c r="S12" i="11" l="1"/>
  <c r="S21" i="11" s="1"/>
  <c r="S2" i="11" s="1"/>
  <c r="F17" i="7"/>
  <c r="S228" i="1"/>
  <c r="T228" i="18" s="1"/>
  <c r="Q228" i="1"/>
  <c r="R228" i="1"/>
  <c r="T2500" i="18"/>
  <c r="T17" i="11" l="1"/>
  <c r="T13" i="11"/>
  <c r="T9" i="11"/>
  <c r="T18" i="11"/>
  <c r="T19" i="11"/>
  <c r="T10" i="11"/>
  <c r="T16" i="11"/>
  <c r="S3" i="11"/>
  <c r="T3" i="11" s="1"/>
  <c r="T12" i="11"/>
  <c r="T14" i="11"/>
  <c r="T15" i="11"/>
  <c r="T2" i="11"/>
  <c r="F43" i="11" s="1"/>
  <c r="T11" i="11"/>
  <c r="G5" i="7"/>
  <c r="G13" i="7"/>
  <c r="B6" i="9"/>
  <c r="G7" i="7"/>
  <c r="G15" i="7"/>
  <c r="G8" i="7"/>
  <c r="G6" i="7"/>
  <c r="G11" i="7"/>
  <c r="G14" i="7"/>
  <c r="B12" i="8"/>
  <c r="B17" i="8" s="1"/>
  <c r="P45" i="11" l="1"/>
  <c r="L29" i="11"/>
  <c r="F29" i="11"/>
  <c r="Q37" i="11"/>
  <c r="F35" i="11"/>
  <c r="H37" i="11"/>
  <c r="H25" i="11"/>
  <c r="L45" i="11"/>
  <c r="K45" i="11"/>
  <c r="S4" i="11"/>
  <c r="L35" i="11"/>
  <c r="K25" i="11"/>
  <c r="Q33" i="11"/>
  <c r="J41" i="11"/>
  <c r="N31" i="11"/>
  <c r="M33" i="11"/>
  <c r="L37" i="11"/>
  <c r="Q35" i="11"/>
  <c r="H43" i="11"/>
  <c r="L25" i="11"/>
  <c r="M35" i="11"/>
  <c r="G41" i="11"/>
  <c r="G45" i="11"/>
  <c r="O45" i="11"/>
  <c r="F37" i="11"/>
  <c r="O37" i="11"/>
  <c r="P35" i="11"/>
  <c r="K39" i="11"/>
  <c r="M27" i="11"/>
  <c r="P41" i="11"/>
  <c r="I37" i="11"/>
  <c r="Q31" i="11"/>
  <c r="K43" i="11"/>
  <c r="Q39" i="11"/>
  <c r="L31" i="11"/>
  <c r="N41" i="11"/>
  <c r="P33" i="11"/>
  <c r="G33" i="11"/>
  <c r="G43" i="11"/>
  <c r="M31" i="11"/>
  <c r="K41" i="11"/>
  <c r="F27" i="11"/>
  <c r="J27" i="11"/>
  <c r="M41" i="11"/>
  <c r="N39" i="11"/>
  <c r="Q29" i="11"/>
  <c r="Q43" i="11"/>
  <c r="J39" i="11"/>
  <c r="P29" i="11"/>
  <c r="N33" i="11"/>
  <c r="L33" i="11"/>
  <c r="F39" i="11"/>
  <c r="J43" i="11"/>
  <c r="J31" i="11"/>
  <c r="Q25" i="11"/>
  <c r="G25" i="11"/>
  <c r="Q27" i="11"/>
  <c r="P43" i="11"/>
  <c r="K37" i="11"/>
  <c r="O43" i="11"/>
  <c r="G29" i="11"/>
  <c r="P27" i="11"/>
  <c r="K33" i="11"/>
  <c r="I41" i="11"/>
  <c r="H31" i="11"/>
  <c r="F25" i="11"/>
  <c r="J29" i="11"/>
  <c r="G31" i="11"/>
  <c r="O39" i="11"/>
  <c r="F31" i="11"/>
  <c r="I35" i="11"/>
  <c r="I33" i="11"/>
  <c r="G39" i="11"/>
  <c r="H27" i="11"/>
  <c r="P39" i="11"/>
  <c r="N37" i="11"/>
  <c r="L39" i="11"/>
  <c r="M25" i="11"/>
  <c r="J45" i="11"/>
  <c r="O27" i="11"/>
  <c r="O41" i="11"/>
  <c r="I27" i="11"/>
  <c r="M43" i="11"/>
  <c r="G27" i="11"/>
  <c r="N27" i="11"/>
  <c r="H33" i="11"/>
  <c r="I43" i="11"/>
  <c r="N25" i="11"/>
  <c r="L43" i="11"/>
  <c r="F45" i="11"/>
  <c r="N43" i="11"/>
  <c r="M45" i="11"/>
  <c r="I45" i="11"/>
  <c r="P25" i="11"/>
  <c r="J37" i="11"/>
  <c r="L41" i="11"/>
  <c r="J25" i="11"/>
  <c r="F33" i="11"/>
  <c r="H39" i="11"/>
  <c r="T21" i="11"/>
  <c r="O31" i="11"/>
  <c r="L27" i="11"/>
  <c r="H29" i="11"/>
  <c r="O25" i="11"/>
  <c r="G37" i="11"/>
  <c r="K35" i="11"/>
  <c r="Q45" i="11"/>
  <c r="I31" i="11"/>
  <c r="Q41" i="11"/>
  <c r="P31" i="11"/>
  <c r="K27" i="11"/>
  <c r="P37" i="11"/>
  <c r="K29" i="11"/>
  <c r="N45" i="11"/>
  <c r="J33" i="11"/>
  <c r="I39" i="11"/>
  <c r="F41" i="11"/>
  <c r="M29" i="11"/>
  <c r="K31" i="11"/>
  <c r="M37" i="11"/>
  <c r="H45" i="11"/>
  <c r="I25" i="11"/>
  <c r="N35" i="11"/>
  <c r="H35" i="11"/>
  <c r="O29" i="11"/>
  <c r="I29" i="11"/>
  <c r="M39" i="11"/>
  <c r="O35" i="11"/>
  <c r="J35" i="11"/>
  <c r="N29" i="11"/>
  <c r="G35" i="11"/>
  <c r="O33" i="11"/>
  <c r="H41" i="11"/>
  <c r="G17" i="7"/>
  <c r="J18" i="7" s="1"/>
  <c r="F38" i="11"/>
  <c r="F40" i="11"/>
  <c r="F42" i="11"/>
  <c r="H40" i="11"/>
  <c r="H42" i="11"/>
  <c r="I38" i="11"/>
  <c r="I40" i="11"/>
  <c r="I42" i="11"/>
  <c r="G38" i="11"/>
  <c r="G40" i="11"/>
  <c r="G42" i="11"/>
  <c r="H38" i="11"/>
  <c r="O34" i="11"/>
  <c r="Q34" i="11"/>
  <c r="M34" i="11"/>
  <c r="F34" i="11"/>
  <c r="H34" i="11"/>
  <c r="J34" i="11"/>
  <c r="N34" i="11"/>
  <c r="P34" i="11"/>
  <c r="K34" i="11"/>
  <c r="L34" i="11"/>
  <c r="G34" i="11"/>
  <c r="I34" i="11"/>
  <c r="M36" i="11"/>
  <c r="F26" i="11"/>
  <c r="H26" i="11"/>
  <c r="J26" i="11"/>
  <c r="L28" i="11"/>
  <c r="J38" i="11"/>
  <c r="M44" i="11"/>
  <c r="O28" i="11"/>
  <c r="J40" i="11"/>
  <c r="L32" i="11"/>
  <c r="P36" i="11"/>
  <c r="P44" i="11"/>
  <c r="M32" i="11"/>
  <c r="G46" i="11"/>
  <c r="I46" i="11"/>
  <c r="L46" i="11"/>
  <c r="K26" i="11"/>
  <c r="N26" i="11"/>
  <c r="P26" i="11"/>
  <c r="G28" i="11"/>
  <c r="I28" i="11"/>
  <c r="P38" i="11"/>
  <c r="N38" i="11"/>
  <c r="G30" i="11"/>
  <c r="I30" i="11"/>
  <c r="L30" i="11"/>
  <c r="L42" i="11"/>
  <c r="K38" i="11"/>
  <c r="J44" i="11"/>
  <c r="Q42" i="11"/>
  <c r="I32" i="11"/>
  <c r="M46" i="11"/>
  <c r="N44" i="11"/>
  <c r="M42" i="11"/>
  <c r="O32" i="11"/>
  <c r="F36" i="11"/>
  <c r="H36" i="11"/>
  <c r="J36" i="11"/>
  <c r="O46" i="11"/>
  <c r="Q46" i="11"/>
  <c r="F44" i="11"/>
  <c r="O42" i="11"/>
  <c r="N36" i="11"/>
  <c r="L26" i="11"/>
  <c r="M30" i="11"/>
  <c r="N40" i="11"/>
  <c r="Q32" i="11"/>
  <c r="I26" i="11"/>
  <c r="K44" i="11"/>
  <c r="K40" i="11"/>
  <c r="P32" i="11"/>
  <c r="J42" i="11"/>
  <c r="J32" i="11"/>
  <c r="K36" i="11"/>
  <c r="L38" i="11"/>
  <c r="F32" i="11"/>
  <c r="H46" i="11"/>
  <c r="J46" i="11"/>
  <c r="F46" i="11"/>
  <c r="O26" i="11"/>
  <c r="Q26" i="11"/>
  <c r="F28" i="11"/>
  <c r="H28" i="11"/>
  <c r="J28" i="11"/>
  <c r="O38" i="11"/>
  <c r="Q38" i="11"/>
  <c r="H30" i="11"/>
  <c r="J30" i="11"/>
  <c r="F30" i="11"/>
  <c r="G36" i="11"/>
  <c r="I36" i="11"/>
  <c r="L36" i="11"/>
  <c r="P46" i="11"/>
  <c r="N46" i="11"/>
  <c r="M26" i="11"/>
  <c r="N28" i="11"/>
  <c r="P28" i="11"/>
  <c r="M38" i="11"/>
  <c r="P30" i="11"/>
  <c r="N30" i="11"/>
  <c r="G44" i="11"/>
  <c r="I44" i="11"/>
  <c r="L44" i="11"/>
  <c r="N42" i="11"/>
  <c r="P42" i="11"/>
  <c r="L40" i="11"/>
  <c r="O36" i="11"/>
  <c r="Q36" i="11"/>
  <c r="K46" i="11"/>
  <c r="K28" i="11"/>
  <c r="K30" i="11"/>
  <c r="O44" i="11"/>
  <c r="Q44" i="11"/>
  <c r="K42" i="11"/>
  <c r="Q40" i="11"/>
  <c r="O40" i="11"/>
  <c r="N32" i="11"/>
  <c r="H32" i="11"/>
  <c r="M40" i="11"/>
  <c r="K32" i="11"/>
  <c r="Q28" i="11"/>
  <c r="O30" i="11"/>
  <c r="Q30" i="11"/>
  <c r="H44" i="11"/>
  <c r="G32" i="11"/>
  <c r="M28" i="11"/>
  <c r="P40" i="11"/>
  <c r="G26" i="11"/>
  <c r="T4" i="11"/>
  <c r="R29" i="11" l="1"/>
  <c r="M48" i="11"/>
  <c r="S27" i="11"/>
  <c r="L48" i="11"/>
  <c r="O48" i="11"/>
  <c r="S39" i="11"/>
  <c r="R39" i="11"/>
  <c r="R45" i="11"/>
  <c r="S33" i="11"/>
  <c r="R43" i="11"/>
  <c r="Q48" i="11"/>
  <c r="S31" i="11"/>
  <c r="R33" i="11"/>
  <c r="R25" i="11"/>
  <c r="S43" i="11"/>
  <c r="J48" i="11"/>
  <c r="S45" i="11"/>
  <c r="K48" i="11"/>
  <c r="R37" i="11"/>
  <c r="N48" i="11"/>
  <c r="R41" i="11"/>
  <c r="R31" i="11"/>
  <c r="S37" i="11"/>
  <c r="S35" i="11"/>
  <c r="S41" i="11"/>
  <c r="R35" i="11"/>
  <c r="S29" i="11"/>
  <c r="R27" i="11"/>
  <c r="S25" i="11"/>
  <c r="G48" i="11"/>
  <c r="I48" i="11"/>
  <c r="H48" i="11"/>
  <c r="F48" i="11"/>
  <c r="P48" i="11"/>
  <c r="M49" i="11"/>
  <c r="M51" i="11" s="1"/>
  <c r="R32" i="11"/>
  <c r="S32" i="11"/>
  <c r="S42" i="11"/>
  <c r="R42" i="11"/>
  <c r="R44" i="11"/>
  <c r="S44" i="11"/>
  <c r="R38" i="11"/>
  <c r="S38" i="11"/>
  <c r="S34" i="11"/>
  <c r="R34" i="11"/>
  <c r="G49" i="11"/>
  <c r="G51" i="11" s="1"/>
  <c r="R28" i="11"/>
  <c r="S28" i="11"/>
  <c r="I49" i="11"/>
  <c r="P49" i="11"/>
  <c r="R30" i="11"/>
  <c r="S30" i="11"/>
  <c r="Q49" i="11"/>
  <c r="N49" i="11"/>
  <c r="O49" i="11"/>
  <c r="K49" i="11"/>
  <c r="R46" i="11"/>
  <c r="S46" i="11"/>
  <c r="R40" i="11"/>
  <c r="S40" i="11"/>
  <c r="J49" i="11"/>
  <c r="L49" i="11"/>
  <c r="H49" i="11"/>
  <c r="R36" i="11"/>
  <c r="S36" i="11"/>
  <c r="S26" i="11"/>
  <c r="F49" i="11"/>
  <c r="R26" i="11"/>
  <c r="L51" i="11" l="1"/>
  <c r="O51" i="11"/>
  <c r="K51" i="11"/>
  <c r="N51" i="11"/>
  <c r="Q51" i="11"/>
  <c r="J51" i="11"/>
  <c r="F51" i="11"/>
  <c r="H51" i="11"/>
  <c r="I51" i="11"/>
  <c r="S48" i="11"/>
  <c r="P51" i="11"/>
  <c r="S49" i="11"/>
  <c r="S52" i="11" s="1"/>
  <c r="S51" i="11" l="1"/>
  <c r="T27" i="11" s="1"/>
  <c r="T28" i="11" l="1"/>
  <c r="T36" i="11"/>
  <c r="T38" i="11"/>
  <c r="T30" i="11"/>
  <c r="S53" i="11"/>
  <c r="T26" i="11"/>
  <c r="P52" i="11"/>
  <c r="L52" i="11"/>
  <c r="J52" i="11"/>
  <c r="H52" i="11"/>
  <c r="T45" i="11"/>
  <c r="T39" i="11"/>
  <c r="T25" i="11"/>
  <c r="T37" i="11"/>
  <c r="Q52" i="11"/>
  <c r="O52" i="11"/>
  <c r="X5" i="11"/>
  <c r="T29" i="11"/>
  <c r="I52" i="11"/>
  <c r="G52" i="11"/>
  <c r="T44" i="11"/>
  <c r="K52" i="11"/>
  <c r="T40" i="11"/>
  <c r="T42" i="11"/>
  <c r="M52" i="11"/>
  <c r="T46" i="11"/>
  <c r="T32" i="11"/>
  <c r="T34" i="11"/>
  <c r="T31" i="11"/>
  <c r="T41" i="11"/>
  <c r="N52" i="11"/>
  <c r="T33" i="11"/>
  <c r="F52" i="11"/>
  <c r="T43" i="11"/>
  <c r="T35" i="11"/>
  <c r="T49" i="11" l="1"/>
  <c r="T48" i="11"/>
  <c r="T52" i="11"/>
  <c r="F53" i="11"/>
  <c r="G53" i="11" s="1"/>
  <c r="H53" i="11" s="1"/>
  <c r="I53" i="11" s="1"/>
  <c r="J53" i="11" s="1"/>
  <c r="K53" i="11" s="1"/>
  <c r="L53" i="11" s="1"/>
  <c r="M53" i="11" s="1"/>
  <c r="N53" i="11" s="1"/>
  <c r="O53" i="11" s="1"/>
  <c r="P53" i="11" s="1"/>
  <c r="Q53" i="11" s="1"/>
  <c r="T51" i="11" l="1"/>
  <c r="T53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Ruy  José da Costa</author>
    <author>tc={089F3248-863D-4E58-9A72-A0EB75FB02AA}</author>
    <author>tc={B0D0578E-02BE-4064-8839-1E0DB2B02727}</author>
    <author>tc={4F9F2BA5-3A64-4AD9-950A-DC94D366B8EA}</author>
    <author>tc={74F19F8F-8FF0-4487-BFC1-C3B515963568}</author>
    <author>tc={A1817C80-A946-42EC-A11B-71699F193008}</author>
    <author>tc={794FB6C4-ADA8-4B28-9F28-3B06F5DC81F7}</author>
    <author>tc={5F2A7E28-5BAA-4FF7-8D80-50B5D93E2464}</author>
    <author>PARANACIDADE: Ruy  Jose da Costa</author>
  </authors>
  <commentList>
    <comment ref="K1" authorId="0" shapeId="0" xr:uid="{00000000-0006-0000-0700-000001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M1" authorId="0" shapeId="0" xr:uid="{00000000-0006-0000-0700-000002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O1" authorId="0" shapeId="0" xr:uid="{00000000-0006-0000-0700-000003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K3" authorId="0" shapeId="0" xr:uid="{00000000-0006-0000-0700-000004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L3" authorId="0" shapeId="0" xr:uid="{00000000-0006-0000-0700-000005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D543" authorId="1" shapeId="0" xr:uid="{00000000-0006-0000-0700-000006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>
        </r>
      </text>
    </comment>
    <comment ref="D544" authorId="2" shapeId="0" xr:uid="{00000000-0006-0000-0700-000007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>
        </r>
      </text>
    </comment>
    <comment ref="D545" authorId="3" shapeId="0" xr:uid="{00000000-0006-0000-0700-000008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>
        </r>
      </text>
    </comment>
    <comment ref="D546" authorId="4" shapeId="0" xr:uid="{00000000-0006-0000-0700-000009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>
        </r>
      </text>
    </comment>
    <comment ref="D547" authorId="5" shapeId="0" xr:uid="{00000000-0006-0000-0700-00000A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>
        </r>
      </text>
    </comment>
    <comment ref="D548" authorId="6" shapeId="0" xr:uid="{00000000-0006-0000-0700-00000B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>
        </r>
      </text>
    </comment>
    <comment ref="D551" authorId="7" shapeId="0" xr:uid="{00000000-0006-0000-0700-00000C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>
        </r>
      </text>
    </comment>
    <comment ref="H645" authorId="0" shapeId="0" xr:uid="{00000000-0006-0000-0700-00000D000000}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646" authorId="0" shapeId="0" xr:uid="{00000000-0006-0000-0700-00000E000000}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647" authorId="0" shapeId="0" xr:uid="{00000000-0006-0000-0700-00000F000000}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666" authorId="0" shapeId="0" xr:uid="{00000000-0006-0000-0700-000010000000}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670" authorId="0" shapeId="0" xr:uid="{00000000-0006-0000-0700-000011000000}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674" authorId="0" shapeId="0" xr:uid="{00000000-0006-0000-0700-000012000000}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678" authorId="0" shapeId="0" xr:uid="{00000000-0006-0000-0700-000013000000}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871" authorId="8" shapeId="0" xr:uid="{00000000-0006-0000-0700-000014000000}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2" authorId="8" shapeId="0" xr:uid="{00000000-0006-0000-0700-000015000000}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3" authorId="8" shapeId="0" xr:uid="{00000000-0006-0000-0700-000016000000}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4" authorId="8" shapeId="0" xr:uid="{00000000-0006-0000-0700-000017000000}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5" authorId="8" shapeId="0" xr:uid="{00000000-0006-0000-0700-000018000000}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6" authorId="8" shapeId="0" xr:uid="{00000000-0006-0000-0700-000019000000}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7" authorId="8" shapeId="0" xr:uid="{00000000-0006-0000-0700-00001A000000}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8" authorId="8" shapeId="0" xr:uid="{00000000-0006-0000-0700-00001B000000}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9" authorId="8" shapeId="0" xr:uid="{00000000-0006-0000-0700-00001C000000}">
      <text>
        <r>
          <rPr>
            <b/>
            <sz val="12"/>
            <color indexed="81"/>
            <rFont val="Tahoma"/>
            <family val="2"/>
          </rPr>
          <t>CUSTO DA PLACA (R$/M2) * CONSUMO (0,2400)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01" authorId="0" shapeId="0" xr:uid="{00000000-0006-0000-0700-00001D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2" authorId="0" shapeId="0" xr:uid="{00000000-0006-0000-0700-00001E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3" authorId="0" shapeId="0" xr:uid="{00000000-0006-0000-0700-00001F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4" authorId="0" shapeId="0" xr:uid="{00000000-0006-0000-0700-000020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5" authorId="0" shapeId="0" xr:uid="{00000000-0006-0000-0700-000021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6" authorId="0" shapeId="0" xr:uid="{00000000-0006-0000-0700-000022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7" authorId="0" shapeId="0" xr:uid="{00000000-0006-0000-0700-000023000000}">
      <text>
        <r>
          <rPr>
            <b/>
            <sz val="8"/>
            <color indexed="81"/>
            <rFont val="Segoe UI"/>
            <family val="2"/>
          </rPr>
          <t>Mínimo um ensaio
Cada 800m2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8" authorId="0" shapeId="0" xr:uid="{00000000-0006-0000-0700-000024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9" authorId="0" shapeId="0" xr:uid="{00000000-0006-0000-0700-000025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0" authorId="0" shapeId="0" xr:uid="{00000000-0006-0000-0700-000026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1" authorId="0" shapeId="0" xr:uid="{00000000-0006-0000-0700-000027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2" authorId="0" shapeId="0" xr:uid="{00000000-0006-0000-0700-000028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7" authorId="0" shapeId="0" xr:uid="{00000000-0006-0000-0700-000029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tc={2CF7446A-84F4-4CCA-87B7-2F04368F5AD2}</author>
    <author>tc={7B433FB9-6879-41E5-8E0E-05B1626E1D2A}</author>
  </authors>
  <commentList>
    <comment ref="S2" authorId="0" shapeId="0" xr:uid="{00000000-0006-0000-0200-000001000000}">
      <text>
        <r>
          <rPr>
            <sz val="8"/>
            <rFont val="Arial"/>
          </rPr>
  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Informar o valor do Convênio do PAM para este projeto.
</t>
        </r>
      </text>
    </comment>
    <comment ref="E6" authorId="1" shapeId="0" xr:uid="{00000000-0006-0000-0200-000002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Prazo mínimo de 6 meses de obra.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tc={2CF7446A-84F4-4CCA-87B7-2F04368F5AD2}</author>
    <author>tc={7B433FB9-6879-41E5-8E0E-05B1626E1D2A}</author>
  </authors>
  <commentList>
    <comment ref="S2" authorId="0" shapeId="0" xr:uid="{F8B6E1E8-A00E-4B92-8326-FE9AFB3C74E8}">
      <text>
        <r>
          <rPr>
            <sz val="8"/>
            <rFont val="Arial"/>
          </rPr>
  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Informar o valor do Convênio do PAM para este projeto.
</t>
        </r>
      </text>
    </comment>
    <comment ref="E6" authorId="1" shapeId="0" xr:uid="{6CBEF970-F650-445B-92E1-51A989B2394E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Prazo mínimo de 6 meses de obra.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Ruy  José da Costa</author>
    <author>tc={F91E1158-D790-4C73-8422-CC63B5B7C06A}</author>
    <author>tc={FEF2AC90-68BD-4EBD-BAA2-1340250CB694}</author>
    <author>tc={9A388544-8DCE-47B8-8E05-09F66A322966}</author>
    <author>tc={AABE1422-78A6-4327-B5C0-A511D859DAE3}</author>
    <author>tc={2DBAC8DB-6720-46A5-9320-DCDBF768325E}</author>
    <author>tc={8A96A638-AD53-4BC9-8626-84F8B050E805}</author>
    <author>tc={5C62EF5E-9646-44BB-8213-8D21E5BC6772}</author>
    <author>tc={9FACA1A5-0068-46A2-8D31-617A85646F91}</author>
    <author>tc={F5EE1DCA-9761-48E4-88F7-0158606C077E}</author>
  </authors>
  <commentList>
    <comment ref="O1" authorId="0" shapeId="0" xr:uid="{00000000-0006-0000-0600-000001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D3" authorId="0" shapeId="0" xr:uid="{00000000-0006-0000-0600-000002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O15" authorId="1" shapeId="0" xr:uid="{00000000-0006-0000-0600-000003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Tabela de referência da análise do projeto (não apagar essa informações das planilha dos editais: planilha de serviços, anexo e cartilha).</t>
        </r>
      </text>
    </comment>
    <comment ref="O16" authorId="2" shapeId="0" xr:uid="{00000000-0006-0000-0600-000004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Informar a data da aprovação do projeto, que será a data base para reajustamento do contrato quando necessário, conforme o Decreto 10.086/22 do Paraná, que regulamenta a Lei 14.133/2021.</t>
        </r>
      </text>
    </comment>
    <comment ref="D543" authorId="3" shapeId="0" xr:uid="{00000000-0006-0000-0600-000005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>
        </r>
      </text>
    </comment>
    <comment ref="D544" authorId="4" shapeId="0" xr:uid="{00000000-0006-0000-0600-000006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>
        </r>
      </text>
    </comment>
    <comment ref="D545" authorId="5" shapeId="0" xr:uid="{00000000-0006-0000-0600-000007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>
        </r>
      </text>
    </comment>
    <comment ref="D546" authorId="6" shapeId="0" xr:uid="{00000000-0006-0000-0600-000008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>
        </r>
      </text>
    </comment>
    <comment ref="D547" authorId="7" shapeId="0" xr:uid="{00000000-0006-0000-0600-000009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>
        </r>
      </text>
    </comment>
    <comment ref="D548" authorId="8" shapeId="0" xr:uid="{00000000-0006-0000-0600-00000A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>
        </r>
      </text>
    </comment>
    <comment ref="D551" authorId="9" shapeId="0" xr:uid="{00000000-0006-0000-0600-00000B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>
        </r>
      </text>
    </comment>
    <comment ref="H645" authorId="0" shapeId="0" xr:uid="{00000000-0006-0000-0600-00000C000000}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AC645" authorId="0" shapeId="0" xr:uid="{00000000-0006-0000-0600-00000D000000}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646" authorId="0" shapeId="0" xr:uid="{00000000-0006-0000-0600-00000E000000}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AC646" authorId="0" shapeId="0" xr:uid="{00000000-0006-0000-0600-00000F000000}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647" authorId="0" shapeId="0" xr:uid="{00000000-0006-0000-0600-000010000000}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AC647" authorId="0" shapeId="0" xr:uid="{00000000-0006-0000-0600-000011000000}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666" authorId="0" shapeId="0" xr:uid="{00000000-0006-0000-0600-000012000000}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AC666" authorId="0" shapeId="0" xr:uid="{00000000-0006-0000-0600-000013000000}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670" authorId="0" shapeId="0" xr:uid="{00000000-0006-0000-0600-000014000000}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AC670" authorId="0" shapeId="0" xr:uid="{00000000-0006-0000-0600-000015000000}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674" authorId="0" shapeId="0" xr:uid="{00000000-0006-0000-0600-000016000000}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674" authorId="0" shapeId="0" xr:uid="{00000000-0006-0000-0600-000017000000}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678" authorId="0" shapeId="0" xr:uid="{00000000-0006-0000-0600-000018000000}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678" authorId="0" shapeId="0" xr:uid="{00000000-0006-0000-0600-000019000000}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1" authorId="0" shapeId="0" xr:uid="{00000000-0006-0000-0600-00001A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1" authorId="0" shapeId="0" xr:uid="{00000000-0006-0000-0600-00001B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2" authorId="0" shapeId="0" xr:uid="{00000000-0006-0000-0600-00001C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2" authorId="0" shapeId="0" xr:uid="{00000000-0006-0000-0600-00001D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3" authorId="0" shapeId="0" xr:uid="{00000000-0006-0000-0600-00001E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3" authorId="0" shapeId="0" xr:uid="{00000000-0006-0000-0600-00001F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4" authorId="0" shapeId="0" xr:uid="{00000000-0006-0000-0600-000020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4" authorId="0" shapeId="0" xr:uid="{00000000-0006-0000-0600-000021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5" authorId="0" shapeId="0" xr:uid="{00000000-0006-0000-0600-000022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5" authorId="0" shapeId="0" xr:uid="{00000000-0006-0000-0600-000023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6" authorId="0" shapeId="0" xr:uid="{00000000-0006-0000-0600-000024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6" authorId="0" shapeId="0" xr:uid="{00000000-0006-0000-0600-000025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7" authorId="0" shapeId="0" xr:uid="{00000000-0006-0000-0600-000026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7" authorId="0" shapeId="0" xr:uid="{00000000-0006-0000-0600-000027000000}">
      <text>
        <r>
          <rPr>
            <b/>
            <sz val="8"/>
            <color indexed="81"/>
            <rFont val="Segoe UI"/>
            <family val="2"/>
          </rPr>
          <t>Mínimo um ensaio
Cada 800m2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8" authorId="0" shapeId="0" xr:uid="{00000000-0006-0000-0600-000028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8" authorId="0" shapeId="0" xr:uid="{00000000-0006-0000-0600-000029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9" authorId="0" shapeId="0" xr:uid="{00000000-0006-0000-0600-00002A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9" authorId="0" shapeId="0" xr:uid="{00000000-0006-0000-0600-00002B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0" authorId="0" shapeId="0" xr:uid="{00000000-0006-0000-0600-00002C000000}">
      <text>
        <r>
          <rPr>
            <b/>
            <sz val="8"/>
            <color indexed="81"/>
            <rFont val="Segoe UI"/>
            <family val="2"/>
          </rPr>
          <t>Mínimo dois ensaios por quadra, ou a 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10" authorId="0" shapeId="0" xr:uid="{00000000-0006-0000-0600-00002D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1" authorId="0" shapeId="0" xr:uid="{00000000-0006-0000-0600-00002E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11" authorId="0" shapeId="0" xr:uid="{00000000-0006-0000-0600-00002F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2" authorId="0" shapeId="0" xr:uid="{00000000-0006-0000-0600-000030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12" authorId="0" shapeId="0" xr:uid="{00000000-0006-0000-0600-000031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3" authorId="0" shapeId="0" xr:uid="{00000000-0006-0000-0600-000032000000}">
      <text>
        <r>
          <rPr>
            <b/>
            <sz val="8"/>
            <color indexed="81"/>
            <rFont val="Segoe UI"/>
            <family val="2"/>
          </rPr>
          <t>Mínimo dois ensaios por quadra, ou a 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7" authorId="0" shapeId="0" xr:uid="{00000000-0006-0000-0600-000033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17" authorId="0" shapeId="0" xr:uid="{00000000-0006-0000-0600-000034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<sst xmlns="http://schemas.openxmlformats.org/spreadsheetml/2006/main" count="18651" uniqueCount="2300">
  <si>
    <t>DMT</t>
  </si>
  <si>
    <t>CONSUMO</t>
  </si>
  <si>
    <t>CUSTOS UNITÁRIOS - ( R$ )</t>
  </si>
  <si>
    <t>TRANSP</t>
  </si>
  <si>
    <t>EXEC.</t>
  </si>
  <si>
    <t>S/BDI</t>
  </si>
  <si>
    <t>C/BDI</t>
  </si>
  <si>
    <t>QUANT</t>
  </si>
  <si>
    <t>UNIT</t>
  </si>
  <si>
    <t>( R$ ) - PM</t>
  </si>
  <si>
    <t>m3</t>
  </si>
  <si>
    <t xml:space="preserve"> </t>
  </si>
  <si>
    <t>m2</t>
  </si>
  <si>
    <t>m</t>
  </si>
  <si>
    <t>ton</t>
  </si>
  <si>
    <t>un</t>
  </si>
  <si>
    <t>kg</t>
  </si>
  <si>
    <t>BLSA120</t>
  </si>
  <si>
    <t>BLSA150</t>
  </si>
  <si>
    <t>BLSA200</t>
  </si>
  <si>
    <t>BLSA250</t>
  </si>
  <si>
    <t>BLSC120</t>
  </si>
  <si>
    <t>BLSC150</t>
  </si>
  <si>
    <t>BLSC200</t>
  </si>
  <si>
    <t>BLSC250</t>
  </si>
  <si>
    <t>BLDA120</t>
  </si>
  <si>
    <t>BLDA150</t>
  </si>
  <si>
    <t>BLDC120</t>
  </si>
  <si>
    <t>BLDC150</t>
  </si>
  <si>
    <t>CLA060</t>
  </si>
  <si>
    <t>CLA080</t>
  </si>
  <si>
    <t>CLA100</t>
  </si>
  <si>
    <t>CLA120</t>
  </si>
  <si>
    <t>CLC060</t>
  </si>
  <si>
    <t>CLC080</t>
  </si>
  <si>
    <t>CLC100</t>
  </si>
  <si>
    <t>CLC120</t>
  </si>
  <si>
    <t>CLC150</t>
  </si>
  <si>
    <t>CLC200</t>
  </si>
  <si>
    <t>PVAH150</t>
  </si>
  <si>
    <t>PVCH150</t>
  </si>
  <si>
    <t>PVCH200</t>
  </si>
  <si>
    <t>PVCH250</t>
  </si>
  <si>
    <t>VIGA080</t>
  </si>
  <si>
    <t>VIGA100</t>
  </si>
  <si>
    <t>VIGA120</t>
  </si>
  <si>
    <t>DISSIPM</t>
  </si>
  <si>
    <t>serviço</t>
  </si>
  <si>
    <t>TIJOLO</t>
  </si>
  <si>
    <t>cimen</t>
  </si>
  <si>
    <t>areia</t>
  </si>
  <si>
    <t>brita</t>
  </si>
  <si>
    <t>custo
exec</t>
  </si>
  <si>
    <t>CAL</t>
  </si>
  <si>
    <t>B.L. Símples alvenaria H até 1,20 m</t>
  </si>
  <si>
    <t>B.L. Símples alvenaria H até 1,50 m</t>
  </si>
  <si>
    <t>B.L. Símples alvenaria H até 2,00 m</t>
  </si>
  <si>
    <t>B.L. Símples alvenaria H até 2,50 m</t>
  </si>
  <si>
    <t>C.L. Alvenaria Tubo até 0,80</t>
  </si>
  <si>
    <t>C.L. Alvenaria Tubo até 1,00</t>
  </si>
  <si>
    <t>C.L. Alvenaria Tubo até 1,20</t>
  </si>
  <si>
    <t>K</t>
  </si>
  <si>
    <t>M</t>
  </si>
  <si>
    <t>N</t>
  </si>
  <si>
    <t>O</t>
  </si>
  <si>
    <t>P</t>
  </si>
  <si>
    <t>Q</t>
  </si>
  <si>
    <t>R</t>
  </si>
  <si>
    <t>S</t>
  </si>
  <si>
    <t>0,0025</t>
  </si>
  <si>
    <t>0,0001</t>
  </si>
  <si>
    <t>0,0024</t>
  </si>
  <si>
    <t>0,0038</t>
  </si>
  <si>
    <t>0,0002</t>
  </si>
  <si>
    <t>0,0062</t>
  </si>
  <si>
    <t>0,0043</t>
  </si>
  <si>
    <t>0,0119</t>
  </si>
  <si>
    <t>0,0004</t>
  </si>
  <si>
    <t>0,0082</t>
  </si>
  <si>
    <t>0,6231</t>
  </si>
  <si>
    <t>2,2155</t>
  </si>
  <si>
    <t>C.L. Alvenaria Tubo até 0,40</t>
  </si>
  <si>
    <t>C.L. Alvenaria Tubo até 0,60</t>
  </si>
  <si>
    <t>B.L. Dupla Alvenaria H até 1,20 m</t>
  </si>
  <si>
    <t>B.L. Dupla Alvenaria H até 1,50 m</t>
  </si>
  <si>
    <t>B.L. Dupla Alvenaria H até 2,00 m</t>
  </si>
  <si>
    <t>B.L. Dupla Alvenaria H até 2,50 m</t>
  </si>
  <si>
    <t>B.L. Símples concreto armado H até 1,50 m</t>
  </si>
  <si>
    <t>B.L. Símples concreto armado H até 2,00 m</t>
  </si>
  <si>
    <t>B.L. Símples concreto armado H até 2,50 m</t>
  </si>
  <si>
    <t>B.L. Símples concreto armado H até 1,20 m</t>
  </si>
  <si>
    <t>B.L. Dupla Concreto armado H até 1,50 m</t>
  </si>
  <si>
    <t>B.L. Dupla Concreto armado H até 2,00 m</t>
  </si>
  <si>
    <t>B.L. Dupla Concreto armado H até 2,50 m</t>
  </si>
  <si>
    <t>B.L. Dupla Concreto armado H até 1,20 m</t>
  </si>
  <si>
    <t>BLSM120</t>
  </si>
  <si>
    <t>BLSM150</t>
  </si>
  <si>
    <t>BLSM200</t>
  </si>
  <si>
    <t>BLSM250</t>
  </si>
  <si>
    <t>BLDA200</t>
  </si>
  <si>
    <t>BLDA250</t>
  </si>
  <si>
    <t>BLDM120</t>
  </si>
  <si>
    <t>BLDM150</t>
  </si>
  <si>
    <t>BLDM200</t>
  </si>
  <si>
    <t>BLDM250</t>
  </si>
  <si>
    <t>BLDC200</t>
  </si>
  <si>
    <t>BLDC250</t>
  </si>
  <si>
    <t>CLA040</t>
  </si>
  <si>
    <t>CLM040</t>
  </si>
  <si>
    <t>CLM060</t>
  </si>
  <si>
    <t>CLM080</t>
  </si>
  <si>
    <t>CLM100</t>
  </si>
  <si>
    <t>CLM120</t>
  </si>
  <si>
    <t>CLC040</t>
  </si>
  <si>
    <t>PVAH180</t>
  </si>
  <si>
    <t>PVAH80</t>
  </si>
  <si>
    <t>PVAH100</t>
  </si>
  <si>
    <t>PVAH130</t>
  </si>
  <si>
    <t>PVMH80</t>
  </si>
  <si>
    <t>PVMH100</t>
  </si>
  <si>
    <t>PVMH130</t>
  </si>
  <si>
    <t>PVMH150</t>
  </si>
  <si>
    <t>PVMH180</t>
  </si>
  <si>
    <t>PVCH80</t>
  </si>
  <si>
    <t>PVCH100</t>
  </si>
  <si>
    <t>PVCH130</t>
  </si>
  <si>
    <t>PVCH180</t>
  </si>
  <si>
    <t>P.V. Alvenaria H até 0,80 m Tubo até 0,40 + chaminé 1,00 m</t>
  </si>
  <si>
    <t>P.V. Alvenaria H até 1,00 m Tubo até 0,60 + chaminé 1,00 m</t>
  </si>
  <si>
    <t>P.V. Alvenaria H até 1,30 m Tubo até 0,80 + chaminé 1,00 m</t>
  </si>
  <si>
    <t>P.V. Alvenaria H até 1,50 m Tubo até 1,00 + chaminé 1,00 m</t>
  </si>
  <si>
    <t>P.V. Alvenaria H até 1,80 m Tubo até 1,20 + chaminé 1,00 m</t>
  </si>
  <si>
    <t>P.V. Pré-moldado H até 0,80 m Tubo até 0,40 + chaminé 1,00 m</t>
  </si>
  <si>
    <t>P.V. Pré-moldado H até 1,00 m Tubo até 0,60 + chaminé 1,00 m</t>
  </si>
  <si>
    <t>P.V. Pré-moldado H até 1,30 m Tubo até 0,80 + chaminé 1,00 m</t>
  </si>
  <si>
    <t>P.V. Pré-moldado H até 1,50 m Tubo até 1,00 + chaminé 1,00 m</t>
  </si>
  <si>
    <t>P.V. Pré-moldado H até 1,80 m Tubo até 1,20 + chaminé 1,00 m</t>
  </si>
  <si>
    <t>P.V. Concreto armado H até 0,80 m Tubo até 0,40 + chaminé 1,00 m</t>
  </si>
  <si>
    <t>P.V. Concreto armado H até 1,00 m Tubo até 0,60 + chaminé 1,00 m</t>
  </si>
  <si>
    <t>P.V. Concreto armado H até 1,30 m Tubo até 0,80 + chaminé 1,00 m</t>
  </si>
  <si>
    <t>P.V. Concreto armado H até 1,50 m Tubo até 1,00 + chaminé 1,00 m</t>
  </si>
  <si>
    <t>P.V. Concreto armado H até 1,80 m Tubo até 1,20 + chaminé 1,00 m</t>
  </si>
  <si>
    <t>P.V. Concreto armado H até 2,00 m Tubo até 1,50 + chaminé 1,00 m</t>
  </si>
  <si>
    <t>P.V. Concreto armado H até 2,50 m Tubo até 2,00 + chaminé 1,00 m</t>
  </si>
  <si>
    <t>Dissipador de Energia c/Pedra de Mão tubo ø 1,00</t>
  </si>
  <si>
    <t>Dissipador de Energia c/Pedra de Mão tubo ø 1,20</t>
  </si>
  <si>
    <t>Dissipador de Energia c/Pedra de Mão tubo ø 1,50</t>
  </si>
  <si>
    <t>transporte</t>
  </si>
  <si>
    <t>534908A</t>
  </si>
  <si>
    <t>534908B</t>
  </si>
  <si>
    <t>534908C</t>
  </si>
  <si>
    <t>534906C</t>
  </si>
  <si>
    <t>x</t>
  </si>
  <si>
    <t>DESCRIÇÃO DOS SERVIÇOS</t>
  </si>
  <si>
    <t>km</t>
  </si>
  <si>
    <t>( ton )</t>
  </si>
  <si>
    <t>UD</t>
  </si>
  <si>
    <t>PLANILHA DE SERVIÇOS   -   PAVIMENTAÇÃO</t>
  </si>
  <si>
    <t>( R$ ) - PM
TOTAIS</t>
  </si>
  <si>
    <t>Município:</t>
  </si>
  <si>
    <t xml:space="preserve">SAM  </t>
  </si>
  <si>
    <t>Projeto :</t>
  </si>
  <si>
    <t xml:space="preserve">LOTE nº </t>
  </si>
  <si>
    <t>LOTE</t>
  </si>
  <si>
    <t>SERVIÇOS EXTRAS - TERRAPLENAGEM</t>
  </si>
  <si>
    <t/>
  </si>
  <si>
    <t>5</t>
  </si>
  <si>
    <t>2</t>
  </si>
  <si>
    <t>Regularização compac.subleito S.A.F. 100% PI</t>
  </si>
  <si>
    <t>Desmatamento e limpeza diam. até 30cm</t>
  </si>
  <si>
    <t>Destocamento árvores diam. &gt; 30cm</t>
  </si>
  <si>
    <t>Remoção de Solos Moles - 2 km</t>
  </si>
  <si>
    <t>Remoção da Camada Superficial</t>
  </si>
  <si>
    <t>Compactação de Aterros - Controle Visual</t>
  </si>
  <si>
    <t>Compactação de Aterros 95% P.N.</t>
  </si>
  <si>
    <t>Compactação de Aterros 100% P.N.</t>
  </si>
  <si>
    <t>Colchão Drenante Areia Fund. Aterros</t>
  </si>
  <si>
    <t>Demolição de Concreto Símples</t>
  </si>
  <si>
    <t>Demolição de Concreto Armado</t>
  </si>
  <si>
    <t>Demolição Manual de Pavimento e Transporte</t>
  </si>
  <si>
    <t>Regularização do Subleito sem Compactação</t>
  </si>
  <si>
    <t>Regularização compac.subleito 100% PN</t>
  </si>
  <si>
    <t>Camada de bloqueio c/ pedra o &lt; 3/4"</t>
  </si>
  <si>
    <t>Regularização e Compactação p/ assentamento de calçadas/lajotas/blocos</t>
  </si>
  <si>
    <t>DER</t>
  </si>
  <si>
    <t>3</t>
  </si>
  <si>
    <t>Solo estabilizado 2ª categoria</t>
  </si>
  <si>
    <t>Revestimento Primário</t>
  </si>
  <si>
    <t>Cascalhamento</t>
  </si>
  <si>
    <t>Solo Arenoso Fino (base) 100% PI</t>
  </si>
  <si>
    <t>Cimento</t>
  </si>
  <si>
    <t>Solo (Solo Cimento )</t>
  </si>
  <si>
    <t>Massa (Solo Cimento )</t>
  </si>
  <si>
    <t>Bica Corrida</t>
  </si>
  <si>
    <t>Brita Graduada</t>
  </si>
  <si>
    <t>Macadame Seco c/ Bica Corrida</t>
  </si>
  <si>
    <t>Rachão</t>
  </si>
  <si>
    <t>Bica corrida</t>
  </si>
  <si>
    <t>Macadame Seco c/ Brita Graduada</t>
  </si>
  <si>
    <t>Macadame Hidráulico</t>
  </si>
  <si>
    <t>Brita graduada tratada c/cimento (Cp=4%) 100% PI</t>
  </si>
  <si>
    <t>Pedra britada (Usina de solos)</t>
  </si>
  <si>
    <t>Massa (Brita Graduada )</t>
  </si>
  <si>
    <t>4</t>
  </si>
  <si>
    <t>SERVIÇOS EXTRAS - REVESTIMENTO</t>
  </si>
  <si>
    <t>6</t>
  </si>
  <si>
    <t>Rachão s/ britagem</t>
  </si>
  <si>
    <t>534906D</t>
  </si>
  <si>
    <t>534906E</t>
  </si>
  <si>
    <t>534906F</t>
  </si>
  <si>
    <t>534908D</t>
  </si>
  <si>
    <t>534908E</t>
  </si>
  <si>
    <t>534908F</t>
  </si>
  <si>
    <t>DER mat</t>
  </si>
  <si>
    <t>SERVIÇOS EXTRAS - MEIO-FIO E SARJETA</t>
  </si>
  <si>
    <t>SERVIÇOS EXTRAS - URBANISMO DO PASSEIO</t>
  </si>
  <si>
    <t>605000B</t>
  </si>
  <si>
    <t>Bica Corrida - Passeio</t>
  </si>
  <si>
    <t>Limpeza e Lavagem da pista ( Recape )</t>
  </si>
  <si>
    <t>Pedra Irregular - sem colchão</t>
  </si>
  <si>
    <t>Cordão Lateral p/ Pedras Irregulares</t>
  </si>
  <si>
    <t>Retirada e Reassentamento de Pedras Irregulares</t>
  </si>
  <si>
    <t>Paralelepípedos Regulares</t>
  </si>
  <si>
    <t>Lajotas de Concreto e=4cm - sem colchão</t>
  </si>
  <si>
    <t>Lajotas de Concreto e=5cm - sem colchão</t>
  </si>
  <si>
    <t>Lajotas de Concreto e=6cm - sem colchão</t>
  </si>
  <si>
    <t>Lajotas de Concreto e=7cm - sem colchão</t>
  </si>
  <si>
    <t>Lajotas de Concreto e=8cm - sem colchão</t>
  </si>
  <si>
    <t>Lajotas de Concreto e=10cm - sem colchão</t>
  </si>
  <si>
    <t>Areia</t>
  </si>
  <si>
    <t>Cal Hidratada CH-1</t>
  </si>
  <si>
    <t>Pó de Pedra</t>
  </si>
  <si>
    <t>Trat.Sup. Símples c/ Emulsão ( Curitiba )</t>
  </si>
  <si>
    <t>Brita</t>
  </si>
  <si>
    <t>TSD com Capa Selante - Tipo I-1</t>
  </si>
  <si>
    <t>TSD com Capa Selante Tipo - I-2</t>
  </si>
  <si>
    <t>TSD com Capa Selante - Tipo I-3</t>
  </si>
  <si>
    <t>Trat.Sup.Tríplo ( TST ) Tipo I-4</t>
  </si>
  <si>
    <t>Trat.Sup.Tríplo ( TST ) Tipo I-5</t>
  </si>
  <si>
    <t>Trat.Sup.Tríplo ( TST ) Tipo I-6</t>
  </si>
  <si>
    <t>Macadame Betuminoso c/ Emulsão RR-2C</t>
  </si>
  <si>
    <t>Macadame Betuminoso c/ CAP</t>
  </si>
  <si>
    <t>Capa Selante</t>
  </si>
  <si>
    <t>Brita ( usina )</t>
  </si>
  <si>
    <t>Massa</t>
  </si>
  <si>
    <t>CBUQ c/ asfalto modificado p/ polímero SBS(60/85)</t>
  </si>
  <si>
    <t>Frezagem Contínua a Frio</t>
  </si>
  <si>
    <t>Frezagem Descontínua a Frio</t>
  </si>
  <si>
    <t>Meio-Fio com Sarjeta DER - Tipo 1 - (0,103 m3) - Moldado "in loco"</t>
  </si>
  <si>
    <t>Meio-Fio com Sarjeta DER - Tipo 1 - (0,103 m3) - Pré-Moldado</t>
  </si>
  <si>
    <t>Meio-Fio com Sarjeta DER - Tipo 2 - (0,042 m3) - Moldado "in loco"</t>
  </si>
  <si>
    <t>Meio-Fio com Sarjeta DER - Tipo 2 - (0,042 m3) - Pré-Moldado</t>
  </si>
  <si>
    <t>Meio-Fio c/Sarjeta (rebaixado) DER-Tipo 7-(0,031 m3) - Moldado "in loco"</t>
  </si>
  <si>
    <t>Meio-Fio com Sarjeta DER - Tipo 7 - (0,031 m3) - Pré-Moldado</t>
  </si>
  <si>
    <t>Meio-Fio Símples DER - Tipo 3 - (0,034 m3) - Moldado "in loco"</t>
  </si>
  <si>
    <t>Meio-Fio com Sarjeta DER - Tipo 3 - (0,034 m3) - Pré-Moldado</t>
  </si>
  <si>
    <t>Meio-Fio Símples DER - Tipo 4 - (0,072 m3) - Moldado "in loco"</t>
  </si>
  <si>
    <t>Meio-Fio com Sarjeta DER - Tipo 4 - (0,072 m3) - Pré-Moldado</t>
  </si>
  <si>
    <t>Demolição de Concreto Símples (calçadas e outros)</t>
  </si>
  <si>
    <t>Lastro de Concreto Simples (calçadas e outros)</t>
  </si>
  <si>
    <t>Apiloamento Manual (calçadas e outros)</t>
  </si>
  <si>
    <t>Aço CA-50 Dobr. e Colocação</t>
  </si>
  <si>
    <t>Aço CA-60 Dobr. e Colocação</t>
  </si>
  <si>
    <t>Calçada Concreto ( e = 5,00 cm )</t>
  </si>
  <si>
    <t>Remoção e recolocação de cercas de arame</t>
  </si>
  <si>
    <t>Construção de Cerca 4 fios c/ mourões de concreto</t>
  </si>
  <si>
    <t>Construção de Cerca 4 fios c/ mourões de madeira</t>
  </si>
  <si>
    <t>Defensa simples semi-maleável c/ espaçador e calço</t>
  </si>
  <si>
    <t>Regularização e Compactação SAF- 100% PI - Passeio com Pavimento</t>
  </si>
  <si>
    <t>Regularização e Compactação 100% PN - Passeio com Pavimento</t>
  </si>
  <si>
    <t>Aterro c/ mat. do canteiro (escav 1ª CAT+transp+compact) - Passeio</t>
  </si>
  <si>
    <t>Aterro c/ mat. de jazida (escav 1ª CAT+transp+compact) - Passeio</t>
  </si>
  <si>
    <t>Solo estabilizado 2ª categoria - Passeio</t>
  </si>
  <si>
    <t>Brita Graduada - Passeio</t>
  </si>
  <si>
    <t>Pedra Irregular - sem colchão - Passeio</t>
  </si>
  <si>
    <t>Cordão Lateral p/ Pedras Irregulares - Passeio</t>
  </si>
  <si>
    <t>Retirada de Pedras Irregulares - Passeio</t>
  </si>
  <si>
    <t>Retirada e Reassentamento de Pedras Irregulares - Passeio</t>
  </si>
  <si>
    <t>Limpeza e pintura de abrigo de ônibus</t>
  </si>
  <si>
    <t>Abrigo em parada de ônibus</t>
  </si>
  <si>
    <t>FAIXA ELEVADA PNE c/ Piso Tátil (NBR 9050) - Modelo 01 - ORÇAR</t>
  </si>
  <si>
    <t>Rampa para PNE com Piso Tátil (NBR 9050) - Modelo 02 - 5,94 m2</t>
  </si>
  <si>
    <t>Rampa para PNE com Piso Tátil (NBR 9050) - Modelo 03 - 5,94 m2</t>
  </si>
  <si>
    <t>Rampa para PNE com Piso Tátil (NBR 9050) - Modelo 04 - 5,94 m2</t>
  </si>
  <si>
    <t>Rampa para PNE com Piso Tátil (NBR 9050) - Modelo 05 - 7,80 m2</t>
  </si>
  <si>
    <t>Rampa para PNE com Piso Tátil (NBR 9050) - Modelo 06 - 7,65 m2</t>
  </si>
  <si>
    <t>Placa sinalização refletiva - SEM SUPORTE</t>
  </si>
  <si>
    <t>Suporte de madeira 3"x3" p/ placa sinalização</t>
  </si>
  <si>
    <t>Suporte metál.galv.fogo d=2,5" c/tampa e aletas anti-giro h=3,00m</t>
  </si>
  <si>
    <t>Placa sinalização refletiva-círculo (0,1964 m2/ud) + suporte MADEIRA</t>
  </si>
  <si>
    <t>Placa sinalização refletiva-triângulo (0,1219 m2/ud) + suporte MADEIRA</t>
  </si>
  <si>
    <t>Placa sinalização refletiva-octógono (0,2160 m2/ud) + suporte MADEIRA</t>
  </si>
  <si>
    <t>Placa sinalização refletiva-losango (0,2025 m2/ud) + suporte MADEIRA</t>
  </si>
  <si>
    <t>Placa sinalização refletiva-círculo (0,1964 m2/ud) + suporte METÁLICO</t>
  </si>
  <si>
    <t>Placa sinalização refletiva-triângulo (0,1219 m2/ud) + suporte METÁLICO</t>
  </si>
  <si>
    <t>Placa sinalização refletiva-octógono (0,2160 m2/ud) + suporte METÁLICO</t>
  </si>
  <si>
    <t>Placa sinalização refletiva-losango (0,2025 m2/ud) + suporte METÁLICO</t>
  </si>
  <si>
    <t>ORÇAR</t>
  </si>
  <si>
    <t>605000A</t>
  </si>
  <si>
    <t>605000C</t>
  </si>
  <si>
    <t>605000D</t>
  </si>
  <si>
    <t>605000E</t>
  </si>
  <si>
    <t>820000A</t>
  </si>
  <si>
    <t>820000B</t>
  </si>
  <si>
    <t>820000C</t>
  </si>
  <si>
    <t>820000D</t>
  </si>
  <si>
    <t>820000E</t>
  </si>
  <si>
    <t>820000F</t>
  </si>
  <si>
    <t>820000G</t>
  </si>
  <si>
    <t>820000H</t>
  </si>
  <si>
    <t>8</t>
  </si>
  <si>
    <t>Escavação Manual de Valas</t>
  </si>
  <si>
    <t>Escavação de Bueiros em 1ª Categoria</t>
  </si>
  <si>
    <t>Escavação de Bueiros em 2ª Categoria</t>
  </si>
  <si>
    <t>Escavação de Bueiros em 3ª Categoria</t>
  </si>
  <si>
    <t>Remoção de bueiro 0,30m</t>
  </si>
  <si>
    <t>Remoção de bueiro 0,40m</t>
  </si>
  <si>
    <t>Remoção de bueiro 0,50m</t>
  </si>
  <si>
    <t>Remoção de bueiro 0,60m</t>
  </si>
  <si>
    <t>Remoção de bueiro 0,80m</t>
  </si>
  <si>
    <t>Remoção de bueiro 1,00m</t>
  </si>
  <si>
    <t>Remoção de bueiro 1,20m</t>
  </si>
  <si>
    <t>Remoção de bueiro 1,50m</t>
  </si>
  <si>
    <t>Gabião</t>
  </si>
  <si>
    <t>Apiloamento Manual</t>
  </si>
  <si>
    <t>Reaterro Sem Apiloamento</t>
  </si>
  <si>
    <t>Alvenaria de Pedra de Mão Argamassada</t>
  </si>
  <si>
    <t>Enrocamento pedra de mão arrumada</t>
  </si>
  <si>
    <t>Enrocamento pedra de mão jogada</t>
  </si>
  <si>
    <t>Lastro de Areia</t>
  </si>
  <si>
    <t>Lastro de Brita</t>
  </si>
  <si>
    <t>Alvenaria de Tijolos Maciços</t>
  </si>
  <si>
    <t>Alvenaria de Tijolos 6 Furos</t>
  </si>
  <si>
    <t>Argamassa Cimento e Areia 1:3</t>
  </si>
  <si>
    <t>Argamassa Cimento e Areia 1:4</t>
  </si>
  <si>
    <t>Dreno profundo em solo - tipo 1</t>
  </si>
  <si>
    <t>Tubo</t>
  </si>
  <si>
    <t>Concreto Magro</t>
  </si>
  <si>
    <t>Concreto Ciclópico 11 Mpa (37% de Pedra de Mão)</t>
  </si>
  <si>
    <t>Brita + Pedra de Mão</t>
  </si>
  <si>
    <t>Concreto Símples Fck = 11 Mpa</t>
  </si>
  <si>
    <t>Concreto Estrutural Fck = 15 Mpa</t>
  </si>
  <si>
    <t>Concreto Fck = 18 Mpa</t>
  </si>
  <si>
    <t>Boca (Ala) de BSTC ø 0,40 m</t>
  </si>
  <si>
    <t>Boca (Ala) de BSTC ø 0,60 m</t>
  </si>
  <si>
    <t>Boca (Ala) de BSTC ø 0,80 m</t>
  </si>
  <si>
    <t>Boca (Ala) de BSTC ø 1,00 m</t>
  </si>
  <si>
    <t>Boca (Ala) de BSTC ø 1,20 m</t>
  </si>
  <si>
    <t>Boca (Ala) de BSTC ø 1,50 m</t>
  </si>
  <si>
    <t>Boca (Ala) de BSTC ø 2,00 m</t>
  </si>
  <si>
    <t>Boca (Ala) de BDTC ø 0,60 m</t>
  </si>
  <si>
    <t>Boca (Ala) de BDTC ø 0,80 m</t>
  </si>
  <si>
    <t>Boca (Ala) de BDTC ø 1,00 m</t>
  </si>
  <si>
    <t>Boca (Ala) de BDTC ø 1,20 m</t>
  </si>
  <si>
    <t>Boca (Ala) de BDTC ø 1,50 m</t>
  </si>
  <si>
    <t>Boca (Ala) de BDTC ø 2,00 m</t>
  </si>
  <si>
    <t>Boca (Ala) de BTTC ø 0,60 m</t>
  </si>
  <si>
    <t>Boca (Ala) de BTTC ø 0,80 m</t>
  </si>
  <si>
    <t>Boca (Ala) de BTTC ø 1,00 m</t>
  </si>
  <si>
    <t>Boca (Ala) de BTTC ø 1,20 m</t>
  </si>
  <si>
    <t>Boca (Ala) de BTTC ø 1,50 m</t>
  </si>
  <si>
    <t>Boca (Ala) de BTTC ø 2,00 m</t>
  </si>
  <si>
    <t>Corpo de BSTC ø 0,40 sem Berço e sem Armação</t>
  </si>
  <si>
    <t>Corpo de BSTC ø 0,60 sem Berço e sem Armação</t>
  </si>
  <si>
    <t>Corpo de BSTC ø 0,80 sem Berço e sem Armação</t>
  </si>
  <si>
    <t>Tijolo</t>
  </si>
  <si>
    <t>Cal</t>
  </si>
  <si>
    <t>B.L. Símples pré-moldado H até 1,20 m</t>
  </si>
  <si>
    <t>B.L. Símples pré-moldado H até 1,50 m</t>
  </si>
  <si>
    <t>B.L. Símples pré-moldado H até 2,00 m</t>
  </si>
  <si>
    <t>B.L. Símples pré-moldado H até 2,50 m</t>
  </si>
  <si>
    <t>B.L. Dupla Pré-moldado H até 1,20 m</t>
  </si>
  <si>
    <t>B.L. Dupla Pré-moldado H até 1,50 m</t>
  </si>
  <si>
    <t>B.L. Dupla Pré-moldado H até 2,00 m</t>
  </si>
  <si>
    <t>B.L. Dupla Pré-moldado H até 2,50 m</t>
  </si>
  <si>
    <t>C.L. pré-moldado Tubo até 0,40</t>
  </si>
  <si>
    <t>C.L. pré-moldado Tubo até 0,60</t>
  </si>
  <si>
    <t>C.L. pré-moldado Tubo até 0,80</t>
  </si>
  <si>
    <t>C.L. pré-moldado Tubo até 1,00</t>
  </si>
  <si>
    <t>C.L. pré-moldado Tubo até 1,20</t>
  </si>
  <si>
    <t>C.L. concreto armado Tubo até 0,40</t>
  </si>
  <si>
    <t>C.L. concreto armado Tubo até 0,60</t>
  </si>
  <si>
    <t>C.L. concreto armado Tubo até 0,80</t>
  </si>
  <si>
    <t>C.L. concreto armado Tubo até 1,00</t>
  </si>
  <si>
    <t>C.L. concreto armado Tubo até 1,20</t>
  </si>
  <si>
    <t>C.L. concreto armado Tubo até 1,50</t>
  </si>
  <si>
    <t>C.L. concreto armado Tubo até 2,00</t>
  </si>
  <si>
    <t>Viga de Apoio em concreto marmado Tubo 0,80</t>
  </si>
  <si>
    <t>Viga de Apoio em concreto marmado Tubo 1,00</t>
  </si>
  <si>
    <t>Viga de Apoio em concreto marmado Tubo 1,20</t>
  </si>
  <si>
    <t>Dissipador de Energia c/Pedra de Mão tubo ø 0, 40</t>
  </si>
  <si>
    <t>Dissipador de Energia c/Pedra de Mão tubo ø 0, 60</t>
  </si>
  <si>
    <t>Dissipador de Energia c/Pedra de Mão tubo ø 0, 80</t>
  </si>
  <si>
    <t>EEEE001</t>
  </si>
  <si>
    <t>EEEE002</t>
  </si>
  <si>
    <t>EEEE003</t>
  </si>
  <si>
    <t>EEEE004</t>
  </si>
  <si>
    <t>EEEE005</t>
  </si>
  <si>
    <t>EEEE006</t>
  </si>
  <si>
    <t>EEEE007</t>
  </si>
  <si>
    <t>EEEE008</t>
  </si>
  <si>
    <t>EEEE009</t>
  </si>
  <si>
    <t>EEEE010</t>
  </si>
  <si>
    <t>ENSAIO DE ORÇAMENTO 1</t>
  </si>
  <si>
    <t>ENSAIO DE ORÇAMENTO 2</t>
  </si>
  <si>
    <t>ENSAIO DE ORÇAMENTO 3</t>
  </si>
  <si>
    <t>ENSAIO DE ORÇAMENTO 4</t>
  </si>
  <si>
    <t>ENSAIO DE ORÇAMENTO 5</t>
  </si>
  <si>
    <t>ENSAIO DE ORÇAMENTO 6</t>
  </si>
  <si>
    <t>ENSAIO DE ORÇAMENTO 7</t>
  </si>
  <si>
    <t>ENSAIO DE ORÇAMENTO 8</t>
  </si>
  <si>
    <t>ENSAIO DE ORÇAMENTO 9</t>
  </si>
  <si>
    <t>ENSAIO DE ORÇAMENTO 10</t>
  </si>
  <si>
    <t>SERVIÇOS EXTRAS - DRENAGEM</t>
  </si>
  <si>
    <t>Código</t>
  </si>
  <si>
    <t>Orígem</t>
  </si>
  <si>
    <t>ITENS</t>
  </si>
  <si>
    <t>7</t>
  </si>
  <si>
    <t>Cartilha</t>
  </si>
  <si>
    <t>Arquivo</t>
  </si>
  <si>
    <t>ANEXO</t>
  </si>
  <si>
    <t>cartilha</t>
  </si>
  <si>
    <t>Anexo</t>
  </si>
  <si>
    <t>PLANILHA DE SERVIÇOS   -   RESUMO</t>
  </si>
  <si>
    <t>Grandes 
Ìtens  (%)</t>
  </si>
  <si>
    <t>Experiência  :</t>
  </si>
  <si>
    <t>Quantidade
(projeto)</t>
  </si>
  <si>
    <t>Unid</t>
  </si>
  <si>
    <t>TERRAPLENAGEM</t>
  </si>
  <si>
    <t>REVESTIMENTO</t>
  </si>
  <si>
    <t>MEIO-FIO E SARJETA</t>
  </si>
  <si>
    <t>DRENAGEM</t>
  </si>
  <si>
    <t>SERVIÇOS PRELIMINARES</t>
  </si>
  <si>
    <t>SERVIÇOS EXTRAS - SERVIÇOS PRELIMINARES</t>
  </si>
  <si>
    <t>BASE / SUB-BASE</t>
  </si>
  <si>
    <t>SERVIÇOS EXTRAS - BASE / SUB-BASE</t>
  </si>
  <si>
    <t>SINALIZAÇÃO DE TRÂNSITO</t>
  </si>
  <si>
    <t>SERVIÇOS EXTRAS - SINALIZAÇÃO DE TRÂNSITO</t>
  </si>
  <si>
    <t>ILUMINAÇÃO PÚBLICA</t>
  </si>
  <si>
    <t>9</t>
  </si>
  <si>
    <t>SERVIÇOS DIVERSOS</t>
  </si>
  <si>
    <t>10</t>
  </si>
  <si>
    <t>Limpeza de bueiro</t>
  </si>
  <si>
    <t>Limpeza e lavagem de sinalização vertical</t>
  </si>
  <si>
    <t>Limpeza e pintura de meio fio</t>
  </si>
  <si>
    <t>Remoção de cercas</t>
  </si>
  <si>
    <t>Escarificação e remoção revestimento primário</t>
  </si>
  <si>
    <t>Escarificação e conformação do subleito</t>
  </si>
  <si>
    <t>Escarificação da base</t>
  </si>
  <si>
    <t>Refôrço do Subleito c/ mat. de 1ª Cat (solos-argila e assemelhados)</t>
  </si>
  <si>
    <t>Refôrço do Subleito c/ mat. de 2ª Cat (saibro-moledo-cascalho)</t>
  </si>
  <si>
    <t>PAI-17</t>
  </si>
  <si>
    <t>Brita 4A</t>
  </si>
  <si>
    <t>PM curitiba</t>
  </si>
  <si>
    <t>Retirada de Pedras Irregulares</t>
  </si>
  <si>
    <t>Fincadinha de concreto - (9x19x39cm-0,0171m3/m)</t>
  </si>
  <si>
    <t>Fincadinha de concreto moldada in loco- (7x20cm-0,014m3/m)</t>
  </si>
  <si>
    <t>Refôrço do Subleito c/ mat. de 2ª Cat (saibro-moledo-cascalho) passeio</t>
  </si>
  <si>
    <t>Brita 4A - passeio</t>
  </si>
  <si>
    <t>Plantio de Grama em placas</t>
  </si>
  <si>
    <t>Plantio de Grama em mudas</t>
  </si>
  <si>
    <t xml:space="preserve">Faixa de Sinalização Horizontal c/tinta resina acrílica base solvente- (0,034 m2/m2) </t>
  </si>
  <si>
    <t>Tacha refletiva bidirecional</t>
  </si>
  <si>
    <t>Tacha refletiva monodirecional</t>
  </si>
  <si>
    <t>Tachão refletivo bidirecional</t>
  </si>
  <si>
    <t>Tachão refletivo monodirecional</t>
  </si>
  <si>
    <t>Demolição de Alvenaria</t>
  </si>
  <si>
    <t>IMPOSTOS</t>
  </si>
  <si>
    <t>TOTAL</t>
  </si>
  <si>
    <t>LUCRO</t>
  </si>
  <si>
    <t>Corpo de BSTC ø 0,20 sem Berço e sem Armação</t>
  </si>
  <si>
    <t>Corpo de BSTC ø 0,30 sem Berço e sem Armação</t>
  </si>
  <si>
    <t>Corpo de BSTC ø 0,50 sem Berço e sem Armação</t>
  </si>
  <si>
    <t>Corpo de BSTC ø 0,70 sem Berço e sem Armação</t>
  </si>
  <si>
    <t>1</t>
  </si>
  <si>
    <t>SERVIÇOS EXTRAS - ILUMINAÇÃO PÚBLICA</t>
  </si>
  <si>
    <t>Local da Obra :</t>
  </si>
  <si>
    <t>TOTAL DO PAVIMENTO (1-2-3-4-5)</t>
  </si>
  <si>
    <t>TOTAL DE ILUMINAÇÃO PÚBLICA (8)</t>
  </si>
  <si>
    <t>TOTAL DE SEVIÇOS DIVERSOS (9)</t>
  </si>
  <si>
    <t>TOTAL DE DRENAGEM (10)</t>
  </si>
  <si>
    <t>TOTAL DE URBANISMO E SINALIZAÇÃO(6-7)</t>
  </si>
  <si>
    <t>Remoção manual de entulho</t>
  </si>
  <si>
    <t>Remoção de Revestimento Primário</t>
  </si>
  <si>
    <t>Demolição Mecânica de Pavimento e Transporte</t>
  </si>
  <si>
    <t>SERVIÇOS EXTRAS - SERVIÇOS DIVERSOS</t>
  </si>
  <si>
    <t>Remanejamento postes linha transmissão</t>
  </si>
  <si>
    <t>11</t>
  </si>
  <si>
    <t xml:space="preserve">Ensaio de Massa Específica - In Situ - Método Frasco de Areia (Grau de Compactação) - Terraplenagem </t>
  </si>
  <si>
    <t xml:space="preserve">Ensaio de Massa Específica - In Situ - Método Frasco de Areia (Grau de Compactação) - Reforço do Subleito </t>
  </si>
  <si>
    <t>Ensaio de Massa Específica - In Situ - Método Frasco de Areia (Grau de Compactação) - Regularização e Compactação do Subleito</t>
  </si>
  <si>
    <t>Ensaio de Granulometria do Agregado</t>
  </si>
  <si>
    <t>74022/27</t>
  </si>
  <si>
    <t>Ensaio de Controle de Taxa de Aplicação de Ligante Betuminoso</t>
  </si>
  <si>
    <t>74022/50</t>
  </si>
  <si>
    <t>Ensaio de Determinação da Taxa de Espalhamento do Agregado</t>
  </si>
  <si>
    <t>Ensaio de Percentagem de Betume - Misturas Betuminosas</t>
  </si>
  <si>
    <t>74022/53</t>
  </si>
  <si>
    <t>Ensaio de Controle do Grau de Compactação da Mistura Asfáltica</t>
  </si>
  <si>
    <t>Ensaio de Densidade do Material Betuminoso</t>
  </si>
  <si>
    <t>SERVIÇOS EXTRAS - ENSAIOS TECNOLÓGICOS</t>
  </si>
  <si>
    <t>gb</t>
  </si>
  <si>
    <t>DAER/RS</t>
  </si>
  <si>
    <t>TOTAL DE ENSAIOS TECNOLÓGICOS (11)</t>
  </si>
  <si>
    <t>Extração de corpo de prova de concreto asfáltico com sonda rotativa</t>
  </si>
  <si>
    <t>Mobilização e desmobilização de equipamento e equipe para extração de corpos de prova da capa asfáltica.</t>
  </si>
  <si>
    <t xml:space="preserve">     </t>
  </si>
  <si>
    <t>%</t>
  </si>
  <si>
    <t>560100A</t>
  </si>
  <si>
    <t>560100B</t>
  </si>
  <si>
    <t>Fincadinha de concreto - (5x22,5x45cm-0,01125m3/m)</t>
  </si>
  <si>
    <t>820000I</t>
  </si>
  <si>
    <t>BDI (%) - SERVIÇOS</t>
  </si>
  <si>
    <t>1 - Solicitar o valor do ISS do município</t>
  </si>
  <si>
    <t>2- Solicitar a "Base de Cálculo" (% de mão de Obra)</t>
  </si>
  <si>
    <t>Calçada Concreto ( e = 6,00 cm )</t>
  </si>
  <si>
    <t>Calçada Concreto ( e = 7,00 cm )</t>
  </si>
  <si>
    <t>Limpeza e desobstrução de bueiros simples</t>
  </si>
  <si>
    <t>Limpeza e desobstrução de bueiros duplos</t>
  </si>
  <si>
    <t>Limpeza e desobstrução de bueiros triplos</t>
  </si>
  <si>
    <t>Boca de saída de dreno ø 0,20</t>
  </si>
  <si>
    <t>Boca (Ala) de BSTC ø 0,30 m</t>
  </si>
  <si>
    <t>Boca (Ala) de BSTC ø 0,50 m</t>
  </si>
  <si>
    <t>Boca (Ala) de BSTC ø 0,70 m</t>
  </si>
  <si>
    <t>ENSAIOS TECNOLÓGICOS</t>
  </si>
  <si>
    <t>Calçada Concreto ( e = 8,00 cm )</t>
  </si>
  <si>
    <t>=ISS x base de cálculo</t>
  </si>
  <si>
    <t>Saibro Compactado CBR&gt;=20 (Base ou Sub-Base)</t>
  </si>
  <si>
    <t>Placa sinalização refletiva-retangular dupla (duas de-0,20x060) em L (0,2400 m2/ud) + suporte METÁLICO</t>
  </si>
  <si>
    <t>Concreto Ciclópico 11 Mpa (30% em volume de Pedra de Mão)</t>
  </si>
  <si>
    <t>tampão
161125</t>
  </si>
  <si>
    <r>
      <t>Digite  "</t>
    </r>
    <r>
      <rPr>
        <b/>
        <sz val="10"/>
        <rFont val="MS Sans Serif"/>
      </rPr>
      <t>X</t>
    </r>
    <r>
      <rPr>
        <sz val="10"/>
        <rFont val="MS Sans Serif"/>
      </rPr>
      <t>" para obter Valor Total sem BDI</t>
    </r>
  </si>
  <si>
    <t>Barreira New Jersey simples de concreto, não armada, executada com</t>
  </si>
  <si>
    <t>Barreira New Jersey dupla de concreto, não armada, executada com</t>
  </si>
  <si>
    <t>Imprimação com Emulsão EAI - exclusive emulsão</t>
  </si>
  <si>
    <t>Imprimação com  CM-30 - exclusive CM-30</t>
  </si>
  <si>
    <t>Pintura de ligação com RR-1C - exclusive emulsão</t>
  </si>
  <si>
    <t>Fornecimento de emulsão RL - lama asfáltica faixa 1</t>
  </si>
  <si>
    <t>Lama Asfáltica ( faixa " 1 " ) - 2 mm - exclusive emulsão (0,0015)</t>
  </si>
  <si>
    <t>taxa RL</t>
  </si>
  <si>
    <t>Fornecimento de emulsão RL - lama asfáltica faixa 2</t>
  </si>
  <si>
    <t>Fornecimento de emulsão RL - lama asfáltica faixa 3</t>
  </si>
  <si>
    <t>Fornecimento de emulsão RL - lama asfáltica faixa 4</t>
  </si>
  <si>
    <t>Lama Asfáltica ( faixa " 4 " ) -12 mm - exclusive emulsão (0,0026)</t>
  </si>
  <si>
    <t>Lama Asfáltica ( faixa " 2 " ) - 4 mm - exclusive emulsão (0,0018)</t>
  </si>
  <si>
    <t>Lama Asfáltica ( faixa " 3" ) - 8 mm - exclusive emulsão (0,0020)</t>
  </si>
  <si>
    <t>Fornecimento de emulsão RR-2C - TSS</t>
  </si>
  <si>
    <t>Fornecimento de emulsão RR-1C - imprimação</t>
  </si>
  <si>
    <t>Fornecimento de emulsão EAI - imprimação</t>
  </si>
  <si>
    <t>Fornecimento de CM-30 - imprimação</t>
  </si>
  <si>
    <t>Fornecimento de emulsão RR-1C - pintura de ligaçãp</t>
  </si>
  <si>
    <t>Fornecimento de emulsão RR-2C - TSD com Capa Selante - Tipo I-1</t>
  </si>
  <si>
    <t>Fornecimento de emulsão RR-2C - Trat.Sup.Tríplo ( TST ) Tipo I-4</t>
  </si>
  <si>
    <t>Fornecimento de emulsão RR-2C - TSD com Capa Selante - Tipo I-3</t>
  </si>
  <si>
    <t>Fornecimento de emulsão RR-2C - Trat.Sup.Tríplo ( TST ) Tipo I-5</t>
  </si>
  <si>
    <t>Fornecimento de emulsão RR-2C - Trat.Sup.Tríplo ( TST ) Tipo I-6</t>
  </si>
  <si>
    <t>Fornecimento de emulsão RR-2C - Macadame Betuminoso</t>
  </si>
  <si>
    <t>Fornecimento de CAP - Macadame Betuminoso</t>
  </si>
  <si>
    <t>Fornecimento de emulsão RR-2C - Capa Selante</t>
  </si>
  <si>
    <t>Fornecimento de CAP - Pré-Misturado a Quente (menor que 10000 ton)</t>
  </si>
  <si>
    <t>Fornecimento de CAP - Pré-Misturado a Quente (maior que 10000 ton)</t>
  </si>
  <si>
    <t>Fornecimento de CAP SBS(60/85) - CBUQ c/ asfalto modificado p/ polímero</t>
  </si>
  <si>
    <t>taxa RR-2C</t>
  </si>
  <si>
    <t>taxa CAP</t>
  </si>
  <si>
    <t>taxa RM-2C</t>
  </si>
  <si>
    <t>taxa CAP 
SBS(60/85)</t>
  </si>
  <si>
    <t>taxa CAP 
borracha</t>
  </si>
  <si>
    <t xml:space="preserve">ton </t>
  </si>
  <si>
    <t>taxa RR-1C</t>
  </si>
  <si>
    <t>SERVIÇOS DE URBANIZAÇÃO</t>
  </si>
  <si>
    <t>Critério Econômico de Elegibilidade</t>
  </si>
  <si>
    <t>PAVIMENTAÇÃO</t>
  </si>
  <si>
    <t>PROGRAMA PARANÁ URBANO 3</t>
  </si>
  <si>
    <t>INDICADOR FÍSICO (TAXA DE OCUPAÇÃO)</t>
  </si>
  <si>
    <t>Nº de lotes totais:</t>
  </si>
  <si>
    <t xml:space="preserve">&gt;= </t>
  </si>
  <si>
    <t>Nº de lotes ocupados:</t>
  </si>
  <si>
    <t xml:space="preserve">Nº de lotes ocupados  </t>
  </si>
  <si>
    <r>
      <rPr>
        <b/>
        <u/>
        <sz val="14"/>
        <rFont val="Arial"/>
        <family val="2"/>
      </rPr>
      <t>Nº de lotes ocupados</t>
    </r>
    <r>
      <rPr>
        <b/>
        <sz val="14"/>
        <rFont val="Arial"/>
        <family val="2"/>
      </rPr>
      <t xml:space="preserve">  =</t>
    </r>
  </si>
  <si>
    <t>Nº de lotes totais</t>
  </si>
  <si>
    <t>VIABILIDADE DO PROJETO</t>
  </si>
  <si>
    <t>INDICADOR ECONÔMICO ( VALOR DO INVESTIMENTO / Nº DE LOTES TOTAIS)</t>
  </si>
  <si>
    <t>Valor do Investimento</t>
  </si>
  <si>
    <t xml:space="preserve">&lt;= </t>
  </si>
  <si>
    <t>Valor do Investimento  =</t>
  </si>
  <si>
    <t>PRAÇA</t>
  </si>
  <si>
    <t>INDICADOR ECONÔMICO ( VALOR DO INVESTIMENTO / ÁREA URBANIZADA)</t>
  </si>
  <si>
    <t>Valor do Investimento - ( R$ )</t>
  </si>
  <si>
    <t>Área Urbanizada - ( m2 )</t>
  </si>
  <si>
    <t xml:space="preserve">Valor do Investimento  </t>
  </si>
  <si>
    <t>SINAPI</t>
  </si>
  <si>
    <t>CBUQ - REMENDO (MANUAL)</t>
  </si>
  <si>
    <t>CBUQ - REMENDO (NECÂNICO)</t>
  </si>
  <si>
    <t>534000A</t>
  </si>
  <si>
    <t>534000B</t>
  </si>
  <si>
    <t xml:space="preserve">1 - </t>
  </si>
  <si>
    <t>PAVIMENTAÇÃO (IMPLANTAÇÃO - RESTAURAÇÃO DE PAVIMENTO - IMPLASNTAÇÃO + RECAPE)</t>
  </si>
  <si>
    <r>
      <t xml:space="preserve">PRAZOS E ÁREAS MÁXIMAS DE </t>
    </r>
    <r>
      <rPr>
        <b/>
        <sz val="16"/>
        <color theme="1"/>
        <rFont val="Calibri"/>
        <family val="2"/>
        <scheme val="minor"/>
      </rPr>
      <t>PAVIMENTAÇÃO</t>
    </r>
    <r>
      <rPr>
        <b/>
        <sz val="11"/>
        <color theme="1"/>
        <rFont val="Calibri"/>
        <family val="2"/>
        <scheme val="minor"/>
      </rPr>
      <t xml:space="preserve"> PARA O CRONOGRMA</t>
    </r>
  </si>
  <si>
    <t>Prazo do</t>
  </si>
  <si>
    <t>Áreas Máximas</t>
  </si>
  <si>
    <t>Cronograma  (N)</t>
  </si>
  <si>
    <t>de</t>
  </si>
  <si>
    <t>até</t>
  </si>
  <si>
    <t>-</t>
  </si>
  <si>
    <t>4.000  m2</t>
  </si>
  <si>
    <t>8.000  m2</t>
  </si>
  <si>
    <t>Obs.</t>
  </si>
  <si>
    <t>Para áreas maiores que 30.000 m2  :    Dividir em "Lotes"</t>
  </si>
  <si>
    <t>6 meses</t>
  </si>
  <si>
    <t>13.000  m2</t>
  </si>
  <si>
    <t>7 meses</t>
  </si>
  <si>
    <t>18.000  m2</t>
  </si>
  <si>
    <t>8 meses</t>
  </si>
  <si>
    <t>24.000  m2</t>
  </si>
  <si>
    <t>9 meses</t>
  </si>
  <si>
    <t>30.000  m2</t>
  </si>
  <si>
    <t>RECAPE ASFÁLTICO</t>
  </si>
  <si>
    <t>PRAZOS E ÁREAS MÁXIMAS DE RECAPE PARA O CRONOGRMA</t>
  </si>
  <si>
    <t>15.000  m2</t>
  </si>
  <si>
    <t>Para áreas maiores que 60.000 m2  :    Dividir em "Lotes"</t>
  </si>
  <si>
    <t>20.000  m2</t>
  </si>
  <si>
    <t>40.000  m2</t>
  </si>
  <si>
    <t>50.000  m2</t>
  </si>
  <si>
    <t>60.000  m2</t>
  </si>
  <si>
    <t>Edital no Município</t>
  </si>
  <si>
    <t>Procedimento prévio</t>
  </si>
  <si>
    <t>Início previsto da Obra</t>
  </si>
  <si>
    <t>Convênio</t>
  </si>
  <si>
    <t>Repasse do Concedente</t>
  </si>
  <si>
    <t>Data</t>
  </si>
  <si>
    <t>Dias</t>
  </si>
  <si>
    <t>nº</t>
  </si>
  <si>
    <t>Contrapartida do Proponente</t>
  </si>
  <si>
    <t>Quantidade:</t>
  </si>
  <si>
    <t>CRONOGRAMA FÍSICO FINANCEIRO</t>
  </si>
  <si>
    <t>Valor Total</t>
  </si>
  <si>
    <t>GRUPO</t>
  </si>
  <si>
    <t>SERVIÇOS</t>
  </si>
  <si>
    <t>PARCELAS (%)</t>
  </si>
  <si>
    <t>% S/</t>
  </si>
  <si>
    <t>Controle</t>
  </si>
  <si>
    <t>ITEM</t>
  </si>
  <si>
    <t>ITEM (R$)</t>
  </si>
  <si>
    <t>Data Início</t>
  </si>
  <si>
    <t>Data Fim</t>
  </si>
  <si>
    <t>TOTAIS</t>
  </si>
  <si>
    <t>COMPOSIÇÃO DOS RECURSOS (TESOURO E CONTRAPARTIDA)</t>
  </si>
  <si>
    <t>PARCELAS</t>
  </si>
  <si>
    <t>Nº DE</t>
  </si>
  <si>
    <t>MESES</t>
  </si>
  <si>
    <t>1T</t>
  </si>
  <si>
    <t>TESOURO</t>
  </si>
  <si>
    <t>R$</t>
  </si>
  <si>
    <t>1C</t>
  </si>
  <si>
    <t>CONTRAPARTIDA</t>
  </si>
  <si>
    <t>2T</t>
  </si>
  <si>
    <t>2C</t>
  </si>
  <si>
    <t>3T</t>
  </si>
  <si>
    <t>3C</t>
  </si>
  <si>
    <t>4T</t>
  </si>
  <si>
    <t>4C</t>
  </si>
  <si>
    <t>5T</t>
  </si>
  <si>
    <t>5C</t>
  </si>
  <si>
    <t>6T</t>
  </si>
  <si>
    <t>6C</t>
  </si>
  <si>
    <t>7T</t>
  </si>
  <si>
    <t>7C</t>
  </si>
  <si>
    <t>8T</t>
  </si>
  <si>
    <t>8C</t>
  </si>
  <si>
    <t>9T</t>
  </si>
  <si>
    <t>9C</t>
  </si>
  <si>
    <t>10T</t>
  </si>
  <si>
    <t>10C</t>
  </si>
  <si>
    <t>11T</t>
  </si>
  <si>
    <t>11C</t>
  </si>
  <si>
    <t>T</t>
  </si>
  <si>
    <t>C</t>
  </si>
  <si>
    <t>FATURAMENTO MENSAL PREVISTO</t>
  </si>
  <si>
    <t>MENSAL PARCIAL PREVISTO EM %</t>
  </si>
  <si>
    <t>MENSAL ACUMULADO PREVISTO EM %</t>
  </si>
  <si>
    <t>Resp. Técnico:</t>
  </si>
  <si>
    <t>Assinatura:</t>
  </si>
  <si>
    <t>Prefeito:</t>
  </si>
  <si>
    <t>data:</t>
  </si>
  <si>
    <t>Fornecimento de Emulsão RM-2C - Pré-Misturado a Frio (aberto) - DER</t>
  </si>
  <si>
    <t>Fornecimento de Emulsão RM-2C - Pré-Misturado a Frio (Semi-Denso) - DER</t>
  </si>
  <si>
    <t>560100C</t>
  </si>
  <si>
    <t>560400A</t>
  </si>
  <si>
    <t>561100A</t>
  </si>
  <si>
    <t>Fornecimento de emulsão RR-1C - pintura de ligação</t>
  </si>
  <si>
    <t>589420A</t>
  </si>
  <si>
    <t>589420B</t>
  </si>
  <si>
    <t>589420C</t>
  </si>
  <si>
    <t>589000A</t>
  </si>
  <si>
    <t>589000B</t>
  </si>
  <si>
    <t>589000C</t>
  </si>
  <si>
    <t>589000D</t>
  </si>
  <si>
    <t>589000E</t>
  </si>
  <si>
    <t>589000F</t>
  </si>
  <si>
    <t>589000G</t>
  </si>
  <si>
    <t>589000H</t>
  </si>
  <si>
    <t>589000J</t>
  </si>
  <si>
    <t>589000K</t>
  </si>
  <si>
    <t>589000I</t>
  </si>
  <si>
    <t>589320A</t>
  </si>
  <si>
    <t>589320B</t>
  </si>
  <si>
    <t>589320C</t>
  </si>
  <si>
    <t>589320D</t>
  </si>
  <si>
    <t>589320E</t>
  </si>
  <si>
    <t>589100A</t>
  </si>
  <si>
    <t>589000N</t>
  </si>
  <si>
    <t>589000O</t>
  </si>
  <si>
    <t>TRAÇOS DE CBUQ</t>
  </si>
  <si>
    <t>Nome da Usina / Pedreira</t>
  </si>
  <si>
    <t>Local da Pedreira</t>
  </si>
  <si>
    <t>Local da Usina</t>
  </si>
  <si>
    <t>Composição dos agregados (SEM LIGANTE)</t>
  </si>
  <si>
    <t>MATERIAL</t>
  </si>
  <si>
    <t>Utilização</t>
  </si>
  <si>
    <t>Brita "a"</t>
  </si>
  <si>
    <t>Brita "b"</t>
  </si>
  <si>
    <t>Brita "c"</t>
  </si>
  <si>
    <t>brita 3/4</t>
  </si>
  <si>
    <t>Pedrisco</t>
  </si>
  <si>
    <t>Pó de pedra</t>
  </si>
  <si>
    <t>Cal Hidratada CH-1 ou Filler</t>
  </si>
  <si>
    <t>Total agregados</t>
  </si>
  <si>
    <t>conferência</t>
  </si>
  <si>
    <t>DADOS DO PROJETO MARSHAL</t>
  </si>
  <si>
    <t>FAIXA</t>
  </si>
  <si>
    <t xml:space="preserve">DENSIDADE APARENTE DA MASSA </t>
  </si>
  <si>
    <t>TEÔR ÓTIMO DE LIGANTE</t>
  </si>
  <si>
    <t>% DE CADA AGREGADO</t>
  </si>
  <si>
    <t>COMPOSIÇÃO</t>
  </si>
  <si>
    <t>CÁLCULO DO DA COMPOSIÇÃO</t>
  </si>
  <si>
    <t>Agregados sem Betume</t>
  </si>
  <si>
    <t>Sem Betume</t>
  </si>
  <si>
    <t>CÁLCULO DO DO TRAÇO</t>
  </si>
  <si>
    <t>Observação :</t>
  </si>
  <si>
    <t xml:space="preserve">O perceentual de Agregados na Massa é: </t>
  </si>
  <si>
    <t>100,00% menos o percentual de betume</t>
  </si>
  <si>
    <t>Percentual de Agregados na Massa</t>
  </si>
  <si>
    <t>Teôr Ótimo de Betume</t>
  </si>
  <si>
    <t>Total da Massa</t>
  </si>
  <si>
    <t>ADMINISTRAÇÃO CENTRAL</t>
  </si>
  <si>
    <t>RISCOS</t>
  </si>
  <si>
    <t>SEGUROS E GRANTIAS</t>
  </si>
  <si>
    <t>DESPESAS FINANCEIRAS</t>
  </si>
  <si>
    <t>DIGITE</t>
  </si>
  <si>
    <t>3- Fórmula de cálculo do ISS</t>
  </si>
  <si>
    <t>Agregados COM Betume</t>
  </si>
  <si>
    <t>Agregados SEM Betume</t>
  </si>
  <si>
    <t>TRAÇO 4</t>
  </si>
  <si>
    <t>DIGITAR SÓ  NAS CÉLULAS COLORIDAS</t>
  </si>
  <si>
    <t>CBUQ "PMQ" (Quant menor que 10.000 ton)</t>
  </si>
  <si>
    <t>CBUQ "PMQ" (Quant maior que 10.000 ton)</t>
  </si>
  <si>
    <t>ISS =</t>
  </si>
  <si>
    <t>PIS =</t>
  </si>
  <si>
    <t>COFINS =</t>
  </si>
  <si>
    <t>CPMF =</t>
  </si>
  <si>
    <t>TOTAL =</t>
  </si>
  <si>
    <t>TIPO DE SERVIÇO</t>
  </si>
  <si>
    <t>OBRAS</t>
  </si>
  <si>
    <t>MATERIAIS</t>
  </si>
  <si>
    <t>BDI (OBRA OU MATERIAIS/EQUIP.)</t>
  </si>
  <si>
    <t>BDI=(((((1+(C8+C9+C10)/100)*(1+C11/100)*(1+C12/100))/(1-C6/100))-1)*100)</t>
  </si>
  <si>
    <t>BDI (OBRA)</t>
  </si>
  <si>
    <t>BDI (MATERIAIS E EQUIPAMENTOS)</t>
  </si>
  <si>
    <t>VALORES DO BDI POR TIPO DE OBRA</t>
  </si>
  <si>
    <t>TIPOS DE OBRA</t>
  </si>
  <si>
    <t>1º Quartil</t>
  </si>
  <si>
    <t>Médio</t>
  </si>
  <si>
    <t>3º Quartil</t>
  </si>
  <si>
    <t>CONSTRUÇÃO DE EDIFÍCIOS</t>
  </si>
  <si>
    <t>CONSTRUÇÃO DE RODOVIAS E FERROVIAS</t>
  </si>
  <si>
    <t>CONSTRUÇÃO DE REDES DE ABASTECIMENTO DE ÁGUA, COLETA DE ESGOTO E CONSTRUÇÕES CORRELATAS</t>
  </si>
  <si>
    <t>CONSTRUÇÃO E MANUTENÇÃO DE ESTAÇÕES E REDES DE DISTRIBUIÇÃO DE ENERGIA ELÉTRICA</t>
  </si>
  <si>
    <t>OBRAS PORTUÁRIAS, MARÍTIMAS E FLUVIAIS</t>
  </si>
  <si>
    <t>BDI PARA ITENS DE MERO FORNECIMENTO DE
MATERIAIS E EQUIPAMENTOS</t>
  </si>
  <si>
    <t>RISCO</t>
  </si>
  <si>
    <t>SEGURO + GARANTIA</t>
  </si>
  <si>
    <t>DESPESA FINANCEIRA</t>
  </si>
  <si>
    <t>BDI PARA ITENS DE MERO FORNECIMENTO DE MATERIAIS E EQUIPAMENTOS</t>
  </si>
  <si>
    <t>PARCELA DO BDI</t>
  </si>
  <si>
    <t>PERCENTUAL DE ADMINISTRAÇÃO LOCAL INSERIDO NO CUSTO DIRETO*</t>
  </si>
  <si>
    <t>*Para verificação da adequabilidade das planilhas orçamentárias das obras públicas utilizar como referência do impacto esperado para os itens associados a administração local no valor total do orçamento, os seguintes valores percentuais abtidos no estudo de que tratam estes autos.</t>
  </si>
  <si>
    <t>Ensaio de tracao por compressao diametral - misturas betuminosas</t>
  </si>
  <si>
    <t>Paver ou Bloket  e=6cm - sem colchão</t>
  </si>
  <si>
    <t>Paver ou Bloket  Colorido e=6cm - sem colchão</t>
  </si>
  <si>
    <t>Paver ou Bloket  e=8cm - sem colchão</t>
  </si>
  <si>
    <t>Paver ou Bloket  Colorido e=8cm - sem colchão</t>
  </si>
  <si>
    <t>Paver ou Bloket e=10cm - sem colchão</t>
  </si>
  <si>
    <t>Paver ou Bloket  Colorido e=10cm - sem colchão</t>
  </si>
  <si>
    <t>Demolição de Concreto Armado (calçadas e outros)</t>
  </si>
  <si>
    <t>Concreto Símples Fck = 9 Mpa</t>
  </si>
  <si>
    <t>Concreto Fck = 20 Mpa</t>
  </si>
  <si>
    <t>Concreto Fck = 22 Mpa</t>
  </si>
  <si>
    <t>Concreto Fck = 24 Mpa</t>
  </si>
  <si>
    <t>Concreto Fck = 25 Mpa</t>
  </si>
  <si>
    <t>Concreto Fck = 30 Mpa</t>
  </si>
  <si>
    <t>Concreto Fck = 32 Mpa</t>
  </si>
  <si>
    <t>Gabião tipo caixa 2x1x0,50m ZN/AL + PVC  (NBR 8964)</t>
  </si>
  <si>
    <t>Pedra de mão</t>
  </si>
  <si>
    <t>Gabião tipo caixa 2x1x0,50m ZN/AL (NBR 8964)</t>
  </si>
  <si>
    <t>Gabião tipo caixa 2x1x1,00m ZN/AL + PVC (NBR 8964)</t>
  </si>
  <si>
    <t>Gabião tipo caixa 2x1x1,00m ZN/AL (NBR 8964)</t>
  </si>
  <si>
    <t>Gabião tipo colchão ZN/AL + PVC e=0,17m (NBR 8964)</t>
  </si>
  <si>
    <t>Gabião tipo colchão ZN/AL + PVC e=0,23m (NBR 8964)</t>
  </si>
  <si>
    <t>Gabião tipo colchão ZN/AL + PVC e=0,30m (NBR 8964)</t>
  </si>
  <si>
    <t>l.</t>
  </si>
  <si>
    <t>U</t>
  </si>
  <si>
    <t>V</t>
  </si>
  <si>
    <t>W</t>
  </si>
  <si>
    <t>X</t>
  </si>
  <si>
    <t>PAV-003</t>
  </si>
  <si>
    <t>PAV-005</t>
  </si>
  <si>
    <t>PAV-085</t>
  </si>
  <si>
    <t>PAV-071</t>
  </si>
  <si>
    <t>PAV-077</t>
  </si>
  <si>
    <t>Arrancamento e reassentamento de Meio-Fio de Concreto com sarjeta</t>
  </si>
  <si>
    <t>Arrancamento de Meio-Fio</t>
  </si>
  <si>
    <t>Plantio de Árvore com altura até 2m</t>
  </si>
  <si>
    <t>Plantio de Árvore com altura de 2m a 4m</t>
  </si>
  <si>
    <t>Plantio de palmeira com altura até 2,00 m</t>
  </si>
  <si>
    <t>Plantio de forração</t>
  </si>
  <si>
    <t>TRANSFORMADOR DE DISTRIBUIÇÃO, 30 KVA, TRIFÁSICO, 60 HZ, CLASSE 15 KV, IMERSO EM ÓLEO MINERAL, INSTALAÇÃO EM POSTE (NÃO INCLUSO SUPORTE) - FORNECIMENTO E INSTALAÇÃO. AF_12/2020</t>
  </si>
  <si>
    <t>TRANSFORMADOR DE DISTRIBUIÇÃO, 45 KVA, TRIFÁSICO, 60 HZ, CLASSE 15 KV, IMERSO EM ÓLEO MINERAL, INSTALAÇÃO EM POSTE (NÃO INCLUSO SUPORTE) - FORNECIMENTO E INSTALAÇÃO. AF_12/2020</t>
  </si>
  <si>
    <t>TRANSFORMADOR DE DISTRIBUIÇÃO, 75 KVA, TRIFÁSICO, 60 HZ, CLASSE 15 KV, IMERSO EM ÓLEO MINERAL, INSTALAÇÃO EM POSTE (NÃO INCLUSO SUPORTE) - FORNECIMENTO E INSTALAÇÃO. AF_12/2020</t>
  </si>
  <si>
    <t>TRANSFORMADOR DE DISTRIBUIÇÃO, 112,5 KVA, TRIFÁSICO, 60 HZ, CLASSE 15 KV, IMERSO EM ÓLEO MINERAL, INSTALAÇÃO EM POSTE (NÃO INCLUSO SUPORTE) - FORNECIMENTO E INSTALAÇÃO. AF_12/2020</t>
  </si>
  <si>
    <t>TRANSFORMADOR DE DISTRIBUIÇÃO, 150 KVA, TRIFÁSICO, 60 HZ, CLASSE 15 KV, IMERSO EM ÓLEO MINERAL, INSTALAÇÃO EM POSTE (NÃO INCLUSO SUPORTE) - FORNECIMENTO E INSTALAÇÃO. AF_12/2020</t>
  </si>
  <si>
    <t>TRANSFORMADOR DE DISTRIBUIÇÃO, 225 KVA, TRIFÁSICO, 60 HZ, CLASSE 15 KV, IMERSO EM ÓLEO MINERAL, INSTALAÇÃO EM POSTE (NÃO INCLUSO SUPORTE) - FORNECIMENTO E INSTALAÇÃO. AF_12/2020</t>
  </si>
  <si>
    <t>TRANSFORMADOR DE DISTRIBUIÇÃO, 300 KVA, TRIFÁSICO, 60 HZ, CLASSE 15 KV, IMERSO EM ÓLEO MINERAL, INSTALAÇÃO EM POSTE (NÃO INCLUSO SUPORTE) - FORNECIMENTO E INSTALAÇÃO. AF_12/2020</t>
  </si>
  <si>
    <t>SUPORTE PARA TRANSFORMADOR EM POSTE DE CONCRETO CIRCULAR - FORNECIMENTO E INSTALAÇÃO. AF_12/2020</t>
  </si>
  <si>
    <t>SUPORTE PARA TRANSFORMADOR EM POSTE DE CONCRETO DUPLO T - FORNECIMENTO E INSTALAÇÃO. AF_12/2020</t>
  </si>
  <si>
    <t>POSTE DECORATIVO PARA JARDIM EM AÇO TUBULAR, H = *2,5* M, SEM LUMINÁRIA - FORNECIMENTO E INSTALAÇÃO. AF_11/2019</t>
  </si>
  <si>
    <t>POSTE DE AÇO CONICO CONTÍNUO CURVO SIMPLES, FLANGEADO, H=9M, INCLUSIVE LUMINÁRIA, SEM LÂMPADA - FORNECIMENTO E INSTALACAO. AF_11/2019</t>
  </si>
  <si>
    <t>POSTE DE AÇO CONICO CONTÍNUO CURVO DUPLO, FLANGEADO, H=9M, INCLUSIVE LUMINÁRIAS, SEM LÂMPADAS - FORNECIMENTO E INSTALACAO. AF_11/2019</t>
  </si>
  <si>
    <t>POSTE DE AÇO CONICO CONTÍNUO CURVO SIMPLES, ENGASTADO, H=9M, INCLUSIVE LUMINÁRIA, SEM LÂMPADA - FORNECIMENTO E INSTALACAO. AF_11/2019</t>
  </si>
  <si>
    <t>POSTE DE AÇO CONICO CONTÍNUO CURVO DUPLO, ENGASTADO, H=9M, INCLUSIVE LUMINÁRIAS, SEM LÂMPADAS - FORNECIMENTO E INSTALACAO. AF_11/2019</t>
  </si>
  <si>
    <t>ASSENTAMENTO DE POSTE DE CONCRETO COM COMPRIMENTO NOMINAL DE 9 M, CARGA NOMINAL MENOR OU IGUAL A 1000 DAN, ENGASTAMENTO SIMPLES COM 1,5 M DE SOLO (NÃO INCLUI FORNECIMENTO). AF_11/2019</t>
  </si>
  <si>
    <t>ASSENTAMENTO DE POSTE DE CONCRETO COM COMPRIMENTO NOMINAL DE 10 M, CARGA NOMINAL MENOR OU IGUAL A 1000 DAN, ENGASTAMENTO SIMPLES COM 1,6 M DE SOLO (NÃO INCLUI FORNECIMENTO). AF_11/2019</t>
  </si>
  <si>
    <t>ASSENTAMENTO DE POSTE DE CONCRETO COM COMPRIMENTO NOMINAL DE 10 M, CARGA NOMINAL MAIOR QUE 1000 DAN, ENGASTAMENTO SIMPLES COM 1,6 M DE SOLO (NÃO INCLUI FORNECIMENTO). AF_11/2019</t>
  </si>
  <si>
    <t>ASSENTAMENTO DE POSTE DE CONCRETO COM COMPRIMENTO NOMINAL DE 10,5 M, CARGA NOMINAL MENOR OU IGUAL A 1000 DAN, ENGASTAMENTO SIMPLES COM 1,65 M DE SOLO (NÃO INCLUI FORNECIMENTO). AF_11/2019</t>
  </si>
  <si>
    <t>ASSENTAMENTO DE POSTE DE CONCRETO COM COMPRIMENTO NOMINAL DE 10,5 M, CARGA NOMINAL MAIOR QUE 1000 DAN, ENGASTAMENTO SIMPLES COM 1,65 M DE SOLO (NÃO INCLUI FORNECIMENTO). AF_11/2019</t>
  </si>
  <si>
    <t>ASSENTAMENTO DE POSTE DE CONCRETO COM COMPRIMENTO NOMINAL DE 11 M, CARGA NOMINAL MENOR OU IGUAL A 1000 DAN, ENGASTAMENTO SIMPLES COM 1,7 M DE SOLO (NÃO INCLUI FORNECIMENTO). AF_11/2019</t>
  </si>
  <si>
    <t>ASSENTAMENTO DE POSTE DE CONCRETO COM COMPRIMENTO NOMINAL DE 11 M, CARGA NOMINAL MAIOR QUE 1000 DAN, ENGASTAMENTO SIMPLES COM 1,7 M DE SOLO (NÃO INCLUI FORNECIMENTO). AF_11/2019</t>
  </si>
  <si>
    <t>ASSENTAMENTO DE POSTE DE CONCRETO COM COMPRIMENTO NOMINAL DE 12 M, CARGA NOMINAL MENOR OU IGUAL A 1000 DAN, ENGASTAMENTO SIMPLES COM 1,8 M DE SOLO (NÃO INCLUI FORNECIMENTO). AF_11/2019</t>
  </si>
  <si>
    <t>ASSENTAMENTO DE POSTE DE CONCRETO COM COMPRIMENTO NOMINAL DE 12 M, CARGA NOMINAL MAIOR QUE 1000 DAN, ENGASTAMENTO SIMPLES COM 1,8 M DE SOLO (NÃO INCLUI FORNECIMENTO). AF_11/2019</t>
  </si>
  <si>
    <t>ASSENTAMENTO DE POSTE DE CONCRETO COM COMPRIMENTO NOMINAL DE 13 M, CARGA NOMINAL MENOR OU IGUAL A 1000 DAN, ENGASTAMENTO SIMPLES COM 1,9 M DE SOLO (NÃO INCLUI FORNECIMENTO). AF_11/2019</t>
  </si>
  <si>
    <t>ASSENTAMENTO DE POSTE DE CONCRETO COM COMPRIMENTO NOMINAL DE 13 M, CARGA NOMINAL MAIOR QUE 1000 DAN, ENGASTAMENTO SIMPLES COM 1,9 M DE SOLO (NÃO INCLUI FORNECIMENTO). AF_11/2019</t>
  </si>
  <si>
    <t>ASSENTAMENTO DE POSTE DE CONCRETO COM COMPRIMENTO NOMINAL DE 13,5 M, CARGA NOMINAL MENOR OU IGUAL A 1000 DAN, ENGASTAMENTO SIMPLES COM 1,95 M DE SOLO (NÃO INCLUI FORNECIMENTO). AF_11/2019</t>
  </si>
  <si>
    <t>ASSENTAMENTO DE POSTE DE CONCRETO COM COMPRIMENTO NOMINAL DE 13,5 M, CARGA NOMINAL MAIOR QUE 1000 DAN, ENGASTAMENTO SIMPLES COM 1,95 M DE SOLO (NÃO INCLUI FORNECIMENTO). AF_11/2019</t>
  </si>
  <si>
    <t>ASSENTAMENTO DE POSTE DE CONCRETO COM COMPRIMENTO NOMINAL DE 14 M, CARGA NOMINAL MENOR OU IGUAL A 1000 DAN, ENGASTAMENTO SIMPLES COM 2 M DE SOLO (NÃO INCLUI FORNECIMENTO). AF_11/2019</t>
  </si>
  <si>
    <t>ASSENTAMENTO DE POSTE DE CONCRETO COM COMPRIMENTO NOMINAL DE 14 M, CARGA NOMINAL MAIOR QUE 1000 DAN, ENGASTAMENTO SIMPLES COM 2 M DE SOLO (NÃO INCLUI FORNECIMENTO). AF_11/2019</t>
  </si>
  <si>
    <t>ASSENTAMENTO DE POSTE DE CONCRETO COM COMPRIMENTO NOMINAL DE 15 M, CARGA NOMINAL MENOR OU IGUAL A 1000 DAN, ENGASTAMENTO SIMPLES COM 2,1 M DE SOLO (NÃO INCLUI FORNECIMENTO). AF_11/2019</t>
  </si>
  <si>
    <t>ASSENTAMENTO DE POSTE DE CONCRETO COM COMPRIMENTO NOMINAL DE 15 M, CARGA NOMINAL MAIOR QUE 1000 DAN, ENGASTAMENTO SIMPLES COM 2,1 M DE SOLO (NÃO INCLUI FORNECIMENTO). AF_11/2019</t>
  </si>
  <si>
    <t>ASSENTAMENTO DE POSTE DE CONCRETO COM COMPRIMENTO NOMINAL DE 18 M, CARGA NOMINAL MENOR OU IGUAL A 1000 DAN, ENGASTAMENTO SIMPLES COM 2,4 M DE SOLO (NÃO INCLUI FORNECIMENTO). AF_11/2019</t>
  </si>
  <si>
    <t>ASSENTAMENTO DE POSTE DE CONCRETO COM COMPRIMENTO NOMINAL DE 18 M, CARGA NOMINAL MAIOR QUE 1000 DAN, ENGASTAMENTO SIMPLES COM 2,4 M DE SOLO (NÃO INCLUI FORNECIMENTO). AF_11/2019</t>
  </si>
  <si>
    <t>ASSENTAMENTO DE POSTE DE CONCRETO COM COMPRIMENTO NOMINAL DE 20 M, CARGA NOMINAL MENOR OU IGUAL A 1000 DAN, ENGASTAMENTO SIMPLES COM 2,6 M DE SOLO (NÃO INCLUI FORNECIMENTO). AF_11/2019</t>
  </si>
  <si>
    <t>ASSENTAMENTO DE POSTE DE CONCRETO COM COMPRIMENTO NOMINAL DE 20 M, CARGA NOMINAL MAIOR QUE 1000, ENGASTAMENTO SIMPLES COM 2,6 M DE SOLO (NÃO INCLUI FORNECIMENTO). AF_11/2019</t>
  </si>
  <si>
    <t>ASSENTAMENTO DE POSTE DE CONCRETO COM COMPRIMENTO NOMINAL DE 9 M, CARGA NOMINAL DE 150 DAN, ENGASTAMENTO BASE CONCRETADA COM 1 M DE CONCRETO E 0,5 M DE SOLO (NÃO INCLUI FORNECIMENTO). AF_11/2019</t>
  </si>
  <si>
    <t>ASSENTAMENTO DE POSTE DE CONCRETO COM COMPRIMENTO NOMINAL DE 9 M, CARGA NOMINAL DE 300 DAN, ENGASTAMENTO BASE CONCRETADA COM 1 M DE CONCRETO E 0,5 M DE SOLO (NÃO INCLUI FORNECIMENTO). AF_11/2019</t>
  </si>
  <si>
    <t>ASSENTAMENTO DE POSTE DE CONCRETO COM COMPRIMENTO NOMINAL DE 9 M, CARGA NOMINAL DE 400 DAN, ENGASTAMENTO BASE CONCRETADA COM 1 M DE CONCRETO E 0,5 M DE SOLO (NÃO INCLUI FORNECIMENTO). AF_11/2019</t>
  </si>
  <si>
    <t>ASSENTAMENTO DE POSTE DE CONCRETO COM COMPRIMENTO NOMINAL DE 9 M, CARGA NOMINAL DE 600 DAN, ENGASTAMENTO BASE CONCRETADA COM 1 M DE CONCRETO E 0,5 M DE SOLO (NÃO INCLUI FORNECIMENTO). AF_11/2019</t>
  </si>
  <si>
    <t>ASSENTAMENTO DE POSTE DE CONCRETO COM COMPRIMENTO NOMINAL DE 9 M, CARGA NOMINAL DE 1000 DAN, ENGASTAMENTO BASE CONCRETADA COM 1 M DE CONCRETO E 0,5 M DE SOLO (NÃO INCLUI FORNECIMENTO). AF_11/2019</t>
  </si>
  <si>
    <t>ASSENTAMENTO DE POSTE DE CONCRETO COM COMPRIMENTO NOMINAL DE 10 M, CARGA NOMINAL DE 300 DAN, ENGASTAMENTO BASE CONCRETADA COM 1 M DE CONCRETO E 0,6 M DE SOLO (NÃO INCLUI FORNECIMENTO). AF_11/2019</t>
  </si>
  <si>
    <t>ASSENTAMENTO DE POSTE DE CONCRETO COM COMPRIMENTO NOMINAL DE 10 M, CARGA NOMINAL DE 600 DAN, ENGASTAMENTO BASE CONCRETADA COM 1 M DE CONCRETO E 0,6 M DE SOLO (NÃO INCLUI FORNECIMENTO). AF_11/2019</t>
  </si>
  <si>
    <t>ASSENTAMENTO DE POSTE DE CONCRETO COM COMPRIMENTO NOMINAL DE 10 M, CARGA NOMINAL DE 1000 DAN, ENGASTAMENTO BASE CONCRETADA COM 1 M DE CONCRETO E 0,6 M DE SOLO (NÃO INCLUI FORNECIMENTO). AF_11/2019</t>
  </si>
  <si>
    <t>ASSENTAMENTO DE POSTE DE CONCRETO COM COMPRIMENTO NOMINAL DE 10,5 M, CARGA NOMINAL DE 300 DAN, ENGASTAMENTO BASE CONCRETADA COM 1 M DE CONCRETO E 0,65 M DE SOLO (NÃO INCLUI FORNECIMENTO). AF_11/2019</t>
  </si>
  <si>
    <t>ASSENTAMENTO DE POSTE DE CONCRETO COM COMPRIMENTO NOMINAL DE 10,5 M, CARGA NOMINAL DE 600 DAN, ENGASTAMENTO BASE CONCRETADA COM 1 M DE CONCRETO E 0,65 M DE SOLO (NÃO INCLUI FORNECIMENTO). AF_11/2019</t>
  </si>
  <si>
    <t>ASSENTAMENTO DE POSTE DE CONCRETO COM COMPRIMENTO NOMINAL DE 10,5 M, CARGA NOMINAL DE 1000 DAN, ENGASTAMENTO BASE CONCRETADA COM 1 M DE CONCRETO E 0,65 M DE SOLO (NÃO INCLUI FORNECIMENTO). AF_11/2019</t>
  </si>
  <si>
    <t>ASSENTAMENTO DE POSTE DE CONCRETO COM COMPRIMENTO NOMINAL DE 11 M, CARGA NOMINAL DE 300 DAN, ENGASTAMENTO BASE CONCRETADA COM 1 M DE CONCRETO E 0,7 M DE SOLO (NÃO INCLUI FORNECIMENTO). AF_11/2019</t>
  </si>
  <si>
    <t>ASSENTAMENTO DE POSTE DE CONCRETO COM COMPRIMENTO NOMINAL DE 11 M, CARGA NOMINAL DE 400 DAN, ENGASTAMENTO BASE CONCRETADA COM 1 M DE CONCRETO E 0,7 M DE SOLO (NÃO INCLUI FORNECIMENTO). AF_11/2019</t>
  </si>
  <si>
    <t>ASSENTAMENTO DE POSTE DE CONCRETO COM COMPRIMENTO NOMINAL DE 11 M, CARGA NOMINAL DE 600 DAN, ENGASTAMENTO BASE CONCRETADA COM 1 M DE CONCRETO E 0,7 M DE SOLO (NÃO INCLUI FORNECIMENTO). AF_11/2019</t>
  </si>
  <si>
    <t>ASSENTAMENTO DE POSTE DE CONCRETO COM COMPRIMENTO NOMINAL DE 11 M, CARGA NOMINAL DE 1000 DAN, ENGASTAMENTO BASE CONCRETADA COM 1 M DE CONCRETO E 0,7 M DE SOLO (NÃO INCLUI FORNECIMENTO). AF_11/2019</t>
  </si>
  <si>
    <t>ASSENTAMENTO DE POSTE DE CONCRETO COM COMPRIMENTO NOMINAL DE 12 M, CARGA NOMINAL DE 400 DAN, ENGASTAMENTO BASE CONCRETADA COM 1 M DE CONCRETO E 0,8 M DE SOLO (NÃO INCLUI FORNECIMENTO). AF_11/2019</t>
  </si>
  <si>
    <t>ASSENTAMENTO DE POSTE DE CONCRETO COM COMPRIMENTO NOMINAL DE 12 M, CARGA NOMINAL DE 600 DAN, ENGASTAMENTO BASE CONCRETADA COM 1 M DE CONCRETO E 0,8 M DE SOLO (NÃO INCLUI FORNECIMENTO). AF_11/2019</t>
  </si>
  <si>
    <t>ASSENTAMENTO DE POSTE DE CONCRETO COM COMPRIMENTO NOMINAL DE 12 M, CARGA NOMINAL DE 1000 DAN, ENGASTAMENTO BASE CONCRETADA COM 1 M DE CONCRETO E 0,8 M DE SOLO (NÃO INCLUI FORNECIMENTO). AF_11/2019</t>
  </si>
  <si>
    <t>ASSENTAMENTO DE POSTE DE CONCRETO COM COMPRIMENTO NOMINAL DE 13 M, CARGA NOMINAL DE 600 DAN, ENGASTAMENTO BASE CONCRETADA COM 1 M DE CONCRETO E 0,9 M DE SOLO (NÃO INCLUI FORNECIMENTO). AF_11/2019</t>
  </si>
  <si>
    <t>ASSENTAMENTO DE POSTE DE CONCRETO COM COMPRIMENTO NOMINAL DE 13 M, CARGA NOMINAL DE 1000 DAN, ENGASTAMENTO BASE CONCRETADA COM 1 M DE CONCRETO E 0,9 M DE SOLO - SOMENTE INSTALAÇÃO, SEM FORNECIMENTO. AF_11/2019</t>
  </si>
  <si>
    <t>REMOÇÃO DE INTERRUPTORES/TOMADAS ELÉTRICAS, DE FORMA MANUAL, SEM REAPROVEITAMENTO. AF_12/2017</t>
  </si>
  <si>
    <t>RASGO EM ALVENARIA PARA ELETRODUTOS COM DIAMETROS MENORES OU IGUAIS A 40 MM. AF_05/2015</t>
  </si>
  <si>
    <t>QUEBRA EM ALVENARIA PARA INSTALAÇÃO DE CAIXA DE TOMADA (4X4 OU 4X2). AF_05/2015</t>
  </si>
  <si>
    <t>QUEBRA EM ALVENARIA PARA INSTALAÇÃO DE QUADRO DISTRIBUIÇÃO PEQUENO (19X25 CM). AF_05/2015</t>
  </si>
  <si>
    <t>QUEBRA EM ALVENARIA PARA INSTALAÇÃO DE QUADRO DISTRIBUIÇÃO GRANDE (76X40 CM). AF_05/2015</t>
  </si>
  <si>
    <t>CAIXA DE PROTEÇÃO PARA MEDIDOR MONOFÁSICO DE EMBUTIR - FORNECIMENTO E INSTALAÇÃO. AF_10/2020</t>
  </si>
  <si>
    <t>ENTRADA DE ENERGIA ELÉTRICA, AÉREA, MONOFÁSICA, COM CAIXA DE SOBREPOR, CABO DE 10 MM2 E DISJUNTOR DIN 50A (NÃO INCLUSO O POSTE DE CONCRETO). AF_07/2020_P</t>
  </si>
  <si>
    <t>ENTRADA DE ENERGIA ELÉTRICA, AÉREA, MONOFÁSICA, COM CAIXA DE SOBREPOR, CABO DE 16 MM2 E DISJUNTOR DIN 50A (NÃO INCLUSO O POSTE DE CONCRETO). AF_07/2020_P</t>
  </si>
  <si>
    <t>ENTRADA DE ENERGIA ELÉTRICA, AÉREA, MONOFÁSICA, COM CAIXA DE SOBREPOR, CABO DE 25 MM2 E DISJUNTOR DIN 50A (NÃO INCLUSO O POSTE DE CONCRETO). AF_07/2020_P</t>
  </si>
  <si>
    <t>ENTRADA DE ENERGIA ELÉTRICA, AÉREA, MONOFÁSICA, COM CAIXA DE SOBREPOR, CABO DE 35 MM2 E DISJUNTOR DIN 50A (NÃO INCLUSO O POSTE DE CONCRETO). AF_07/2020_P</t>
  </si>
  <si>
    <t>ENTRADA DE ENERGIA ELÉTRICA, AÉREA, MONOFÁSICA, COM CAIXA DE EMBUTIR, CABO DE 10 MM2 E DISJUNTOR DIN 50A (NÃO INCLUSO O POSTE DE CONCRETO). AF_07/2020_P</t>
  </si>
  <si>
    <t>ENTRADA DE ENERGIA ELÉTRICA, AÉREA, MONOFÁSICA, COM CAIXA DE EMBUTIR, CABO DE 16 MM2 E DISJUNTOR DIN 50A (NÃO INCLUSO O POSTE DE CONCRETO). AF_07/2020_P</t>
  </si>
  <si>
    <t>ENTRADA DE ENERGIA ELÉTRICA, AÉREA, MONOFÁSICA, COM CAIXA DE EMBUTIR, CABO DE 25 MM2 E DISJUNTOR DIN 50A (NÃO INCLUSO O POSTE DE CONCRETO). AF_07/2020_P</t>
  </si>
  <si>
    <t>ENTRADA DE ENERGIA ELÉTRICA, AÉREA, MONOFÁSICA, COM CAIXA DE EMBUTIR, CABO DE 35 MM2 E DISJUNTOR DIN 50A (NÃO INCLUSO O POSTE DE CONCRETO). AF_07/2020_P</t>
  </si>
  <si>
    <t>ENTRADA DE ENERGIA ELÉTRICA, AÉREA, BIFÁSICA, COM CAIXA DE SOBREPOR, CABO DE 10 MM2 E DISJUNTOR DIN 50A (NÃO INCLUSO O POSTE DE CONCRETO). AF_07/2020_P</t>
  </si>
  <si>
    <t>ENTRADA DE ENERGIA ELÉTRICA, AÉREA, BIFÁSICA, COM CAIXA DE SOBREPOR, CABO DE 16 MM2 E DISJUNTOR DIN 50A (NÃO INCLUSO O POSTE DE CONCRETO). AF_07/2020_P</t>
  </si>
  <si>
    <t>ENTRADA DE ENERGIA ELÉTRICA, AÉREA, BIFÁSICA, COM CAIXA DE SOBREPOR, CABO DE 25 MM2 E DISJUNTOR DIN 50A (NÃO INCLUSO O POSTE DE CONCRETO). AF_07/2020_P</t>
  </si>
  <si>
    <t>ENTRADA DE ENERGIA ELÉTRICA, AÉREA, BIFÁSICA, COM CAIXA DE SOBREPOR, CABO DE 35 MM2 E DISJUNTOR DIN 50A (NÃO INCLUSO O POSTE DE CONCRETO). AF_07/2020_P</t>
  </si>
  <si>
    <t>ENTRADA DE ENERGIA ELÉTRICA, AÉREA, BIFÁSICA, COM CAIXA DE EMBUTIR, CABO DE 10 MM2 E DISJUNTOR DIN 50A (NÃO INCLUSO O POSTE DE CONCRETO). AF_07/2020_P</t>
  </si>
  <si>
    <t>ENTRADA DE ENERGIA ELÉTRICA, AÉREA, BIFÁSICA, COM CAIXA DE EMBUTIR, CABO DE 16 MM2 E DISJUNTOR DIN 50A (NÃO INCLUSO O POSTE DE CONCRETO). AF_07/2020_P</t>
  </si>
  <si>
    <t>ENTRADA DE ENERGIA ELÉTRICA, AÉREA, BIFÁSICA, COM CAIXA DE EMBUTIR, CABO DE 25 MM2 E DISJUNTOR DIN 50A (NÃO INCLUSO O POSTE DE CONCRETO). AF_07/2020_P</t>
  </si>
  <si>
    <t>ENTRADA DE ENERGIA ELÉTRICA, AÉREA, BIFÁSICA, COM CAIXA DE EMBUTIR, CABO DE 35 MM2 E DISJUNTOR DIN 50A (NÃO INCLUSO O POSTE DE CONCRETO). AF_07/2020_P</t>
  </si>
  <si>
    <t>ENTRADA DE ENERGIA ELÉTRICA, AÉREA, TRIFÁSICA, COM CAIXA DE SOBREPOR, CABO DE 10 MM2 E DISJUNTOR DIN 50A (NÃO INCLUSO O POSTE DE CONCRETO). AF_07/2020_P</t>
  </si>
  <si>
    <t>ENTRADA DE ENERGIA ELÉTRICA, AÉREA, TRIFÁSICA, COM CAIXA DE SOBREPOR, CABO DE 16 MM2 E DISJUNTOR DIN 50A (NÃO INCLUSO O POSTE DE CONCRETO). AF_07/2020_P</t>
  </si>
  <si>
    <t>ENTRADA DE ENERGIA ELÉTRICA, AÉREA, TRIFÁSICA, COM CAIXA DE SOBREPOR, CABO DE 25 MM2 E DISJUNTOR DIN 50A (NÃO INCLUSO O POSTE DE CONCRETO). AF_07/2020_P</t>
  </si>
  <si>
    <t>ENTRADA DE ENERGIA ELÉTRICA, AÉREA, TRIFÁSICA, COM CAIXA DE SOBREPOR, CABO DE 35 MM2 E DISJUNTOR DIN 50A (NÃO INCLUSO O POSTE DE CONCRETO). AF_07/2020_P</t>
  </si>
  <si>
    <t>ENTRADA DE ENERGIA ELÉTRICA, AÉREA, TRIFÁSICA, COM CAIXA DE EMBUTIR, CABO DE 10 MM2 E DISJUNTOR DIN 50A (NÃO INCLUSO O POSTE DE CONCRETO). AF_07/2020</t>
  </si>
  <si>
    <t>ENTRADA DE ENERGIA ELÉTRICA, AÉREA, TRIFÁSICA, COM CAIXA DE EMBUTIR, CABO DE 16 MM2 E DISJUNTOR DIN 50A (NÃO INCLUSO O POSTE DE CONCRETO). AF_07/2020</t>
  </si>
  <si>
    <t>ENTRADA DE ENERGIA ELÉTRICA, AÉREA, TRIFÁSICA, COM CAIXA DE EMBUTIR, CABO DE 25 MM2 E DISJUNTOR DIN 50A (NÃO INCLUSO O POSTE DE CONCRETO). AF_07/2020</t>
  </si>
  <si>
    <t>ENTRADA DE ENERGIA ELÉTRICA, AÉREA, TRIFÁSICA, COM CAIXA DE EMBUTIR, CABO DE 35 MM2 E DISJUNTOR DIN 50A (NÃO INCLUSO O POSTE DE CONCRETO). AF_07/2020</t>
  </si>
  <si>
    <t>ENTRADA DE ENERGIA ELÉTRICA, SUBTERRÂNEA, MONOFÁSICA, COM CAIXA DE SOBREPOR, CABO DE 10 MM2 E DISJUNTOR DIN 50A (NÃO INCLUSA MURETA DE ALVENARIA). AF_07/2020_P</t>
  </si>
  <si>
    <t>ENTRADA DE ENERGIA ELÉTRICA, SUBTERRÂNEA, MONOFÁSICA, COM CAIXA DE SOBREPOR, CABO DE 16 MM2 E DISJUNTOR DIN 50A (NÃO INCLUSA MURETA DE ALVENARIA). AF_07/2020_P</t>
  </si>
  <si>
    <t>ENTRADA DE ENERGIA ELÉTRICA, SUBTERRÂNEA, MONOFÁSICA, COM CAIXA DE SOBREPOR, CABO DE 25 MM2 E DISJUNTOR DIN 50A (NÃO INCLUSA MURETA DE ALVENARIA). AF_07/2020_P</t>
  </si>
  <si>
    <t>ENTRADA DE ENERGIA ELÉTRICA, SUBTERRÂNEA, MONOFÁSICA, COM CAIXA DE SOBREPOR, CABO DE 35 MM2 E DISJUNTOR DIN 50A (NÃO INCLUSA MURETA DE ALVENARIA). AF_07/2020_P</t>
  </si>
  <si>
    <t>ENTRADA DE ENERGIA ELÉTRICA, SUBTERRÂNEA, MONOFÁSICA, COM CAIXA DE EMBUTIR, CABO DE 10 MM2 E DISJUNTOR DIN 50A (NÃO INCLUSA MURETA DE ALVENARIA). AF_07/2020_P</t>
  </si>
  <si>
    <t>ENTRADA DE ENERGIA ELÉTRICA, SUBTERRÂNEA, MONOFÁSICA, COM CAIXA DE EMBUTIR, CABO DE 16 MM2 E DISJUNTOR DIN 50A (NÃO INCLUSA MURETA DE ALVENARIA). AF_07/2020_P</t>
  </si>
  <si>
    <t>ENTRADA DE ENERGIA ELÉTRICA, SUBTERRÂNEA, MONOFÁSICA, COM CAIXA DE EMBUTIR, CABO DE 25 MM2 E DISJUNTOR DIN 50A (NÃO INCLUSA MURETA DE ALVENARIA). AF_07/2020_P</t>
  </si>
  <si>
    <t>ENTRADA DE ENERGIA ELÉTRICA, SUBTERRÂNEA, MONOFÁSICA, COM CAIXA DE EMBUTIR, CABO DE 35 MM2 E DISJUNTOR DIN 50A (NÃO INCLUSA MURETA DE ALVENARIA). AF_07/2020_P</t>
  </si>
  <si>
    <t>ENTRADA DE ENERGIA ELÉTRICA, SUBTERRÂNEA, BIFÁSICA, COM CAIXA DE SOBREPOR, CABO DE 10 MM2 E DISJUNTOR DIN 50A (NÃO INCLUSA MURETA DE ALVENARIA). AF_07/2020_P</t>
  </si>
  <si>
    <t>ENTRADA DE ENERGIA ELÉTRICA, SUBTERRÂNEA, BIFÁSICA, COM CAIXA DE SOBREPOR, CABO DE 16 MM2 E DISJUNTOR DIN 50A (NÃO INCLUSA MURETA DE ALVENARIA). AF_07/2020_P</t>
  </si>
  <si>
    <t>ENTRADA DE ENERGIA ELÉTRICA, SUBTERRÂNEA, BIFÁSICA, COM CAIXA DE SOBREPOR, CABO DE 25 MM2 E DISJUNTOR DIN 50A (NÃO INCLUSA MURETA DE ALVENARIA). AF_07/2020_P</t>
  </si>
  <si>
    <t>ENTRADA DE ENERGIA ELÉTRICA, SUBTERRÂNEA, BIFÁSICA, COM CAIXA DE SOBREPOR, CABO DE 35 MM2 E DISJUNTOR DIN 50A (NÃO INCLUSA MURETA DE ALVENARIA). AF_07/2020_P</t>
  </si>
  <si>
    <t>ENTRADA DE ENERGIA ELÉTRICA, SUBTERRÂNEA, BIFÁSICA, COM CAIXA DE EMBUTIR, CABO DE 10 MM2 E DISJUNTOR DIN 50A (NÃO INCLUSA MURETA DE ALVENARIA). AF_07/2020_P</t>
  </si>
  <si>
    <t>ENTRADA DE ENERGIA ELÉTRICA, SUBTERRÂNEA, BIFÁSICA, COM CAIXA DE EMBUTIR, CABO DE 16 MM2 E DISJUNTOR DIN 50A (NÃO INCLUSA MURETA DE ALVENARIA). AF_07/2020_P</t>
  </si>
  <si>
    <t>ENTRADA DE ENERGIA ELÉTRICA, SUBTERRÂNEA, BIFÁSICA, COM CAIXA DE EMBUTIR, CABO DE 25 MM2 E DISJUNTOR DIN 50A (NÃO INCLUSA MURETA DE ALVENARIA). AF_07/2020_P</t>
  </si>
  <si>
    <t>ENTRADA DE ENERGIA ELÉTRICA, SUBTERRÂNEA, BIFÁSICA, COM CAIXA DE EMBUTIR, CABO DE 35 MM2 E DISJUNTOR DIN 50A (NÃO INCLUSA MURETA DE ALVENARIA). AF_07/2020_P</t>
  </si>
  <si>
    <t>ENTRADA DE ENERGIA ELÉTRICA, SUBTERRÂNEA, TRIFÁSICA, COM CAIXA DE SOBREPOR, CABO DE 10 MM2 E DISJUNTOR DIN 50A (NÃO INCLUSA MURETA DE ALVENARIA). AF_07/2020_P</t>
  </si>
  <si>
    <t>ENTRADA DE ENERGIA ELÉTRICA, SUBTERRÂNEA, TRIFÁSICA, COM CAIXA DE SOBREPOR, CABO DE 16 MM2 E DISJUNTOR DIN 50A (NÃO INCLUSA MURETA DE ALVENARIA). AF_07/2020_P</t>
  </si>
  <si>
    <t>ENTRADA DE ENERGIA ELÉTRICA, SUBTERRÂNEA, TRIFÁSICA, COM CAIXA DE SOBREPOR, CABO DE 25 MM2 E DISJUNTOR DIN 50A (NÃO INCLUSA MURETA DE ALVENARIA). AF_07/2020_P</t>
  </si>
  <si>
    <t>ENTRADA DE ENERGIA ELÉTRICA, SUBTERRÂNEA, TRIFÁSICA, COM CAIXA DE SOBREPOR, CABO DE 35 MM2 E DISJUNTOR DIN 50A (NÃO INCLUSA MURETA DE ALVENARIA). AF_07/2020_P</t>
  </si>
  <si>
    <t>ENTRADA DE ENERGIA ELÉTRICA, SUBTERRÂNEA, TRIFÁSICA, COM CAIXA DE EMBUTIR, CABO DE 10 MM2 E DISJUNTOR DIN 50A (NÃO INCLUSA MURETA DE ALVENARIA). AF_07/2020</t>
  </si>
  <si>
    <t>ENTRADA DE ENERGIA ELÉTRICA, SUBTERRÂNEA, TRIFÁSICA, COM CAIXA DE EMBUTIR, CABO DE 16 MM2 E DISJUNTOR DIN 50A (NÃO INCLUSA MURETA DE ALVENARIA). AF_07/2020</t>
  </si>
  <si>
    <t>ENTRADA DE ENERGIA ELÉTRICA, SUBTERRÂNEA, TRIFÁSICA, COM CAIXA DE EMBUTIR, CABO DE 25 MM2 E DISJUNTOR DIN 50A (NÃO INCLUSA MURETA DE ALVENARIA). AF_07/2020</t>
  </si>
  <si>
    <t>ENTRADA DE ENERGIA ELÉTRICA, SUBTERRÂNEA, TRIFÁSICA, COM CAIXA DE EMBUTIR, CABO DE 35 MM2 E DISJUNTOR DIN 50A (NÃO INCLUSA MURETA DE ALVENARIA). AF_07/2020</t>
  </si>
  <si>
    <t>16.105.000030.SER</t>
  </si>
  <si>
    <t>16.105.000031.SER</t>
  </si>
  <si>
    <t>16.105.000032.SER</t>
  </si>
  <si>
    <t>16.105.000033.SER</t>
  </si>
  <si>
    <t>Entrada de energia em poste próprio da edificação com potência instalada de 15 a 20 KW</t>
  </si>
  <si>
    <t>16.105.000034.SER</t>
  </si>
  <si>
    <t>Entrada de energia em poste próprio da edificação com potência instalada de 20 a 25 KW</t>
  </si>
  <si>
    <t>16.105.000035.SER</t>
  </si>
  <si>
    <t>Entrada de energia em poste próprio da edificação com potência instalada de 25 a 30 KW</t>
  </si>
  <si>
    <t>ELETRODUTO PVC 40MM (1 ¼ ) PARA SPDA - FORNECIMENTO E INSTALAÇÃO. AF_12/2017</t>
  </si>
  <si>
    <t>ELETRODUTO FLEXÍVEL CORRUGADO, PVC, DN 20 MM (1/2"), PARA CIRCUITOS TERMINAIS, INSTALADO EM FORRO - FORNECIMENTO E INSTALAÇÃO. AF_12/2015</t>
  </si>
  <si>
    <t>ELETRODUTO FLEXÍVEL CORRUGADO, PVC, DN 25 MM (3/4"), PARA CIRCUITOS TERMINAIS, INSTALADO EM FORRO - FORNECIMENTO E INSTALAÇÃO. AF_12/2015</t>
  </si>
  <si>
    <t>ELETRODUTO FLEXÍVEL CORRUGADO, PVC, DN 32 MM (1"), PARA CIRCUITOS TERMINAIS, INSTALADO EM FORRO - FORNECIMENTO E INSTALAÇÃO. AF_12/2015</t>
  </si>
  <si>
    <t>ELETRODUTO FLEXÍVEL CORRUGADO, PVC, DN 20 MM (1/2"), PARA CIRCUITOS TERMINAIS, INSTALADO EM LAJE - FORNECIMENTO E INSTALAÇÃO. AF_12/2015</t>
  </si>
  <si>
    <t>ELETRODUTO FLEXÍVEL CORRUGADO, PVC, DN 25 MM (3/4"), PARA CIRCUITOS TERMINAIS, INSTALADO EM LAJE - FORNECIMENTO E INSTALAÇÃO. AF_12/2015</t>
  </si>
  <si>
    <t>ELETRODUTO FLEXÍVEL CORRUGADO, PVC, DN 32 MM (1"), PARA CIRCUITOS TERMINAIS, INSTALADO EM LAJE - FORNECIMENTO E INSTALAÇÃO. AF_12/2015</t>
  </si>
  <si>
    <t>ELETRODUTO FLEXÍVEL CORRUGADO, PVC, DN 20 MM (1/2"), PARA CIRCUITOS TERMINAIS, INSTALADO EM PAREDE - FORNECIMENTO E INSTALAÇÃO. AF_12/2015</t>
  </si>
  <si>
    <t>ELETRODUTO FLEXÍVEL CORRUGADO, PVC, DN 25 MM (3/4"), PARA CIRCUITOS TERMINAIS, INSTALADO EM PAREDE - FORNECIMENTO E INSTALAÇÃO. AF_12/2015</t>
  </si>
  <si>
    <t>ELETRODUTO FLEXÍVEL CORRUGADO, PVC, DN 32 MM (1"), PARA CIRCUITOS TERMINAIS, INSTALADO EM PAREDE - FORNECIMENTO E INSTALAÇÃO. AF_12/2015</t>
  </si>
  <si>
    <t>ELETRODUTO FLEXÍVEL CORRUGADO REFORÇADO, PVC, DN 20 MM (1/2"), PARA CIRCUITOS TERMINAIS, INSTALADO EM FORRO - FORNECIMENTO E INSTALAÇÃO. AF_12/2015</t>
  </si>
  <si>
    <t>ELETRODUTO FLEXÍVEL CORRUGADO REFORÇADO, PVC, DN 25 MM (3/4"), PARA CIRCUITOS TERMINAIS, INSTALADO EM FORRO - FORNECIMENTO E INSTALAÇÃO. AF_12/2015</t>
  </si>
  <si>
    <t>ELETRODUTO FLEXÍVEL CORRUGADO REFORÇADO, PVC, DN 32 MM (1"), PARA CIRCUITOS TERMINAIS, INSTALADO EM FORRO - FORNECIMENTO E INSTALAÇÃO. AF_12/2015</t>
  </si>
  <si>
    <t>ELETRODUTO FLEXÍVEL CORRUGADO REFORÇADO, PVC, DN 20 MM (1/2"), PARA CIRCUITOS TERMINAIS, INSTALADO EM LAJE - FORNECIMENTO E INSTALAÇÃO. AF_12/2015</t>
  </si>
  <si>
    <t>ELETRODUTO FLEXÍVEL CORRUGADO REFORÇADO, PVC, DN 25 MM (3/4"), PARA CIRCUITOS TERMINAIS, INSTALADO EM LAJE - FORNECIMENTO E INSTALAÇÃO. AF_12/2015</t>
  </si>
  <si>
    <t>ELETRODUTO FLEXÍVEL CORRUGADO REFORÇADO, PVC, DN 32 MM (1"), PARA CIRCUITOS TERMINAIS, INSTALADO EM LAJE - FORNECIMENTO E INSTALAÇÃO. AF_12/2015</t>
  </si>
  <si>
    <t>ELETRODUTO FLEXÍVEL CORRUGADO REFORÇADO, PVC, DN 20 MM (1/2"), PARA CIRCUITOS TERMINAIS, INSTALADO EM PAREDE - FORNECIMENTO E INSTALAÇÃO. AF_12/2015</t>
  </si>
  <si>
    <t>ELETRODUTO FLEXÍVEL CORRUGADO REFORÇADO, PVC, DN 25 MM (3/4"), PARA CIRCUITOS TERMINAIS, INSTALADO EM PAREDE - FORNECIMENTO E INSTALAÇÃO. AF_12/2015</t>
  </si>
  <si>
    <t>ELETRODUTO FLEXÍVEL CORRUGADO REFORÇADO, PVC, DN 32 MM (1"), PARA CIRCUITOS TERMINAIS, INSTALADO EM PAREDE - FORNECIMENTO E INSTALAÇÃO. AF_12/2015</t>
  </si>
  <si>
    <t>LUVA PARA ELETRODUTO, PVC, ROSCÁVEL, DN 20 MM (1/2"), PARA CIRCUITOS TERMINAIS, INSTALADA EM FORRO - FORNECIMENTO E INSTALAÇÃO. AF_12/2015</t>
  </si>
  <si>
    <t>LUVA PARA ELETRODUTO, PVC, ROSCÁVEL, DN 25 MM (3/4"), PARA CIRCUITOS TERMINAIS, INSTALADA EM FORRO - FORNECIMENTO E INSTALAÇÃO. AF_12/2015</t>
  </si>
  <si>
    <t>LUVA PARA ELETRODUTO, PVC, ROSCÁVEL, DN 32 MM (1"), PARA CIRCUITOS TERMINAIS, INSTALADA EM FORRO - FORNECIMENTO E INSTALAÇÃO. AF_12/2015</t>
  </si>
  <si>
    <t>LUVA PARA ELETRODUTO, PVC, ROSCÁVEL, DN 40 MM (1 1/4"), PARA CIRCUITOS TERMINAIS, INSTALADA EM FORRO - FORNECIMENTO E INSTALAÇÃO. AF_12/2015</t>
  </si>
  <si>
    <t>LUVA PARA ELETRODUTO, PVC, ROSCÁVEL, DN 20 MM (1/2"), PARA CIRCUITOS TERMINAIS, INSTALADA EM LAJE - FORNECIMENTO E INSTALAÇÃO. AF_12/2015</t>
  </si>
  <si>
    <t>LUVA PARA ELETRODUTO, PVC, ROSCÁVEL, DN 25 MM (3/4"), PARA CIRCUITOS TERMINAIS, INSTALADA EM LAJE - FORNECIMENTO E INSTALAÇÃO. AF_12/2015</t>
  </si>
  <si>
    <t>LUVA PARA ELETRODUTO, PVC, ROSCÁVEL, DN 32 MM (1"), PARA CIRCUITOS TERMINAIS, INSTALADA EM LAJE - FORNECIMENTO E INSTALAÇÃO. AF_12/2015</t>
  </si>
  <si>
    <t>LUVA PARA ELETRODUTO, PVC, ROSCÁVEL, DN 40 MM (1 1/4"), PARA CIRCUITOS TERMINAIS, INSTALADA EM LAJE - FORNECIMENTO E INSTALAÇÃO. AF_12/2015</t>
  </si>
  <si>
    <t>LUVA PARA ELETRODUTO, PVC, ROSCÁVEL, DN 20 MM (1/2"), PARA CIRCUITOS TERMINAIS, INSTALADA EM PAREDE - FORNECIMENTO E INSTALAÇÃO. AF_12/2015</t>
  </si>
  <si>
    <t>LUVA PARA ELETRODUTO, PVC, ROSCÁVEL, DN 25 MM (3/4"), PARA CIRCUITOS TERMINAIS, INSTALADA EM PAREDE - FORNECIMENTO E INSTALAÇÃO. AF_12/2015</t>
  </si>
  <si>
    <t>LUVA PARA ELETRODUTO, PVC, ROSCÁVEL, DN 32 MM (1"), PARA CIRCUITOS TERMINAIS, INSTALADA EM PAREDE - FORNECIMENTO E INSTALAÇÃO. AF_12/2015</t>
  </si>
  <si>
    <t>LUVA PARA ELETRODUTO, PVC, ROSCÁVEL, DN 40 MM (1 1/4"), PARA CIRCUITOS TERMINAIS, INSTALADA EM PAREDE - FORNECIMENTO E INSTALAÇÃO. AF_12/2015</t>
  </si>
  <si>
    <t>CURVA 90 GRAUS PARA ELETRODUTO, PVC, ROSCÁVEL, DN 20 MM (1/2"), PARA CIRCUITOS TERMINAIS, INSTALADA EM FORRO - FORNECIMENTO E INSTALAÇÃO. AF_12/2015</t>
  </si>
  <si>
    <t>CURVA 180 GRAUS PARA ELETRODUTO, PVC, ROSCÁVEL, DN 20 MM (1/2"), PARA CIRCUITOS TERMINAIS, INSTALADA EM FORRO - FORNECIMENTO E INSTALAÇÃO. AF_12/2015</t>
  </si>
  <si>
    <t>CURVA 90 GRAUS PARA ELETRODUTO, PVC, ROSCÁVEL, DN 25 MM (3/4"), PARA CIRCUITOS TERMINAIS, INSTALADA EM FORRO - FORNECIMENTO E INSTALAÇÃO. AF_12/2015</t>
  </si>
  <si>
    <t>CURVA 180 GRAUS PARA ELETRODUTO, PVC, ROSCÁVEL, DN 25 MM (3/4"), PARA CIRCUITOS TERMINAIS, INSTALADA EM FORRO - FORNECIMENTO E INSTALAÇÃO. AF_12/2015</t>
  </si>
  <si>
    <t>CURVA 90 GRAUS PARA ELETRODUTO, PVC, ROSCÁVEL, DN 32 MM (1"), PARA CIRCUITOS TERMINAIS, INSTALADA EM FORRO - FORNECIMENTO E INSTALAÇÃO. AF_12/2015</t>
  </si>
  <si>
    <t>CURVA 90 GRAUS PARA ELETRODUTO, PVC, ROSCÁVEL, DN 40 MM (1 1/4"), PARA CIRCUITOS TERMINAIS, INSTALADA EM FORRO - FORNECIMENTO E INSTALAÇÃO. AF_12/2015</t>
  </si>
  <si>
    <t>CURVA 180 GRAUS PARA ELETRODUTO, PVC, ROSCÁVEL, DN 40 MM (1 1/4"), PARA CIRCUITOS TERMINAIS, INSTALADA EM FORRO - FORNECIMENTO E INSTALAÇÃO. AF_12/2015</t>
  </si>
  <si>
    <t>CURVA 90 GRAUS PARA ELETRODUTO, PVC, ROSCÁVEL, DN 20 MM (1/2"), PARA CIRCUITOS TERMINAIS, INSTALADA EM LAJE - FORNECIMENTO E INSTALAÇÃO. AF_12/2015</t>
  </si>
  <si>
    <t>CURVA 180 GRAUS PARA ELETRODUTO, PVC, ROSCÁVEL, DN 20 MM (1/2"), PARA CIRCUITOS TERMINAIS, INSTALADA EM LAJE - FORNECIMENTO E INSTALAÇÃO. AF_12/2015</t>
  </si>
  <si>
    <t>CURVA 90 GRAUS PARA ELETRODUTO, PVC, ROSCÁVEL, DN 25 MM (3/4"), PARA CIRCUITOS TERMINAIS, INSTALADA EM LAJE - FORNECIMENTO E INSTALAÇÃO. AF_12/2015</t>
  </si>
  <si>
    <t>CURVA 180 GRAUS PARA ELETRODUTO, PVC, ROSCÁVEL, DN 32 MM (1"), PARA CIRCUITOS TERMINAIS, INSTALADA EM FORRO - FORNECIMENTO E INSTALAÇÃO. AF_12/2015</t>
  </si>
  <si>
    <t>CURVA 180 GRAUS PARA ELETRODUTO, PVC, ROSCÁVEL, DN 32 MM (1), PARA CIRCUITOS TERMINAIS, INSTALADA EM LAJE - FORNECIMENTO E INSTALAÇÃO. AF_12/2015</t>
  </si>
  <si>
    <t>CURVA 180 GRAUS PARA ELETRODUTO, PVC, ROSCÁVEL, DN 32 MM (1), PARA CIRCUITOS TERMINAIS, INSTALADA EM PAREDE - FORNECIMENTO E INSTALAÇÃO. AF_12/2015</t>
  </si>
  <si>
    <t>CURVA 180 GRAUS PARA ELETRODUTO, PVC, ROSCÁVEL, DN 25 MM (3/4"), PARA CIRCUITOS TERMINAIS, INSTALADA EM LAJE - FORNECIMENTO E INSTALAÇÃO. AF_12/2015</t>
  </si>
  <si>
    <t>CURVA 90 GRAUS PARA ELETRODUTO, PVC, ROSCÁVEL, DN 32 MM (1"), PARA CIRCUITOS TERMINAIS, INSTALADA EM LAJE - FORNECIMENTO E INSTALAÇÃO. AF_12/2015</t>
  </si>
  <si>
    <t>CURVA 90 GRAUS PARA ELETRODUTO, PVC, ROSCÁVEL, DN 40 MM (1 1/4"), PARA CIRCUITOS TERMINAIS, INSTALADA EM LAJE - FORNECIMENTO E INSTALAÇÃO. AF_12/2015</t>
  </si>
  <si>
    <t>CURVA 180 GRAUS PARA ELETRODUTO, PVC, ROSCÁVEL, DN 40 MM (1 1/4"), PARA CIRCUITOS TERMINAIS, INSTALADA EM LAJE - FORNECIMENTO E INSTALAÇÃO. AF_12/2015</t>
  </si>
  <si>
    <t>CURVA 90 GRAUS PARA ELETRODUTO, PVC, ROSCÁVEL, DN 20 MM (1/2"), PARA CIRCUITOS TERMINAIS, INSTALADA EM PAREDE - FORNECIMENTO E INSTALAÇÃO. AF_12/2015</t>
  </si>
  <si>
    <t>CURVA 180 GRAUS PARA ELETRODUTO, PVC, ROSCÁVEL, DN 20 MM (1/2"), PARA CIRCUITOS TERMINAIS, INSTALADA EM PAREDE - FORNECIMENTO E INSTALAÇÃO. AF_12/2015</t>
  </si>
  <si>
    <t>CURVA 90 GRAUS PARA ELETRODUTO, PVC, ROSCÁVEL, DN 25 MM (3/4"), PARA CIRCUITOS TERMINAIS, INSTALADA EM PAREDE - FORNECIMENTO E INSTALAÇÃO. AF_12/2015</t>
  </si>
  <si>
    <t>CURVA 180 GRAUS PARA ELETRODUTO, PVC, ROSCÁVEL, DN 25 MM (3/4"), PARA CIRCUITOS TERMINAIS, INSTALADA EM PAREDE - FORNECIMENTO E INSTALAÇÃO. AF_12/2015</t>
  </si>
  <si>
    <t>CURVA 90 GRAUS PARA ELETRODUTO, PVC, ROSCÁVEL, DN 32 MM (1"), PARA CIRCUITOS TERMINAIS, INSTALADA EM PAREDE - FORNECIMENTO E INSTALAÇÃO. AF_12/2015</t>
  </si>
  <si>
    <t>CURVA 90 GRAUS PARA ELETRODUTO, PVC, ROSCÁVEL, DN 40 MM (1 1/4"), PARA CIRCUITOS TERMINAIS, INSTALADA EM PAREDE - FORNECIMENTO E INSTALAÇÃO. AF_12/2015</t>
  </si>
  <si>
    <t>CURVA 180 GRAUS PARA ELETRODUTO, PVC, ROSCÁVEL, DN 40 MM (1 1/4"), PARA CIRCUITOS TERMINAIS, INSTALADA EM PAREDE - FORNECIMENTO E INSTALAÇÃO. AF_12/2015</t>
  </si>
  <si>
    <t>LUVA PARA ELETRODUTO, PVC, ROSCÁVEL, DN 50 MM (1 1/2") - FORNECIMENTO E INSTALAÇÃO. AF_12/2015</t>
  </si>
  <si>
    <t>LUVA PARA ELETRODUTO, PVC, ROSCÁVEL, DN 60 MM (2") - FORNECIMENTO E INSTALAÇÃO. AF_12/2015</t>
  </si>
  <si>
    <t>LUVA PARA ELETRODUTO, PVC, ROSCÁVEL, DN 75 MM (2 1/2") - FORNECIMENTO E INSTALAÇÃO. AF_12/2015</t>
  </si>
  <si>
    <t>LUVA PARA ELETRODUTO, PVC, ROSCÁVEL, DN 85 MM (3") - FORNECIMENTO E INSTALAÇÃO. AF_12/2015</t>
  </si>
  <si>
    <t>LUVA PARA ELETRODUTO, PVC, ROSCÁVEL, DN 110 MM (4") - FORNECIMENTO E INSTALAÇÃO. AF_12/2015</t>
  </si>
  <si>
    <t>CURVA 90 GRAUS PARA ELETRODUTO, PVC, ROSCÁVEL, DN 50 MM (1 1/2") - FORNECIMENTO E INSTALAÇÃO. AF_12/2015</t>
  </si>
  <si>
    <t>CURVA 90 GRAUS PARA ELETRODUTO, PVC, ROSCÁVEL, DN 60 MM (2") - FORNECIMENTO E INSTALAÇÃO. AF_12/2015</t>
  </si>
  <si>
    <t>CURVA 90 GRAUS PARA ELETRODUTO, PVC, ROSCÁVEL, DN 75 MM (2 1/2") - FORNECIMENTO E INSTALAÇÃO. AF_12/2015</t>
  </si>
  <si>
    <t>CURVA 90 GRAUS PARA ELETRODUTO, PVC, ROSCÁVEL, DN 85 MM (3") - FORNECIMENTO E INSTALAÇÃO. AF_12/2015</t>
  </si>
  <si>
    <t>CURVA 90 GRAUS PARA ELETRODUTO, PVC, ROSCÁVEL, DN 110 MM (4") - FORNECIMENTO E INSTALAÇÃO. AF_12/2015</t>
  </si>
  <si>
    <t>CURVA 135 GRAUS PARA ELETRODUTO, PVC, ROSCÁVEL, DN 25 MM (3/4), PARA CIRCUITOS TERMINAIS, INSTALADA EM FORRO - FORNECIMENTO E INSTALAÇÃO. AF_12/2015</t>
  </si>
  <si>
    <t>CURVA 135 GRAUS PARA ELETRODUTO, PVC, ROSCÁVEL, DN 25 MM (3/4), PARA CIRCUITOS TERMINAIS, INSTALADA EM LAJE - FORNECIMENTO E INSTALAÇÃO. AF_12/2015</t>
  </si>
  <si>
    <t>CURVA 135 GRAUS PARA ELETRODUTO, PVC, ROSCÁVEL, DN 25 MM (3/4), PARA CIRCUITOS TERMINAIS, INSTALADA EM PAREDE - FORNECIMENTO E INSTALAÇÃO. AF_12/2015</t>
  </si>
  <si>
    <t>ELETRODUTO RÍGIDO ROSCÁVEL, PVC, DN 20 MM (1/2"), PARA CIRCUITOS TERMINAIS, INSTALADO EM FORRO - FORNECIMENTO E INSTALAÇÃO. AF_12/2015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</si>
  <si>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</si>
  <si>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</si>
  <si>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40 MM (1 1/4"), PARA CIRCUITOS TERMINAIS, INSTALADO EM FORRO - FORNECIMENTO E INSTALAÇÃO. AF_12/2015</t>
  </si>
  <si>
    <t>ELETRODUTO RÍGIDO ROSCÁVEL, PVC, DN 20 MM (1/2"), PARA CIRCUITOS TERMINAIS, INSTALADO EM LAJE - FORNECIMENTO E INSTALAÇÃO. AF_12/2015</t>
  </si>
  <si>
    <t>ELETRODUTO RÍGIDO ROSCÁVEL, PVC, DN 25 MM (3/4"), PARA CIRCUITOS TERMINAIS, INSTALADO EM LAJE - FORNECIMENTO E INSTALAÇÃO. AF_12/2015</t>
  </si>
  <si>
    <t>ELETRODUTO RÍGIDO ROSCÁVEL, PVC, DN 32 MM (1"), PARA CIRCUITOS TERMINAIS, INSTALADO EM LAJE - FORNECIMENTO E INSTALAÇÃO. AF_12/2015</t>
  </si>
  <si>
    <t>ELETRODUTO RÍGIDO ROSCÁVEL, PVC, DN 40 MM (1 1/4"), PARA CIRCUITOS TERMINAIS, INSTALADO EM LAJE - FORNECIMENTO E INSTALAÇÃO. AF_12/2015</t>
  </si>
  <si>
    <t>ELETRODUTO RÍGIDO ROSCÁVEL, PVC, DN 20 MM (1/2"), PARA CIRCUITOS TERMINAIS, INSTALADO EM PAREDE - FORNECIMENTO E INSTALAÇÃO. AF_12/2015</t>
  </si>
  <si>
    <t>ELETRODUTO RÍGIDO ROSCÁVEL, PVC, DN 25 MM (3/4"), PARA CIRCUITOS TERMINAIS, INSTALADO EM PAREDE - FORNECIMENTO E INSTALAÇÃO. AF_12/2015</t>
  </si>
  <si>
    <t>ELETRODUTO RÍGIDO ROSCÁVEL, PVC, DN 32 MM (1"), PARA CIRCUITOS TERMINAIS, INSTALADO EM PAREDE - FORNECIMENTO E INSTALAÇÃO. AF_12/2015</t>
  </si>
  <si>
    <t>ELETRODUTO RÍGIDO ROSCÁVEL, PVC, DN 40 MM (1 1/4"), PARA CIRCUITOS TERMINAIS, INSTALADO EM PAREDE - FORNECIMENTO E INSTALAÇÃO. AF_12/2015</t>
  </si>
  <si>
    <t>ELETRODUTO RÍGIDO ROSCÁVEL, PVC, DN 50 MM (1 1/2") - FORNECIMENTO E INSTALAÇÃO. AF_12/2015</t>
  </si>
  <si>
    <t>ELETRODUTO RÍGIDO ROSCÁVEL, PVC, DN 60 MM (2") - FORNECIMENTO E INSTALAÇÃO. AF_12/2015</t>
  </si>
  <si>
    <t>ELETRODUTO RÍGIDO ROSCÁVEL, PVC, DN 75 MM (2 1/2") - FORNECIMENTO E INSTALAÇÃO. AF_12/2015</t>
  </si>
  <si>
    <t>ELETRODUTO RÍGIDO ROSCÁVEL, PVC, DN 85 MM (3") - FORNECIMENTO E INSTALAÇÃO. AF_12/2015</t>
  </si>
  <si>
    <t>ELETRODUTO RÍGIDO ROSCÁVEL, PVC, DN 110 MM (4") - FORNECIMENTO E INSTALAÇÃO. AF_12/2015</t>
  </si>
  <si>
    <t>ELETRODUTO RÍGIDO SOLDÁVEL, PVC, DN 20 MM (½), APARENTE, INSTALADO EM TETO - FORNECIMENTO E INSTALAÇÃO. AF_11/2016_P</t>
  </si>
  <si>
    <t>ELETRODUTO RÍGIDO SOLDÁVEL, PVC, DN 25 MM (3/4), APARENTE, INSTALADO EM TETO - FORNECIMENTO E INSTALAÇÃO. AF_11/2016_P</t>
  </si>
  <si>
    <t>ELETRODUTO RÍGIDO SOLDÁVEL, PVC, DN 32 MM (1), APARENTE, INSTALADO EM TETO - FORNECIMENTO E INSTALAÇÃO. AF_11/2016_P</t>
  </si>
  <si>
    <t>ELETRODUTO RÍGIDO SOLDÁVEL, PVC, DN 20 MM (½), APARENTE, INSTALADO EM PAREDE - FORNECIMENTO E INSTALAÇÃO. AF_11/2016_P</t>
  </si>
  <si>
    <t>ELETRODUTO RÍGIDO SOLDÁVEL, PVC, DN 25 MM (3/4), APARENTE, INSTALADO EM PAREDE - FORNECIMENTO E INSTALAÇÃO. AF_11/2016_P</t>
  </si>
  <si>
    <t>ELETRODUTO RÍGIDO SOLDÁVEL, PVC, DN 32 MM (1), APARENTE, INSTALADO EM PAREDE - FORNECIMENTO E INSTALAÇÃO. AF_11/2016_P</t>
  </si>
  <si>
    <t>LUVA PARA ELETRODUTO, PVC, SOLDÁVEL, DN 25 MM (3/4), APARENTE, INSTALADA EM TETO - FORNECIMENTO E INSTALAÇÃO. AF_11/2016_P</t>
  </si>
  <si>
    <t>LUVA PARA ELETRODUTO, PVC, SOLDÁVEL, DN 32 MM (1), APARENTE, INSTALADA EM TETO - FORNECIMENTO E INSTALAÇÃO. AF_11/2016_P</t>
  </si>
  <si>
    <t>LUVA PARA ELETRODUTO, PVC, SOLDÁVEL, DN 20 MM (1/2), APARENTE, INSTALADA EM PAREDE - FORNECIMENTO E INSTALAÇÃO. AF_11/2016_P</t>
  </si>
  <si>
    <t>LUVA PARA ELETRODUTO, PVC, SOLDÁVEL, DN 25 MM (3/4), APARENTE, INSTALADA EM PAREDE - FORNECIMENTO E INSTALAÇÃO. AF_11/2016_P</t>
  </si>
  <si>
    <t>LUVA PARA ELETRODUTO, PVC, SOLDÁVEL, DN 32 MM (1), APARENTE, INSTALADA EM PAREDE - FORNECIMENTO E INSTALAÇÃO. AF_11/2016_P</t>
  </si>
  <si>
    <t>LUVA PARA ELETRODUTO, PVC, SOLDÁVEL, DN 20 MM (1/2), APARENTE, INSTALADA EM TETO - FORNECIMENTO E INSTALAÇÃO. AF_11/2016_P</t>
  </si>
  <si>
    <t>ELETRODUTO DE AÇO GALVANIZADO, CLASSE LEVE, DN 20 MM (3/4), APARENTE, INSTALADO EM TETO - FORNECIMENTO E INSTALAÇÃO. AF_11/2016_P</t>
  </si>
  <si>
    <t>ELETRODUTO DE AÇO GALVANIZADO, CLASSE LEVE, DN 25 MM (1), APARENTE, INSTALADO EM TETO - FORNECIMENTO E INSTALAÇÃO. AF_11/2016_P</t>
  </si>
  <si>
    <t>ELETRODUTO DE AÇO GALVANIZADO, CLASSE SEMI PESADO, DN 32 MM (1 1/4), APARENTE, INSTALADO EM TETO - FORNECIMENTO E INSTALAÇÃO. AF_11/2016_P</t>
  </si>
  <si>
    <t>ELETRODUTO DE AÇO GALVANIZADO, CLASSE SEMI PESADO, DN 40 MM (1 1/2 ), APARENTE, INSTALADO EM TETO - FORNECIMENTO E INSTALAÇÃO. AF_11/2016_P</t>
  </si>
  <si>
    <t>ELETRODUTO DE AÇO GALVANIZADO, CLASSE LEVE, DN 20 MM (3/4), APARENTE, INSTALADO EM PAREDE - FORNECIMENTO E INSTALAÇÃO. AF_11/2016_P</t>
  </si>
  <si>
    <t>ELETRODUTO DE AÇO GALVANIZADO, CLASSE LEVE, DN 25 MM (1), APARENTE, INSTALADO EM PAREDE - FORNECIMENTO E INSTALAÇÃO. AF_11/2016_P</t>
  </si>
  <si>
    <t>ELETRODUTO DE AÇO GALVANIZADO, CLASSE SEMI PESADO, DN 32 MM (1 1/4), APARENTE, INSTALADO EM PAREDE - FORNECIMENTO E INSTALAÇÃO. AF_11/2016_P</t>
  </si>
  <si>
    <t>ELETRODUTO DE AÇO GALVANIZADO, CLASSE SEMI PESADO, DN 40 MM (1 1/2  ), APARENTE, INSTALADO EM PAREDE - FORNECIMENTO E INSTALAÇÃO. AF_11/2016_P</t>
  </si>
  <si>
    <t>LUVA DE EMENDA PARA ELETRODUTO, AÇO GALVANIZADO, DN 20 MM (3/4  ), APARENTE, INSTALADA EM TETO - FORNECIMENTO E INSTALAÇÃO. AF_11/2016_P</t>
  </si>
  <si>
    <t>LUVA DE EMENDA PARA ELETRODUTO, AÇO GALVANIZADO, DN 25 MM (1''), APARENTE, INSTALADA EM TETO - FORNECIMENTO E INSTALAÇÃO. AF_11/2016_P</t>
  </si>
  <si>
    <t>LUVA DE EMENDA PARA ELETRODUTO, AÇO GALVANIZADO, DN 32 MM (1 1/4''), APARENTE, INSTALADA EM TETO - FORNECIMENTO E INSTALAÇÃO. AF_11/2016_P</t>
  </si>
  <si>
    <t>LUVA DE EMENDA PARA ELETRODUTO, AÇO GALVANIZADO, DN 40 MM (1 1/2''), APARENTE, INSTALADA EM TETO - FORNECIMENTO E INSTALAÇÃO. AF_11/2016_P</t>
  </si>
  <si>
    <t>LUVA DE EMENDA PARA ELETRODUTO, AÇO GALVANIZADO, DN 20 MM (3/4''), APARENTE, INSTALADA EM PAREDE - FORNECIMENTO E INSTALAÇÃO. AF_11/2016_P</t>
  </si>
  <si>
    <t>LUVA DE EMENDA PARA ELETRODUTO, AÇO GALVANIZADO, DN 25 MM (1''), APARENTE, INSTALADA EM PAREDE - FORNECIMENTO E INSTALAÇÃO. AF_11/2016_P</t>
  </si>
  <si>
    <t>LUVA DE EMENDA PARA ELETRODUTO, AÇO GALVANIZADO, DN 32 MM (1 1/4''), APARENTE, INSTALADA EM PAREDE - FORNECIMENTO E INSTALAÇÃO. AF_11/2016_P</t>
  </si>
  <si>
    <t>LUVA DE EMENDA PARA ELETRODUTO, AÇO GALVANIZADO, DN 40 MM (1 1/2''), APARENTE, INSTALADA EM PAREDE - FORNECIMENTO E INSTALAÇÃO. AF_11/2016_P</t>
  </si>
  <si>
    <t>ELETRODUTO FLEXÍVEL LISO, PEAD, DN 32 MM (1"), PARA CIRCUITOS TERMINAIS, INSTALADO EM FORRO - FORNECIMENTO E INSTALAÇÃO. AF_12/2015</t>
  </si>
  <si>
    <t>ELETRODUTO FLEXÍVEL CORRUGADO, PEAD, DN 40 MM (1 1/4"), PARA CIRCUITOS TERMINAIS, INSTALADO EM FORRO - FORNECIMENTO E INSTALAÇÃO. AF_12/2015</t>
  </si>
  <si>
    <t>ELETRODUTO FLEXÍVEL LISO, PEAD, DN 40 MM (1 1/4"), PARA CIRCUITOS TERMINAIS, INSTALADO EM FORRO - FORNECIMENTO E INSTALAÇÃO. AF_12/2015</t>
  </si>
  <si>
    <t>ELETRODUTO FLEXÍVEL LISO, PEAD, DN 32 MM (1"), PARA CIRCUITOS TERMINAIS, INSTALADO EM LAJE - FORNECIMENTO E INSTALAÇÃO. AF_12/2015</t>
  </si>
  <si>
    <t>ELETRODUTO FLEXÍVEL CORRUGADO, PEAD, DN 40 MM (1 1/4"), PARA CIRCUITOS TERMINAIS, INSTALADO EM LAJE - FORNECIMENTO E INSTALAÇÃO. AF_12/2015</t>
  </si>
  <si>
    <t>ELETRODUTO FLEXÍVEL LISO, PEAD, DN 40 MM (1 1/4"), PARA CIRCUITOS TERMINAIS, INSTALADO EM LAJE - FORNECIMENTO E INSTALAÇÃO. AF_12/2015</t>
  </si>
  <si>
    <t>ELETRODUTO FLEXÍVEL LISO, PEAD, DN 32 MM (1"), PARA CIRCUITOS TERMINAIS, INSTALADO EM PAREDE - FORNECIMENTO E INSTALAÇÃO. AF_12/2015</t>
  </si>
  <si>
    <t>ELETRODUTO FLEXÍVEL CORRUGADO, PEAD, DN 40 MM (1 1/4"), PARA CIRCUITOS TERMINAIS, INSTALADO EM PAREDE - FORNECIMENTO E INSTALAÇÃO. AF_12/2015</t>
  </si>
  <si>
    <t>ELETRODUTO FLEXÍVEL LISO, PEAD, DN 40 MM (1 1/4"), PARA CIRCUITOS TERMINAIS, INSTALADO EM PAREDE - FORNECIMENTO E INSTALAÇÃO. AF_12/2015</t>
  </si>
  <si>
    <t>ELETRODUTO FLEXÍVEL CORRUGADO, PEAD, DN 50 (1 ½)  - FORNECIMENTO E INSTALAÇÃO. AF_04/2016</t>
  </si>
  <si>
    <t>ELETRODUTO FLEXÍVEL CORRUGADO, PEAD, DN 63 (2")  - FORNECIMENTO E INSTALAÇÃO. AF_04/2016</t>
  </si>
  <si>
    <t>ELETRODUTO FLEXÍVEL CORRUGADO, PEAD, DN 90 (3) - FORNECIMENTO E INSTALAÇÃO. AF_04/2016</t>
  </si>
  <si>
    <t>ELETRODUTO FLEXÍVEL CORRUGADO, PEAD, DN 100 (4) - FORNECIMENTO E INSTALAÇÃO. AF_04/2016</t>
  </si>
  <si>
    <t>CABO DE COBRE FLEXÍVEL ISOLADO, 1,5 MM², ANTI-CHAMA 450/750 V, PARA CIRCUITOS TERMINAIS - FORNECIMENTO E INSTALAÇÃO. AF_12/2015</t>
  </si>
  <si>
    <t>CABO DE COBRE FLEXÍVEL ISOLADO, 2,5 MM², ANTI-CHAMA 450/750 V, PARA CIRCUITOS TERMINAIS - FORNECIMENTO E INSTALAÇÃO. AF_12/2015</t>
  </si>
  <si>
    <t>CABO DE COBRE FLEXÍVEL ISOLADO, 4 MM², ANTI-CHAMA 450/750 V, PARA CIRCUITOS TERMINAIS - FORNECIMENTO E INSTALAÇÃO. AF_12/2015</t>
  </si>
  <si>
    <t>CABO DE COBRE FLEXÍVEL ISOLADO, 6 MM², ANTI-CHAMA 450/750 V, PARA CIRCUITOS TERMINAIS - FORNECIMENTO E INSTALAÇÃO. AF_12/2015</t>
  </si>
  <si>
    <t>CABO DE COBRE FLEXÍVEL ISOLADO, 10 MM², ANTI-CHAMA 450/750 V, PARA CIRCUITOS TERMINAIS - FORNECIMENTO E INSTALAÇÃO. AF_12/2015</t>
  </si>
  <si>
    <t>CABO DE COBRE FLEXÍVEL ISOLADO, 16 MM², ANTI-CHAMA 450/750 V, PARA CIRCUITOS TERMINAIS - FORNECIMENTO E INSTALAÇÃO. AF_12/2015</t>
  </si>
  <si>
    <t>CABO DE COBRE FLEXÍVEL ISOLADO, 10 MM², ANTI-CHAMA 450/750 V, PARA DISTRIBUIÇÃO - FORNECIMENTO E INSTALAÇÃO. AF_12/2015</t>
  </si>
  <si>
    <t>CABO DE COBRE FLEXÍVEL ISOLADO, 16 MM², ANTI-CHAMA 450/750 V, PARA DISTRIBUIÇÃO - FORNECIMENTO E INSTALAÇÃO. AF_12/2015</t>
  </si>
  <si>
    <t>CABO DE COBRE FLEXÍVEL ISOLADO, 1,5 MM², ANTI-CHAMA 0,6/1,0 KV, PARA CIRCUITOS TERMINAIS - FORNECIMENTO E INSTALAÇÃO. AF_12/2015</t>
  </si>
  <si>
    <t>CABO DE COBRE FLEXÍVEL ISOLADO, 2,5 MM², ANTI-CHAMA 0,6/1,0 KV, PARA CIRCUITOS TERMINAIS - FORNECIMENTO E INSTALAÇÃO. AF_12/2015</t>
  </si>
  <si>
    <t>CABO DE COBRE FLEXÍVEL ISOLADO, 4 MM², ANTI-CHAMA 0,6/1,0 KV, PARA CIRCUITOS TERMINAIS - FORNECIMENTO E INSTALAÇÃO. AF_12/2015</t>
  </si>
  <si>
    <t>CABO DE COBRE FLEXÍVEL ISOLADO, 6 MM², ANTI-CHAMA 0,6/1,0 KV, PARA CIRCUITOS TERMINAIS - FORNECIMENTO E INSTALAÇÃO. AF_12/2015</t>
  </si>
  <si>
    <t>CABO DE COBRE FLEXÍVEL ISOLADO, 10 MM², ANTI-CHAMA 0,6/1,0 KV, PARA CIRCUITOS TERMINAIS - FORNECIMENTO E INSTALAÇÃO. AF_12/2015</t>
  </si>
  <si>
    <t>CABO DE COBRE FLEXÍVEL ISOLADO, 16 MM², ANTI-CHAMA 0,6/1,0 KV, PARA CIRCUITOS TERMINAIS - FORNECIMENTO E INSTALAÇÃO. AF_12/2015</t>
  </si>
  <si>
    <t>CABO DE COBRE FLEXÍVEL ISOLADO, 10 MM², ANTI-CHAMA 0,6/1,0 KV, PARA DISTRIBUIÇÃO - FORNECIMENTO E INSTALAÇÃO. AF_12/2015</t>
  </si>
  <si>
    <t>CABO DE COBRE FLEXÍVEL ISOLADO, 16 MM², ANTI-CHAMA 0,6/1,0 KV, PARA DISTRIBUIÇÃO - FORNECIMENTO E INSTALAÇÃO. AF_12/2015</t>
  </si>
  <si>
    <t>CABO DE COBRE FLEXÍVEL ISOLADO, 25 MM², ANTI-CHAMA 0,6/1,0 KV, PARA DISTRIBUIÇÃO - FORNECIMENTO E INSTALAÇÃO. AF_12/2015</t>
  </si>
  <si>
    <t>CABO DE COBRE FLEXÍVEL ISOLADO, 35 MM², ANTI-CHAMA 0,6/1,0 KV, PARA DISTRIBUIÇÃO - FORNECIMENTO E INSTALAÇÃO. AF_12/2015</t>
  </si>
  <si>
    <t>CABO DE COBRE FLEXÍVEL ISOLADO, 50 MM², ANTI-CHAMA 0,6/1,0 KV, PARA DISTRIBUIÇÃO - FORNECIMENTO E INSTALAÇÃO. AF_12/2015</t>
  </si>
  <si>
    <t>CABO DE COBRE FLEXÍVEL ISOLADO, 70 MM², ANTI-CHAMA 0,6/1,0 KV, PARA DISTRIBUIÇÃO - FORNECIMENTO E INSTALAÇÃO. AF_12/2015</t>
  </si>
  <si>
    <t>CABO DE COBRE FLEXÍVEL ISOLADO, 95 MM², ANTI-CHAMA 0,6/1,0 KV, PARA DISTRIBUIÇÃO - FORNECIMENTO E INSTALAÇÃO. AF_12/2015</t>
  </si>
  <si>
    <t>CABO DE COBRE FLEXÍVEL ISOLADO, 120 MM², ANTI-CHAMA 0,6/1,0 KV, PARA DISTRIBUIÇÃO - FORNECIMENTO E INSTALAÇÃO. AF_12/2015</t>
  </si>
  <si>
    <t>CABO DE COBRE FLEXÍVEL ISOLADO, 150 MM², ANTI-CHAMA 0,6/1,0 KV, PARA DISTRIBUIÇÃO - FORNECIMENTO E INSTALAÇÃO. AF_12/2015</t>
  </si>
  <si>
    <t>CABO DE COBRE FLEXÍVEL ISOLADO, 185 MM², ANTI-CHAMA 0,6/1,0 KV, PARA DISTRIBUIÇÃO - FORNECIMENTO E INSTALAÇÃO. AF_12/2015</t>
  </si>
  <si>
    <t>CABO DE COBRE FLEXÍVEL ISOLADO, 240 MM², ANTI-CHAMA 0,6/1,0 KV, PARA DISTRIBUIÇÃO - FORNECIMENTO E INSTALAÇÃO. AF_12/2015</t>
  </si>
  <si>
    <t>CABO DE COBRE FLEXÍVEL ISOLADO, 300 MM², ANTI-CHAMA 0,6/1,0 KV, PARA DISTRIBUIÇÃO - FORNECIMENTO E INSTALAÇÃO. AF_12/2015</t>
  </si>
  <si>
    <t>CABO DE COBRE ISOLADO, 10 MM², ANTI-CHAMA 450/750 V, INSTALADO EM ELETROCALHA OU PERFILADO - FORNECIMENTO E INSTALAÇÃO. AF_10/2020</t>
  </si>
  <si>
    <t>CABO DE COBRE ISOLADO, 10 MM², ANTI-CHAMA 0,6/1 KV, INSTALADO EM ELETROCALHA OU PERFILADO - FORNECIMENTO E INSTALAÇÃO. AF_10/2020</t>
  </si>
  <si>
    <t>CABO DE COBRE ISOLADO, 16 MM², ANTI-CHAMA 450/750 V, INSTALADO EM ELETROCALHA OU PERFILADO - FORNECIMENTO E INSTALAÇÃO. AF_10/2020</t>
  </si>
  <si>
    <t>CABO DE COBRE ISOLADO, 16 MM², ANTI-CHAMA 0,6/1 KV, INSTALADO EM ELETROCALHA OU PERFILADO - FORNECIMENTO E INSTALAÇÃO. AF_10/2020</t>
  </si>
  <si>
    <t>CABO DE COBRE ISOLADO, 25 MM², ANTI-CHAMA 450/750 V, INSTALADO EM ELETROCALHA OU PERFILADO - FORNECIMENTO E INSTALAÇÃO. AF_10/2020</t>
  </si>
  <si>
    <t>CABO DE COBRE ISOLADO, 25 MM², ANTI-CHAMA 0,6/1 KV, INSTALADO EM ELETROCALHA OU PERFILADO - FORNECIMENTO E INSTALAÇÃO. AF_10/2020</t>
  </si>
  <si>
    <t>CABO DE COBRE FLEXÍVEL ISOLADO, 10 MM², 0,6/1,0 KV, PARA REDE AÉREA DE DISTRIBUIÇÃO DE ENERGIA ELÉTRICA DE BAIXA TENSÃO - FORNECIMENTO E INSTALAÇÃO. AF_07/2020</t>
  </si>
  <si>
    <t>CABO DE COBRE FLEXÍVEL ISOLADO, 16 MM², 0,6/1,0 KV, PARA REDE AÉREA DE DISTRIBUIÇÃO DE ENERGIA ELÉTRICA DE BAIXA TENSÃO - FORNECIMENTO E INSTALAÇÃO. AF_07/2020</t>
  </si>
  <si>
    <t>CABO DE COBRE FLEXÍVEL ISOLADO, 25 MM², 0,6/1,0 KV, PARA REDE AÉREA DE DISTRIBUIÇÃO DE ENERGIA ELÉTRICA DE BAIXA TENSÃO - FORNECIMENTO E INSTALAÇÃO. AF_07/2020</t>
  </si>
  <si>
    <t>CABO DE COBRE FLEXÍVEL ISOLADO, 35 MM², 0,6/1,0 KV, PARA REDE AÉREA DE DISTRIBUIÇÃO DE ENERGIA ELÉTRICA DE BAIXA TENSÃO - FORNECIMENTO E INSTALAÇÃO. AF_07/2020</t>
  </si>
  <si>
    <t>CABO DE COBRE FLEXÍVEL ISOLADO, 50 MM², 0,6/1,0 KV, PARA REDE AÉREA DE DISTRIBUIÇÃO DE ENERGIA ELÉTRICA DE BAIXA TENSÃO - FORNECIMENTO E INSTALAÇÃO. AF_07/2020</t>
  </si>
  <si>
    <t>CABO DE COBRE FLEXÍVEL ISOLADO, 70 MM², 0,6/1,0 KV, PARA REDE AÉREA DE DISTRIBUIÇÃO DE ENERGIA ELÉTRICA DE BAIXA TENSÃO - FORNECIMENTO E INSTALAÇÃO. AF_07/2020</t>
  </si>
  <si>
    <t>CABO DE COBRE FLEXÍVEL ISOLADO, 95 MM², 0,6/1,0 KV, PARA REDE AÉREA DE DISTRIBUIÇÃO DE ENERGIA ELÉTRICA DE BAIXA TENSÃO - FORNECIMENTO E INSTALAÇÃO. AF_07/2020</t>
  </si>
  <si>
    <t>CABO DE COBRE FLEXÍVEL ISOLADO, 120 MM², 0,6/1,0 KV, PARA REDE AÉREA DE DISTRIBUIÇÃO DE ENERGIA ELÉTRICA DE BAIXA TENSÃO - FORNECIMENTO E INSTALAÇÃO. AF_07/2020</t>
  </si>
  <si>
    <t>CONDULETE DE ALUMÍNIO, TIPO B, PARA ELETRODUTO DE AÇO GALVANIZADO DN 20 MM (3/4''), APARENTE - FORNECIMENTO E INSTALAÇÃO. AF_11/2016_P</t>
  </si>
  <si>
    <t>CONDULETE DE ALUMÍNIO, TIPO C, PARA ELETRODUTO DE AÇO GALVANIZADO DN 20 MM (3/4''), APARENTE - FORNECIMENTO E INSTALAÇÃO. AF_11/2016_P</t>
  </si>
  <si>
    <t>CONDULETE DE ALUMÍNIO, TIPO E, PARA ELETRODUTO DE AÇO GALVANIZADO DN 20 MM (3/4''), APARENTE - FORNECIMENTO E INSTALAÇÃO. AF_11/2016_P</t>
  </si>
  <si>
    <t>CONDULETE DE ALUMÍNIO, TIPO B, PARA ELETRODUTO DE AÇO GALVANIZADO DN 25 MM (1''), APARENTE - FORNECIMENTO E INSTALAÇÃO. AF_11/2016_P</t>
  </si>
  <si>
    <t>CONDULETE DE ALUMÍNIO, TIPO C, PARA ELETRODUTO DE AÇO GALVANIZADO DN 25 MM (1''), APARENTE - FORNECIMENTO E INSTALAÇÃO. AF_11/2016_P</t>
  </si>
  <si>
    <t>CONDULETE DE ALUMÍNIO, TIPO E, ELETRODUTO DE AÇO GALVANIZADO DN 25 MM (1''), APARENTE - FORNECIMENTO E INSTALAÇÃO. AF_11/2016_P</t>
  </si>
  <si>
    <t>CONDULETE DE ALUMÍNIO, TIPO E, PARA ELETRODUTO DE AÇO GALVANIZADO DN 32 MM (1 1/4''), APARENTE - FORNECIMENTO E INSTALAÇÃO. AF_11/2016_P</t>
  </si>
  <si>
    <t>CONDULETE DE ALUMÍNIO, TIPO LR, PARA ELETRODUTO DE AÇO GALVANIZADO DN 20 MM (3/4''), APARENTE - FORNECIMENTO E INSTALAÇÃO. AF_11/2016_P</t>
  </si>
  <si>
    <t>CONDULETE DE ALUMÍNIO, TIPO LR, PARA ELETRODUTO DE AÇO GALVANIZADO DN 25 MM (1''), APARENTE - FORNECIMENTO E INSTALAÇÃO. AF_11/2016_P</t>
  </si>
  <si>
    <t>CONDULETE DE ALUMÍNIO, TIPO LR, PARA ELETRODUTO DE AÇO GALVANIZADO DN 32 MM (1 1/4''), APARENTE - FORNECIMENTO E INSTALAÇÃO. AF_11/2016_P</t>
  </si>
  <si>
    <t>CONDULETE DE ALUMÍNIO, TIPO T, PARA ELETRODUTO DE AÇO GALVANIZADO DN 20 MM (3/4''), APARENTE - FORNECIMENTO E INSTALAÇÃO. AF_11/2016_P</t>
  </si>
  <si>
    <t>CONDULETE DE ALUMÍNIO, TIPO T, PARA ELETRODUTO DE AÇO GALVANIZADO DN 25 MM (1''), APARENTE - FORNECIMENTO E INSTALAÇÃO. AF_11/2016_P</t>
  </si>
  <si>
    <t>CONDULETE DE ALUMÍNIO, TIPO T, PARA ELETRODUTO DE AÇO GALVANIZADO DN 32 MM (1 1/4''), APARENTE - FORNECIMENTO E INSTALAÇÃO. AF_11/2016_P</t>
  </si>
  <si>
    <t>CONDULETE DE ALUMÍNIO, TIPO X, PARA ELETRODUTO DE AÇO GALVANIZADO DN 20 MM (3/4''), APARENTE - FORNECIMENTO E INSTALAÇÃO. AF_11/2016_P</t>
  </si>
  <si>
    <t>CONDULETE DE ALUMÍNIO, TIPO X, PARA ELETRODUTO DE AÇO GALVANIZADO DN 25 MM (1''), APARENTE - FORNECIMENTO E INSTALAÇÃO. AF_11/2016_P</t>
  </si>
  <si>
    <t>CONDULETE DE ALUMÍNIO, TIPO X, PARA ELETRODUTO DE AÇO GALVANIZADO DN 32 MM (1 1/4''), APARENTE - FORNECIMENTO E INSTALAÇÃO. AF_11/2016_P</t>
  </si>
  <si>
    <t>CONDULETE DE PVC, TIPO B, PARA ELETRODUTO DE PVC SOLDÁVEL DN 20 MM (1/2''), APARENTE - FORNECIMENTO E INSTALAÇÃO. AF_11/2016</t>
  </si>
  <si>
    <t>CONDULETE DE PVC, TIPO B, PARA ELETRODUTO DE PVC SOLDÁVEL DN 25 MM (3/4''), APARENTE - FORNECIMENTO E INSTALAÇÃO. AF_11/2016</t>
  </si>
  <si>
    <t>CONDULETE DE PVC, TIPO B, PARA ELETRODUTO DE PVC SOLDÁVEL DN 32 MM (1''), APARENTE - FORNECIMENTO E INSTALAÇÃO. AF_11/2016</t>
  </si>
  <si>
    <t>CONDULETE DE PVC, TIPO LL, PARA ELETRODUTO DE PVC SOLDÁVEL DN 20 MM (1/2''), APARENTE - FORNECIMENTO E INSTALAÇÃO. AF_11/2016</t>
  </si>
  <si>
    <t>CONDULETE DE PVC, TIPO LL, PARA ELETRODUTO DE PVC SOLDÁVEL DN 25 MM (3/4''), APARENTE - FORNECIMENTO E INSTALAÇÃO. AF_11/2016</t>
  </si>
  <si>
    <t>CONDULETE DE PVC, TIPO LL, PARA ELETRODUTO DE PVC SOLDÁVEL DN 32 MM (1''), APARENTE - FORNECIMENTO E INSTALAÇÃO. AF_11/2016</t>
  </si>
  <si>
    <t>CONDULETE DE PVC, TIPO LB, PARA ELETRODUTO DE PVC SOLDÁVEL DN 20 MM (1/2''), APARENTE - FORNECIMENTO E INSTALAÇÃO. AF_11/2016</t>
  </si>
  <si>
    <t>CONDULETE DE PVC, TIPO LB, PARA ELETRODUTO DE PVC SOLDÁVEL DN 25 MM (3/4''), APARENTE - FORNECIMENTO E INSTALAÇÃO. AF_11/2016</t>
  </si>
  <si>
    <t>CONDULETE DE PVC, TIPO LB, PARA ELETRODUTO DE PVC SOLDÁVEL DN 32 MM (1''), APARENTE - FORNECIMENTO E INSTALAÇÃO. AF_11/2016</t>
  </si>
  <si>
    <t>CONDULETE DE PVC, TIPO TB, PARA ELETRODUTO DE PVC SOLDÁVEL DN 20 MM (1/2''), APARENTE - FORNECIMENTO E INSTALAÇÃO. AF_11/2016</t>
  </si>
  <si>
    <t>CONDULETE DE PVC, TIPO TB, PARA ELETRODUTO DE PVC SOLDÁVEL DN 25 MM (3/4''), APARENTE - FORNECIMENTO E INSTALAÇÃO. AF_11/2016</t>
  </si>
  <si>
    <t>CONDULETE DE PVC, TIPO TB, PARA ELETRODUTO DE PVC SOLDÁVEL DN 32 MM (1''), APARENTE - FORNECIMENTO E INSTALAÇÃO. AF_11/2016</t>
  </si>
  <si>
    <t>CONDULETE DE PVC, TIPO X, PARA ELETRODUTO DE PVC SOLDÁVEL DN 20 MM (1/2''), APARENTE - FORNECIMENTO E INSTALAÇÃO. AF_11/2016</t>
  </si>
  <si>
    <t>CONDULETE DE PVC, TIPO X, PARA ELETRODUTO DE PVC SOLDÁVEL DN 25 MM (3/4''), APARENTE - FORNECIMENTO E INSTALAÇÃO. AF_11/2016</t>
  </si>
  <si>
    <t>CONDULETE DE PVC, TIPO X, PARA ELETRODUTO DE PVC SOLDÁVEL DN 32 MM (1''), APARENTE - FORNECIMENTO E INSTALAÇÃO. AF_11/2016</t>
  </si>
  <si>
    <t>CAIXA OCTOGONAL 4" X 4", PVC, INSTALADA EM LAJE - FORNECIMENTO E INSTALAÇÃO. AF_12/2015</t>
  </si>
  <si>
    <t>CAIXA OCTOGONAL 3" X 3", PVC, INSTALADA EM LAJE - FORNECIMENTO E INSTALAÇÃO. AF_12/2015</t>
  </si>
  <si>
    <t>CAIXA RETANGULAR 4" X 2" ALTA (2,00 M DO PISO), PVC, INSTALADA EM PAREDE - FORNECIMENTO E INSTALAÇÃO. AF_12/2015</t>
  </si>
  <si>
    <t>CAIXA RETANGULAR 4" X 2" MÉDIA (1,30 M DO PISO), PVC, INSTALADA EM PAREDE - FORNECIMENTO E INSTALAÇÃO. AF_12/2015</t>
  </si>
  <si>
    <t>CAIXA RETANGULAR 4" X 2" BAIXA (0,30 M DO PISO), PVC, INSTALADA EM PAREDE - FORNECIMENTO E INSTALAÇÃO. AF_12/2015</t>
  </si>
  <si>
    <t>CAIXA RETANGULAR 4" X 4" ALTA (2,00 M DO PISO), PVC, INSTALADA EM PAREDE - FORNECIMENTO E INSTALAÇÃO. AF_12/2015</t>
  </si>
  <si>
    <t>CAIXA RETANGULAR 4" X 4" MÉDIA (1,30 M DO PISO), PVC, INSTALADA EM PAREDE - FORNECIMENTO E INSTALAÇÃO. AF_12/2015</t>
  </si>
  <si>
    <t>CAIXA RETANGULAR 4" X 4" BAIXA (0,30 M DO PISO), PVC, INSTALADA EM PAREDE - FORNECIMENTO E INSTALAÇÃO. AF_12/2015</t>
  </si>
  <si>
    <t>CAIXA OCTOGONAL 4" X 4", METÁLICA, INSTALADA EM LAJE - FORNECIMENTO E INSTALAÇÃO. AF_12/2015</t>
  </si>
  <si>
    <t>CAIXA SEXTAVADA 3" X 3", METÁLICA, INSTALADA EM LAJE - FORNECIMENTO E INSTALAÇÃO. AF_12/2015</t>
  </si>
  <si>
    <t>CAIXA RETANGULAR 4" X 2" ALTA (2,00 M DO PISO), METÁLICA, INSTALADA EM PAREDE - FORNECIMENTO E INSTALAÇÃO. AF_12/2015</t>
  </si>
  <si>
    <t>CAIXA RETANGULAR 4" X 2" MÉDIA (1,30 M DO PISO), METÁLICA, INSTALADA EM PAREDE - FORNECIMENTO E INSTALAÇÃO. AF_12/2015</t>
  </si>
  <si>
    <t>CAIXA RETANGULAR 4" X 2" BAIXA (0,30 M DO PISO), METÁLICA, INSTALADA EM PAREDE - FORNECIMENTO E INSTALAÇÃO. AF_12/2015</t>
  </si>
  <si>
    <t>CAIXA RETANGULAR 4" X 4" ALTA (2,00 M DO PISO), METÁLICA, INSTALADA EM PAREDE - FORNECIMENTO E INSTALAÇÃO. AF_12/2015</t>
  </si>
  <si>
    <t>CAIXA RETANGULAR 4" X 4" MÉDIA (1,30 M DO PISO), METÁLICA, INSTALADA EM PAREDE - FORNECIMENTO E INSTALAÇÃO. AF_12/2015</t>
  </si>
  <si>
    <t>CAIXA RETANGULAR 4" X 4" BAIXA (0,30 M DO PISO), METÁLICA, INSTALADA EM PAREDE - FORNECIMENTO E INSTALAÇÃO. AF_12/2015</t>
  </si>
  <si>
    <t>CAIXA ENTERRADA ELÉTRICA RETANGULAR, EM ALVENARIA COM TIJOLOS CERÂMICOS MACIÇOS, FUNDO COM BRITA, DIMENSÕES INTERNAS: 0,3X0,3X0,3 M. AF_12/2020</t>
  </si>
  <si>
    <t>CAIXA ENTERRADA ELÉTRICA RETANGULAR, EM ALVENARIA COM TIJOLOS CERÂMICOS MACIÇOS, FUNDO COM BRITA, DIMENSÕES INTERNAS: 0,4X0,4X0,4 M. AF_12/2020</t>
  </si>
  <si>
    <t>CAIXA ENTERRADA ELÉTRICA RETANGULAR, EM ALVENARIA COM TIJOLOS CERÂMICOS MACIÇOS, FUNDO COM BRITA, DIMENSÕES INTERNAS: 0,6X0,6X0,6 M. AF_12/2020</t>
  </si>
  <si>
    <t>CAIXA ENTERRADA ELÉTRICA RETANGULAR, EM ALVENARIA COM TIJOLOS CERÂMICOS MACIÇOS, FUNDO COM BRITA, DIMENSÕES INTERNAS: 0,8X0,8X0,6 M. AF_12/2020</t>
  </si>
  <si>
    <t>CAIXA ENTERRADA ELÉTRICA RETANGULAR, EM ALVENARIA COM TIJOLOS CERÂMICOS MACIÇOS, FUNDO COM BRITA, DIMENSÕES INTERNAS: 1X1X0,6 M. AF_12/2020</t>
  </si>
  <si>
    <t>CAIXA COM GRELHA SIMPLES RETANGULAR, EM CONCRETO PRÉ-MOLDADO, DIMENSÕES INTERNAS: 0,6X1,0X1,0 M. AF_12/2020</t>
  </si>
  <si>
    <t>CAIXA COM GRELHA SIMPLES RETANGULAR, EM ALVENARIA COM TIJOLOS CERÂMICOS MACIÇOS, DIMENSÕES INTERNAS: 0,5X1X1 M. AF_12/2020</t>
  </si>
  <si>
    <t>CAIXA COM GRELHA DUPLA RETANGULAR, EM ALVENARIA COM TIJOLOS CERÂMICOS MACIÇOS, DIMENSÕES INTERNAS: 0,5X2,2X1 M. AF_12/2020</t>
  </si>
  <si>
    <t>CAIXA COM GRELHA SIMPLES RETANGULAR, EM ALVENARIA COM BLOCOS DE CONCRETO, DIMENSÕES INTERNAS: 0,5X1X1 M. AF_12/2020</t>
  </si>
  <si>
    <t>CAIXA COM GRELHA DUPLA RETANGULAR, EM ALVENARIA COM BLOCOS DE CONCRETO, DIMENSÕES INTERNAS: 0,5X2,2X1 M. AF_12/2020</t>
  </si>
  <si>
    <t>CAIXA ENTERRADA ELÉTRICA RETANGULAR, EM ALVENARIA COM BLOCOS DE CONCRETO, FUNDO COM BRITA, DIMENSÕES INTERNAS: 0,4X0,4X0,4 M. AF_12/2020</t>
  </si>
  <si>
    <t>CAIXA ENTERRADA ELÉTRICA RETANGULAR, EM ALVENARIA COM BLOCOS DE CONCRETO, FUNDO COM BRITA, DIMENSÕES INTERNAS: 0,6X0,6X0,6 M. AF_12/2020</t>
  </si>
  <si>
    <t>CAIXA ENTERRADA ELÉTRICA RETANGULAR, EM ALVENARIA COM BLOCOS DE CONCRETO, FUNDO COM BRITA, DIMENSÕES INTERNAS: 0,8X0,8X0,6 M. AF_12/2020</t>
  </si>
  <si>
    <t>CAIXA ENTERRADA ELÉTRICA RETANGULAR, EM ALVENARIA COM BLOCOS DE CONCRETO, FUNDO COM BRITA, DIMENSÕES INTERNAS: 1X1X0,6 M. AF_12/2020</t>
  </si>
  <si>
    <t>CAIXA ENTERRADA ELÉTRICA RETANGULAR, EM CONCRETO PRÉ-MOLDADO, FUNDO COM BRITA, DIMENSÕES INTERNAS: 0,3X0,3X0,3 M. AF_12/2020</t>
  </si>
  <si>
    <t>CAIXA ENTERRADA ELÉTRICA RETANGULAR, EM CONCRETO PRÉ-MOLDADO, FUNDO COM BRITA, DIMENSÕES INTERNAS: 0,4X0,4X0,4 M. AF_12/2020</t>
  </si>
  <si>
    <t>CAIXA ENTERRADA ELÉTRICA RETANGULAR, EM CONCRETO PRÉ-MOLDADO, FUNDO COM BRITA, DIMENSÕES INTERNAS: 0,6X0,6X0,5 M. AF_12/2020</t>
  </si>
  <si>
    <t>CAIXA ENTERRADA ELÉTRICA RETANGULAR, EM CONCRETO PRÉ-MOLDADO, FUNDO COM BRITA, DIMENSÕES INTERNAS: 0,8X0,8X0,5 M. AF_12/2020</t>
  </si>
  <si>
    <t>CAIXA ENTERRADA ELÉTRICA RETANGULAR, EM CONCRETO PRÉ-MOLDADO, FUNDO COM BRITA, DIMENSÕES INTERNAS: 1X1X0,5 M. AF_12/2020</t>
  </si>
  <si>
    <t>SUPORTE PARAFUSADO COM PLACA DE ENCAIXE 4" X 2" ALTO (2,00 M DO PISO) PARA PONTO ELÉTRICO - FORNECIMENTO E INSTALAÇÃO. AF_12/2015</t>
  </si>
  <si>
    <t>SUPORTE PARAFUSADO COM PLACA DE ENCAIXE 4" X 2" MÉDIO (1,30 M DO PISO) PARA PONTO ELÉTRICO - FORNECIMENTO E INSTALAÇÃO. AF_12/2015</t>
  </si>
  <si>
    <t>SUPORTE PARAFUSADO COM PLACA DE ENCAIXE 4" X 2" BAIXO (0,30 M DO PISO) PARA PONTO ELÉTRICO - FORNECIMENTO E INSTALAÇÃO. AF_12/2015</t>
  </si>
  <si>
    <t>SUPORTE PARAFUSADO COM PLACA DE ENCAIXE 4" X 4" ALTO (2,00 M DO PISO) PARA PONTO ELÉTRICO - FORNECIMENTO E INSTALAÇÃO. AF_12/2015</t>
  </si>
  <si>
    <t>SUPORTE PARAFUSADO COM PLACA DE ENCAIXE 4" X 4" MÉDIO (1,30 M DO PISO) PARA PONTO ELÉTRICO - FORNECIMENTO E INSTALAÇÃO. AF_12/2015</t>
  </si>
  <si>
    <t>SUPORTE PARAFUSADO COM PLACA DE ENCAIXE 4" X 4" BAIXO (0,30 M DO PISO) PARA PONTO ELÉTRICO - FORNECIMENTO E INSTALAÇÃO. AF_12/2015</t>
  </si>
  <si>
    <t>QUADRO DE MEDIÇÃO GERAL DE ENERGIA PARA 1 MEDIDOR DE SOBREPOR - FORNECIMENTO E INSTALAÇÃO. AF_10/2020</t>
  </si>
  <si>
    <t>QUADRO DE MEDIÇÃO GERAL DE ENERGIA PARA BARRAMENTO BLINDADO COM 4 MEDIDORES - FORNECIMENTO E INSTALAÇÃO. AF_10/2020</t>
  </si>
  <si>
    <t>QUADRO DE MEDIÇÃO GERAL DE ENERGIA COM 8 MEDIDORES - FORNECIMENTO E INSTALAÇÃO. AF_10/2020</t>
  </si>
  <si>
    <t>QUADRO DE MEDIÇÃO GERAL DE ENERGIA COM 12 MEDIDORES - FORNECIMENTO E INSTALAÇÃO. AF_10/2020</t>
  </si>
  <si>
    <t>QUADRO DE MEDIÇÃO GERAL DE ENERGIA COM 16 MEDIDORES - FORNECIMENTO E INSTALAÇÃO. AF_10/2020</t>
  </si>
  <si>
    <t>QUADRO DE DISTRIBUIÇÃO DE ENERGIA EM CHAPA DE AÇO GALVANIZADO, DE EMBUTIR, COM BARRAMENTO TRIFÁSICO, PARA 12 DISJUNTORES DIN 100A - FORNECIMENTO E INSTALAÇÃO. AF_10/2020</t>
  </si>
  <si>
    <t>QUADRO DE DISTRIBUIÇÃO DE ENERGIA EM PVC, DE EMBUTIR, SEM BARRAMENTO, PARA 6 DISJUNTORES - FORNECIMENTO E INSTALAÇÃO. AF_10/2020</t>
  </si>
  <si>
    <t>QUADRO DE DISTRIBUIÇÃO DE ENERGIA EM PVC, DE EMBUTIR, SEM BARRAMENTO, PARA 3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</si>
  <si>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</si>
  <si>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DE ENERGIA EM CHAPA DE AÇO GALVANIZADO, DE EMBUTIR, COM BARRAMENTO TRIFÁSICO, PARA 24 DISJUNTORES DIN 100A - FORNECIMENTO E INSTALAÇÃO. AF_10/2020</t>
  </si>
  <si>
    <t>QUADRO DE DISTRIBUIÇÃO DE ENERGIA EM CHAPA DE AÇO GALVANIZADO, DE EMBUTIR, COM BARRAMENTO TRIFÁSICO, PARA 30 DISJUNTORES DIN 150A - FORNECIMENTO E INSTALAÇÃO. AF_10/2020</t>
  </si>
  <si>
    <t>QUADRO DE DISTRIBUIÇÃO DE ENERGIA EM CHAPA DE AÇO GALVANIZADO, DE EMBUTIR, COM BARRAMENTO TRIFÁSICO, PARA 40 DISJUNTORES DIN 100A - FORNECIMENTO E INSTALAÇÃO. AF_10/2020</t>
  </si>
  <si>
    <t>QUADRO DE DISTRIBUIÇÃO DE ENERGIA EM CHAPA DE AÇO GALVANIZADO, DE EMBUTIR, COM BARRAMENTO TRIFÁSICO, PARA 30 DISJUNTORES DIN 225A - FORNECIMENTO E INSTALAÇÃO. AF_10/2020</t>
  </si>
  <si>
    <t>QUADRO DE DISTRIBUIÇÃO DE ENERGIA EM CHAPA DE AÇO GALVANIZADO, DE EMBUTIR, COM BARRAMENTO TRIFÁSICO, PARA 18 DISJUNTORES DIN 100A - FORNECIMENTO E INSTALAÇÃO. AF_10/2020</t>
  </si>
  <si>
    <t>CONTATOR TRIPOLAR I NOMINAL 12A - FORNECIMENTO E INSTALAÇÃO. AF_10/2020</t>
  </si>
  <si>
    <t>CONTATOR TRIPOLAR I NOMINAL 22A - FORNECIMENTO E INSTALAÇÃO. AF_10/2020</t>
  </si>
  <si>
    <t>CONTATOR TRIPOLAR I NOMINAL 38A - FORNECIMENTO E INSTALAÇÃO. AF_10/2020</t>
  </si>
  <si>
    <t>CONTATOR TRIPOLAR I NOMIMAL 95A - FORNECIMENTO E INSTALAÇÃO. AF_10/2020</t>
  </si>
  <si>
    <t>DISJUNTOR MONOPOLAR TIPO DIN, CORRENTE NOMINAL DE 10A - FORNECIMENTO E INSTALAÇÃO. AF_10/2020</t>
  </si>
  <si>
    <t>DISJUNTOR MONOPOLAR TIPO DIN, CORRENTE NOMINAL DE 16A - FORNECIMENTO E INSTALAÇÃO. AF_10/2020</t>
  </si>
  <si>
    <t>DISJUNTOR MONOPOLAR TIPO DIN, CORRENTE NOMINAL DE 20A - FORNECIMENTO E INSTALAÇÃO. AF_10/2020</t>
  </si>
  <si>
    <t>DISJUNTOR MONOPOLAR TIPO DIN, CORRENTE NOMINAL DE 25A - FORNECIMENTO E INSTALAÇÃO. AF_10/2020</t>
  </si>
  <si>
    <t>DISJUNTOR MONOPOLAR TIPO DIN, CORRENTE NOMINAL DE 32A - FORNECIMENTO E INSTALAÇÃO. AF_10/2020</t>
  </si>
  <si>
    <t>DISJUNTOR MONOPOLAR TIPO DIN, CORRENTE NOMINAL DE 40A - FORNECIMENTO E INSTALAÇÃO. AF_10/2020</t>
  </si>
  <si>
    <t>DISJUNTOR MONOPOLAR TIPO DIN, CORRENTE NOMINAL DE 50A - FORNECIMENTO E INSTALAÇÃO. AF_10/2020</t>
  </si>
  <si>
    <t>DISJUNTOR MONOPOLAR TIPO NEMA, CORRENTE NOMINAL DE 10 ATÉ 30A - FORNECIMENTO E INSTALAÇÃO. AF_10/2020</t>
  </si>
  <si>
    <t>DISJUNTOR MONOPOLAR TIPO NEMA, CORRENTE NOMINAL DE 35 ATÉ 50A - FORNECIMENTO E INSTALAÇÃO. AF_10/2020</t>
  </si>
  <si>
    <t>DISJUNTOR BIPOLAR TIPO DIN, CORRENTE NOMINAL DE 10A - FORNECIMENTO E INSTALAÇÃO. AF_10/2020</t>
  </si>
  <si>
    <t>DISJUNTOR BIPOLAR TIPO DIN, CORRENTE NOMINAL DE 16A - FORNECIMENTO E INSTALAÇÃO. AF_10/2020</t>
  </si>
  <si>
    <t>DISJUNTOR BIPOLAR TIPO DIN, CORRENTE NOMINAL DE 20A - FORNECIMENTO E INSTALAÇÃO. AF_10/2020</t>
  </si>
  <si>
    <t>DISJUNTOR BIPOLAR TIPO DIN, CORRENTE NOMINAL DE 25A - FORNECIMENTO E INSTALAÇÃO. AF_10/2020</t>
  </si>
  <si>
    <t>DISJUNTOR BIPOLAR TIPO DIN, CORRENTE NOMINAL DE 32A - FORNECIMENTO E INSTALAÇÃO. AF_10/2020</t>
  </si>
  <si>
    <t>DISJUNTOR BIPOLAR TIPO DIN, CORRENTE NOMINAL DE 40A - FORNECIMENTO E INSTALAÇÃO. AF_10/2020</t>
  </si>
  <si>
    <t>DISJUNTOR BIPOLAR TIPO DIN, CORRENTE NOMINAL DE 50A - FORNECIMENTO E INSTALAÇÃO. AF_10/2020</t>
  </si>
  <si>
    <t>DISJUNTOR BIPOLAR TIPO NEMA, CORRENTE NOMINAL DE 10 ATÉ 50A - FORNECIMENTO E INSTALAÇÃO. AF_10/2020</t>
  </si>
  <si>
    <t>DISJUNTOR TRIPOLAR TIPO DIN, CORRENTE NOMINAL DE 10A - FORNECIMENTO E INSTALAÇÃO. AF_10/2020</t>
  </si>
  <si>
    <t>DISJUNTOR TRIPOLAR TIPO DIN, CORRENTE NOMINAL DE 16A - FORNECIMENTO E INSTALAÇÃO. AF_10/2020</t>
  </si>
  <si>
    <t>DISJUNTOR TRIPOLAR TIPO DIN, CORRENTE NOMINAL DE 20A - FORNECIMENTO E INSTALAÇÃO. AF_10/2020</t>
  </si>
  <si>
    <t>DISJUNTOR TRIPOLAR TIPO DIN, CORRENTE NOMINAL DE 25A - FORNECIMENTO E INSTALAÇÃO. AF_10/2020</t>
  </si>
  <si>
    <t>DISJUNTOR TRIPOLAR TIPO DIN, CORRENTE NOMINAL DE 32A - FORNECIMENTO E INSTALAÇÃO. AF_10/2020</t>
  </si>
  <si>
    <t>DISJUNTOR TRIPOLAR TIPO DIN, CORRENTE NOMINAL DE 40A - FORNECIMENTO E INSTALAÇÃO. AF_10/2020</t>
  </si>
  <si>
    <t>DISJUNTOR TRIPOLAR TIPO DIN, CORRENTE NOMINAL DE 50A - FORNECIMENTO E INSTALAÇÃO. AF_10/2020</t>
  </si>
  <si>
    <t>DISJUNTOR TRIPOLAR TIPO NEMA, CORRENTE NOMINAL DE 10 ATÉ 50A - FORNECIMENTO E INSTALAÇÃO. AF_10/2020</t>
  </si>
  <si>
    <t>DISJUNTOR TRIPOLAR TIPO NEMA, CORRENTE NOMINAL DE 60 ATÉ 100A - FORNECIMENTO E INSTALAÇÃO. AF_10/2020</t>
  </si>
  <si>
    <t>ABRAÇADEIRA DE FIXAÇÃO DE BRAÇOS DE LUMINÁRIAS DE 2" - FORNECIMENTO E INSTALAÇÃO. AF_08/2020</t>
  </si>
  <si>
    <t>ABRAÇADEIRA DE FIXAÇÃO DE BRAÇOS DE LUMINÁRIAS DE 3" - FORNECIMENTO E INSTALAÇÃO. AF_08/2020</t>
  </si>
  <si>
    <t>ABRAÇADEIRA DE FIXAÇÃO DE BRAÇOS DE LUMINÁRIAS DE 4" - FORNECIMENTO E INSTALAÇÃO. AF_08/2020</t>
  </si>
  <si>
    <t>DISJUNTOR TERMOMAGNÉTICO TRIPOLAR , CORRENTE NOMINAL DE 125A - FORNECIMENTO E INSTALAÇÃO. AF_10/2020</t>
  </si>
  <si>
    <t>DISJUNTOR TERMOMAGNÉTICO TRIPOLAR , CORRENTE NOMINAL DE 200A - FORNECIMENTO E INSTALAÇÃO. AF_10/2020</t>
  </si>
  <si>
    <t>DISJUNTOR TERMOMAGNÉTICO TRIPOLAR , CORRENTE NOMINAL DE 250A - FORNECIMENTO E INSTALAÇÃO. AF_10/2020</t>
  </si>
  <si>
    <t>DISJUNTOR TERMOMAGNÉTICO TRIPOLAR , CORRENTE NOMINAL DE 400A - FORNECIMENTO E INSTALAÇÃO. AF_10/2020</t>
  </si>
  <si>
    <t>DISJUNTOR TERMOMAGNÉTICO TRIPOLAR , CORRENTE NOMINAL DE 600A - FORNECIMENTO E INSTALAÇÃO. AF_10/2020</t>
  </si>
  <si>
    <t>DISJUNTOR BAIXA TENSÃO TRIPOLAR A SECO  800A/600V - FORNECIMENTO E INSTALAÇÃO. AF_10/2020</t>
  </si>
  <si>
    <t>INTERRUPTOR SIMPLES (1 MÓDULO), 10A/250V, SEM SUPORTE E SEM PLACA - FORNECIMENTO E INSTALAÇÃO. AF_12/2015</t>
  </si>
  <si>
    <t>INTERRUPTOR SIMPLES (1 MÓDULO), 10A/250V, INCLUINDO SUPORTE E PLACA - FORNECIMENTO E INSTALAÇÃO. AF_12/2015</t>
  </si>
  <si>
    <t>INTERRUPTOR SIMPLES (1 MÓDULO) COM INTERRUPTOR PARALELO (1 MÓDULO), 10A/250V, SEM SUPORTE E SEM PLACA - FORNECIMENTO E INSTALAÇÃO. AF_12/2015</t>
  </si>
  <si>
    <t>INTERRUPTOR SIMPLES (1 MÓDULO) COM INTERRUPTOR PARALELO (1 MÓDULO), 10A/250V, INCLUINDO SUPORTE E PLACA - FORNECIMENTO E INSTALAÇÃO. AF_12/2015</t>
  </si>
  <si>
    <t>INTERRUPTOR SIMPLES (2 MÓDULOS), 10A/250V, SEM SUPORTE E SEM PLACA - FORNECIMENTO E INSTALAÇÃO. AF_12/2015</t>
  </si>
  <si>
    <t>INTERRUPTOR SIMPLES (2 MÓDULOS), 10A/250V, INCLUINDO SUPORTE E PLACA - FORNECIMENTO E INSTALAÇÃO. AF_12/2015</t>
  </si>
  <si>
    <t>INTERRUPTOR SIMPLES (1 MÓDULO) COM INTERRUPTOR PARALELO (2 MÓDULOS), 10A/250V, SEM SUPORTE E SEM PLACA - FORNECIMENTO E INSTALAÇÃO. AF_12/2015</t>
  </si>
  <si>
    <t>INTERRUPTOR SIMPLES (1 MÓDULO) COM INTERRUPTOR PARALELO (2 MÓDULOS), 10A/250V, INCLUINDO SUPORTE E PLACA - FORNECIMENTO E INSTALAÇÃO. AF_12/2015</t>
  </si>
  <si>
    <t>INTERRUPTOR SIMPLES (2 MÓDULOS) COM INTERRUPTOR PARALELO (1 MÓDULO), 10A/250V, SEM SUPORTE E SEM PLACA - FORNECIMENTO E INSTALAÇÃO. AF_12/2015</t>
  </si>
  <si>
    <t>INTERRUPTOR SIMPLES (2 MÓDULOS) COM INTERRUPTOR PARALELO (1 MÓDULO), 10A/250V, INCLUINDO SUPORTE E PLACA - FORNECIMENTO E INSTALAÇÃO. AF_12/2015</t>
  </si>
  <si>
    <t>INTERRUPTOR SIMPLES (3 MÓDULOS), 10A/250V, SEM SUPORTE E SEM PLACA - FORNECIMENTO E INSTALAÇÃO. AF_12/2015</t>
  </si>
  <si>
    <t>INTERRUPTOR SIMPLES (3 MÓDULOS), 10A/250V, INCLUINDO SUPORTE E PLACA - FORNECIMENTO E INSTALAÇÃO. AF_12/2015</t>
  </si>
  <si>
    <t>INTERRUPTOR SIMPLES (3 MÓDULOS) COM INTERRUPTOR PARALELO (1 MÓDULO), 10A/250V, SEM SUPORTE E SEM PLACA - FORNECIMENTO E INSTALAÇÃO. AF_12/2015</t>
  </si>
  <si>
    <t>INTERRUPTOR SIMPLES (3 MÓDULOS) COM INTERRUPTOR PARALELO (1 MÓDULO), 10A/250V, INCLUINDO SUPORTE E PLACA - FORNECIMENTO E INSTALAÇÃO. AF_12/2015</t>
  </si>
  <si>
    <t>INTERRUPTOR SIMPLES (2 MÓDULOS) COM INTERRUPTOR PARALELO (2 MÓDULOS), 10A/250V, SEM SUPORTE E SEM PLACA - FORNECIMENTO E INSTALAÇÃO. AF_12/2015</t>
  </si>
  <si>
    <t>INTERRUPTOR SIMPLES (2 MÓDULOS) COM INTERRUPTOR PARALELO (2 MÓDULOS), 10A/250V, INCLUINDO SUPORTE E PLACA - FORNECIMENTO E INSTALAÇÃO. AF_12/2015</t>
  </si>
  <si>
    <t>INTERRUPTOR SIMPLES (4 MÓDULOS), 10A/250V, SEM SUPORTE E SEM PLACA - FORNECIMENTO E INSTALAÇÃO. AF_12/2015</t>
  </si>
  <si>
    <t>INTERRUPTOR SIMPLES (4 MÓDULOS), 10A/250V, INCLUINDO SUPORTE E PLACA - FORNECIMENTO E INSTALAÇÃO. AF_12/2015</t>
  </si>
  <si>
    <t>INTERRUPTOR SIMPLES (6 MÓDULOS), 10A/250V, SEM SUPORTE E SEM PLACA - FORNECIMENTO E INSTALAÇÃO. AF_12/2015</t>
  </si>
  <si>
    <t>INTERRUPTOR SIMPLES (6 MÓDULOS), 10A/250V, INCLUINDO SUPORTE E PLACA - FORNECIMENTO E INSTALAÇÃO. AF_12/2015</t>
  </si>
  <si>
    <t>INTERRUPTOR SIMPLES (1 MÓDULO) COM 1 TOMADA DE EMBUTIR 2P+T 10 A,  SEM SUPORTE E SEM PLACA - FORNECIMENTO E INSTALAÇÃO. AF_12/2015</t>
  </si>
  <si>
    <t>INTERRUPTOR SIMPLES (1 MÓDULO) COM 1 TOMADA DE EMBUTIR 2P+T 10 A,  INCLUINDO SUPORTE E PLACA - FORNECIMENTO E INSTALAÇÃO. AF_12/2015</t>
  </si>
  <si>
    <t>INTERRUPTOR SIMPLES (1 MÓDULO) COM 2 TOMADAS DE EMBUTIR 2P+T 10 A,  SEM SUPORTE E SEM PLACA - FORNECIMENTO E INSTALAÇÃO. AF_12/2015</t>
  </si>
  <si>
    <t>INTERRUPTOR SIMPLES (1 MÓDULO) COM 2 TOMADAS DE EMBUTIR 2P+T 10 A,  INCLUINDO SUPORTE E PLACA - FORNECIMENTO E INSTALAÇÃO. AF_12/2015</t>
  </si>
  <si>
    <t>INTERRUPTOR SIMPLES (2 MÓDULOS) COM 1 TOMADA DE EMBUTIR 2P+T 10 A,  SEM SUPORTE E SEM PLACA - FORNECIMENTO E INSTALAÇÃO. AF_12/2015</t>
  </si>
  <si>
    <t>INTERRUPTOR SIMPLES (2 MÓDULOS) COM 1 TOMADA DE EMBUTIR 2P+T 10 A,  INCLUINDO SUPORTE E PLACA - FORNECIMENTO E INSTALAÇÃO. AF_12/2015</t>
  </si>
  <si>
    <t>INTERRUPTOR SIMPLES (1 MÓDULO), INTERRUPTOR PARALELO (1 MÓDULO) E 1 TOMADA DE EMBUTIR 2P+T 10 A,  SEM SUPORTE E SEM PLACA - FORNECIMENTO E INSTALAÇÃO. AF_12/2015</t>
  </si>
  <si>
    <t>INTERRUPTOR SIMPLES (1 MÓDULO), INTERRUPTOR PARALELO (1 MÓDULO) E 1 TOMADA DE EMBUTIR 2P+T 10 A,  INCLUINDO SUPORTE E PLACA - FORNECIMENTO E INSTALAÇÃO. AF_12/2015</t>
  </si>
  <si>
    <t>INTERRUPTOR PARALELO (1 MÓDULO), 10A/250V, SEM SUPORTE E SEM PLACA - FORNECIMENTO E INSTALAÇÃO. AF_12/2015</t>
  </si>
  <si>
    <t>INTERRUPTOR PARALELO (1 MÓDULO), 10A/250V, INCLUINDO SUPORTE E PLACA - FORNECIMENTO E INSTALAÇÃO. AF_12/2015</t>
  </si>
  <si>
    <t>INTERRUPTOR PARALELO (2 MÓDULOS), 10A/250V, SEM SUPORTE E SEM PLACA - FORNECIMENTO E INSTALAÇÃO. AF_12/2015</t>
  </si>
  <si>
    <t>INTERRUPTOR PARALELO (2 MÓDULOS), 10A/250V, INCLUINDO SUPORTE E PLACA - FORNECIMENTO E INSTALAÇÃO. AF_12/2015</t>
  </si>
  <si>
    <t>INTERRUPTOR PARALELO (3 MÓDULOS), 10A/250V, SEM SUPORTE E SEM PLACA - FORNECIMENTO E INSTALAÇÃO. AF_12/2015</t>
  </si>
  <si>
    <t>INTERRUPTOR PARALELO (3 MÓDULOS), 10A/250V, INCLUINDO SUPORTE E PLACA - FORNECIMENTO E INSTALAÇÃO. AF_12/2015</t>
  </si>
  <si>
    <t>INTERRUPTOR PARALELO (1 MÓDULO) COM 1 TOMADA DE EMBUTIR 2P+T 10 A,  SEM SUPORTE E SEM PLACA - FORNECIMENTO E INSTALAÇÃO. AF_12/2015</t>
  </si>
  <si>
    <t>INTERRUPTOR PARALELO (1 MÓDULO) COM 1 TOMADA DE EMBUTIR 2P+T 10 A,  INCLUINDO SUPORTE E PLACA - FORNECIMENTO E INSTALAÇÃO. AF_12/2015</t>
  </si>
  <si>
    <t>INTERRUPTOR PARALELO (1 MÓDULO) COM 2 TOMADAS DE EMBUTIR 2P+T 10 A,  SEM SUPORTE E SEM PLACA - FORNECIMENTO E INSTALAÇÃO. AF_12/2015</t>
  </si>
  <si>
    <t>INTERRUPTOR PARALELO (1 MÓDULO) COM 2 TOMADAS DE EMBUTIR 2P+T 10 A,  INCLUINDO SUPORTE E PLACA - FORNECIMENTO E INSTALAÇÃO. AF_12/2015</t>
  </si>
  <si>
    <t>INTERRUPTOR PARALELO (2 MÓDULOS) COM 1 TOMADA DE EMBUTIR 2P+T 10 A,  SEM SUPORTE E SEM PLACA - FORNECIMENTO E INSTALAÇÃO. AF_12/2015</t>
  </si>
  <si>
    <t>INTERRUPTOR PARALELO (2 MÓDULOS) COM 1 TOMADA DE EMBUTIR 2P+T 10 A,  INCLUINDO SUPORTE E PLACA - FORNECIMENTO E INSTALAÇÃO. AF_12/2015</t>
  </si>
  <si>
    <t>INTERRUPTOR INTERMEDIÁRIO (1 MÓDULO), 10A/250V, SEM SUPORTE E SEM PLACA - FORNECIMENTO E INSTALAÇÃO. AF_09/2017</t>
  </si>
  <si>
    <t>INTERRUPTOR INTERMEDIÁRIO (1 MÓDULO), 10A/250V, INCLUINDO SUPORTE E PLACA - FORNECIMENTO E INSTALAÇÃO. AF_09/2017</t>
  </si>
  <si>
    <t>INTERRUPTOR BIPOLAR (1 MÓDULO), 10A/250V, SEM SUPORTE E SEM PLACA - FORNECIMENTO E INSTALAÇÃO. AF_09/2017</t>
  </si>
  <si>
    <t>INTERRUPTOR BIPOLAR (1 MÓDULO), 10A/250V, INCLUINDO SUPORTE E PLACA - FORNECIMENTO E INSTALAÇÃO. AF_09/2017</t>
  </si>
  <si>
    <t>DIMMER ROTATIVO (1 MÓDULO), 220V/600W, SEM SUPORTE E SEM PLACA - FORNECIMENTO E INSTALAÇÃO. AF_09/2017</t>
  </si>
  <si>
    <t>DIMMER ROTATIVO (1 MÓDULO), 220V/600W, INCLUINDO SUPORTE E PLACA - FORNECIMENTO E INSTALAÇÃO. AF_09/2017</t>
  </si>
  <si>
    <t>INTERRUPTOR PULSADOR CAMPAINHA (1 MÓDULO), 10A/250V, SEM SUPORTE E SEM PLACA - FORNECIMENTO E INSTALAÇÃO. AF_09/2017</t>
  </si>
  <si>
    <t>INTERRUPTOR PULSADOR CAMPAINHA (1 MÓDULO), 10A/250V, INCLUINDO SUPORTE E PLACA - FORNECIMENTO E INSTALAÇÃO. AF_09/2017</t>
  </si>
  <si>
    <t>CAMPAINHA CIGARRA (1 MÓDULO), 10A/250V, SEM SUPORTE E SEM PLACA - FORNECIMENTO E INSTALAÇÃO. AF_09/2017</t>
  </si>
  <si>
    <t>CAMPAINHA CIGARRA (1 MÓDULO), 10A/250V, INCLUINDO SUPORTE E PLACA - FORNECIMENTO E INSTALAÇÃO. AF_09/2017</t>
  </si>
  <si>
    <t>INTERRUPTOR PULSADOR MINUTERIA (1 MÓDULO), 10A/250V, SEM SUPORTE E SEM PLACA - FORNECIMENTO E INSTALAÇÃO. AF_09/2017</t>
  </si>
  <si>
    <t>INTERRUPTOR PULSADOR MINUTERIA (1 MÓDULO), 10A/250V, INCLUINDO SUPORTE E PLACA - FORNECIMENTO E INSTALAÇÃO. AF_09/2017</t>
  </si>
  <si>
    <t>TOMADA ALTA DE EMBUTIR (1 MÓDULO), 2P+T 10 A, SEM SUPORTE E SEM PLACA - FORNECIMENTO E INSTALAÇÃO. AF_12/2015</t>
  </si>
  <si>
    <t>TOMADA ALTA DE EMBUTIR (1 MÓDULO), 2P+T 20 A, SEM SUPORTE E SEM PLACA - FORNECIMENTO E INSTALAÇÃO. AF_12/2015</t>
  </si>
  <si>
    <t>TOMADA ALTA DE EMBUTIR (1 MÓDULO), 2P+T 10 A, INCLUINDO SUPORTE E PLACA - FORNECIMENTO E INSTALAÇÃO. AF_12/2015</t>
  </si>
  <si>
    <t>TOMADA ALTA DE EMBUTIR (1 MÓDULO), 2P+T 20 A, INCLUINDO SUPORTE E PLACA - FORNECIMENTO E INSTALAÇÃO. AF_12/2015</t>
  </si>
  <si>
    <t>TOMADA MÉDIA DE EMBUTIR (1 MÓDULO), 2P+T 10 A, SEM SUPORTE E SEM PLACA - FORNECIMENTO E INSTALAÇÃO. AF_12/2015</t>
  </si>
  <si>
    <t>TOMADA MÉDIA DE EMBUTIR (1 MÓDULO), 2P+T 20 A, SEM SUPORTE E SEM PLACA - FORNECIMENTO E INSTALAÇÃO. AF_12/2015</t>
  </si>
  <si>
    <t>TOMADA MÉDIA DE EMBUTIR (1 MÓDULO), 2P+T 10 A, INCLUINDO SUPORTE E PLACA - FORNECIMENTO E INSTALAÇÃO. AF_12/2015</t>
  </si>
  <si>
    <t>TOMADA MÉDIA DE EMBUTIR (1 MÓDULO), 2P+T 20 A, INCLUINDO SUPORTE E PLACA - FORNECIMENTO E INSTALAÇÃO. AF_12/2015</t>
  </si>
  <si>
    <t>TOMADA BAIXA DE EMBUTIR (1 MÓDULO), 2P+T 10 A, SEM SUPORTE E SEM PLACA - FORNECIMENTO E INSTALAÇÃO. AF_12/2015</t>
  </si>
  <si>
    <t>TOMADA BAIXA DE EMBUTIR (1 MÓDULO), 2P+T 20 A, SEM SUPORTE E SEM PLACA - FORNECIMENTO E INSTALAÇÃO. AF_12/2015</t>
  </si>
  <si>
    <t>TOMADA BAIXA DE EMBUTIR (1 MÓDULO), 2P+T 10 A, INCLUINDO SUPORTE E PLACA - FORNECIMENTO E INSTALAÇÃO. AF_12/2015</t>
  </si>
  <si>
    <t>TOMADA BAIXA DE EMBUTIR (1 MÓDULO), 2P+T 20 A, INCLUINDO SUPORTE E PLACA - FORNECIMENTO E INSTALAÇÃO. AF_12/2015</t>
  </si>
  <si>
    <t>TOMADA MÉDIA DE EMBUTIR (2 MÓDULOS), 2P+T 10 A, SEM SUPORTE E SEM PLACA - FORNECIMENTO E INSTALAÇÃO. AF_12/2015</t>
  </si>
  <si>
    <t>TOMADA MÉDIA DE EMBUTIR (2 MÓDULOS), 2P+T 20 A, SEM SUPORTE E SEM PLACA - FORNECIMENTO E INSTALAÇÃO. AF_12/2015</t>
  </si>
  <si>
    <t>TOMADA MÉDIA DE EMBUTIR (2 MÓDULOS), 2P+T 10 A, INCLUINDO SUPORTE E PLACA - FORNECIMENTO E INSTALAÇÃO. AF_12/2015</t>
  </si>
  <si>
    <t>TOMADA MÉDIA DE EMBUTIR (2 MÓDULOS), 2P+T 20 A, INCLUINDO SUPORTE E PLACA - FORNECIMENTO E INSTALAÇÃO. AF_12/2015</t>
  </si>
  <si>
    <t>TOMADA BAIXA DE EMBUTIR (2 MÓDULOS), 2P+T 10 A, SEM SUPORTE E SEM PLACA - FORNECIMENTO E INSTALAÇÃO. AF_12/2015</t>
  </si>
  <si>
    <t>TOMADA BAIXA DE EMBUTIR (2 MÓDULOS), 2P+T 20 A, SEM SUPORTE E SEM PLACA - FORNECIMENTO E INSTALAÇÃO. AF_12/2015</t>
  </si>
  <si>
    <t>TOMADA BAIXA DE EMBUTIR (2 MÓDULOS), 2P+T 10 A, INCLUINDO SUPORTE E PLACA - FORNECIMENTO E INSTALAÇÃO. AF_12/2015</t>
  </si>
  <si>
    <t>TOMADA BAIXA DE EMBUTIR (2 MÓDULOS), 2P+T 20 A, INCLUINDO SUPORTE E PLACA - FORNECIMENTO E INSTALAÇÃO. AF_12/2015</t>
  </si>
  <si>
    <t>TOMADA MÉDIA DE EMBUTIR (3 MÓDULOS), 2P+T 10 A, SEM SUPORTE E SEM PLACA - FORNECIMENTO E INSTALAÇÃO. AF_12/2015</t>
  </si>
  <si>
    <t>TOMADA MÉDIA DE EMBUTIR (3 MÓDULOS), 2P+T 20 A, SEM SUPORTE E SEM PLACA - FORNECIMENTO E INSTALAÇÃO. AF_12/2015</t>
  </si>
  <si>
    <t>TOMADA MÉDIA DE EMBUTIR (3 MÓDULOS), 2P+T 10 A, INCLUINDO SUPORTE E PLACA - FORNECIMENTO E INSTALAÇÃO. AF_12/2015</t>
  </si>
  <si>
    <t>TOMADA MÉDIA DE EMBUTIR (3 MÓDULOS), 2P+T 20 A, INCLUINDO SUPORTE E PLACA - FORNECIMENTO E INSTALAÇÃO. AF_12/2015</t>
  </si>
  <si>
    <t>TOMADA BAIXA DE EMBUTIR (3 MÓDULOS), 2P+T 10 A, SEM SUPORTE E SEM PLACA - FORNECIMENTO E INSTALAÇÃO. AF_12/2015</t>
  </si>
  <si>
    <t>TOMADA BAIXA DE EMBUTIR (3 MÓDULOS), 2P+T 20 A, SEM SUPORTE E SEM PLACA - FORNECIMENTO E INSTALAÇÃO. AF_12/2015</t>
  </si>
  <si>
    <t>TOMADA BAIXA DE EMBUTIR (3 MÓDULOS), 2P+T 10 A, INCLUINDO SUPORTE E PLACA - FORNECIMENTO E INSTALAÇÃO. AF_12/2015</t>
  </si>
  <si>
    <t>TOMADA BAIXA DE EMBUTIR (3 MÓDULOS), 2P+T 20 A, INCLUINDO SUPORTE E PLACA - FORNECIMENTO E INSTALAÇÃO. AF_12/2015</t>
  </si>
  <si>
    <t>TOMADA BAIXA DE EMBUTIR (4 MÓDULOS), 2P+T 10 A, SEM SUPORTE E SEM PLACA - FORNECIMENTO E INSTALAÇÃO. AF_12/2015</t>
  </si>
  <si>
    <t>TOMADA BAIXA DE EMBUTIR (4 MÓDULOS), 2P+T 10 A, INCLUINDO SUPORTE E PLACA - FORNECIMENTO E INSTALAÇÃO. AF_12/2015</t>
  </si>
  <si>
    <t>TOMADA BAIXA DE EMBUTIR (6 MÓDULOS), 2P+T 10 A, SEM SUPORTE E SEM PLACA - FORNECIMENTO E INSTALAÇÃO. AF_12/2015</t>
  </si>
  <si>
    <t>TOMADA BAIXA DE EMBUTIR (6 MÓDULOS), 2P+T 10 A, INCLUINDO SUPORTE E PLACA - FORNECIMENTO E INSTALAÇÃO. AF_12/2015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</si>
  <si>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</si>
  <si>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</si>
  <si>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TOMADA RESIDENCIAL INCLUINDO TOMADA 20A/250V,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</si>
  <si>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</si>
  <si>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ILUMINAÇÃO E TOMADA, RESIDENCIAL, INCLUINDO INTERRUPTOR SIMPLES E TOMADA 10A/250V, CAIXA ELÉTRICA, ELETRODUTO, CABO, RASGO, QUEBRA E CHUMBAMENTO (EXCLUINDO LUMINÁRIA E LÂMPADA). AF_01/2016</t>
  </si>
  <si>
    <t>PONTO DE ILUMINAÇÃO E TOMADA, RESIDENCIAL, INCLUINDO INTERRUPTOR PARALELO E TOMADA 10A/250V, CAIXA ELÉTRICA, ELETRODUTO, CABO, RASGO, QUEBRA E CHUMBAMENTO (EXCLUINDO LUMINÁRIA E LÂMPADA). AF_01/2016</t>
  </si>
  <si>
    <t>PONTO DE ILUMINAÇÃO E TOMADA, RESIDENCIAL, INCLUINDO INTERRUPTOR SIMPLES, INTERRUPTOR PARALELO E TOMADA 10A/250V, CAIXA ELÉTRICA, ELETRODUTO, CABO, RASGO, QUEBRA E CHUMBAMENTO (EXCLUINDO LUMINÁRIA E LÂMPADA). AF_01/2016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</si>
  <si>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</si>
  <si>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SIMPLES (2 MÓDULOS), CAIXA ELÉTRICA, ELETRODUTO, CABO, RASGO, QUEBRA E CHUMBAMENTO (EXCLUINDO LUMINÁRIA E LÂMPADA). AF_01/2016</t>
  </si>
  <si>
    <t>PONTO DE ILUMINAÇÃO RESIDENCIAL INCLUINDO INTERRUPTOR PARALELO,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</si>
  <si>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</si>
  <si>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ILUMINAÇÃO RESIDENCIAL INCLUINDO INTERRUPTOR SIMPLES CONJUGADO COM PARALELO, CAIXA ELÉTRICA, ELETRODUTO, CABO, RASGO, QUEBRA E CHUMBAMENTO (EXCLUINDO LUMINÁRIA E LÂMPADA). AF_01/2016</t>
  </si>
  <si>
    <t>SENSOR DE PRESENÇA COM FOTOCÉLULA, FIXAÇÃO EM PAREDE - FORNECIMENTO E INSTALAÇÃO. AF_02/2020</t>
  </si>
  <si>
    <t>SENSOR DE PRESENÇA SEM FOTOCÉLULA, FIXAÇÃO EM PAREDE - FORNECIMENTO E INSTALAÇÃO. AF_02/2020</t>
  </si>
  <si>
    <t>SENSOR DE PRESENÇA COM FOTOCÉLULA, FIXAÇÃO EM TETO - FORNECIMENTO E INSTALAÇÃO. AF_02/2020</t>
  </si>
  <si>
    <t>SENSOR DE PRESENÇA SEM FOTOCÉLULA, FIXAÇÃO EM TETO - FORNECIMENTO E INSTALAÇÃO. AF_02/2020</t>
  </si>
  <si>
    <t>LUMINÁRIA DE EMERGÊNCIA, COM 30 LÂMPADAS LED DE 2 W, SEM REATOR - FORNECIMENTO E INSTALAÇÃO. AF_02/2020</t>
  </si>
  <si>
    <t>LUMINÁRIA TIPO CALHA, DE SOBREPOR, COM 1 LÂMPADA TUBULAR FLUORESCENTE DE 18 W, COM REATOR DE PARTIDA RÁPIDA - FORNECIMENTO E INSTALAÇÃO. AF_02/2020</t>
  </si>
  <si>
    <t>LUMINÁRIA FECHADA PARA ILUMINAÇÃO PÚBLICA, COM REATOR DE PARTIDA RÁPIDA, COM LÂMPADA VAPOR DE MERCÚRIO 250 W - FORNECIMENTO E INSTALAÇÃO. AF_08/2020</t>
  </si>
  <si>
    <t>LUMINÁRIA FECHADA, PARA ILUMINAÇÃO PÚBLICA, PARA LÂMPADA DE VAPOR - FORNECIMENTO E INSTALAÇÃO (EXCLUSIVE LÂMPADA E REATOR). AF_08/2020</t>
  </si>
  <si>
    <t>LUMINÁRIA ABERTA PARA ILUMINAÇÃO PÚBLICA, PARA LÂMPADA VAPOR DE MERCÚRIO ATÉ 400 W E MISTA ATÉ 500 W, COM BRAÇO EM TUBO DE AÇO GALV 1", COMPRIMENTO DE 1,50 M, PARA POSTE DE CONCRETO - FORNECIMENTO E INSTALAÇÃO (EXCLUSIVE LÂMPADA E REATOR). AF_08/2020</t>
  </si>
  <si>
    <t>LUMINÁRIA TIPO CALHA, DE SOBREPOR, COM 1 LÂMPADA TUBULAR FLUORESCENTE DE 36 W, COM REATOR DE PARTIDA RÁPIDA - FORNECIMENTO E INSTALAÇÃO. AF_02/2020</t>
  </si>
  <si>
    <t>LUMINÁRIA TIPO CALHA, DE SOBREPOR, COM 2 LÂMPADAS TUBULARES FLUORESCENTES DE 18 W, COM REATOR DE PARTIDA RÁPIDA - FORNECIMENTO E INSTALAÇÃO. AF_02/2020</t>
  </si>
  <si>
    <t>LUMINÁRIA TIPO CALHA, DE SOBREPOR, COM 2 LÂMPADAS TUBULARES FLUORESCENTES DE 36 W, COM REATOR DE PARTIDA RÁPIDA - FORNECIMENTO E INSTALAÇÃO. AF_02/2020</t>
  </si>
  <si>
    <t>LUMINÁRIA TIPO CALHA, DE EMBUTIR, COM 2 LÂMPADAS FLUORESCENTES DE 14 W, COM REATOR DE PARTIDA RÁPIDA - FORNECIMENTO E INSTALAÇÃO. AF_02/2020</t>
  </si>
  <si>
    <t>LUMINÁRIA TIPO PLAFON EM PLÁSTICO, DE SOBREPOR, COM 1 LÂMPADA FLUORESCENTE DE 15 W, SEM REATOR - FORNECIMENTO E INSTALAÇÃO. AF_02/2020</t>
  </si>
  <si>
    <t>LUMINÁRIA TIPO PLAFON REDONDO COM VIDRO FOSCO, DE SOBREPOR, COM 1 LÂMPADA FLUORESCENTE DE 15 W, SEM REATOR - FORNECIMENTO E INSTALAÇÃO. AF_02/2020</t>
  </si>
  <si>
    <t>LUMINÁRIA TIPO PLAFON REDONDO COM VIDRO FOSCO, DE SOBREPOR, COM 2 LÂMPADAS FLUORESCENTES DE 15 W, SEM REATOR - FORNECIMENTO E INSTALAÇÃO. AF_02/2020</t>
  </si>
  <si>
    <t>LUMINÁRIA TIPO SPOT, DE SOBREPOR, COM 1 LÂMPADA FLUORESCENTE DE 15 W, SEM REATOR - FORNECIMENTO E INSTALAÇÃO. AF_02/2020</t>
  </si>
  <si>
    <t>LUMINÁRIA TIPO SPOT, DE SOBREPOR, COM 2 LÂMPADAS FLUORESCENTES DE 15 W, SEM REATOR - FORNECIMENTO E INSTALAÇÃO. AF_02/2020</t>
  </si>
  <si>
    <t>REFLETOR RETANGULAR FECHADO, COM LÂMPADA VAPOR METÁLICO 400 W - FORNECIMENTO E INSTALAÇÃO. AF_08/2020</t>
  </si>
  <si>
    <t>REFLETOR EM ALUMÍNIO, DE SUPORTE E ALÇA, COM 1 LÂMPADA VAPOR DE MERCÚRIO DE 125 W, COM REATOR ALTO FATOR DE POTÊNCIA - FORNECIMENTO E INSTALAÇÃO. AF_02/2020</t>
  </si>
  <si>
    <t>REFLETOR EM ALUMÍNIO, DE SUPORTE E ALÇA, COM LÂMPADA VAPOR DE MERCÚRIO DE 250 W, COM REATOR ALTO FATOR DE POTÊNCIA - FORNECIMENTO E INSTALAÇÃO. AF_02/2020</t>
  </si>
  <si>
    <t>LÂMPADA COMPACTA FLUORESCENTE DE 15 W, BASE E27 - FORNECIMENTO E INSTALAÇÃO. AF_02/2020</t>
  </si>
  <si>
    <t>LÂMPADA COMPACTA FLUORESCENTE DE 20 W, BASE E27 - FORNECIMENTO E INSTALAÇÃO. AF_02/2020</t>
  </si>
  <si>
    <t>LÂMPADA TUBULAR FLUORESCENTE T8 DE 16/18 W, BASE G13 - FORNECIMENTO E INSTALAÇÃO. AF_02/2020_P</t>
  </si>
  <si>
    <t>LÂMPADA TUBULAR FLUORESCENTE T8 DE 32/36 W, BASE G13 - FORNECIMENTO E INSTALAÇÃO. AF_02/2020_P</t>
  </si>
  <si>
    <t>LÂMPADA TUBULAR FLUORESCENTE T10 DE 20/40 W, BASE G13 - FORNECIMENTO E INSTALAÇÃO. AF_02/2020_P</t>
  </si>
  <si>
    <t>LÂMPADA TUBULAR FLUORESCENTE T5 DE 14 W, BASE G13 - FORNECIMENTO E INSTALAÇÃO. AF_02/2020_P</t>
  </si>
  <si>
    <t>LÂMPADA COMPACTA DE VAPOR MERCURIO 125 W, BASE E27 - FORNECIMENTO E INSTALAÇÃO. AF_02/2020</t>
  </si>
  <si>
    <t>LÂMPADA COMPACTA DE VAPOR METÁLICO OVOIDE 150 W, BASE E27 - FORNECIMENTO E INSTALAÇÃO. AF_02/2020</t>
  </si>
  <si>
    <t>LÂMPADA VAPOR DE SÓDIO 150 W - FORNECIMENTO E INSTALAÇÃO. AF_08/2020</t>
  </si>
  <si>
    <t>LÂMPADA VAPOR DE SÓDIO 250 W - FORNECIMENTO E INSTALAÇÃO. AF_08/2020</t>
  </si>
  <si>
    <t>LÂMPADA VAPOR DE SÓDIO 400 W - FORNECIMENTO E INSTALAÇÃO. AF_08/2020</t>
  </si>
  <si>
    <t>LÂMPADA VAPOR METÁLICO 400 W - FORNECIMENTO E INSTALAÇÃO. AF_08/2020</t>
  </si>
  <si>
    <t>LÂMPADA VAPOR METÁLICO 150 W - FORNECIMENTO E INSTALAÇÃO. AF_08/2020</t>
  </si>
  <si>
    <t>LÂMPADA VAPOR DE MERCÚRIO 125 W - FORNECIMENTO E INSTALAÇÃO. AF_08/2020</t>
  </si>
  <si>
    <t>LÂMPADA VAPOR DE MERCÚRIO 250 W - FORNECIMENTO E INSTALAÇÃO. AF_08/2020</t>
  </si>
  <si>
    <t>LÂMPADA VAPOR DE MERCÚRIO 400 W - FORNECIMENTO E INSTALAÇÃO. AF_08/2020</t>
  </si>
  <si>
    <t>LÂMPADA MISTA 160 W - FORNECIMENTO E INSTALAÇÃO. AF_08/2020</t>
  </si>
  <si>
    <t>LÂMPADA MISTA 250 W - FORNECIMENTO E INSTALAÇÃO. AF_08/2020</t>
  </si>
  <si>
    <t>LÂMPADA MISTA 500 W - FORNECIMENTO E INSTALAÇÃO. AF_08/2020</t>
  </si>
  <si>
    <t>LUMINÁRIA ESTANQUE COM PROTEÇÃO CONTRA ÁGUA, POEIRA OU IMPACTOS - FORNECIMENTO E INSTALAÇÃO. AF_08/2020</t>
  </si>
  <si>
    <t>LUMINÁRIA ARANDELA TIPO MEIA LUA, DE SOBREPOR, COM 1 LÂMPADA LED DE 6 W, SEM REATOR - FORNECIMENTO E INSTALAÇÃO. AF_02/2020</t>
  </si>
  <si>
    <t>LUMINÁRIA DE LED PARA ILUMINAÇÃO PÚBLICA, DE 33 W ATÉ 50 W - FORNECIMENTO E INSTALAÇÃO. AF_08/2020</t>
  </si>
  <si>
    <t>LUMINÁRIA DE LED PARA ILUMINAÇÃO PÚBLICA, DE 51 W ATÉ 67 W - FORNECIMENTO E INSTALAÇÃO. AF_08/2020</t>
  </si>
  <si>
    <t>LUMINÁRIA DE LED PARA ILUMINAÇÃO PÚBLICA, DE 68 W ATÉ 97 W - FORNECIMENTO E INSTALAÇÃO. AF_08/2020</t>
  </si>
  <si>
    <t>LUMINÁRIA DE LED PARA ILUMINAÇÃO PÚBLICA, DE 98 W ATÉ 137 W - FORNECIMENTO E INSTALAÇÃO. AF_08/2020</t>
  </si>
  <si>
    <t>LUMINÁRIA DE LED PARA ILUMINAÇÃO PÚBLICA, DE 138 W ATÉ 180 W - FORNECIMENTO E INSTALAÇÃO. AF_08/2020</t>
  </si>
  <si>
    <t>LUMINÁRIA DE LED PARA ILUMINAÇÃO PÚBLICA, DE 181 W ATÉ 239 W - FORNECIMENTO E INSTALAÇÃO. AF_08/2020</t>
  </si>
  <si>
    <t>LUMINÁRIA DE LED PARA ILUMINAÇÃO PÚBLICA, DE 240 W ATÉ 350 W - FORNECIMENTO E INSTALAÇÃO. AF_08/2020</t>
  </si>
  <si>
    <t>LUMINÁRIA ARANDELA TIPO MEIA LUA, DE SOBREPOR, COM 1 LÂMPADA FLUORESCENTE DE 15 W, SEM REATOR - FORNECIMENTO E INSTALAÇÃO. AF_02/2020</t>
  </si>
  <si>
    <t>LUMINÁRIA ARANDELA TIPO TARTARUGA, DE SOBREPOR, COM 1 LÂMPADA LED DE 6 W, SEM REATOR - FORNECIMENTO E INSTALAÇÃO. AF_02/2020</t>
  </si>
  <si>
    <t>LUMINÁRIA ARANDELA TIPO TARTARUGA, COM GRADE, DE SOBREPOR, COM 1 LÂMPADA FLUORESCENTE DE 15 W, SEM REATOR - FORNECIMENTO E INSTALAÇÃO. AF_02/2020</t>
  </si>
  <si>
    <t>LÂMPADA TUBULAR LED DE 9/10 W, BASE G13 - FORNECIMENTO E INSTALAÇÃO. AF_02/2020_P</t>
  </si>
  <si>
    <t>LÂMPADA TUBULAR LED DE 18/20 W, BASE G13 - FORNECIMENTO E INSTALAÇÃO. AF_02/2020_P</t>
  </si>
  <si>
    <t>LUMINÁRIA TIPO CALHA, DE SOBREPOR, COM 1 LÂMPADA TUBULAR FLUORESCENTE DE 20 W, COM REATOR DE PARTIDA CONVENCIONAL - FORNECIMENTO E INSTALAÇÃO. AF_02/2020</t>
  </si>
  <si>
    <t>LUMINÁRIA DUPLA TIPO CALHA, DE SOBREPOR, COM 4 LÂMPADAS TUBULARES FLUORESCENTES DE 18 W,COM REATORES DE PARTIDA RÁPIDA - FORNECIMENTO E INSTALAÇÃO. AF_02/2020</t>
  </si>
  <si>
    <t>LUMINÁRIA DUPLA TIPO CALHA, DE SOBREPOR, COM 4 LÂMPADAS TUBULARES FLUORESCENTES DE 36 W, COM REATORES DE PARTIDA RÁPIDA -FORNECIMENTO E INSTALAÇÃO. AF_02/2020</t>
  </si>
  <si>
    <t>LÂMPADA FLUORESCENTE ESPIRAL BRANCA 45 W, BASE E27 - FORNECIMENTO E INSTALAÇÃO. AF_02/2020</t>
  </si>
  <si>
    <t>LÂMPADA FLUORESCENTE ESPIRAL BRANCA 65 W, BASE E27 - FORNECIMENTO E INSTALAÇÃO. AF_02/2020</t>
  </si>
  <si>
    <t>LÂMPADA COMPACTA DE LED 6 W, BASE E27 - FORNECIMENTO E INSTALAÇÃO. AF_02/2020</t>
  </si>
  <si>
    <t>LÂMPADA COMPACTA DE LED 10 W, BASE E27 - FORNECIMENTO E INSTALAÇÃO. AF_02/2020</t>
  </si>
  <si>
    <t>APARELHO SINALIZADOR DE SAÍDA DE GARAGEM, COM CÉLULA FOTOELÉTRICA - FORNECIMENTO E INSTALAÇÃO. AF_07/2020</t>
  </si>
  <si>
    <t>INSTALAÇÃO DE SINALIZADOR NOTURNO LED. AF_11/2017</t>
  </si>
  <si>
    <t>ARMAÇÃO SECUNDÁRIA, COM 1 ESTRIBO E 1 ISOLADOR - FORNECIMENTO E INSTALAÇÃO. AF_07/2020</t>
  </si>
  <si>
    <t>ARMAÇÃO SECUNDÁRIA, COM 2 ESTRIBOS E 2 ISOLADORES - FORNECIMENTO E INSTALAÇÃO. AF_07/2020</t>
  </si>
  <si>
    <t>ARMAÇÃO SECUNDÁRIA, COM 3 ESTRIBOS E 3 ISOLADORES - FORNECIMENTO E INSTALAÇÃO. AF_07/2020</t>
  </si>
  <si>
    <t>ARMAÇÃO SECUNDÁRIA, COM 4 ESTRIBOS E 4 ISOLADORES - FORNECIMENTO E INSTALAÇÃO. AF_07/2020</t>
  </si>
  <si>
    <t>ARMAÇÃO SECUNDÁRIA, COM 1 ESTRIBO, SEM ISOLADOR - FORNECIMENTO E INSTALAÇÃO. AF_07/2020</t>
  </si>
  <si>
    <t>ARMAÇÃO SECUNDÁRIA, COM 2 ESTRIBOS, SEM ISOLADOR - FORNECIMENTO E INSTALAÇÃO. AF_07/2020</t>
  </si>
  <si>
    <t>ARMAÇÃO SECUNDÁRIA, COM 3 ESTRIBOS, SEM ISOLADOR - FORNECIMENTO E INSTALAÇÃO. AF_07/2020</t>
  </si>
  <si>
    <t>ARMAÇÃO SECUNDÁRIA, COM 4 ESTRIBOS, SEM ISOLADOR - FORNECIMENTO E INSTALAÇÃO. AF_07/2020</t>
  </si>
  <si>
    <t>ISOLADOR, TIPO PINO, PARA TENSÃO 15 KV - FORNECIMENTO E INSTALAÇÃO. AF_07/2020</t>
  </si>
  <si>
    <t>ISOLADOR, TIPO DISCO, PARA TENSÃO 15 KV - FORNECIMENTO E INSTALAÇÃO. AF_07/2020</t>
  </si>
  <si>
    <t>ISOLADOR, TIPO ROLDANA, PARA BAIXA TENSÃO - FORNECIMENTO E INSTALAÇÃO. AF_07/2020</t>
  </si>
  <si>
    <t>GRAMPO PARALELO METÁLICO, PARA REDES AÉREAS DE DISTRIBUIÇÃO DE ENERGIA ELÉTRICA DE BAIXA TENSÃO - FORNECIMENTO E INSTALAÇÃO. AF_07/2020</t>
  </si>
  <si>
    <t>ALÇA PREFORMADA DE DISTRIBUIÇÃO, EM  AÇO GALVANIZADO, AWG 1 - FORNECIMENTO E INSTALAÇÃO. AF_07/2020</t>
  </si>
  <si>
    <t>ALÇA PREFORMADA DE DISTRIBUIÇÃO, EM  AÇO GALVANIZADO, AWG 2 - FORNECIMENTO E INSTALAÇÃO. AF_07/2020</t>
  </si>
  <si>
    <t>ALÇA PREFORMADA DE DISTRIBUIÇÃO, EM  AÇO GALVANIZADO, AWG 4 - FORNECIMENTO E INSTALAÇÃO. AF_07/2020</t>
  </si>
  <si>
    <t>ALÇA PREFORMADA DE DISTRIBUIÇÃO, EM  AÇO GALVANIZADO, AWG 6 - FORNECIMENTO E INSTALAÇÃO. AF_07/2020</t>
  </si>
  <si>
    <t>REATOR PARA LÂMPADA VAPOR DE MERCÚRIO 400 W, USO EXTERNO - FORNECIMENTO E INSTALAÇÃO. AF_08/2020</t>
  </si>
  <si>
    <t>REATOR PARA LÂMPADA VAPOR DE SÓDIO 250 W, USO EXTERNO - FORNECIMENTO E INSTALAÇÃO. AF_08/2020</t>
  </si>
  <si>
    <t>REATOR PARA LÂMPADA VAPOR DE MERCÚRIO 125 W, USO EXTERNO - FORNECIMENTO E INSTALAÇÃO. AF_08/2020</t>
  </si>
  <si>
    <t>REATOR PARA LÂMPADA VAPOR DE MERCÚRIO 250 W, USO EXTERNO - FORNECIMENTO E INSTALAÇÃO. AF_08/2020</t>
  </si>
  <si>
    <t>REATOR DE PARTIDA RÁPIDA PARA LÂMPADA FLUORESCENTE 2X40W - FORNECIMENTO E INSTALAÇÃO. AF_02/2020</t>
  </si>
  <si>
    <t>REATOR DE PARTIDA RÁPIDA PARA LÂMPADA FLUORESCENTE 1X20W - FORNECIMENTO E INSTALAÇÃO. AF_02/2020</t>
  </si>
  <si>
    <t>REATOR DE PARTIDA RÁPIDA PARA LÂMPADA FLUORESCENTE 1X40W - FORNECIMENTO E INSTALAÇÃO. AF_02/2020</t>
  </si>
  <si>
    <t>SUBSTITUIÇÃO DE LUMINÁRIA DE VAPOR DE MERCÚRIO/VAPOR DE SÓDIO POR LUMINÁRIA DE LED PARA ILUMINAÇÃO PÚBLICA (NÃO INCLUI FORNECIMENTO). AF_08/2020</t>
  </si>
  <si>
    <t>SUBSTITUIÇÃO DE LÂMPADA PARA ILUMINAÇÃO PÚBLICA (NÃO INCLUI FORNECIMENTO). AF_08/2020</t>
  </si>
  <si>
    <t>SUBSTITUIÇÃO DE REATOR PARA ILUMINAÇÃO PÚBLICA (NÃO INCLUI FORNECIMENTO). AF_08/2020</t>
  </si>
  <si>
    <t>IGNITOR PARA PARTIDA LÂMPADA VAPOR SÓDIO / VAPOR METÁLICO ATÉ 400 W - FORNECIMENTO E INSTALAÇÃO. AF_08/2020</t>
  </si>
  <si>
    <t>RELÉ FOTOELÉTRICO PARA COMANDO DE ILUMINAÇÃO EXTERNA 1000 W - FORNECIMENTO E INSTALAÇÃO. AF_08/2020</t>
  </si>
  <si>
    <t>SUBSTITUIÇÃO DE RELÉ FOTOELÉTRICO PARA COMANDO DE ILUMINAÇÃO EXTERNA 1000 W - FORNECIMENTO E INSTALAÇÃO. AF_08/2020</t>
  </si>
  <si>
    <t>BRAÇO PARA ILUMINAÇÃO PÚBLICA, EM TUBO DE AÇO GALVANIZADO, COMPRIMENTO DE 1,50 M, PARA FIXAÇÃO EM POSTE DE CONCRETO - FORNECIMENTO E INSTALAÇÃO. AF_08/2020</t>
  </si>
  <si>
    <t>BRAÇO PARA ILUMINAÇÃO PÚBLICA, EM TUBO DE AÇO GALVANIZADO, COMPRIMENTO DE 1,50 M, PARA FIXAÇÃO EM POSTE METÁLICO - FORNECIMENTO E INSTALAÇÃO. AF_08/2020</t>
  </si>
  <si>
    <t>HASTE DE ATERRAMENTO 5/8  PARA SPDA - FORNECIMENTO E INSTALAÇÃO. AF_12/2017</t>
  </si>
  <si>
    <t>HASTE DE ATERRAMENTO 3/4  PARA SPDA - FORNECIMENTO E INSTALAÇÃO. AF_12/2017</t>
  </si>
  <si>
    <t>BASE METÁLICA PARA MASTRO 1 ½  PARA SPDA - FORNECIMENTO E INSTALAÇÃO. AF_12/2017</t>
  </si>
  <si>
    <t>MASTRO 1 ½  PARA SPDA - FORNECIMENTO E INSTALAÇÃO. AF_12/2017</t>
  </si>
  <si>
    <t>CORDOALHA DE COBRE NU 16 MM², NÃO ENTERRADA, COM ISOLADOR - FORNECIMENTO E INSTALAÇÃO. AF_12/2017</t>
  </si>
  <si>
    <t>CORDOALHA DE COBRE NU 25 MM², NÃO ENTERRADA, COM ISOLADOR - FORNECIMENTO E INSTALAÇÃO. AF_12/2017</t>
  </si>
  <si>
    <t>CORDOALHA DE COBRE NU 35 MM², NÃO ENTERRADA, COM ISOLADOR - FORNECIMENTO E INSTALAÇÃO. AF_12/2017</t>
  </si>
  <si>
    <t>CORDOALHA DE COBRE NU 50 MM², NÃO ENTERRADA, COM ISOLADOR - FORNECIMENTO E INSTALAÇÃO. AF_12/2017</t>
  </si>
  <si>
    <t>CORDOALHA DE COBRE NU 70 MM², NÃO ENTERRADA, COM ISOLADOR - FORNECIMENTO E INSTALAÇÃO. AF_12/2017</t>
  </si>
  <si>
    <t>CORDOALHA DE COBRE NU 95 MM², NÃO ENTERRADA, COM ISOLADOR - FORNECIMENTO E INSTALAÇÃO. AF_12/2017</t>
  </si>
  <si>
    <t>CORDOALHA DE COBRE NU 50 MM², ENTERRADA, SEM ISOLADOR - FORNECIMENTO E INSTALAÇÃO. AF_12/2017</t>
  </si>
  <si>
    <t>CORDOALHA DE COBRE NU 70 MM², ENTERRADA, SEM ISOLADOR - FORNECIMENTO E INSTALAÇÃO. AF_12/2017</t>
  </si>
  <si>
    <t>CORDOALHA DE COBRE NU 95 MM², ENTERRADA, SEM ISOLADOR - FORNECIMENTO E INSTALAÇÃO. AF_12/2017</t>
  </si>
  <si>
    <t>CAPTOR TIPO FRANKLIN PARA SPDA - FORNECIMENTO E INSTALAÇÃO. AF_12/2017</t>
  </si>
  <si>
    <t>SUPORTE ISOLADOR PARA CORDOALHA DE COBRE - FORNECIMENTO E INSTALAÇÃO. AF_12/2017</t>
  </si>
  <si>
    <t>QUADRO DE DISTRIBUIÇÃO PARA TELEFONE N.2, 20X20X12CM EM CHAPA METALICA, DE EMBUTIR, SEM ACESSORIOS, PADRÃO TELEBRAS, FORNECIMENTO E INSTALAÇÃO. AF_11/2019</t>
  </si>
  <si>
    <t>QUADRO DE DISTRIBUICAO PARA TELEFONE N.3, 40X40X12CM EM CHAPA METALICA, DE EMBUTIR, SEM ACESSORIOS, PADRAO TELEBRAS, FORNECIMENTO E INSTALAÇÃO. AF_11/2019</t>
  </si>
  <si>
    <t>QUADRO DE DISTRIBUICAO PARA TELEFONE N.4, 60X60X12CM EM CHAPA METALICA, DE EMBUTIR, SEM ACESSORIOS, PADRAO TELEBRAS, FORNECIMENTO E INSTALAÇÃO. AF_11/2019</t>
  </si>
  <si>
    <t>QUADRO DE DISTRIBUIÇÃO PARA TELEFONE N.5, 80X80X12CM EM CHAPA METALICA, SEM ACESSORIOS, PADRAO TELEBRAS,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</si>
  <si>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</si>
  <si>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</si>
  <si>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CABO ELETRÔNICO CATEGORIA 5E, INSTALADO EM EDIFICAÇÃO RESIDENCIAL - FORNECIMENTO E INSTALAÇÃO. AF_11/2019</t>
  </si>
  <si>
    <t>CABO ELETRÔNICO CATEGORIA 5E, INSTALADO EM EDIFICAÇÃO INSTITUCIONAL - FORNECIMENTO E INSTALAÇÃO. AF_11/2019</t>
  </si>
  <si>
    <t>CABO ELETRÔNICO CATEGORIA 6, INSTALADO EM EDIFICAÇÃO RESIDENCIAL - FORNECIMENTO E INSTALAÇÃO. AF_11/2019</t>
  </si>
  <si>
    <t>CABO ELETRÔNICO CATEGORIA 6, INSTALADO EM EDIFICAÇÃO INSTITUCIONAL - FORNECIMENTO E INSTALAÇÃO. AF_11/2019</t>
  </si>
  <si>
    <t>PATCH PANEL 24 PORTAS, CATEGORIA 5E - FORNECIMENTO E INSTALAÇÃO. AF_11/2019</t>
  </si>
  <si>
    <t>PATCH PANEL 24 PORTAS, CATEGORIA 6 - FORNECIMENTO E INSTALAÇÃO. AF_11/2019</t>
  </si>
  <si>
    <t>PATCH PANEL 48 PORTAS, CATEGORIA 6 - FORNECIMENTO E INSTALAÇÃO. AF_11/2019</t>
  </si>
  <si>
    <t>TOMADA DE REDE RJ45 - FORNECIMENTO E INSTALAÇÃO. AF_11/2019</t>
  </si>
  <si>
    <t>TOMADA PARA TELEFONE RJ11 - FORNECIMENTO E INSTALAÇÃO. AF_11/2019</t>
  </si>
  <si>
    <t>PATCH PANEL 48 PORTAS, CATEGORIA 5E - FORNECIMENTO E INSTALAÇÃO. AF_11/2019</t>
  </si>
  <si>
    <t>CABO TELEFÔNICO CTP-APL-50 10 PARES INSTALADO EM ENTRADA DE EDIFICAÇÃO - FORNECIMENTO E INSTALAÇÃO. AF_11/2019</t>
  </si>
  <si>
    <t>CABO TELEFÔNICO CTP-APL-50 20 PARES INSTALADO EM ENTRADA DE EDIFICAÇÃO - FORNECIMENTO E INSTALAÇÃO. AF_11/2019</t>
  </si>
  <si>
    <t>CABO TELEFÔNICO CTP-APL-50 30 PARES INSTALADO EM ENTRADA DE EDIFICAÇÃO - FORNECIMENTO E INSTALAÇÃO. AF_11/2019</t>
  </si>
  <si>
    <t>CABO TELEFÔNICO CI-50 10 PARES INSTALADO EM ENTRADA DE EDIFICAÇÃO - FORNECIMENTO E INSTALAÇÃO. AF_11/2019</t>
  </si>
  <si>
    <t>CABO TELEFÔNICO CI-50 20 PARES INSTALADO EM ENTRADA DE EDIFICAÇÃO - FORNECIMENTO E INSTALAÇÃO. AF_11/2019</t>
  </si>
  <si>
    <t>CABO TELEFÔNICO CI-50 30 PARES INSTALADO EM ENTRADA DE EDIFICAÇÃO - FORNECIMENTO E INSTALAÇÃO. AF_11/2019</t>
  </si>
  <si>
    <t>CABO TELEFÔNICO CI-50 50 PARES INSTALADO EM ENTRADA DE EDIFICAÇÃO - FORNECIMENTO E INSTALAÇÃO. AF_11/2019</t>
  </si>
  <si>
    <t>CABO TELEFÔNICO CI-50 75 PARES INSTALADO EM ENTRADA DE EDIFICAÇÃO - FORNECIMENTO E INSTALAÇÃO. AF_11/2019</t>
  </si>
  <si>
    <t>CABO TELEFÔNICO CI-50 200 PARES INSTALADO EM ENTRADA DE EDIFICAÇÃO - FORNECIMENTO E INSTALAÇÃO. AF_11/2019</t>
  </si>
  <si>
    <t>CABO TELEFÔNICO CI-50 10 PARES INSTALADO EM PRUMADA - FORNECIMENTO E INSTALAÇÃO. AF_11/2019</t>
  </si>
  <si>
    <t>CABO TELEFÔNICO CI-50 20 PARES INSTALADO EM PRUMADA - FORNECIMENTO E INSTALAÇÃO. AF_11/2019</t>
  </si>
  <si>
    <t>CABO TELEFÔNICO CI-50 30 PARES INSTALADO EM PRUMADA - FORNECIMENTO E INSTALAÇÃO. AF_11/2019</t>
  </si>
  <si>
    <t>CABO TELEFÔNICO CI-50 50 PARES INSTALADO EM PRUMADA - FORNECIMENTO E INSTALAÇÃO. AF_11/2019</t>
  </si>
  <si>
    <t>CABO TELEFÔNICO CI-50 10 PARES INSTALADO EM DISTRIBUIÇÃO DE EDIFICAÇÃO RESIDENCIAL - FORNECIMENTO E INSTALAÇÃO. AF_11/2019</t>
  </si>
  <si>
    <t>CABO TELEFÔNICO CI-50 10 PARES INSTALADO EM DISTRIBUIÇÃO DE EDIFICAÇÃO INSTITUCIONAL - FORNECIMENTO E INSTALAÇÃO. AF_11/2019</t>
  </si>
  <si>
    <t>CABO TELEFÔNICO CCI-50 1 PAR, INSTALADO EM ENTRADA DE EDIFICAÇÃO - FORNECIMENTO E INSTALAÇÃO. AF_11/2019</t>
  </si>
  <si>
    <t>CABO TELEFÔNICO CCI-50 2 PARES, SEM BLINDAGEM, INSTALADO EM ENTRADA DE EDIFICAÇÃO - FORNECIMENTO E INSTALAÇÃO. AF_11/2019</t>
  </si>
  <si>
    <t>CABO TELEFÔNICO CCI-50 3 PARES, SEM BLINDAGEM, INSTALADO EM ENTRADA DE EDIFICAÇÃO - FORNECIMENTO E INSTALAÇÃO. AF_11/2019</t>
  </si>
  <si>
    <t>CABO TELEFÔNICO CCI-50 4 PARES, SEM BLINDAGEM, INSTALADO EM ENTRADA DE EDIFICAÇÃO - FORNECIMENTO E INSTALAÇÃO. AF_11/2019</t>
  </si>
  <si>
    <t>CABO TELEFÔNICO CCI-50 5 PARES, SEM BLINDAGEM, INSTALADO EM ENTRADA DE EDIFICAÇÃO - FORNECIMENTO E INSTALAÇÃO. AF_11/2019</t>
  </si>
  <si>
    <t>CABO TELEFÔNICO CCI-50 6 PARES, SEM BLINDAGEM, INSTALADO EM ENTRADA DE EDIFICAÇÃO - FORNECIMENTO E INSTALAÇÃO. AF_11/2019</t>
  </si>
  <si>
    <t>CABO TELEFÔNICO CCI-50 4 PARES, SEM BLINDAGEM, INSTALADO EM PRUMADA - FORNECIMENTO E INSTALAÇÃO. AF_11/2019</t>
  </si>
  <si>
    <t>CABO TELEFÔNICO CCI-50 5 PARES, SEM BLINDAGEM, INSTALADO EM PRUMADA - FORNECIMENTO E INSTALAÇÃO. AF_11/2019</t>
  </si>
  <si>
    <t>CABO TELEFÔNICO CCI-50 6 PARES, SEM BLINDAGEM, INSTALADO EM PRUMADA - FORNECIMENTO E INSTALAÇÃO. AF_11/2019</t>
  </si>
  <si>
    <t>CABO TELEFÔNICO CCI-50 1 PAR, SEM BLINDAGEM, INSTALADO EM DISTRIBUIÇÃO DE EDIFICAÇÃO RESIDENCIAL - FORNECIMENTO E INSTALAÇÃO. AF_11/2019</t>
  </si>
  <si>
    <t>CABO TELEFÔNICO CCI-50 2 PARES, SEM BLINDAGEM, INSTALADO EM DISTRIBUIÇÃO DE EDIFICAÇÃO RESIDENCIAL - FORNECIMENTO E INSTALAÇÃO. AF_11/2019</t>
  </si>
  <si>
    <t>CABO TELEFÔNICO CCI-50 3 PARES, SEM BLINDAGEM, INSTALADO EM DISTRIBUIÇÃO DE EDIFICAÇÃO RESIDENCIAL - FORNECIMENTO E INSTALAÇÃO. AF_11/2019</t>
  </si>
  <si>
    <t>CABO TELEFÔNICO CCI-50 4 PARES, SEM BLINDAGEM, INSTALADO EM DISTRIBUIÇÃO DE EDIFICAÇÃO RESIDENCIAL - FORNECIMENTO E INSTALAÇÃO. AF_11/2019</t>
  </si>
  <si>
    <t>CABO TELEFÔNICO CCI-50 5 PARES, SEM BLINDAGEM, INSTALADO EM DISTRIBUIÇÃO DE EDIFICAÇÃO RESIDENCIAL - FORNECIMENTO E INSTALAÇÃO. AF_11/2019</t>
  </si>
  <si>
    <t>CABO TELEFÔNICO CCI-50 6 PARES, SEM BLINDAGEM, INSTALADO EM DISTRIBUIÇÃO DE EDIFICAÇÃO RESIDENCIAL - FORNECIMENTO E INSTALAÇÃO. AF_11/2019</t>
  </si>
  <si>
    <t>CABO TELEFÔNICO CCI-50 1 PAR, SEM BLINDAGEM, INSTALADO EM DISTRIBUIÇÃO DE EDIFICAÇÃO INSTITUCIONAL - FORNECIMENTO E INSTALAÇÃO. AF_11/2019</t>
  </si>
  <si>
    <t>CABO TELEFÔNICO CCI-50 2 PARES, SEM BLINDAGEM, INSTALADO EM DISTRIBUIÇÃO DE EDIFICAÇÃO INSTITUCIONAL - FORNECIMENTO E INSTALAÇÃO. AF_11/2019</t>
  </si>
  <si>
    <t>CABO TELEFÔNICO CCI-50 3 PARES, SEM BLINDAGEM, INSTALADO EM DISTRIBUIÇÃO DE EDIFICAÇÃO INSTITUCIONAL - FORNECIMENTO E INSTALAÇÃO. AF_11/2019</t>
  </si>
  <si>
    <t>CABO TELEFÔNICO CCI-50 4 PARES, SEM BLINDAGEM, INSTALADO EM DISTRIBUIÇÃO DE EDIFICAÇÃO INSTITUCIONAL - FORNECIMENTO E INSTALAÇÃO. AF_11/2019</t>
  </si>
  <si>
    <t>CABO TELEFÔNICO CCI-50 5 PARES, SEM BLINDAGEM, INSTALADO EM DISTRIBUIÇÃO DE EDIFICAÇÃO INSTITUCIONAL - FORNECIMENTO E INSTALAÇÃO. AF_11/2019</t>
  </si>
  <si>
    <t>CABO TELEFÔNICO CCI-50 6 PARES, SEM BLINDAGEM, INSTALADO EM DISTRIBUIÇÃO DE EDIFICAÇÃO INSTITUCIONAL - FORNECIMENTO E INSTALAÇÃO. AF_11/2019</t>
  </si>
  <si>
    <t>PINTURA ANTICORROSIVA DE DUTO METÁLICO. AF_04/2018</t>
  </si>
  <si>
    <t>TUBO EM COBRE FLEXÍVEL, DN 1/4, COM ISOLAMENTO, INSTALADO EM RAMAL DE ALIMENTAÇÃO DE AR CONDICIONADO COM CONDENSADORA INDIVIDUAL   FORNECIMENTO E INSTALAÇÃO. AF_12/2015</t>
  </si>
  <si>
    <t>TUBO EM COBRE FLEXÍVEL, DN 3/8", COM ISOLAMENTO, INSTALADO EM RAMAL DE ALIMENTAÇÃO DE AR CONDICIONADO COM CONDENSADORA INDIVIDUAL  FORNECIMENTO E INSTALAÇÃO. AF_12/2015</t>
  </si>
  <si>
    <t>TUBO EM COBRE FLEXÍVEL, DN 1/2", COM ISOLAMENTO, INSTALADO EM RAMAL DE ALIMENTAÇÃO DE AR CONDICIONADO COM CONDENSADORA INDIVIDUAL  FORNECIMENTO E INSTALAÇÃO. AF_12/2015</t>
  </si>
  <si>
    <t>TUBO EM COBRE FLEXÍVEL, DN 5/8", COM ISOLAMENTO, INSTALADO EM RAMAL DE ALIMENTAÇÃO DE AR CONDICIONADO COM CONDENSADORA INDIVIDUAL  FORNECIMENTO E INSTALAÇÃO. AF_12/2015</t>
  </si>
  <si>
    <t>TUBO EM COBRE FLEXÍVEL, DN 1/4", COM ISOLAMENTO, INSTALADO EM RAMAL DE ALIMENTAÇÃO DE AR CONDICIONADO COM CONDENSADORA CENTRAL  FORNECIMENTO E INSTALAÇÃO. AF_12/2015</t>
  </si>
  <si>
    <t>TUBO EM COBRE FLEXÍVEL, DN 3/8", COM ISOLAMENTO, INSTALADO EM RAMAL DE ALIMENTAÇÃO DE AR CONDICIONADO COM CONDENSADORA CENTRAL  FORNECIMENTO E INSTALAÇÃO. AF_12/2015</t>
  </si>
  <si>
    <t>TUBO EM COBRE FLEXÍVEL, DN 1/2", COM ISOLAMENTO, INSTALADO EM RAMAL DE ALIMENTAÇÃO DE AR CONDICIONADO COM CONDENSADORA CENTRAL  FORNECIMENTO E INSTALAÇÃO. AF_12/2015</t>
  </si>
  <si>
    <t>TUBO EM COBRE FLEXÍVEL, DN 5/8, COM ISOLAMENTO, INSTALADO EM RAMAL DE ALIMENTAÇÃO DE AR CONDICIONADO COM CONDENSADORA CENTRAL   FORNECIMENTO E INSTALAÇÃO. AF_12/2015</t>
  </si>
  <si>
    <t>UN</t>
  </si>
  <si>
    <t>M2</t>
  </si>
  <si>
    <t>Petit - Pavet - (PEDRA PORTUGUESA) - sem colchão</t>
  </si>
  <si>
    <t>Reaterro e apiloamento mecânico</t>
  </si>
  <si>
    <t>m4</t>
  </si>
  <si>
    <t>Imprimação com Emulsão RR-1C- exclusive emulsão</t>
  </si>
  <si>
    <t>Sobre os preços coletados no Site da ANP foram incluídos os impostos, PIS/COFINS (3,65%) e ICMS (18,00%), totalizando 21,65%.</t>
  </si>
  <si>
    <t>74209/1</t>
  </si>
  <si>
    <t>PLACA DE OBRA 4,00 X 2,00 M, EM CHAPA DE ACO GALVANIZADO, INCLUSIVE ARMAÇÃO EM MADEIRA E PONTALETES</t>
  </si>
  <si>
    <t>composição</t>
  </si>
  <si>
    <t>73916/2</t>
  </si>
  <si>
    <t>Plantio de Arbusto ou Cerca Viva</t>
  </si>
  <si>
    <t>400500A</t>
  </si>
  <si>
    <t>400500B</t>
  </si>
  <si>
    <t>532500A</t>
  </si>
  <si>
    <t>532500B</t>
  </si>
  <si>
    <t>532500C</t>
  </si>
  <si>
    <t>532500D</t>
  </si>
  <si>
    <t>831000A</t>
  </si>
  <si>
    <t>830000A</t>
  </si>
  <si>
    <t>606600A</t>
  </si>
  <si>
    <t>606700A</t>
  </si>
  <si>
    <t>600310A</t>
  </si>
  <si>
    <t>800900A</t>
  </si>
  <si>
    <t>801100A</t>
  </si>
  <si>
    <t>600510A</t>
  </si>
  <si>
    <t>841000A</t>
  </si>
  <si>
    <t>840000A</t>
  </si>
  <si>
    <t>511130A</t>
  </si>
  <si>
    <t>520100A</t>
  </si>
  <si>
    <t>520200A</t>
  </si>
  <si>
    <t>520100B</t>
  </si>
  <si>
    <t>520200B</t>
  </si>
  <si>
    <t>511130B</t>
  </si>
  <si>
    <t>533500A</t>
  </si>
  <si>
    <t>533500B</t>
  </si>
  <si>
    <t>533100A</t>
  </si>
  <si>
    <t>533100B</t>
  </si>
  <si>
    <t>533100C</t>
  </si>
  <si>
    <t>533100D</t>
  </si>
  <si>
    <t>511000A</t>
  </si>
  <si>
    <t>511000B</t>
  </si>
  <si>
    <t>520100C</t>
  </si>
  <si>
    <t>520100D</t>
  </si>
  <si>
    <t>520100E</t>
  </si>
  <si>
    <t>520100F</t>
  </si>
  <si>
    <t>520100G</t>
  </si>
  <si>
    <t>520100H</t>
  </si>
  <si>
    <t>532600A</t>
  </si>
  <si>
    <t>400500C</t>
  </si>
  <si>
    <t>532600B</t>
  </si>
  <si>
    <t>532600C</t>
  </si>
  <si>
    <t>511100A</t>
  </si>
  <si>
    <t>511100B</t>
  </si>
  <si>
    <t>511300A</t>
  </si>
  <si>
    <t>511300B</t>
  </si>
  <si>
    <t>530200A</t>
  </si>
  <si>
    <t>ANP1</t>
  </si>
  <si>
    <t>PARANÁ</t>
  </si>
  <si>
    <t>Preços de distribuição de produtos asfálticos</t>
  </si>
  <si>
    <t>ANP2</t>
  </si>
  <si>
    <t>REGIÃO SUL</t>
  </si>
  <si>
    <t>Preços de produtores e importadores de derivados de petróleo</t>
  </si>
  <si>
    <t>Grupo de serviço: LIGANTES BETUMINOSOS</t>
  </si>
  <si>
    <t>ANP3</t>
  </si>
  <si>
    <t>produtores sul</t>
  </si>
  <si>
    <t>menor valor
Entre:
ANP-Greca-CBB</t>
  </si>
  <si>
    <r>
      <rPr>
        <b/>
        <sz val="9"/>
        <rFont val="Arial"/>
        <family val="2"/>
      </rPr>
      <t>Código</t>
    </r>
  </si>
  <si>
    <r>
      <rPr>
        <b/>
        <sz val="9"/>
        <rFont val="Arial"/>
        <family val="2"/>
      </rPr>
      <t>Descrição do Serviço</t>
    </r>
  </si>
  <si>
    <r>
      <rPr>
        <b/>
        <sz val="9"/>
        <rFont val="Arial"/>
        <family val="2"/>
      </rPr>
      <t>Unidade</t>
    </r>
  </si>
  <si>
    <t>Custo 
Unitário
SEM 
IMPOSTO</t>
  </si>
  <si>
    <t>Custo 
Unitário
(+21,65%)</t>
  </si>
  <si>
    <t>Custo 
Unitário
Paranacidade
Maio 2021
2ª  PUBLICAÇÃO</t>
  </si>
  <si>
    <t>Custo 
Unitário
Paranacidade
Maio 2021
1ª  PUBLICAÇÃO</t>
  </si>
  <si>
    <t>Fornecimento de asfalto diluído CM-30</t>
  </si>
  <si>
    <t>t</t>
  </si>
  <si>
    <t>Fornecimento de asfalto modificado por borracha AB8</t>
  </si>
  <si>
    <t>Fornecimento de CAP-30/45</t>
  </si>
  <si>
    <t>Fornecimento de CAP-50/70</t>
  </si>
  <si>
    <t>Fornecimento de emulsão asfáltica EAI p/imprimação</t>
  </si>
  <si>
    <t>Fornecimento de emulsão asfáltica RC-1C-E com polímero</t>
  </si>
  <si>
    <t>Fornecimento de emulsão asfáltica RL-1C</t>
  </si>
  <si>
    <t>Fornecimento de emulsão asfáltica RM-1C</t>
  </si>
  <si>
    <t>Fornecimento de emulsão asfáltica RM-2C</t>
  </si>
  <si>
    <t>Fornecimento de emulsão asfáltica RR-1C</t>
  </si>
  <si>
    <t>Fornecimento de emulsão asfáltica RR-1C-E com polímero</t>
  </si>
  <si>
    <t>Fornecimento de emulsão asfáltica RR-2C</t>
  </si>
  <si>
    <t>Fornecimento de emulsão asfáltica RR-2C-E com polímero</t>
  </si>
  <si>
    <t>560100D</t>
  </si>
  <si>
    <t>'</t>
  </si>
  <si>
    <t>589420D</t>
  </si>
  <si>
    <t>535200A</t>
  </si>
  <si>
    <t>535200B</t>
  </si>
  <si>
    <t>535200C</t>
  </si>
  <si>
    <t>521450A</t>
  </si>
  <si>
    <t>521450B</t>
  </si>
  <si>
    <t>521450C</t>
  </si>
  <si>
    <t>521450D</t>
  </si>
  <si>
    <t>521450E</t>
  </si>
  <si>
    <t>521450F</t>
  </si>
  <si>
    <t>521450G</t>
  </si>
  <si>
    <t>521450H</t>
  </si>
  <si>
    <t>535000A</t>
  </si>
  <si>
    <t>521450I</t>
  </si>
  <si>
    <t>863000A</t>
  </si>
  <si>
    <t>863000B</t>
  </si>
  <si>
    <t>863000C</t>
  </si>
  <si>
    <t>863000D</t>
  </si>
  <si>
    <t>534906A</t>
  </si>
  <si>
    <t>534906B</t>
  </si>
  <si>
    <t>534906G</t>
  </si>
  <si>
    <t>534906H</t>
  </si>
  <si>
    <t>534906I</t>
  </si>
  <si>
    <t>534906J</t>
  </si>
  <si>
    <t>534906K</t>
  </si>
  <si>
    <t>534906L</t>
  </si>
  <si>
    <t>534908G</t>
  </si>
  <si>
    <t>534908H</t>
  </si>
  <si>
    <t>101090A</t>
  </si>
  <si>
    <t>101090B</t>
  </si>
  <si>
    <t>562100A</t>
  </si>
  <si>
    <t>562100B</t>
  </si>
  <si>
    <t>562200A</t>
  </si>
  <si>
    <t>562200B</t>
  </si>
  <si>
    <t>583100A</t>
  </si>
  <si>
    <t>583100B</t>
  </si>
  <si>
    <t>583100C</t>
  </si>
  <si>
    <t>584200A</t>
  </si>
  <si>
    <t>584200B</t>
  </si>
  <si>
    <t>584200C</t>
  </si>
  <si>
    <t>534000C</t>
  </si>
  <si>
    <t>534300D</t>
  </si>
  <si>
    <t>534300E</t>
  </si>
  <si>
    <t>570300A</t>
  </si>
  <si>
    <t>570310B</t>
  </si>
  <si>
    <t>570000A</t>
  </si>
  <si>
    <t>570000B</t>
  </si>
  <si>
    <t>570000C</t>
  </si>
  <si>
    <t>570000D</t>
  </si>
  <si>
    <t>570400A</t>
  </si>
  <si>
    <t>570400B</t>
  </si>
  <si>
    <t>570400C</t>
  </si>
  <si>
    <t>PAV-003A</t>
  </si>
  <si>
    <t>PAV-005A</t>
  </si>
  <si>
    <t>PAV-003B</t>
  </si>
  <si>
    <t>PAV-005B</t>
  </si>
  <si>
    <t>589520A</t>
  </si>
  <si>
    <t>589520B</t>
  </si>
  <si>
    <t>589520C</t>
  </si>
  <si>
    <t>589520D</t>
  </si>
  <si>
    <t>589520E</t>
  </si>
  <si>
    <t>589520F</t>
  </si>
  <si>
    <t>589520G</t>
  </si>
  <si>
    <t>589520H</t>
  </si>
  <si>
    <t>589520I</t>
  </si>
  <si>
    <t>589170A</t>
  </si>
  <si>
    <t>589170B</t>
  </si>
  <si>
    <t>589170C</t>
  </si>
  <si>
    <t>589170D</t>
  </si>
  <si>
    <t>Fornecimento de emulsão RR-2C - TSD com Capa Selante Tipo - I-2</t>
  </si>
  <si>
    <t>589520J</t>
  </si>
  <si>
    <t>589000L</t>
  </si>
  <si>
    <t>589000M</t>
  </si>
  <si>
    <t>589000P</t>
  </si>
  <si>
    <t>589000Q</t>
  </si>
  <si>
    <t>589000R</t>
  </si>
  <si>
    <t>Fornecimento de Emulsão RM-2C - Pré-Misturado a Frio (Denso) - DER</t>
  </si>
  <si>
    <t>534300F</t>
  </si>
  <si>
    <t>534300G</t>
  </si>
  <si>
    <t>534300H</t>
  </si>
  <si>
    <t>589320F</t>
  </si>
  <si>
    <t>589320G</t>
  </si>
  <si>
    <t>589320H</t>
  </si>
  <si>
    <t>589320I</t>
  </si>
  <si>
    <t>589320J</t>
  </si>
  <si>
    <t>589320K</t>
  </si>
  <si>
    <t>589320L</t>
  </si>
  <si>
    <t>589320M</t>
  </si>
  <si>
    <t>589320N</t>
  </si>
  <si>
    <t>589320O</t>
  </si>
  <si>
    <t>589320P</t>
  </si>
  <si>
    <t>589190A</t>
  </si>
  <si>
    <t>589190B</t>
  </si>
  <si>
    <t>831000B</t>
  </si>
  <si>
    <t>830000B</t>
  </si>
  <si>
    <t>606600B</t>
  </si>
  <si>
    <t>606600C</t>
  </si>
  <si>
    <t>606600D</t>
  </si>
  <si>
    <t>606700B</t>
  </si>
  <si>
    <t>606700C</t>
  </si>
  <si>
    <t>606700D</t>
  </si>
  <si>
    <t>810250E</t>
  </si>
  <si>
    <t>810250F</t>
  </si>
  <si>
    <t>810250G</t>
  </si>
  <si>
    <t>810250D</t>
  </si>
  <si>
    <t>600310B</t>
  </si>
  <si>
    <t>600310C</t>
  </si>
  <si>
    <t>800900B</t>
  </si>
  <si>
    <t>801100B</t>
  </si>
  <si>
    <t>600510 B</t>
  </si>
  <si>
    <t>841000B</t>
  </si>
  <si>
    <t>.</t>
  </si>
  <si>
    <t xml:space="preserve">840000B </t>
  </si>
  <si>
    <t>97624A</t>
  </si>
  <si>
    <t>97624B</t>
  </si>
  <si>
    <t>DEMOLIÇÃO DE ALVENARIA DE TIJOLO SEM APROVEITAMENTO</t>
  </si>
  <si>
    <t>97623A</t>
  </si>
  <si>
    <t>97623B</t>
  </si>
  <si>
    <t xml:space="preserve">DEMOLIÇÃO DE ALVENARIA DE TIJOLO  COM REAPROVEITAMENTO. </t>
  </si>
  <si>
    <t>606500A</t>
  </si>
  <si>
    <t>606500B</t>
  </si>
  <si>
    <t>97624C</t>
  </si>
  <si>
    <t>97623C</t>
  </si>
  <si>
    <t>606500C</t>
  </si>
  <si>
    <t>603900B</t>
  </si>
  <si>
    <t>603900C</t>
  </si>
  <si>
    <t>Colchão de Areia para fundação de Aterro( Rio / Jazida )</t>
  </si>
  <si>
    <t>Colchão de Argila/saibro/matr. jazida para assentamento de calçadas</t>
  </si>
  <si>
    <t>Colchão de pó de pedra para assentamento de calçadas</t>
  </si>
  <si>
    <t>Colchão de Areia para assentamento de calçadas</t>
  </si>
  <si>
    <t>400500D</t>
  </si>
  <si>
    <t>532500E</t>
  </si>
  <si>
    <t>532500F</t>
  </si>
  <si>
    <t>532500G</t>
  </si>
  <si>
    <t>603900A</t>
  </si>
  <si>
    <t>603900D</t>
  </si>
  <si>
    <t>603900E</t>
  </si>
  <si>
    <t>603900F</t>
  </si>
  <si>
    <t>100576A</t>
  </si>
  <si>
    <t>100576B</t>
  </si>
  <si>
    <t>530200B</t>
  </si>
  <si>
    <t>530200C</t>
  </si>
  <si>
    <t>530200D</t>
  </si>
  <si>
    <t>560400B</t>
  </si>
  <si>
    <t>589100B</t>
  </si>
  <si>
    <t>561100B</t>
  </si>
  <si>
    <t>535000B</t>
  </si>
  <si>
    <t>563100A</t>
  </si>
  <si>
    <t>563100B</t>
  </si>
  <si>
    <t>534000D</t>
  </si>
  <si>
    <t>534000E</t>
  </si>
  <si>
    <t>534000F</t>
  </si>
  <si>
    <t>534300A</t>
  </si>
  <si>
    <t>534300B</t>
  </si>
  <si>
    <t>534300C</t>
  </si>
  <si>
    <t>534300I</t>
  </si>
  <si>
    <t>534300J</t>
  </si>
  <si>
    <t>570300B</t>
  </si>
  <si>
    <t>570310A</t>
  </si>
  <si>
    <t>570000E</t>
  </si>
  <si>
    <t>601100A</t>
  </si>
  <si>
    <t>601100B</t>
  </si>
  <si>
    <t>603000A</t>
  </si>
  <si>
    <t>603000B</t>
  </si>
  <si>
    <t>603000C</t>
  </si>
  <si>
    <t>603300A</t>
  </si>
  <si>
    <t>603300B</t>
  </si>
  <si>
    <t>603300C</t>
  </si>
  <si>
    <t>603900H</t>
  </si>
  <si>
    <t>605000F</t>
  </si>
  <si>
    <t>605000G</t>
  </si>
  <si>
    <t>605000H</t>
  </si>
  <si>
    <t>605000I</t>
  </si>
  <si>
    <t>605000J</t>
  </si>
  <si>
    <t>605000K</t>
  </si>
  <si>
    <t>605000L</t>
  </si>
  <si>
    <t>605000M</t>
  </si>
  <si>
    <t>605000N</t>
  </si>
  <si>
    <t>605000O</t>
  </si>
  <si>
    <t>570400D</t>
  </si>
  <si>
    <t>531000A</t>
  </si>
  <si>
    <t>531000B</t>
  </si>
  <si>
    <t>823000A</t>
  </si>
  <si>
    <t>823000B</t>
  </si>
  <si>
    <t>820000J</t>
  </si>
  <si>
    <t>606000A</t>
  </si>
  <si>
    <t>606000B</t>
  </si>
  <si>
    <t>605200A</t>
  </si>
  <si>
    <t>605200B</t>
  </si>
  <si>
    <t>605300A</t>
  </si>
  <si>
    <t>605300B</t>
  </si>
  <si>
    <t>605400A</t>
  </si>
  <si>
    <t>605400B</t>
  </si>
  <si>
    <t>603700A</t>
  </si>
  <si>
    <t>603800A</t>
  </si>
  <si>
    <t>603700B</t>
  </si>
  <si>
    <t>603800B</t>
  </si>
  <si>
    <t>600000A</t>
  </si>
  <si>
    <t>600000B</t>
  </si>
  <si>
    <t>633000A</t>
  </si>
  <si>
    <t>633000B</t>
  </si>
  <si>
    <t>633100A</t>
  </si>
  <si>
    <t>633200A</t>
  </si>
  <si>
    <t>633100B</t>
  </si>
  <si>
    <t>633200B</t>
  </si>
  <si>
    <t>601200A</t>
  </si>
  <si>
    <t>601200B</t>
  </si>
  <si>
    <t>620000A</t>
  </si>
  <si>
    <t>620000B</t>
  </si>
  <si>
    <t>620000C</t>
  </si>
  <si>
    <t>620100A</t>
  </si>
  <si>
    <t>620100B</t>
  </si>
  <si>
    <t>620100C</t>
  </si>
  <si>
    <t>620100D</t>
  </si>
  <si>
    <t>620200A</t>
  </si>
  <si>
    <t>620200B</t>
  </si>
  <si>
    <t>620200C</t>
  </si>
  <si>
    <t>610400A</t>
  </si>
  <si>
    <t>610400B</t>
  </si>
  <si>
    <t>610400C</t>
  </si>
  <si>
    <t>610400D</t>
  </si>
  <si>
    <t>610600A</t>
  </si>
  <si>
    <t>610600B</t>
  </si>
  <si>
    <t>610600C</t>
  </si>
  <si>
    <t>610600D</t>
  </si>
  <si>
    <t>610600E</t>
  </si>
  <si>
    <t>610600F</t>
  </si>
  <si>
    <t>610800A</t>
  </si>
  <si>
    <t>610800B</t>
  </si>
  <si>
    <t>610800C</t>
  </si>
  <si>
    <t>610800D</t>
  </si>
  <si>
    <t>610800E</t>
  </si>
  <si>
    <t>610700A</t>
  </si>
  <si>
    <t>610700B</t>
  </si>
  <si>
    <t>610900A</t>
  </si>
  <si>
    <t>610900B</t>
  </si>
  <si>
    <t>611000A</t>
  </si>
  <si>
    <t>611000B</t>
  </si>
  <si>
    <t>611000C</t>
  </si>
  <si>
    <t>611000D</t>
  </si>
  <si>
    <t>611200A</t>
  </si>
  <si>
    <t>611200B</t>
  </si>
  <si>
    <t>611400A</t>
  </si>
  <si>
    <t>611400B</t>
  </si>
  <si>
    <t>611400C</t>
  </si>
  <si>
    <t>611400D</t>
  </si>
  <si>
    <t>611600A</t>
  </si>
  <si>
    <t>611600B</t>
  </si>
  <si>
    <t>611100A</t>
  </si>
  <si>
    <t>611100B</t>
  </si>
  <si>
    <t>611500A</t>
  </si>
  <si>
    <t>611500B</t>
  </si>
  <si>
    <t xml:space="preserve">                                                                                                           </t>
  </si>
  <si>
    <t xml:space="preserve">                           </t>
  </si>
  <si>
    <t>ANP 1 
(Produtores)
 15 NOVEMBRO / 2021</t>
  </si>
  <si>
    <t>ANP 2 
(Distribuidores Estado)
FEVEREIRO / 2022</t>
  </si>
  <si>
    <t>ANP 3 
(Distribuidores Região Sul)
FEVEREIRO / 2022</t>
  </si>
  <si>
    <t>Custo 
Unitário
Paranacidade
Agosto 2021
3ª  PUBLICAÇÃO</t>
  </si>
  <si>
    <t>Custo 
Unitário
Paranacidade
Novembro 2021
4ª  PUBLICAÇÃO</t>
  </si>
  <si>
    <t>brasil</t>
  </si>
  <si>
    <t>Paraná</t>
  </si>
  <si>
    <t>anpfev - DISTRIBUIDOR</t>
  </si>
  <si>
    <t>Fornecimento de asfalto modificado por borracha AB22</t>
  </si>
  <si>
    <t>EMULSAO ASFALTICA ANIONICA</t>
  </si>
  <si>
    <t xml:space="preserve">L     </t>
  </si>
  <si>
    <t>CR</t>
  </si>
  <si>
    <t>6,01</t>
  </si>
  <si>
    <t>EMULSAO ASFALTICA CATIONICA RL-1C PARA USO EM PAVIMENTACAO ASFALTICA (COLETADO CAIXA NA ANP ACRESCIDO DE ICMS)</t>
  </si>
  <si>
    <t xml:space="preserve">T     </t>
  </si>
  <si>
    <t xml:space="preserve">C </t>
  </si>
  <si>
    <t>3.535,55</t>
  </si>
  <si>
    <t>EMULSAO ASFALTICA CATIONICA RR-2C PARA USO EM PAVIMENTACAO ASFALTICA (COLETADO CAIXA NA ANP ACRESCIDO DE ICMS)</t>
  </si>
  <si>
    <t xml:space="preserve">KG    </t>
  </si>
  <si>
    <t>3,81</t>
  </si>
  <si>
    <t>EMULSAO EXPLOSIVA EM CARTUCHOS DE 1" X 12", DENSIDADE 1.15 G/CM3, INICIACAO ESPOLETA N. 8 / CORDEL</t>
  </si>
  <si>
    <t>AS</t>
  </si>
  <si>
    <t>26,73</t>
  </si>
  <si>
    <t>Fornecimento de CAP-modifocado por polímero elastomérico 55/75-E</t>
  </si>
  <si>
    <t>EMULSAO EXPLOSIVA EM CARTUCHOS DE 1" X 24", DENSIDADE 1.15 G/CM3, INICIACAO ESPOLETA N. 8 / CORDEL</t>
  </si>
  <si>
    <t>Fornecimento de CAP-modifocado por polímero elastomérico 60/85-E</t>
  </si>
  <si>
    <t>EMULSAO EXPLOSIVA EM CARTUCHOS DE 1" X 8", DENSIDADE 1.15 G/CM3, INICIACAO ESPOLETA N. 8 / CORDEL</t>
  </si>
  <si>
    <t>Fornecimento de CAP-modifocado por polímero elastomérico 65/90-E</t>
  </si>
  <si>
    <t>EMULSAO EXPLOSIVA EM CARTUCHOS DE 2 1/2" X 24", DENSIDADE 1.15 G/CM3, INICIACAO ESPOLETA N. 8 / CORDEL</t>
  </si>
  <si>
    <t>20,23</t>
  </si>
  <si>
    <t>ASFALTO MODIFICADO TIPO II - NBR 9910 (ASFALTO OXIDADO PARA IMPERMEABILIZACAO, COEFICIENTE DE PENETRACAO 20-35)</t>
  </si>
  <si>
    <t>10,32</t>
  </si>
  <si>
    <t>ASFALTO MODIFICADO TIPO III - NBR 9910 (ASFALTO OXIDADO PARA IMPERMEABILIZACAO, COEFICIENTE DE PENETRACAO 15-25)</t>
  </si>
  <si>
    <t>11,58</t>
  </si>
  <si>
    <t>Fornecimento de emulsão asfáltica RL-1C-E com polímero</t>
  </si>
  <si>
    <t>CIMENTO ASFALTICO DE PETROLEO A GRANEL (CAP) 50/70 (COLETADO CAIXA NA ANP ACRESCIDO DE ICMS)</t>
  </si>
  <si>
    <t>5.061,15</t>
  </si>
  <si>
    <t>Fornecimento de emulsão asfáltica RM-1C-E com polímero</t>
  </si>
  <si>
    <t>603500B</t>
  </si>
  <si>
    <t>CBUQ c/ asfalto com BORRACHA - AB8</t>
  </si>
  <si>
    <t>Fornecimento de ASFALTO-BORRACHA - CBUQ com borracha - AB8</t>
  </si>
  <si>
    <t>02.105.000040.SER</t>
  </si>
  <si>
    <t>Carga de mat. 1a. cat./sem transporte</t>
  </si>
  <si>
    <t>Escavação e carga mat. 1a. cat./sem transporte</t>
  </si>
  <si>
    <t>Escavação e carga mat. 2a. cat./sem transporte</t>
  </si>
  <si>
    <t>Escavação e carga mat. 3a. cat./sem transporte</t>
  </si>
  <si>
    <t>Escavação de mat. 1a. cat./sem transporte</t>
  </si>
  <si>
    <t>Escavação de mat. 2a. cat./sem transporte</t>
  </si>
  <si>
    <t>Escavação de mat. 3a. cat./sem transporte</t>
  </si>
  <si>
    <t>Escavação, Carga e Transp. 1ª Cat.</t>
  </si>
  <si>
    <t>Escavação, Carga e Transp. 2ª Cat.</t>
  </si>
  <si>
    <t>Escavação, Carga e Transp. de jazida 3ª Cat. (ROCHA)</t>
  </si>
  <si>
    <t>BDI - ACÓRDÃO Nº 2622/2013 – TCU
PAVIMENTAÇÃO</t>
  </si>
  <si>
    <t>4- Valor do ISS calculado</t>
  </si>
  <si>
    <t>EXECUÇÃO E COMPACTAÇÃO DE BASE E OU SUB BASE PARA PAVIMENTAÇÃO DE CONCRETO COMPACTADO COM ROLO - EXCLUSIVE CARGA E TRANSPORTE. AF_11/2019</t>
  </si>
  <si>
    <t>EXECUÇÃO DE JUNTAS DE CONTRAÇÃO PARA PAVIMENTOS DE CONCRETO. AF_11/2017</t>
  </si>
  <si>
    <t>APLICAÇÃO DE GRAXA EM BARRAS DE TRANSFERÊNCIA PARA EXECUÇÃO DE PAVIMENTO DE CONCRETO. AF_11/2017</t>
  </si>
  <si>
    <t>BARRAS DE TRANSFERÊNCIA, AÇO CA-25 DE 16,0 MM, PARA EXECUÇÃO DE PAVIMENTO DE CONCRETO  FORNECIMENTO E INSTALAÇÃO. AF_11/2017</t>
  </si>
  <si>
    <t>BARRAS DE TRANSFERÊNCIA, AÇO CA-25 DE 20,0 MM, PARA EXECUÇÃO DE PAVIMENTO DE CONCRETO  FORNECIMENTO E INSTALAÇÃO. AF_11/2017</t>
  </si>
  <si>
    <t>BARRAS DE TRANSFERÊNCIA, AÇO CA-25 DE 25,0 MM, PARA EXECUÇÃO DE PAVIMENTO DE CONCRETO  FORNECIMENTO E INSTALAÇÃO. AF_11/2017</t>
  </si>
  <si>
    <t>BARRAS DE TRANSFERÊNCIA, AÇO CA-25 DE 32,0 MM, PARA EXECUÇÃO DE PAVIMENTO DE CONCRETO  FORNECIMENTO E INSTALAÇÃO. AF_11/2017</t>
  </si>
  <si>
    <t>BARRAS DE LIGAÇÃO, AÇO CA-50 DE 10 MM, PARA EXECUÇÃO DE PAVIMENTO DE CONCRETO  FORNECIMENTO E INSTALAÇÃO. AF_11/2017</t>
  </si>
  <si>
    <t>USINAGEM DE CONCRETO PARA COMPACTAÇÃO COM ROLO. AF_03/2020</t>
  </si>
  <si>
    <t>EXECUÇÃO DE PAVIMENTO DE CONCRETO SIMPLES (PCS), FCK = 40 MPA, CAMADA COM ESPESSURA DE 17,5 CM. AF_11/2017,
INCLUSIVE: AGENTE DE CURA, LONAS PLÁSTICA, RÉGUA VIBRATÓRIA, JUNTAS DE CONTRAÇÃO, GRAXA, BARRAS DE TRANSFERÊNCIA E BARRAS DE LIGAÇÃO.</t>
  </si>
  <si>
    <t>EXECUÇÃO DE PAVIMENTO DE CONCRETO SIMPLES (PCS), FCK = 40 MPA, CAMADA COM ESPESSURA DE 20,0 CM. AF_11/2017
INCLUSIVE: AGENTE DE CURA, LONAS PLÁSTICA, RÉGUA VIBRATÓRIA, JUNTAS DE CONTRAÇÃO, GRAXA, BARRAS DE TRANSFERÊNCIA E BARRAS DE LIGAÇÃO.</t>
  </si>
  <si>
    <t>EXECUÇÃO DE PAVIMENTO DE CONCRETO SIMPLES (PCS), FCK = 40 MPA, CAMADA COM ESPESSURA DE 22,5 CM. AF_11/2017.
INCLUSIVE: AGENTE DE CURA, LONAS PLÁSTICA, RÉGUA VIBRATÓRIA, JUNTAS DE CONTRAÇÃO, GRAXA, BARRAS DE TRANSFERÊNCIA E BARRAS DE LIGAÇÃO.</t>
  </si>
  <si>
    <t>EXECUÇÃO DE PAVIMENTO DE CONCRETO SIMPLES (PCS), FCK = 40 MPA, CAMADA COM ESPESSURA DE 25,0 CM. AF_11/2017.
INCLUSIVE: AGENTE DE CURA, LONAS PLÁSTICA, RÉGUA VIBRATÓRIA, JUNTAS DE CONTRAÇÃO, GRAXA, BARRAS DE TRANSFERÊNCIA E BARRAS DE LIGAÇÃO.</t>
  </si>
  <si>
    <t>EXECUÇÃO DE PAVIMENTO DE CONCRETO SIMPLES (PCS), FCK = 40 MPA, CAMADA COM ESPESSURA DE 27,5 CM. AF_11/2017.
INCLUSIVE: AGENTE DE CURA, LONAS PLÁSTICA, RÉGUA VIBRATÓRIA, JUNTAS DE CONTRAÇÃO, GRAXA, BARRAS DE TRANSFERÊNCIA E BARRAS DE LIGAÇÃO.</t>
  </si>
  <si>
    <t>APLICAÇÃO DE LONA PLÁSTICA PARA EXECUÇÃO DE PAVIMENTOS DE CONCRETO. AF_11/2017.
INCLUSIVE: AGENTE DE CURA, LONAS PLÁSTICA, RÉGUA VIBRATÓRIA, JUNTAS DE CONTRAÇÃO, GRAXA, BARRAS DE TRANSFERÊNCIA E BARRAS DE LIGAÇÃO.</t>
  </si>
  <si>
    <t>EXECUÇÃO DE PAVIMENTO DE CONCRETO SIMPLES (PCS), FCK = 40 MPA, CAMADA COM ESPESSURA DE 15,0 CM. AF_11/2017.
INCLUSIVE: AGENTE DE CURA, LONAS PLÁSTICA, RÉGUA VIBRATÓRIA, JUNTAS DE CONTRAÇÃO, GRAXA, BARRAS DE TRANSFERÊNCIA E BARRAS DE LIGAÇÃO.</t>
  </si>
  <si>
    <t xml:space="preserve"> É de responsabilidade do orçamentista adequar as % de incidência de cada item no cálculo do BDI e os impostos. Os valores aqui apresentados são apenas exemplos.</t>
  </si>
  <si>
    <t>Concreto compactado a rolo Fck= 15MPa</t>
  </si>
  <si>
    <t>Concreto compactado a rolo Fck= 5MPa</t>
  </si>
  <si>
    <t>Concreto magro usinado, espalhamento manual</t>
  </si>
  <si>
    <t>Cura química de pavimento de concreto</t>
  </si>
  <si>
    <t>Cura úmida de pavimento de concreto com manta de cura</t>
  </si>
  <si>
    <t>Forma metálica para pavimento</t>
  </si>
  <si>
    <t>Fornecimento e aplicação de fibra de polipropileno multifilamentos (0,600kg/ m³)</t>
  </si>
  <si>
    <t>Fornecimento e aplicação de lona plástica preta 200 micras</t>
  </si>
  <si>
    <t>Fornecimento e colocação de aço CA 50 para apoio de barra de transferência</t>
  </si>
  <si>
    <t>Fornecimento e colocação de aço CA 50 para barras de ligação</t>
  </si>
  <si>
    <t>Fornecimento e colocação de aço CA-25 para barra de transferência ø= 20mm</t>
  </si>
  <si>
    <t>Fornecimento e colocação de aço CA-25 para barra de transferência ø= 25mm</t>
  </si>
  <si>
    <t>Fornecimento e colocação de aço CA-25 para barra de transferência ø= 32mm</t>
  </si>
  <si>
    <t>Fornecimento e colocação de Tela Telcon Q-138 ou equivalente</t>
  </si>
  <si>
    <t>Junta de construção com isopor, selante a base de silicone e cordão de polipropileno</t>
  </si>
  <si>
    <t>Junta longitudinal, inclusive corte, selante a base de silicone e cordão de polipropileno</t>
  </si>
  <si>
    <t>Junta transversal , inclusive corte, selante a base de silicone e cordão de polipropileno</t>
  </si>
  <si>
    <t>Pavimento de concreto de cimento Portland Fctmk = 4,5 MPa executado com pavimentadora</t>
  </si>
  <si>
    <t>Pavimento de concreto Fctmk=4,50MPa executado com régua vibratória</t>
  </si>
  <si>
    <t>CAP</t>
  </si>
  <si>
    <t>CM-30</t>
  </si>
  <si>
    <t>set/22</t>
  </si>
  <si>
    <t>out/22</t>
  </si>
  <si>
    <t>Custo 
Unitário
DER
ago/2022</t>
  </si>
  <si>
    <t>com desconto Petrobras</t>
  </si>
  <si>
    <t xml:space="preserve"> greca</t>
  </si>
  <si>
    <t>cbb</t>
  </si>
  <si>
    <t>(Pesquisa Curitiba)
outubro / 2022</t>
  </si>
  <si>
    <t xml:space="preserve">Greca 
Asfáltos
</t>
  </si>
  <si>
    <t xml:space="preserve">CBB 
Asfáltos
</t>
  </si>
  <si>
    <t xml:space="preserve">
jan/2021</t>
  </si>
  <si>
    <t xml:space="preserve">
set/2017</t>
  </si>
  <si>
    <t xml:space="preserve">
jun/2018</t>
  </si>
  <si>
    <t xml:space="preserve">
mar/2019</t>
  </si>
  <si>
    <t xml:space="preserve">
out/2019</t>
  </si>
  <si>
    <t>Fornecimento de emulsão asfáltica RM-2C-E com polímero</t>
  </si>
  <si>
    <t>5.232,23</t>
  </si>
  <si>
    <t>3.750,77</t>
  </si>
  <si>
    <t>3.145,55</t>
  </si>
  <si>
    <t>3.227,05</t>
  </si>
  <si>
    <t>3.778,62</t>
  </si>
  <si>
    <t>3.842,38</t>
  </si>
  <si>
    <t>4.028,60</t>
  </si>
  <si>
    <t>2.667,16</t>
  </si>
  <si>
    <t>3.013,00</t>
  </si>
  <si>
    <t>2.547,37</t>
  </si>
  <si>
    <t>2.793,40</t>
  </si>
  <si>
    <t>3.300,00</t>
  </si>
  <si>
    <t>2.377,21</t>
  </si>
  <si>
    <t>3.360,00</t>
  </si>
  <si>
    <t>2.306,77</t>
  </si>
  <si>
    <t>2.695,12</t>
  </si>
  <si>
    <t>2.616,54</t>
  </si>
  <si>
    <t>2.798,30</t>
  </si>
  <si>
    <t>PREÇOS DO DER  - LIGANTES</t>
  </si>
  <si>
    <t>Custo 
Unitário
Paranacidade
Fevereiro 2022
6ª  PUBLICAÇÃO</t>
  </si>
  <si>
    <t>Custo 
Unitário
Paranacidade
Janeiro 2021
DER</t>
  </si>
  <si>
    <t>Custo 
Unitário
DER
Fevereiro 2022
5ª  PUBLICAÇÃO</t>
  </si>
  <si>
    <t>Custo 
Unitário
Paranacidade
Outubro 2022
8ª  PUBLICAÇÃO</t>
  </si>
  <si>
    <t>Custo 
Unitário
DER
Agosto 2022
7ª  PUBLICAÇÃO</t>
  </si>
  <si>
    <t>BDI (%) - MATERIAIS</t>
  </si>
  <si>
    <t>LUMINÁRIA TIPO PLAFON CIRCULAR, DE SOBREPOR, COM LED DE 12/13 W - FORNECIMENTO E INSTALAÇÃO. AF_03/2022</t>
  </si>
  <si>
    <t>EXECUÇÃO DE PAVIMENTO DE CONCRETO ARMADO (PCA), FCK = 30 MPA, ESPESSURA DE 15,0 CM. AF_04/2022</t>
  </si>
  <si>
    <t>Formas de madeira comum</t>
  </si>
  <si>
    <t>602000B</t>
  </si>
  <si>
    <t>602000A</t>
  </si>
  <si>
    <t>602000C</t>
  </si>
  <si>
    <t>EXECUÇÃO DE PAVIMENTO DE CONCRETO ARMADO (PCA), FCK = 30 MPA, ESPESSURA DE 17,5 CM. AF_04/2022</t>
  </si>
  <si>
    <t>Ensaio de Massa Específica - In Situ - Método Frasco de Areia (Grau de Compactação) - Base</t>
  </si>
  <si>
    <t>09.03.02</t>
  </si>
  <si>
    <t>Ensaio de Abrasão Los Angeles - Macadame seco com brita graduada</t>
  </si>
  <si>
    <t>09.03.02a</t>
  </si>
  <si>
    <t>Ensaio de Abrasão Los Angeles - rachão sem britagem</t>
  </si>
  <si>
    <t>09.07.01</t>
  </si>
  <si>
    <t>Viga Benkelman (levantamento por pista de 20m em 20m alternando a faixa) - (km.pista)</t>
  </si>
  <si>
    <t>Diferença entre a Soma e a Multiplicação</t>
  </si>
  <si>
    <t>XX</t>
  </si>
  <si>
    <t>IMURIMIR</t>
  </si>
  <si>
    <t>CBUQ - REMENDO (MECÂNICO)</t>
  </si>
  <si>
    <t>(Os custos com mobilização e desmobilização de equipe e equipamentos para a extração de amostras para os ensaios tecnológicos, exceto da capa asfáltica, serão de responsabilidade da empresa executora da obra.)</t>
  </si>
  <si>
    <t>Corpo de BSTC ø 0,40 Sem Berço c/ Armação Símples PA-1</t>
  </si>
  <si>
    <t>Corpo de BSTC ø 0,50 Sem Berço c/ Armação Símples PA-1</t>
  </si>
  <si>
    <t>Corpo de BSTC ø 0,60 Sem Berço c/ Armação Símples PA-1</t>
  </si>
  <si>
    <t>Corpo de BSTC ø 0,70 Sem Berço c/ Armação Símples PA-1</t>
  </si>
  <si>
    <t>Corpo de BSTC ø 0,80 Sem Berço c/ Armação Símples PA-1</t>
  </si>
  <si>
    <t>Corpo de BSTC ø 0,90 Sem Berço c/ Armação Símples PA-1</t>
  </si>
  <si>
    <t>Corpo de BSTC ø 1,00 Sem Berço c/ Armação Símples PA-1</t>
  </si>
  <si>
    <t>Corpo de BSTC ø 1,20 Sem Berço c/ Armação Símples PA-1</t>
  </si>
  <si>
    <t>Corpo de BSTC ø 1,50 Sem Berço c/ Armação Símples PA-1</t>
  </si>
  <si>
    <t>Corpo de BSTC ø 1,80 Sem Berço c/ Armação Símples PA-1</t>
  </si>
  <si>
    <t>Corpo de BSTC ø 2,00 Sem Berço c/ Armação Símples PA-1</t>
  </si>
  <si>
    <t>Corpo de BSTC ø 0,40 Sem Berço c/ Armação Dupla PA-2</t>
  </si>
  <si>
    <t>Corpo de BSTC ø 0,50 Sem Berço c/ Armação Dupla PA-2</t>
  </si>
  <si>
    <t>Corpo de BSTC ø 0,60 Sem Berço c/ Armação Dupla PA-2</t>
  </si>
  <si>
    <t>Corpo de BSTC ø 0,70 Sem Berço c/ Armação Dupla PA-2</t>
  </si>
  <si>
    <t>Corpo de BSTC ø 0,80 Sem Berço c/ Armação Dupla PA-2</t>
  </si>
  <si>
    <t>Corpo de BSTC ø 0,90 Sem Berço c/ Armação Dupla PA-2</t>
  </si>
  <si>
    <t>Corpo de BSTC ø 1,00 Sem Berço c/ Armação Dupla PA-2</t>
  </si>
  <si>
    <t>Corpo de BSTC ø 1,20 Sem Berço c/ Armação Dupla PA-2</t>
  </si>
  <si>
    <t>Corpo de BSTC ø 1,50 Sem Berço c/ Armação Dupla PA-2</t>
  </si>
  <si>
    <t>Corpo de BSTC ø 1,80 Sem Berço c/ Armação Dupla PA-2</t>
  </si>
  <si>
    <t>Corpo de BSTC ø 2,00 Sem Berço c/ Armação Dupla PA-2</t>
  </si>
  <si>
    <t>Corpo de BSTC ø 0,40 Com Berço c/ Armação Dupla PA-2</t>
  </si>
  <si>
    <t>Corpo de BSTC ø 0,50 Com Berço c/ Armação Dupla PA-2</t>
  </si>
  <si>
    <t>Corpo de BSTC ø 0,60 Com Berço c/ Armação Dupla PA-2</t>
  </si>
  <si>
    <t>Corpo de BSTC ø 0,70 Com Berço c/ Armação Dupla PA-2</t>
  </si>
  <si>
    <t>Corpo de BSTC ø 0,80 Com Berço c/ Armação Dupla PA-2</t>
  </si>
  <si>
    <t>Corpo de BSTC ø 0,90 Com Berço c/ Armação Dupla PA-2</t>
  </si>
  <si>
    <t>Corpo de BSTC ø 1,00 Com Berço c/ Armação Dupla PA-2</t>
  </si>
  <si>
    <t>Corpo de BSTC ø 1,20 Com Berço c/ Armação Dupla PA-2</t>
  </si>
  <si>
    <t>Corpo de BSTC ø 1,50 Com Berço c/ Armação Dupla PA-2</t>
  </si>
  <si>
    <t>Corpo de BSTC ø 1,80 Com Berço c/ Armação Dupla PA-2</t>
  </si>
  <si>
    <t>Corpo de BSTC ø 2,00 Com Berço c/ Armação Dupla PA-2</t>
  </si>
  <si>
    <t>Corpo de BSTC ø 0,40 sem Berço e sem Armação - PS-1</t>
  </si>
  <si>
    <t>Corpo de BSTC ø 0,30 sem Berço e sem Armação - PS-1</t>
  </si>
  <si>
    <t>Corpo de BSTC ø 0,20 sem Berço e sem Armação - PS-1</t>
  </si>
  <si>
    <t>Corpo de BSTC ø 0,50 sem Berço e sem Armação - PS-1</t>
  </si>
  <si>
    <t>Corpo de BSTC ø 0,60 sem Berço e sem Armação - PS-1</t>
  </si>
  <si>
    <t>Corpo de BSTC ø 0,70 sem Berço e sem Armação - PS-1</t>
  </si>
  <si>
    <t>Corpo de BSTC ø 0,80 sem Berço e sem Armação - PS-1</t>
  </si>
  <si>
    <t xml:space="preserve">ÁREA ATUAL (m2): </t>
  </si>
  <si>
    <t>=GLOBAL_DER_AGO_2022!B43</t>
  </si>
  <si>
    <t>DISTÂNCIAS MÉDIAS DE TRANSPORTES (km)</t>
  </si>
  <si>
    <t>Local:</t>
  </si>
  <si>
    <t>Comercial</t>
  </si>
  <si>
    <t>Local</t>
  </si>
  <si>
    <t>Materiais</t>
  </si>
  <si>
    <t>Origem</t>
  </si>
  <si>
    <t>Pav.</t>
  </si>
  <si>
    <t>N/pav.</t>
  </si>
  <si>
    <t>Abrigo parada ônibus</t>
  </si>
  <si>
    <t>(1)</t>
  </si>
  <si>
    <t>Areal -</t>
  </si>
  <si>
    <t>areal</t>
  </si>
  <si>
    <t>Pedreira-</t>
  </si>
  <si>
    <t>pedreira</t>
  </si>
  <si>
    <t>(2)</t>
  </si>
  <si>
    <t xml:space="preserve">CAP-50/70 </t>
  </si>
  <si>
    <t>(4)</t>
  </si>
  <si>
    <t>cap</t>
  </si>
  <si>
    <t>(5)</t>
  </si>
  <si>
    <t>(6)</t>
  </si>
  <si>
    <t>Emulsão</t>
  </si>
  <si>
    <t>Gabião galvanizado</t>
  </si>
  <si>
    <t>(3)</t>
  </si>
  <si>
    <t>Massa brita graduada</t>
  </si>
  <si>
    <t>Massa a quente</t>
  </si>
  <si>
    <t>Usina de asfalto</t>
  </si>
  <si>
    <t>Massa quente</t>
  </si>
  <si>
    <t>Material de fresagem</t>
  </si>
  <si>
    <t>Pista p/Bota-fora</t>
  </si>
  <si>
    <t>Material de pav.demolido</t>
  </si>
  <si>
    <t>Tijolos</t>
  </si>
  <si>
    <t>Trilhos/chapas</t>
  </si>
  <si>
    <t>Tubos</t>
  </si>
  <si>
    <t xml:space="preserve">Areia  </t>
  </si>
  <si>
    <t>Areal-</t>
  </si>
  <si>
    <t>Cimento Portland</t>
  </si>
  <si>
    <t>CAP/CAP-Borracha/Polímero</t>
  </si>
  <si>
    <t>Cal hidratada CH-1</t>
  </si>
  <si>
    <t>Obs:</t>
  </si>
  <si>
    <t>Fabrica de tubo mais proximo, com renomado reconhecimento local.</t>
  </si>
  <si>
    <t>Comércio local ou próximo</t>
  </si>
  <si>
    <t>Curitiba</t>
  </si>
  <si>
    <t>Repar-Araucária</t>
  </si>
  <si>
    <t>GLOBAL</t>
  </si>
  <si>
    <t>ÁREA ATUAL (m2):</t>
  </si>
  <si>
    <t>Digitar "B" para arredondar para baixo e "C" para cima, ou "0" para o simples arredondamento do %</t>
  </si>
  <si>
    <t>Se ficar diferente de 100,00% utilizar as letras "B" ou "C" para ajustar os % para atingir exatamente 100,00%.</t>
  </si>
  <si>
    <t>Quantidade 
Edital (50%)</t>
  </si>
  <si>
    <t>Projeto</t>
  </si>
  <si>
    <t>Areal</t>
  </si>
  <si>
    <t>Pedreira</t>
  </si>
  <si>
    <t xml:space="preserve"> DESTINO - TRECHO DA OBRA</t>
  </si>
  <si>
    <t>SAM:</t>
  </si>
  <si>
    <t>Lote:</t>
  </si>
  <si>
    <r>
      <t>Usina de solos</t>
    </r>
    <r>
      <rPr>
        <sz val="9"/>
        <rFont val="Tahoma"/>
        <family val="2"/>
      </rPr>
      <t xml:space="preserve"> </t>
    </r>
  </si>
  <si>
    <t xml:space="preserve">Brita Graduada </t>
  </si>
  <si>
    <t>Lajotas de Concreto</t>
  </si>
  <si>
    <t>Paver ou Bloket</t>
  </si>
  <si>
    <t>Emulsão RM-1C/2C ; RL</t>
  </si>
  <si>
    <t>Rachão / Pedra de Mão</t>
  </si>
  <si>
    <t>DESTINO: USINA ASFALTO</t>
  </si>
  <si>
    <t>DESTINO: FÁB. ARTE-FATO</t>
  </si>
  <si>
    <t>Petit - Pavet - (Pedra Portuguesa)</t>
  </si>
  <si>
    <t>(7)</t>
  </si>
  <si>
    <t>Apucarana(AP), Ponta Grossa (PG), Campo Largo, Curitiba (CT), Araucária</t>
  </si>
  <si>
    <t>Balsa Nova ou Rio Branco do Sul</t>
  </si>
  <si>
    <t>Almirante Tamandaré, Itaperuçu, Rio Branco do Sul</t>
  </si>
  <si>
    <t>Cal hidratada / virgem</t>
  </si>
  <si>
    <t>Origem da Fábrica</t>
  </si>
  <si>
    <t>Fincadinha de concreto</t>
  </si>
  <si>
    <t>Solo argiloso</t>
  </si>
  <si>
    <t>Brita 4A / Bica Corrida</t>
  </si>
  <si>
    <t>DESTINO: USINA CON-CRETO OU SOLO-CIM.</t>
  </si>
  <si>
    <t>Solo (solo cimento)</t>
  </si>
  <si>
    <t>Saibreira</t>
  </si>
  <si>
    <t>Massa solo cimento</t>
  </si>
  <si>
    <t>Moledo Compactado CBR&gt;=20 (Base ou Sub-Base)</t>
  </si>
  <si>
    <t>EAI / CM-30</t>
  </si>
  <si>
    <t>Emulsão  RR-1C; RR-2C</t>
  </si>
  <si>
    <t>Macadame Hidráulico / Seco</t>
  </si>
  <si>
    <t>Saibro / Material de jazida / Moledo</t>
  </si>
  <si>
    <t xml:space="preserve">Paralelepípedos Regulares / Fincadinha Granito </t>
  </si>
  <si>
    <t>Pedra Irregular / Cordão lateral</t>
  </si>
  <si>
    <t>Concreto Compactado a Rolo (massa)</t>
  </si>
  <si>
    <t>Concreto Usinado</t>
  </si>
  <si>
    <t>Meio-fio</t>
  </si>
  <si>
    <t>BDI (%) - MATERIAIS:</t>
  </si>
  <si>
    <t>BDI (%) - SERVIÇOS:</t>
  </si>
  <si>
    <t>ORÇAMENTO</t>
  </si>
  <si>
    <t xml:space="preserve">PREÇO GLOBAL    </t>
  </si>
  <si>
    <t>Determinação do Abatimento (Slump Test) - aproximadamente 1 teste por caminhão betoneira. Considerando caminhão de 8m3</t>
  </si>
  <si>
    <t>Determinação de Resistência a Compressão por Moldagem, Cura e Ruptura de Corpos de Provas Cilíndricos. Moldagem de 4 corpos de prova por caminhão.</t>
  </si>
  <si>
    <t>Determinação de Resistência a Tração na Flexão por Moldagem, Cura e Ruptura de Corpos de Provas Prismáticos (estimativa 2 corpos de prova a cada 50m3)</t>
  </si>
  <si>
    <t>Mobilização e Desmobilização de Equipamento e Equipe para as concretagens, rompimento dos corpos de prova moldados na obra e coletas de corpos de prova. (sendo considerado 4 diárias)</t>
  </si>
  <si>
    <t>Fazer Cotação</t>
  </si>
  <si>
    <t>fonte da cotação</t>
  </si>
  <si>
    <r>
      <t xml:space="preserve">Digitar "B" para arredondar para baixo e "C" para cima, ou "0" para o simples arredondamento do valor do </t>
    </r>
    <r>
      <rPr>
        <b/>
        <sz val="9"/>
        <rFont val="Arial"/>
        <family val="2"/>
      </rPr>
      <t>Paranacidade</t>
    </r>
  </si>
  <si>
    <t>Ajuste Manual dos centavos entre a Soma e a multiplicação</t>
  </si>
  <si>
    <t xml:space="preserve">TOTAL GERAL  </t>
  </si>
  <si>
    <t>Observações</t>
  </si>
  <si>
    <t>Destinos</t>
  </si>
  <si>
    <t>Fornecimento e assentamento de piso tátil de concreto alerta/direcional
20x20cm</t>
  </si>
  <si>
    <t>Fornecimento e assentamento de piso tátil de concreto alerta/direcional
20x20cm vermelho</t>
  </si>
  <si>
    <t>Fornecimento e assentamento de piso tátil de concreto alerta/direcional
40x40cm</t>
  </si>
  <si>
    <t>Fornecimento e assentamento de piso tátil de concreto alerta/direcional
40x40cm vermelho</t>
  </si>
  <si>
    <t>CÁLCULO DO PERCENTUAL DE AGREADOS NA MASSA</t>
  </si>
  <si>
    <t>CAPA</t>
  </si>
  <si>
    <t>Reperfilamento</t>
  </si>
  <si>
    <t>TRAÇO 4 - PASSEIO</t>
  </si>
  <si>
    <t>Nome da Usina</t>
  </si>
  <si>
    <t>Nome do local da pedreira</t>
  </si>
  <si>
    <t>Nome do local da usina</t>
  </si>
  <si>
    <t>Fornecimento de CAP - CBUQ (Quantidade menor que 10.000 ton)</t>
  </si>
  <si>
    <t>Fornecimento de CAP - CBUQ (Quantidade maior que 10.000 ton)</t>
  </si>
  <si>
    <t>CBUQ - PASSEIO  (Quantidade menor que 10.000 ton)</t>
  </si>
  <si>
    <t>CBUQ - PASSEIO (Quantidade maior que 10.000 ton)</t>
  </si>
  <si>
    <t xml:space="preserve">1ª Camada </t>
  </si>
  <si>
    <t>Fornecimento de CAP - Pré-Misturado a Quente (maior que 10.000 ton)</t>
  </si>
  <si>
    <t>Fornecimento de CAP - Pré-Misturado a Quente (menor que 10.000 ton)</t>
  </si>
  <si>
    <t>atualizado : fev/2023</t>
  </si>
  <si>
    <t>TRAÇO 5</t>
  </si>
  <si>
    <t>TRAÇO 6</t>
  </si>
  <si>
    <t>TRAÇO 7</t>
  </si>
  <si>
    <t>TRAÇO 8</t>
  </si>
  <si>
    <t>BINDER 2</t>
  </si>
  <si>
    <t>BINDER 3</t>
  </si>
  <si>
    <t>REPERFILAMENTO 2</t>
  </si>
  <si>
    <t>REPERFILAMENTO 3</t>
  </si>
  <si>
    <t>TRAÇO 5 - PASSEIO</t>
  </si>
  <si>
    <t>(Quantidade menor que 10.000 ton)</t>
  </si>
  <si>
    <t>Tabela Referência: DER/PR de FEVEREIRO/2023 sem desoneração</t>
  </si>
  <si>
    <t>Data Base da aprovação do Orçamento (Decreto 10.086/22 do Paraná, que regulamenta a Lei 14.133/21):</t>
  </si>
  <si>
    <r>
      <t xml:space="preserve">Solo Cimento(Pista) - </t>
    </r>
    <r>
      <rPr>
        <b/>
        <sz val="8"/>
        <rFont val="Arial"/>
        <family val="2"/>
      </rPr>
      <t>2%</t>
    </r>
  </si>
  <si>
    <r>
      <t xml:space="preserve">Solo Cimento(Pista) - </t>
    </r>
    <r>
      <rPr>
        <b/>
        <sz val="8"/>
        <rFont val="Arial"/>
        <family val="2"/>
      </rPr>
      <t>3%</t>
    </r>
  </si>
  <si>
    <r>
      <t xml:space="preserve">Solo Cimento(Pista) - </t>
    </r>
    <r>
      <rPr>
        <b/>
        <sz val="8"/>
        <rFont val="Arial"/>
        <family val="2"/>
      </rPr>
      <t>4%</t>
    </r>
  </si>
  <si>
    <r>
      <t xml:space="preserve">Solo Cimento(Pista) - </t>
    </r>
    <r>
      <rPr>
        <b/>
        <sz val="8"/>
        <rFont val="Arial"/>
        <family val="2"/>
      </rPr>
      <t>5%</t>
    </r>
  </si>
  <si>
    <r>
      <t xml:space="preserve">Solo Cimento(Pista) - </t>
    </r>
    <r>
      <rPr>
        <b/>
        <sz val="8"/>
        <rFont val="Arial"/>
        <family val="2"/>
      </rPr>
      <t>6%</t>
    </r>
  </si>
  <si>
    <r>
      <t xml:space="preserve">Solo Cimento(Pista)- </t>
    </r>
    <r>
      <rPr>
        <b/>
        <sz val="8"/>
        <rFont val="Arial"/>
        <family val="2"/>
      </rPr>
      <t>7%</t>
    </r>
  </si>
  <si>
    <r>
      <t xml:space="preserve">Solo Cimento(Usina) - </t>
    </r>
    <r>
      <rPr>
        <b/>
        <sz val="8"/>
        <rFont val="Arial"/>
        <family val="2"/>
      </rPr>
      <t>2%</t>
    </r>
  </si>
  <si>
    <r>
      <t xml:space="preserve">Solo Cimento(Usina) - </t>
    </r>
    <r>
      <rPr>
        <b/>
        <sz val="8"/>
        <rFont val="Arial"/>
        <family val="2"/>
      </rPr>
      <t>3%</t>
    </r>
  </si>
  <si>
    <r>
      <t xml:space="preserve">Solo Cimento(Usina) - </t>
    </r>
    <r>
      <rPr>
        <b/>
        <sz val="8"/>
        <rFont val="Arial"/>
        <family val="2"/>
      </rPr>
      <t>4%</t>
    </r>
  </si>
  <si>
    <r>
      <t xml:space="preserve">Solo Cimento(Usina) - </t>
    </r>
    <r>
      <rPr>
        <b/>
        <sz val="8"/>
        <rFont val="Arial"/>
        <family val="2"/>
      </rPr>
      <t>5%</t>
    </r>
  </si>
  <si>
    <r>
      <t xml:space="preserve">Solo Cimento(Usina) - </t>
    </r>
    <r>
      <rPr>
        <b/>
        <sz val="8"/>
        <rFont val="Arial"/>
        <family val="2"/>
      </rPr>
      <t>6%</t>
    </r>
  </si>
  <si>
    <r>
      <t xml:space="preserve">Solo Cimento(Usina) - </t>
    </r>
    <r>
      <rPr>
        <b/>
        <sz val="8"/>
        <rFont val="Arial"/>
        <family val="2"/>
      </rPr>
      <t>7%</t>
    </r>
  </si>
  <si>
    <r>
      <t>Pré-Misturado a Frio (aberto) - DER - (</t>
    </r>
    <r>
      <rPr>
        <b/>
        <sz val="8"/>
        <rFont val="Arial"/>
        <family val="2"/>
      </rPr>
      <t>TAPA - BURACO</t>
    </r>
    <r>
      <rPr>
        <sz val="8"/>
        <rFont val="Arial"/>
        <family val="2"/>
      </rPr>
      <t>)</t>
    </r>
  </si>
  <si>
    <r>
      <t>Pré-Misturado a Frio (aberto) - DER - (</t>
    </r>
    <r>
      <rPr>
        <b/>
        <sz val="8"/>
        <rFont val="Arial"/>
        <family val="2"/>
      </rPr>
      <t>REPERFILAMENTO</t>
    </r>
    <r>
      <rPr>
        <sz val="8"/>
        <rFont val="Arial"/>
        <family val="2"/>
      </rPr>
      <t>)</t>
    </r>
  </si>
  <si>
    <r>
      <t>Pré-Misturado a Frio (aberto) - DER - (</t>
    </r>
    <r>
      <rPr>
        <b/>
        <sz val="8"/>
        <rFont val="Arial"/>
        <family val="2"/>
      </rPr>
      <t>CAPA</t>
    </r>
    <r>
      <rPr>
        <sz val="8"/>
        <rFont val="Arial"/>
        <family val="2"/>
      </rPr>
      <t>)</t>
    </r>
  </si>
  <si>
    <r>
      <t>Pré-Misturado a Frio (Semi-Denso) - DER - (</t>
    </r>
    <r>
      <rPr>
        <b/>
        <sz val="8"/>
        <rFont val="Arial"/>
        <family val="2"/>
      </rPr>
      <t>CAPA</t>
    </r>
    <r>
      <rPr>
        <sz val="8"/>
        <rFont val="Arial"/>
        <family val="2"/>
      </rPr>
      <t>)</t>
    </r>
  </si>
  <si>
    <r>
      <t>Pré-Misturado a Frio (Semi-Denso) - DER - (</t>
    </r>
    <r>
      <rPr>
        <b/>
        <sz val="8"/>
        <rFont val="Arial"/>
        <family val="2"/>
      </rPr>
      <t>REPERFILAMENTO</t>
    </r>
    <r>
      <rPr>
        <sz val="8"/>
        <rFont val="Arial"/>
        <family val="2"/>
      </rPr>
      <t>)</t>
    </r>
  </si>
  <si>
    <r>
      <t>Pré-Misturado a Frio (Denso) - DER - (</t>
    </r>
    <r>
      <rPr>
        <b/>
        <sz val="8"/>
        <rFont val="Arial"/>
        <family val="2"/>
      </rPr>
      <t>CAPA</t>
    </r>
    <r>
      <rPr>
        <sz val="8"/>
        <rFont val="Arial"/>
        <family val="2"/>
      </rPr>
      <t>)</t>
    </r>
  </si>
  <si>
    <r>
      <rPr>
        <b/>
        <sz val="8"/>
        <rFont val="Arial"/>
        <family val="2"/>
      </rPr>
      <t>CBUQ - BINDER</t>
    </r>
    <r>
      <rPr>
        <sz val="8"/>
        <rFont val="Arial"/>
        <family val="2"/>
      </rPr>
      <t xml:space="preserve"> (Quantidade menor que 10.000 ton)</t>
    </r>
  </si>
  <si>
    <r>
      <rPr>
        <b/>
        <sz val="8"/>
        <rFont val="Arial"/>
        <family val="2"/>
      </rPr>
      <t>CBUQ - BINDER</t>
    </r>
    <r>
      <rPr>
        <sz val="8"/>
        <rFont val="Arial"/>
        <family val="2"/>
      </rPr>
      <t xml:space="preserve"> (Quantidade maior que 10.000 ton)</t>
    </r>
  </si>
  <si>
    <r>
      <t>CBUQ - Reperfilamento</t>
    </r>
    <r>
      <rPr>
        <sz val="8"/>
        <rFont val="Arial"/>
        <family val="2"/>
      </rPr>
      <t xml:space="preserve"> (Quantidade menor que 10.000 ton)</t>
    </r>
  </si>
  <si>
    <r>
      <rPr>
        <b/>
        <sz val="8"/>
        <rFont val="Arial"/>
        <family val="2"/>
      </rPr>
      <t>CBUQ - TRAÇO 1 - CAPA - Faixa "C"</t>
    </r>
    <r>
      <rPr>
        <sz val="8"/>
        <rFont val="Arial"/>
        <family val="2"/>
      </rPr>
      <t xml:space="preserve"> (Quantidade menor que 10.000 ton)</t>
    </r>
  </si>
  <si>
    <r>
      <rPr>
        <b/>
        <sz val="8"/>
        <rFont val="Arial"/>
        <family val="2"/>
      </rPr>
      <t>CBUQ - TRAÇO 2 - CAPA - Faixa "C"</t>
    </r>
    <r>
      <rPr>
        <sz val="8"/>
        <rFont val="Arial"/>
        <family val="2"/>
      </rPr>
      <t xml:space="preserve"> (Quantidade menor que 10.000 ton)</t>
    </r>
  </si>
  <si>
    <r>
      <rPr>
        <b/>
        <sz val="8"/>
        <rFont val="Arial"/>
        <family val="2"/>
      </rPr>
      <t>CBUQ - TRAÇO 3 - CAPA - Faixa "C"</t>
    </r>
    <r>
      <rPr>
        <sz val="8"/>
        <rFont val="Arial"/>
        <family val="2"/>
      </rPr>
      <t xml:space="preserve"> (Quantidade menor que 10.000 ton)</t>
    </r>
  </si>
  <si>
    <r>
      <rPr>
        <b/>
        <sz val="8"/>
        <rFont val="Arial"/>
        <family val="2"/>
      </rPr>
      <t>CBUQ - TRAÇO 1 - CAPA - Faixa "C"</t>
    </r>
    <r>
      <rPr>
        <sz val="8"/>
        <rFont val="Arial"/>
        <family val="2"/>
      </rPr>
      <t xml:space="preserve"> (Quantidade maior que 10.000 ton)</t>
    </r>
  </si>
  <si>
    <r>
      <rPr>
        <b/>
        <sz val="8"/>
        <rFont val="Arial"/>
        <family val="2"/>
      </rPr>
      <t>CBUQ - TRAÇO 2 - CAPA - Faixa "C"</t>
    </r>
    <r>
      <rPr>
        <sz val="8"/>
        <rFont val="Arial"/>
        <family val="2"/>
      </rPr>
      <t xml:space="preserve"> (Quantidade maior que 10.000 ton)</t>
    </r>
  </si>
  <si>
    <r>
      <rPr>
        <b/>
        <sz val="8"/>
        <rFont val="Arial"/>
        <family val="2"/>
      </rPr>
      <t>CBUQ - TRAÇO 3 - CAPA - Faixa "C"</t>
    </r>
    <r>
      <rPr>
        <sz val="8"/>
        <rFont val="Arial"/>
        <family val="2"/>
      </rPr>
      <t xml:space="preserve"> (Quantidade maior que 10.000 ton)</t>
    </r>
  </si>
  <si>
    <r>
      <t>CBUQ - BINDER</t>
    </r>
    <r>
      <rPr>
        <sz val="8"/>
        <rFont val="Arial"/>
        <family val="2"/>
      </rPr>
      <t xml:space="preserve"> (Quantidade menor que 10.000 ton)</t>
    </r>
  </si>
  <si>
    <r>
      <t>CBUQ - BINDER</t>
    </r>
    <r>
      <rPr>
        <sz val="8"/>
        <rFont val="Arial"/>
        <family val="2"/>
      </rPr>
      <t xml:space="preserve"> (Quantidade maior que 10.000 ton)</t>
    </r>
  </si>
  <si>
    <r>
      <rPr>
        <b/>
        <sz val="8"/>
        <rFont val="Arial"/>
        <family val="2"/>
      </rPr>
      <t>CBUQ - Reperfilamento</t>
    </r>
    <r>
      <rPr>
        <sz val="8"/>
        <rFont val="Arial"/>
        <family val="2"/>
      </rPr>
      <t xml:space="preserve"> (Quantidade menor que 10.000 ton)</t>
    </r>
  </si>
  <si>
    <r>
      <t>CBUQ - TRAÇO 1 - CAPA - Faixa "C"</t>
    </r>
    <r>
      <rPr>
        <sz val="8"/>
        <rFont val="Arial"/>
        <family val="2"/>
      </rPr>
      <t xml:space="preserve"> (Quantidade maior que 10.000 ton)</t>
    </r>
  </si>
  <si>
    <r>
      <t>CBUQ - TRAÇO 2 - CAPA - Faixa "C"</t>
    </r>
    <r>
      <rPr>
        <sz val="8"/>
        <rFont val="Arial"/>
        <family val="2"/>
      </rPr>
      <t xml:space="preserve"> (Quantidade maior que 10.000 ton)</t>
    </r>
  </si>
  <si>
    <r>
      <t>CBUQ - TRAÇO 3 - CAPA - Faixa "C"</t>
    </r>
    <r>
      <rPr>
        <sz val="8"/>
        <rFont val="Arial"/>
        <family val="2"/>
      </rPr>
      <t xml:space="preserve"> (Quantidade maior que 10.000 ton)</t>
    </r>
  </si>
  <si>
    <t xml:space="preserve">Data Base da aprovação do Orçamento (Decreto 10.086/22 do Paraná, que regulamenta a Lei 14.133/21): </t>
  </si>
  <si>
    <t>Var% 
out/22 e fev/23</t>
  </si>
  <si>
    <t>Var% 
ago/22 e fev/23</t>
  </si>
  <si>
    <t>PAV-089</t>
  </si>
  <si>
    <t>Fincadinha de Granito - (100x8x15cm)</t>
  </si>
  <si>
    <t>Arrancamento Fincadinha de concreto - (9x19x39cm-0,0171m3/m)</t>
  </si>
  <si>
    <t>Arrancamento Fincadinha de concreto - (5x22,5x45cm-0,01125m3/m)</t>
  </si>
  <si>
    <t>Arrancamento Fincadinha de concreto moldada in loco- (7x20cm-0,014m3/m)</t>
  </si>
  <si>
    <t>Arrancamento Fincadinha de Granito</t>
  </si>
  <si>
    <t>PAI-022A</t>
  </si>
  <si>
    <t>PAI-022B</t>
  </si>
  <si>
    <t>PAI-022C</t>
  </si>
  <si>
    <t>PAI-022D</t>
  </si>
  <si>
    <t>PAI-004B</t>
  </si>
  <si>
    <t>Moledo Compactado CBR&gt;=20(Base ou Sub-Base)</t>
  </si>
  <si>
    <t>PM Curitiba-abr/22</t>
  </si>
  <si>
    <t>PINI - fev/23</t>
  </si>
  <si>
    <t>09.04.03</t>
  </si>
  <si>
    <t>09.04.01</t>
  </si>
  <si>
    <t>09.04.04</t>
  </si>
  <si>
    <t>09.05.02</t>
  </si>
  <si>
    <t>09.02.01</t>
  </si>
  <si>
    <t>ORSE - jan/23</t>
  </si>
  <si>
    <t>COMPOSIÇÃO 00051</t>
  </si>
  <si>
    <t>COMPOSIÇÃO 11398</t>
  </si>
  <si>
    <t>PLACA DE OBRA TIPO BANNER, 4,00x2,00 M, EM QUADRO DE METALON 20x20 MM E LONA 360 GRS, COM IMPRESSÃO DIGITAL, FIXADA EM ESTRUTURA DE MADEIRA.</t>
  </si>
  <si>
    <t>Preços Unitários dos Insumos</t>
  </si>
  <si>
    <t>COMPOSIÇÃO 02555</t>
  </si>
  <si>
    <t>PLACA 20x35cm EM CHAPA ESMALTADA PARA IDENTIFICAÇÃO DE LOGRADOUROS</t>
  </si>
  <si>
    <t>CICLÓP 11
mpa m3
606000</t>
  </si>
  <si>
    <t>forma
   m2
602000</t>
  </si>
  <si>
    <t>TIJOLO
M3
100020</t>
  </si>
  <si>
    <t>tubo ø60
180600</t>
  </si>
  <si>
    <t>Preços DER-PR - Fev/2023 - Materiais sem desoneração ===&gt;</t>
  </si>
  <si>
    <t>Preços DER-PR - Ago/2022 - Materiais sem desoneração ===&gt;</t>
  </si>
  <si>
    <t>Pedra Argamassada m3
603600</t>
  </si>
  <si>
    <t>concr
magr
605000</t>
  </si>
  <si>
    <t>Concr
11 Mpa
605200</t>
  </si>
  <si>
    <t>Concr
15 Mpa
605300</t>
  </si>
  <si>
    <t>Concr
18 Mpa
605400</t>
  </si>
  <si>
    <t>argamassa
M2
604100</t>
  </si>
  <si>
    <t>aço
CA-25
602600</t>
  </si>
  <si>
    <t>aço
CA-50
603000</t>
  </si>
  <si>
    <t>aço
CA-60
603300</t>
  </si>
  <si>
    <t>grade Fe
BL
603100</t>
  </si>
  <si>
    <t>Somatória 
das Vias</t>
  </si>
  <si>
    <t>Tipo de BDI a ser utilizado nos Serviços EXTRAS no REVESTIMENTO</t>
  </si>
  <si>
    <t>Reperfilamento 2 - "FAIXA C"</t>
  </si>
  <si>
    <t>Reperfilamento 3 - "FAIXA C"</t>
  </si>
  <si>
    <t>TRAÇO 4 - FAIXA "C"</t>
  </si>
  <si>
    <t>TRAÇO 5 - FAIXA "C"</t>
  </si>
  <si>
    <t>TRAÇO 6 - FAIXA "C"</t>
  </si>
  <si>
    <t>TRAÇO 7 - FAIXA "C"</t>
  </si>
  <si>
    <t>TRAÇO 8 - FAIXA "C"</t>
  </si>
  <si>
    <t>(QUANT. MAIOR DE 10.000 Ton)</t>
  </si>
  <si>
    <t xml:space="preserve">TRAÇO 4 </t>
  </si>
  <si>
    <t>TRAÇO 4 - FAIXA "D"</t>
  </si>
  <si>
    <t>TRAÇO 5 - FAIXA "D"</t>
  </si>
  <si>
    <r>
      <t xml:space="preserve"> marcar "</t>
    </r>
    <r>
      <rPr>
        <b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" na coluna "U" para usar o </t>
    </r>
    <r>
      <rPr>
        <b/>
        <sz val="8"/>
        <color theme="1"/>
        <rFont val="Arial"/>
        <family val="2"/>
      </rPr>
      <t>BDI de Material</t>
    </r>
  </si>
  <si>
    <r>
      <t xml:space="preserve"> marcar "</t>
    </r>
    <r>
      <rPr>
        <b/>
        <sz val="8"/>
        <color theme="1"/>
        <rFont val="Arial"/>
        <family val="2"/>
      </rPr>
      <t>0</t>
    </r>
    <r>
      <rPr>
        <sz val="8"/>
        <color theme="1"/>
        <rFont val="Arial"/>
        <family val="2"/>
      </rPr>
      <t xml:space="preserve">" na coluna "U" para usar o </t>
    </r>
    <r>
      <rPr>
        <b/>
        <sz val="8"/>
        <color theme="1"/>
        <rFont val="Arial"/>
        <family val="2"/>
      </rPr>
      <t>BDI de Serviços</t>
    </r>
  </si>
  <si>
    <t xml:space="preserve">    Usar o "0" ou "1" nos "Serviços EXTRAS" na COLUNA "U"</t>
  </si>
  <si>
    <t>863000E</t>
  </si>
  <si>
    <t>863000F</t>
  </si>
  <si>
    <r>
      <rPr>
        <b/>
        <sz val="8"/>
        <color rgb="FF0000FF"/>
        <rFont val="Wingdings 3"/>
        <family val="1"/>
        <charset val="2"/>
      </rPr>
      <t>Å</t>
    </r>
    <r>
      <rPr>
        <b/>
        <sz val="8"/>
        <color rgb="FF0000FF"/>
        <rFont val="Arial"/>
        <family val="2"/>
      </rPr>
      <t xml:space="preserve">  DIGITAR A DATA DA APROVAÇÃO DO ORÇAMENTO COM O PARANACIDADE</t>
    </r>
  </si>
  <si>
    <t>10 meses</t>
  </si>
  <si>
    <t>11 meses</t>
  </si>
  <si>
    <t>09.02.11</t>
  </si>
  <si>
    <t>Ensaio de Massa Específica - In Situ - Método Frasco de Areia (Grau de Compactação) - 
Sub-base</t>
  </si>
  <si>
    <t>09.01.18</t>
  </si>
  <si>
    <t>PAVIMENTAÇÃO EM CONCRETO BETUMINOSO USINADO A QUENTE</t>
  </si>
  <si>
    <t>TON</t>
  </si>
  <si>
    <t>650000</t>
  </si>
  <si>
    <t>SARJETA TRIANGULAR CONCRETO - TIPO 1</t>
  </si>
  <si>
    <t>641800</t>
  </si>
  <si>
    <t>DRENO PROFUNDO EM SOLO - TIPO 6A (GNT)</t>
  </si>
  <si>
    <t>516100</t>
  </si>
  <si>
    <t>PRENCHIMENTO REIBAIXO C/ RACHÃO</t>
  </si>
  <si>
    <t>DOIS VIZINHOS</t>
  </si>
  <si>
    <t xml:space="preserve">PAVIMENTAÇÃO DE VIAS </t>
  </si>
  <si>
    <t>ESTRADA QUE LIGA OS MUNICIPIOS DE DOIS VIZINHOS E BOA ESPERANÇA DO IGUAÇU</t>
  </si>
  <si>
    <t>Faixa de Sinalização Horizontal c/tinta resina acrílica base solvente- (0,034 m2/m2) Tinta vermelha para Ciclovia</t>
  </si>
  <si>
    <t>BDI (OBRA):</t>
  </si>
  <si>
    <t>Projeto:</t>
  </si>
  <si>
    <t>BDI (MATERIAIS E EQUIPAMENTOS):</t>
  </si>
  <si>
    <t>Local da Obra:</t>
  </si>
  <si>
    <t>Proponetnte:</t>
  </si>
  <si>
    <t>CNPJ:</t>
  </si>
  <si>
    <t>Data da Proposta:</t>
  </si>
  <si>
    <t>ENSAIOS TECNOLÓGICOS
(Os custos com mobilização e desmobilização de equipe e equipamentos para a extração de amostras para os ensaios tecnológicos, exceto da capa asfáltica, serão de responsabilidade da empresa executora da obra)</t>
  </si>
  <si>
    <t>PREÇO GLOBAL</t>
  </si>
  <si>
    <t>Resp. Legal:</t>
  </si>
  <si>
    <t xml:space="preserve">CONSTRUÇÃO DE PAVIMENTAÇÃO ASFALTICA CONVÊNIO N° 4500074791 </t>
  </si>
  <si>
    <t>ESTRADA VICINAL N° 147, no trecho que liga do municio de Dois Vizinhos aos municípios de Cruzeiro do Iguaçu e Boa Esperança do Iguaçu (entre Ponto Inicial: Longitude UTM: 291570.00 m E; Latitude UTM: 7153419.00 m S; Ponto Final: Longitude UTM: 282222.00 m E; Latitude UTM: 7160722.00 m S.</t>
  </si>
  <si>
    <t>CBUQ - BINDER (Quantidade menor que 10.000 ton)</t>
  </si>
  <si>
    <t>CBUQ - TRAÇO 3 - CAPA - Faixa "C" (Quantidade menor que 10.000 ton)</t>
  </si>
  <si>
    <t xml:space="preserve">SERVIÇOS DIVERSOS </t>
  </si>
  <si>
    <t xml:space="preserve">DRENAGEM </t>
  </si>
  <si>
    <t>CRONOGRAMA FISICO FINANCEIRO PAVIMENTAÇÃO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</si>
</sst>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&quot;R$&quot;#,##0.00_);\(&quot;R$&quot;#,##0.00\)"/>
    <numFmt numFmtId="166" formatCode="0.000"/>
    <numFmt numFmtId="167" formatCode="0.0000"/>
    <numFmt numFmtId="168" formatCode="#,##0.00\ &quot;/m2&quot;_);[Red]\(#,##0.00\ &quot;/m2&quot;\)"/>
    <numFmt numFmtId="169" formatCode="0.0%"/>
    <numFmt numFmtId="170" formatCode="&quot;R$&quot;\ #,##0.00"/>
    <numFmt numFmtId="171" formatCode="#,##0.00\ &quot;R$/lote&quot;_);[Red]\(#,##0.00\ &quot;R$/lote&quot;\)"/>
    <numFmt numFmtId="172" formatCode="#,##0.00\ &quot;m2&quot;_);[Red]\(#,##0.00\ &quot;m2&quot;\)"/>
    <numFmt numFmtId="173" formatCode="#,##0.00\ &quot;R$/m2&quot;_);[Red]\(#,##0.00\ &quot;R$/m2&quot;\)"/>
    <numFmt numFmtId="174" formatCode="d/m/yy;@"/>
    <numFmt numFmtId="175" formatCode="#,##0_ ;[Red]\-#,##0\ "/>
    <numFmt numFmtId="176" formatCode="0.000%"/>
    <numFmt numFmtId="177" formatCode="#,##0.000"/>
    <numFmt numFmtId="178" formatCode="0.00000"/>
    <numFmt numFmtId="179" formatCode="_(#,##0.00_);[Red]_(\(#,##0.00\);_(&quot;-&quot;_);_(@_)"/>
    <numFmt numFmtId="180" formatCode="_(&quot;Cr$&quot;* #,##0.00_);_(&quot;Cr$&quot;* \(#,##0.00\);_(&quot;Cr$&quot;* &quot;-&quot;??_);_(@_)"/>
    <numFmt numFmtId="181" formatCode="dd/mm/yyyy\ \-\ ddd"/>
    <numFmt numFmtId="182" formatCode="_(#,##0.00\ %_);[Red]_(\(#,##0.00\ %\);_(&quot;-&quot;_);_(@_)"/>
  </numFmts>
  <fonts count="93">
    <font>
      <sz val="8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12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6"/>
      <color theme="1"/>
      <name val="Arial"/>
      <family val="2"/>
    </font>
    <font>
      <sz val="8"/>
      <color indexed="81"/>
      <name val="Segoe UI"/>
      <family val="2"/>
    </font>
    <font>
      <b/>
      <sz val="8"/>
      <color indexed="81"/>
      <name val="Segoe UI"/>
      <family val="2"/>
    </font>
    <font>
      <sz val="10"/>
      <name val="MS Sans Serif"/>
    </font>
    <font>
      <b/>
      <sz val="16"/>
      <name val="Arial"/>
      <family val="2"/>
    </font>
    <font>
      <sz val="8"/>
      <name val="MS Sans Serif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theme="3" tint="0.39997558519241921"/>
      <name val="Arial"/>
      <family val="2"/>
    </font>
    <font>
      <b/>
      <sz val="10"/>
      <name val="MS Sans Serif"/>
    </font>
    <font>
      <b/>
      <sz val="8"/>
      <name val="MS Sans Serif"/>
    </font>
    <font>
      <sz val="10"/>
      <name val="Algerian"/>
      <family val="5"/>
    </font>
    <font>
      <b/>
      <sz val="20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indexed="12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sz val="8"/>
      <color indexed="9"/>
      <name val="Times New Roman"/>
      <family val="1"/>
    </font>
    <font>
      <b/>
      <sz val="8"/>
      <name val="Times New Roman"/>
      <family val="1"/>
    </font>
    <font>
      <b/>
      <sz val="8"/>
      <color indexed="12"/>
      <name val="Arial"/>
      <family val="2"/>
    </font>
    <font>
      <b/>
      <sz val="18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4"/>
      <color rgb="FF0000FF"/>
      <name val="Arial"/>
      <family val="2"/>
    </font>
    <font>
      <sz val="14"/>
      <color rgb="FF0000FF"/>
      <name val="Arial"/>
      <family val="2"/>
    </font>
    <font>
      <b/>
      <sz val="10"/>
      <color rgb="FFFF0000"/>
      <name val="MS Sans Serif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12"/>
      <color indexed="81"/>
      <name val="Segoe UI"/>
      <family val="2"/>
    </font>
    <font>
      <sz val="12"/>
      <color theme="1"/>
      <name val="Arial"/>
      <family val="2"/>
    </font>
    <font>
      <u/>
      <sz val="8"/>
      <color theme="10"/>
      <name val="Arial"/>
      <family val="2"/>
    </font>
    <font>
      <b/>
      <sz val="10"/>
      <color rgb="FF000000"/>
      <name val="Times New Roman"/>
      <family val="1"/>
    </font>
    <font>
      <b/>
      <sz val="9"/>
      <name val="Arial"/>
      <family val="2"/>
    </font>
    <font>
      <sz val="10"/>
      <color rgb="FF000000"/>
      <name val="Arial"/>
      <family val="2"/>
    </font>
    <font>
      <b/>
      <i/>
      <u/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sz val="11"/>
      <name val="Arial"/>
      <family val="2"/>
    </font>
    <font>
      <b/>
      <sz val="14"/>
      <color indexed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color indexed="10"/>
      <name val="Tahoma"/>
      <family val="2"/>
    </font>
    <font>
      <sz val="9"/>
      <name val="Tahoma"/>
      <family val="2"/>
    </font>
    <font>
      <b/>
      <u/>
      <sz val="10"/>
      <name val="Tahoma"/>
      <family val="2"/>
    </font>
    <font>
      <sz val="8"/>
      <color theme="1"/>
      <name val="Arial"/>
      <family val="2"/>
    </font>
    <font>
      <b/>
      <sz val="8"/>
      <color rgb="FF0000FF"/>
      <name val="Arial"/>
      <family val="2"/>
    </font>
    <font>
      <b/>
      <sz val="10"/>
      <color rgb="FF0000FF"/>
      <name val="Arial"/>
      <family val="2"/>
    </font>
    <font>
      <b/>
      <sz val="12"/>
      <color rgb="FF0000FF"/>
      <name val="Arial"/>
      <family val="2"/>
    </font>
    <font>
      <sz val="12"/>
      <color rgb="FF0000FF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indexed="9"/>
      <name val="Arial"/>
      <family val="2"/>
    </font>
    <font>
      <sz val="8"/>
      <color rgb="FF0000FF"/>
      <name val="Arial"/>
      <family val="2"/>
    </font>
    <font>
      <b/>
      <sz val="16"/>
      <color rgb="FF0000FF"/>
      <name val="Arial"/>
      <family val="2"/>
    </font>
    <font>
      <sz val="16"/>
      <color rgb="FF0000FF"/>
      <name val="Arial"/>
      <family val="2"/>
    </font>
    <font>
      <b/>
      <sz val="24"/>
      <color theme="1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8"/>
      <color rgb="FF0000FF"/>
      <name val="Arial"/>
      <family val="1"/>
      <charset val="2"/>
    </font>
    <font>
      <b/>
      <sz val="8"/>
      <color rgb="FF0000FF"/>
      <name val="Wingdings 3"/>
      <family val="1"/>
      <charset val="2"/>
    </font>
    <font>
      <b/>
      <sz val="10"/>
      <color rgb="FFFF0000"/>
      <name val="Tahoma"/>
      <family val="2"/>
    </font>
    <font>
      <sz val="8"/>
      <name val="Arial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lightGray">
        <bgColor theme="0"/>
      </patternFill>
    </fill>
    <fill>
      <patternFill patternType="lightGray">
        <bgColor rgb="FF92D05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dashDotDot">
        <color auto="1"/>
      </bottom>
      <diagonal/>
    </border>
    <border>
      <left style="hair">
        <color indexed="64"/>
      </left>
      <right style="hair">
        <color indexed="64"/>
      </right>
      <top/>
      <bottom style="dashDotDot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 style="medium">
        <color indexed="64"/>
      </top>
      <bottom/>
      <diagonal/>
    </border>
    <border>
      <left/>
      <right style="mediumDashDot">
        <color indexed="64"/>
      </right>
      <top style="medium">
        <color indexed="64"/>
      </top>
      <bottom/>
      <diagonal/>
    </border>
    <border>
      <left style="medium">
        <color indexed="64"/>
      </left>
      <right style="mediumDashDot">
        <color indexed="64"/>
      </right>
      <top style="thin">
        <color indexed="64"/>
      </top>
      <bottom style="medium">
        <color indexed="64"/>
      </bottom>
      <diagonal/>
    </border>
    <border>
      <left/>
      <right style="mediumDashDot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/>
      <bottom style="medium">
        <color indexed="64"/>
      </bottom>
      <diagonal/>
    </border>
    <border>
      <left/>
      <right style="mediumDashDot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/>
      <bottom/>
      <diagonal/>
    </border>
    <border>
      <left style="mediumDashDot">
        <color indexed="64"/>
      </left>
      <right/>
      <top style="medium">
        <color indexed="64"/>
      </top>
      <bottom/>
      <diagonal/>
    </border>
    <border>
      <left style="mediumDashDot">
        <color indexed="64"/>
      </left>
      <right/>
      <top/>
      <bottom/>
      <diagonal/>
    </border>
    <border>
      <left style="mediumDashDot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DotDot">
        <color indexed="64"/>
      </right>
      <top style="medium">
        <color indexed="64"/>
      </top>
      <bottom style="thin">
        <color indexed="64"/>
      </bottom>
      <diagonal/>
    </border>
    <border>
      <left style="dashDot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dashDotDot">
        <color indexed="64"/>
      </right>
      <top style="medium">
        <color indexed="64"/>
      </top>
      <bottom/>
      <diagonal/>
    </border>
    <border>
      <left/>
      <right style="dashDotDot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DotDot">
        <color auto="1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/>
      <top/>
      <bottom style="medium">
        <color indexed="64"/>
      </bottom>
      <diagonal/>
    </border>
  </borders>
  <cellStyleXfs count="23">
    <xf numFmtId="0" fontId="0" fillId="0" borderId="0"/>
    <xf numFmtId="0" fontId="4" fillId="0" borderId="0"/>
    <xf numFmtId="0" fontId="3" fillId="0" borderId="0"/>
    <xf numFmtId="164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3" fillId="0" borderId="0"/>
    <xf numFmtId="0" fontId="26" fillId="0" borderId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180" fontId="4" fillId="0" borderId="0" applyFont="0" applyFill="0" applyBorder="0" applyAlignment="0" applyProtection="0"/>
    <xf numFmtId="0" fontId="18" fillId="0" borderId="0"/>
    <xf numFmtId="44" fontId="92" fillId="0" borderId="0" applyFont="0" applyFill="0" applyBorder="0" applyAlignment="0" applyProtection="0"/>
  </cellStyleXfs>
  <cellXfs count="1610">
    <xf numFmtId="0" fontId="0" fillId="0" borderId="0" xfId="0"/>
    <xf numFmtId="167" fontId="9" fillId="0" borderId="6" xfId="1" applyNumberFormat="1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0" fontId="9" fillId="0" borderId="0" xfId="0" applyFont="1"/>
    <xf numFmtId="1" fontId="9" fillId="0" borderId="6" xfId="1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7" fillId="0" borderId="9" xfId="0" applyFont="1" applyBorder="1" applyAlignment="1">
      <alignment horizontal="left"/>
    </xf>
    <xf numFmtId="2" fontId="7" fillId="0" borderId="6" xfId="1" applyNumberFormat="1" applyFont="1" applyBorder="1" applyAlignment="1">
      <alignment horizontal="center" wrapText="1"/>
    </xf>
    <xf numFmtId="0" fontId="7" fillId="0" borderId="29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6" xfId="1" applyFont="1" applyBorder="1" applyAlignment="1">
      <alignment horizontal="center"/>
    </xf>
    <xf numFmtId="2" fontId="7" fillId="0" borderId="6" xfId="1" applyNumberFormat="1" applyFont="1" applyBorder="1" applyAlignment="1">
      <alignment horizontal="center"/>
    </xf>
    <xf numFmtId="0" fontId="9" fillId="0" borderId="29" xfId="0" applyFont="1" applyBorder="1" applyAlignment="1">
      <alignment horizontal="center" wrapText="1"/>
    </xf>
    <xf numFmtId="0" fontId="7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 wrapText="1"/>
    </xf>
    <xf numFmtId="0" fontId="7" fillId="0" borderId="6" xfId="0" applyFont="1" applyBorder="1" applyAlignment="1">
      <alignment wrapText="1"/>
    </xf>
    <xf numFmtId="2" fontId="9" fillId="0" borderId="29" xfId="0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1" applyFont="1"/>
    <xf numFmtId="0" fontId="4" fillId="0" borderId="0" xfId="1"/>
    <xf numFmtId="0" fontId="4" fillId="0" borderId="0" xfId="1" applyAlignment="1">
      <alignment horizontal="center"/>
    </xf>
    <xf numFmtId="0" fontId="5" fillId="0" borderId="0" xfId="1" applyFont="1"/>
    <xf numFmtId="0" fontId="6" fillId="0" borderId="0" xfId="1" applyFont="1"/>
    <xf numFmtId="2" fontId="7" fillId="0" borderId="0" xfId="1" applyNumberFormat="1" applyFont="1" applyAlignment="1">
      <alignment horizontal="center" wrapText="1"/>
    </xf>
    <xf numFmtId="0" fontId="9" fillId="2" borderId="0" xfId="0" applyFont="1" applyFill="1"/>
    <xf numFmtId="0" fontId="13" fillId="0" borderId="62" xfId="0" applyFont="1" applyBorder="1" applyAlignment="1">
      <alignment horizontal="centerContinuous"/>
    </xf>
    <xf numFmtId="0" fontId="13" fillId="0" borderId="44" xfId="0" applyFont="1" applyBorder="1" applyAlignment="1">
      <alignment horizontal="centerContinuous"/>
    </xf>
    <xf numFmtId="0" fontId="6" fillId="0" borderId="44" xfId="0" applyFont="1" applyBorder="1" applyAlignment="1">
      <alignment horizontal="center" vertical="center" textRotation="90" wrapText="1"/>
    </xf>
    <xf numFmtId="0" fontId="4" fillId="8" borderId="13" xfId="1" applyFill="1" applyBorder="1"/>
    <xf numFmtId="0" fontId="4" fillId="7" borderId="10" xfId="1" applyFill="1" applyBorder="1"/>
    <xf numFmtId="164" fontId="4" fillId="7" borderId="10" xfId="3" applyFont="1" applyFill="1" applyBorder="1" applyAlignment="1" applyProtection="1">
      <alignment horizontal="center"/>
    </xf>
    <xf numFmtId="0" fontId="4" fillId="7" borderId="10" xfId="1" applyFill="1" applyBorder="1" applyAlignment="1">
      <alignment horizontal="center"/>
    </xf>
    <xf numFmtId="0" fontId="6" fillId="0" borderId="0" xfId="0" applyFont="1"/>
    <xf numFmtId="0" fontId="4" fillId="0" borderId="0" xfId="0" applyFont="1"/>
    <xf numFmtId="0" fontId="16" fillId="7" borderId="0" xfId="1" applyFont="1" applyFill="1"/>
    <xf numFmtId="164" fontId="4" fillId="7" borderId="0" xfId="3" applyFont="1" applyFill="1" applyBorder="1" applyAlignment="1" applyProtection="1">
      <alignment horizontal="center"/>
    </xf>
    <xf numFmtId="0" fontId="6" fillId="3" borderId="14" xfId="0" applyFont="1" applyFill="1" applyBorder="1"/>
    <xf numFmtId="0" fontId="4" fillId="7" borderId="0" xfId="0" applyFont="1" applyFill="1"/>
    <xf numFmtId="0" fontId="4" fillId="7" borderId="0" xfId="1" applyFill="1"/>
    <xf numFmtId="0" fontId="6" fillId="7" borderId="0" xfId="1" applyFont="1" applyFill="1"/>
    <xf numFmtId="0" fontId="4" fillId="7" borderId="0" xfId="1" applyFill="1" applyAlignment="1">
      <alignment horizontal="center"/>
    </xf>
    <xf numFmtId="0" fontId="4" fillId="3" borderId="14" xfId="0" applyFont="1" applyFill="1" applyBorder="1"/>
    <xf numFmtId="0" fontId="6" fillId="8" borderId="15" xfId="1" applyFont="1" applyFill="1" applyBorder="1" applyProtection="1">
      <protection locked="0"/>
    </xf>
    <xf numFmtId="0" fontId="6" fillId="8" borderId="15" xfId="1" applyFont="1" applyFill="1" applyBorder="1"/>
    <xf numFmtId="0" fontId="6" fillId="8" borderId="17" xfId="1" applyFont="1" applyFill="1" applyBorder="1" applyProtection="1">
      <protection locked="0"/>
    </xf>
    <xf numFmtId="0" fontId="4" fillId="7" borderId="11" xfId="1" applyFill="1" applyBorder="1"/>
    <xf numFmtId="164" fontId="4" fillId="7" borderId="11" xfId="3" applyFont="1" applyFill="1" applyBorder="1" applyAlignment="1" applyProtection="1">
      <alignment horizontal="center"/>
    </xf>
    <xf numFmtId="0" fontId="6" fillId="7" borderId="11" xfId="1" applyFont="1" applyFill="1" applyBorder="1"/>
    <xf numFmtId="0" fontId="4" fillId="7" borderId="11" xfId="1" applyFill="1" applyBorder="1" applyAlignment="1">
      <alignment horizontal="center"/>
    </xf>
    <xf numFmtId="0" fontId="4" fillId="3" borderId="16" xfId="0" applyFont="1" applyFill="1" applyBorder="1"/>
    <xf numFmtId="49" fontId="15" fillId="0" borderId="11" xfId="0" applyNumberFormat="1" applyFont="1" applyBorder="1" applyAlignment="1">
      <alignment horizontal="centerContinuous" vertical="center"/>
    </xf>
    <xf numFmtId="0" fontId="4" fillId="0" borderId="11" xfId="0" applyFont="1" applyBorder="1" applyAlignment="1">
      <alignment horizontal="centerContinuous" vertical="center"/>
    </xf>
    <xf numFmtId="0" fontId="4" fillId="0" borderId="17" xfId="0" applyFont="1" applyBorder="1" applyAlignment="1">
      <alignment horizontal="centerContinuous" vertical="center"/>
    </xf>
    <xf numFmtId="165" fontId="6" fillId="0" borderId="42" xfId="1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4" fontId="6" fillId="3" borderId="0" xfId="0" applyNumberFormat="1" applyFont="1" applyFill="1" applyAlignment="1">
      <alignment horizontal="right"/>
    </xf>
    <xf numFmtId="0" fontId="19" fillId="6" borderId="0" xfId="0" applyFont="1" applyFill="1"/>
    <xf numFmtId="4" fontId="6" fillId="0" borderId="29" xfId="1" applyNumberFormat="1" applyFont="1" applyBorder="1" applyAlignment="1">
      <alignment vertical="center"/>
    </xf>
    <xf numFmtId="2" fontId="4" fillId="0" borderId="28" xfId="1" applyNumberFormat="1" applyBorder="1" applyAlignment="1">
      <alignment horizontal="center" vertical="center"/>
    </xf>
    <xf numFmtId="0" fontId="4" fillId="0" borderId="0" xfId="0" applyFont="1" applyAlignment="1">
      <alignment horizontal="left"/>
    </xf>
    <xf numFmtId="2" fontId="4" fillId="0" borderId="0" xfId="1" applyNumberFormat="1" applyAlignment="1">
      <alignment horizontal="center"/>
    </xf>
    <xf numFmtId="2" fontId="4" fillId="0" borderId="0" xfId="0" applyNumberFormat="1" applyFont="1"/>
    <xf numFmtId="4" fontId="6" fillId="5" borderId="63" xfId="0" applyNumberFormat="1" applyFont="1" applyFill="1" applyBorder="1" applyProtection="1">
      <protection locked="0"/>
    </xf>
    <xf numFmtId="164" fontId="4" fillId="0" borderId="0" xfId="3" applyFont="1" applyFill="1"/>
    <xf numFmtId="168" fontId="6" fillId="0" borderId="30" xfId="0" applyNumberFormat="1" applyFont="1" applyBorder="1" applyAlignment="1">
      <alignment horizontal="right" vertical="center"/>
    </xf>
    <xf numFmtId="49" fontId="20" fillId="0" borderId="16" xfId="0" applyNumberFormat="1" applyFont="1" applyBorder="1" applyAlignment="1">
      <alignment horizontal="centerContinuous" vertical="center"/>
    </xf>
    <xf numFmtId="167" fontId="4" fillId="0" borderId="28" xfId="1" applyNumberFormat="1" applyBorder="1" applyAlignment="1">
      <alignment horizontal="center" vertical="center"/>
    </xf>
    <xf numFmtId="0" fontId="4" fillId="0" borderId="28" xfId="0" applyFont="1" applyBorder="1" applyAlignment="1">
      <alignment horizontal="left" vertical="center"/>
    </xf>
    <xf numFmtId="1" fontId="9" fillId="2" borderId="6" xfId="1" applyNumberFormat="1" applyFont="1" applyFill="1" applyBorder="1" applyAlignment="1">
      <alignment horizontal="center"/>
    </xf>
    <xf numFmtId="2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6" fillId="0" borderId="38" xfId="1" applyFont="1" applyBorder="1" applyAlignment="1">
      <alignment horizontal="left" vertical="center" indent="7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0" fontId="6" fillId="0" borderId="29" xfId="4" applyNumberFormat="1" applyFont="1" applyFill="1" applyBorder="1" applyAlignment="1" applyProtection="1">
      <alignment horizontal="right"/>
      <protection locked="0"/>
    </xf>
    <xf numFmtId="10" fontId="6" fillId="2" borderId="29" xfId="4" applyNumberFormat="1" applyFont="1" applyFill="1" applyBorder="1" applyAlignment="1" applyProtection="1">
      <alignment horizontal="right"/>
      <protection locked="0"/>
    </xf>
    <xf numFmtId="0" fontId="4" fillId="0" borderId="0" xfId="0" quotePrefix="1" applyFont="1"/>
    <xf numFmtId="43" fontId="4" fillId="0" borderId="0" xfId="0" quotePrefix="1" applyNumberFormat="1" applyFont="1"/>
    <xf numFmtId="0" fontId="4" fillId="0" borderId="0" xfId="14" applyProtection="1">
      <protection locked="0"/>
    </xf>
    <xf numFmtId="0" fontId="7" fillId="2" borderId="8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left"/>
    </xf>
    <xf numFmtId="167" fontId="9" fillId="2" borderId="6" xfId="1" applyNumberFormat="1" applyFont="1" applyFill="1" applyBorder="1" applyAlignment="1">
      <alignment horizontal="center"/>
    </xf>
    <xf numFmtId="0" fontId="0" fillId="2" borderId="0" xfId="0" applyFill="1"/>
    <xf numFmtId="0" fontId="35" fillId="14" borderId="12" xfId="18" applyFont="1" applyFill="1" applyBorder="1" applyAlignment="1">
      <alignment horizontal="right"/>
    </xf>
    <xf numFmtId="0" fontId="35" fillId="14" borderId="10" xfId="18" applyFont="1" applyFill="1" applyBorder="1"/>
    <xf numFmtId="0" fontId="1" fillId="14" borderId="13" xfId="18" applyFill="1" applyBorder="1"/>
    <xf numFmtId="0" fontId="1" fillId="0" borderId="0" xfId="18"/>
    <xf numFmtId="0" fontId="1" fillId="14" borderId="14" xfId="18" applyFill="1" applyBorder="1"/>
    <xf numFmtId="0" fontId="35" fillId="14" borderId="0" xfId="18" applyFont="1" applyFill="1"/>
    <xf numFmtId="0" fontId="1" fillId="14" borderId="0" xfId="18" applyFill="1"/>
    <xf numFmtId="0" fontId="1" fillId="14" borderId="15" xfId="18" applyFill="1" applyBorder="1"/>
    <xf numFmtId="0" fontId="37" fillId="14" borderId="40" xfId="18" applyFont="1" applyFill="1" applyBorder="1" applyAlignment="1">
      <alignment horizontal="center"/>
    </xf>
    <xf numFmtId="0" fontId="37" fillId="14" borderId="7" xfId="18" applyFont="1" applyFill="1" applyBorder="1" applyAlignment="1">
      <alignment horizontal="centerContinuous"/>
    </xf>
    <xf numFmtId="0" fontId="37" fillId="14" borderId="44" xfId="18" applyFont="1" applyFill="1" applyBorder="1" applyAlignment="1">
      <alignment horizontal="centerContinuous"/>
    </xf>
    <xf numFmtId="0" fontId="37" fillId="14" borderId="31" xfId="18" applyFont="1" applyFill="1" applyBorder="1" applyAlignment="1">
      <alignment horizontal="center"/>
    </xf>
    <xf numFmtId="0" fontId="37" fillId="14" borderId="6" xfId="18" applyFont="1" applyFill="1" applyBorder="1" applyAlignment="1">
      <alignment horizontal="center"/>
    </xf>
    <xf numFmtId="0" fontId="35" fillId="14" borderId="0" xfId="18" applyFont="1" applyFill="1" applyAlignment="1">
      <alignment horizontal="right"/>
    </xf>
    <xf numFmtId="0" fontId="35" fillId="14" borderId="0" xfId="18" applyFont="1" applyFill="1" applyAlignment="1">
      <alignment horizontal="left"/>
    </xf>
    <xf numFmtId="0" fontId="37" fillId="14" borderId="0" xfId="18" applyFont="1" applyFill="1"/>
    <xf numFmtId="0" fontId="35" fillId="14" borderId="14" xfId="18" applyFont="1" applyFill="1" applyBorder="1" applyAlignment="1">
      <alignment horizontal="right"/>
    </xf>
    <xf numFmtId="0" fontId="1" fillId="14" borderId="16" xfId="18" applyFill="1" applyBorder="1"/>
    <xf numFmtId="0" fontId="37" fillId="14" borderId="25" xfId="18" applyFont="1" applyFill="1" applyBorder="1" applyAlignment="1">
      <alignment horizontal="center"/>
    </xf>
    <xf numFmtId="0" fontId="1" fillId="14" borderId="11" xfId="18" applyFill="1" applyBorder="1"/>
    <xf numFmtId="0" fontId="1" fillId="14" borderId="17" xfId="18" applyFill="1" applyBorder="1"/>
    <xf numFmtId="0" fontId="4" fillId="0" borderId="0" xfId="14"/>
    <xf numFmtId="0" fontId="24" fillId="3" borderId="22" xfId="14" applyFont="1" applyFill="1" applyBorder="1" applyAlignment="1">
      <alignment horizontal="center" wrapText="1"/>
    </xf>
    <xf numFmtId="0" fontId="4" fillId="3" borderId="20" xfId="14" quotePrefix="1" applyFill="1" applyBorder="1" applyAlignment="1">
      <alignment horizontal="left" vertical="center" indent="3"/>
    </xf>
    <xf numFmtId="0" fontId="24" fillId="3" borderId="20" xfId="14" applyFont="1" applyFill="1" applyBorder="1" applyAlignment="1">
      <alignment horizontal="centerContinuous"/>
    </xf>
    <xf numFmtId="0" fontId="4" fillId="3" borderId="20" xfId="14" quotePrefix="1" applyFill="1" applyBorder="1" applyAlignment="1">
      <alignment horizontal="left"/>
    </xf>
    <xf numFmtId="0" fontId="4" fillId="3" borderId="10" xfId="14" applyFill="1" applyBorder="1"/>
    <xf numFmtId="0" fontId="33" fillId="3" borderId="10" xfId="14" applyFont="1" applyFill="1" applyBorder="1" applyAlignment="1">
      <alignment vertical="center"/>
    </xf>
    <xf numFmtId="0" fontId="4" fillId="3" borderId="20" xfId="14" applyFill="1" applyBorder="1"/>
    <xf numFmtId="0" fontId="4" fillId="3" borderId="13" xfId="14" applyFill="1" applyBorder="1"/>
    <xf numFmtId="0" fontId="6" fillId="3" borderId="110" xfId="14" applyFont="1" applyFill="1" applyBorder="1" applyAlignment="1">
      <alignment horizontal="left"/>
    </xf>
    <xf numFmtId="0" fontId="28" fillId="3" borderId="112" xfId="14" applyFont="1" applyFill="1" applyBorder="1" applyAlignment="1">
      <alignment horizontal="center"/>
    </xf>
    <xf numFmtId="0" fontId="27" fillId="3" borderId="80" xfId="14" applyFont="1" applyFill="1" applyBorder="1" applyAlignment="1">
      <alignment horizontal="centerContinuous"/>
    </xf>
    <xf numFmtId="0" fontId="28" fillId="3" borderId="10" xfId="14" applyFont="1" applyFill="1" applyBorder="1" applyAlignment="1">
      <alignment horizontal="centerContinuous"/>
    </xf>
    <xf numFmtId="0" fontId="2" fillId="3" borderId="112" xfId="14" applyFont="1" applyFill="1" applyBorder="1" applyAlignment="1">
      <alignment horizontal="centerContinuous"/>
    </xf>
    <xf numFmtId="0" fontId="2" fillId="3" borderId="20" xfId="14" applyFont="1" applyFill="1" applyBorder="1" applyAlignment="1">
      <alignment horizontal="centerContinuous"/>
    </xf>
    <xf numFmtId="10" fontId="3" fillId="0" borderId="114" xfId="17" applyNumberFormat="1" applyFont="1" applyFill="1" applyBorder="1" applyProtection="1"/>
    <xf numFmtId="0" fontId="39" fillId="3" borderId="39" xfId="14" applyFont="1" applyFill="1" applyBorder="1" applyAlignment="1">
      <alignment horizontal="center"/>
    </xf>
    <xf numFmtId="0" fontId="39" fillId="3" borderId="115" xfId="14" applyFont="1" applyFill="1" applyBorder="1" applyAlignment="1">
      <alignment horizontal="left"/>
    </xf>
    <xf numFmtId="0" fontId="39" fillId="3" borderId="9" xfId="14" applyFont="1" applyFill="1" applyBorder="1" applyAlignment="1">
      <alignment horizontal="centerContinuous"/>
    </xf>
    <xf numFmtId="0" fontId="40" fillId="3" borderId="6" xfId="14" applyFont="1" applyFill="1" applyBorder="1" applyAlignment="1">
      <alignment horizontal="center"/>
    </xf>
    <xf numFmtId="0" fontId="39" fillId="3" borderId="7" xfId="14" applyFont="1" applyFill="1" applyBorder="1" applyAlignment="1">
      <alignment horizontal="centerContinuous"/>
    </xf>
    <xf numFmtId="0" fontId="39" fillId="3" borderId="62" xfId="14" applyFont="1" applyFill="1" applyBorder="1" applyAlignment="1">
      <alignment horizontal="centerContinuous"/>
    </xf>
    <xf numFmtId="0" fontId="39" fillId="3" borderId="44" xfId="14" applyFont="1" applyFill="1" applyBorder="1" applyAlignment="1">
      <alignment horizontal="centerContinuous"/>
    </xf>
    <xf numFmtId="0" fontId="39" fillId="3" borderId="46" xfId="14" applyFont="1" applyFill="1" applyBorder="1" applyAlignment="1">
      <alignment horizontal="centerContinuous"/>
    </xf>
    <xf numFmtId="0" fontId="39" fillId="3" borderId="116" xfId="14" applyFont="1" applyFill="1" applyBorder="1" applyAlignment="1">
      <alignment horizontal="centerContinuous"/>
    </xf>
    <xf numFmtId="0" fontId="39" fillId="3" borderId="9" xfId="14" applyFont="1" applyFill="1" applyBorder="1" applyAlignment="1">
      <alignment horizontal="center"/>
    </xf>
    <xf numFmtId="0" fontId="39" fillId="3" borderId="117" xfId="14" applyFont="1" applyFill="1" applyBorder="1" applyAlignment="1">
      <alignment horizontal="center"/>
    </xf>
    <xf numFmtId="0" fontId="39" fillId="3" borderId="118" xfId="14" applyFont="1" applyFill="1" applyBorder="1" applyAlignment="1">
      <alignment horizontal="center"/>
    </xf>
    <xf numFmtId="0" fontId="6" fillId="2" borderId="29" xfId="14" applyFont="1" applyFill="1" applyBorder="1" applyAlignment="1" applyProtection="1">
      <alignment horizontal="center"/>
      <protection locked="0"/>
    </xf>
    <xf numFmtId="0" fontId="39" fillId="3" borderId="119" xfId="14" applyFont="1" applyFill="1" applyBorder="1" applyAlignment="1">
      <alignment horizontal="center"/>
    </xf>
    <xf numFmtId="0" fontId="39" fillId="3" borderId="120" xfId="14" applyFont="1" applyFill="1" applyBorder="1"/>
    <xf numFmtId="0" fontId="39" fillId="3" borderId="121" xfId="14" applyFont="1" applyFill="1" applyBorder="1"/>
    <xf numFmtId="0" fontId="39" fillId="3" borderId="122" xfId="14" applyFont="1" applyFill="1" applyBorder="1" applyAlignment="1">
      <alignment horizontal="center"/>
    </xf>
    <xf numFmtId="0" fontId="39" fillId="3" borderId="123" xfId="14" applyFont="1" applyFill="1" applyBorder="1" applyAlignment="1">
      <alignment horizontal="center"/>
    </xf>
    <xf numFmtId="0" fontId="39" fillId="3" borderId="121" xfId="14" applyFont="1" applyFill="1" applyBorder="1" applyAlignment="1">
      <alignment horizontal="center"/>
    </xf>
    <xf numFmtId="0" fontId="39" fillId="3" borderId="124" xfId="14" applyFont="1" applyFill="1" applyBorder="1" applyAlignment="1">
      <alignment horizontal="center"/>
    </xf>
    <xf numFmtId="0" fontId="39" fillId="3" borderId="125" xfId="14" applyFont="1" applyFill="1" applyBorder="1" applyAlignment="1">
      <alignment horizontal="center"/>
    </xf>
    <xf numFmtId="0" fontId="40" fillId="3" borderId="120" xfId="14" applyFont="1" applyFill="1" applyBorder="1" applyAlignment="1">
      <alignment textRotation="180"/>
    </xf>
    <xf numFmtId="174" fontId="39" fillId="3" borderId="122" xfId="14" applyNumberFormat="1" applyFont="1" applyFill="1" applyBorder="1" applyAlignment="1">
      <alignment horizontal="center"/>
    </xf>
    <xf numFmtId="174" fontId="39" fillId="3" borderId="123" xfId="14" applyNumberFormat="1" applyFont="1" applyFill="1" applyBorder="1" applyAlignment="1">
      <alignment horizontal="center"/>
    </xf>
    <xf numFmtId="174" fontId="39" fillId="3" borderId="121" xfId="14" applyNumberFormat="1" applyFont="1" applyFill="1" applyBorder="1" applyAlignment="1">
      <alignment horizontal="center"/>
    </xf>
    <xf numFmtId="0" fontId="3" fillId="0" borderId="0" xfId="14" applyFont="1"/>
    <xf numFmtId="49" fontId="41" fillId="3" borderId="126" xfId="14" applyNumberFormat="1" applyFont="1" applyFill="1" applyBorder="1" applyAlignment="1">
      <alignment horizontal="center"/>
    </xf>
    <xf numFmtId="49" fontId="41" fillId="3" borderId="127" xfId="14" applyNumberFormat="1" applyFont="1" applyFill="1" applyBorder="1" applyAlignment="1">
      <alignment horizontal="left"/>
    </xf>
    <xf numFmtId="49" fontId="41" fillId="3" borderId="46" xfId="14" applyNumberFormat="1" applyFont="1" applyFill="1" applyBorder="1" applyAlignment="1">
      <alignment horizontal="left"/>
    </xf>
    <xf numFmtId="0" fontId="42" fillId="3" borderId="6" xfId="14" applyFont="1" applyFill="1" applyBorder="1"/>
    <xf numFmtId="0" fontId="41" fillId="3" borderId="67" xfId="14" applyFont="1" applyFill="1" applyBorder="1" applyAlignment="1">
      <alignment horizontal="center"/>
    </xf>
    <xf numFmtId="49" fontId="41" fillId="3" borderId="36" xfId="14" applyNumberFormat="1" applyFont="1" applyFill="1" applyBorder="1" applyAlignment="1">
      <alignment horizontal="center"/>
    </xf>
    <xf numFmtId="0" fontId="4" fillId="3" borderId="130" xfId="14" applyFill="1" applyBorder="1"/>
    <xf numFmtId="0" fontId="4" fillId="3" borderId="131" xfId="14" applyFill="1" applyBorder="1"/>
    <xf numFmtId="0" fontId="3" fillId="3" borderId="131" xfId="14" applyFont="1" applyFill="1" applyBorder="1"/>
    <xf numFmtId="0" fontId="4" fillId="3" borderId="133" xfId="14" applyFill="1" applyBorder="1"/>
    <xf numFmtId="0" fontId="6" fillId="3" borderId="134" xfId="14" applyFont="1" applyFill="1" applyBorder="1" applyAlignment="1">
      <alignment horizontal="centerContinuous"/>
    </xf>
    <xf numFmtId="0" fontId="4" fillId="3" borderId="134" xfId="14" applyFill="1" applyBorder="1" applyAlignment="1">
      <alignment horizontal="centerContinuous"/>
    </xf>
    <xf numFmtId="0" fontId="3" fillId="3" borderId="134" xfId="14" applyFont="1" applyFill="1" applyBorder="1"/>
    <xf numFmtId="0" fontId="27" fillId="3" borderId="76" xfId="14" applyFont="1" applyFill="1" applyBorder="1" applyAlignment="1">
      <alignment horizontal="centerContinuous"/>
    </xf>
    <xf numFmtId="0" fontId="28" fillId="3" borderId="67" xfId="14" applyFont="1" applyFill="1" applyBorder="1" applyAlignment="1">
      <alignment horizontal="centerContinuous"/>
    </xf>
    <xf numFmtId="0" fontId="3" fillId="3" borderId="67" xfId="14" applyFont="1" applyFill="1" applyBorder="1" applyAlignment="1">
      <alignment horizontal="centerContinuous"/>
    </xf>
    <xf numFmtId="0" fontId="3" fillId="3" borderId="52" xfId="14" applyFont="1" applyFill="1" applyBorder="1" applyAlignment="1">
      <alignment horizontal="centerContinuous"/>
    </xf>
    <xf numFmtId="0" fontId="4" fillId="3" borderId="119" xfId="14" applyFill="1" applyBorder="1" applyAlignment="1">
      <alignment horizontal="center"/>
    </xf>
    <xf numFmtId="0" fontId="4" fillId="3" borderId="121" xfId="14" applyFill="1" applyBorder="1" applyAlignment="1">
      <alignment horizontal="center"/>
    </xf>
    <xf numFmtId="0" fontId="3" fillId="3" borderId="121" xfId="14" applyFont="1" applyFill="1" applyBorder="1" applyAlignment="1">
      <alignment horizontal="centerContinuous"/>
    </xf>
    <xf numFmtId="0" fontId="3" fillId="3" borderId="137" xfId="14" applyFont="1" applyFill="1" applyBorder="1" applyAlignment="1">
      <alignment horizontal="centerContinuous"/>
    </xf>
    <xf numFmtId="0" fontId="3" fillId="3" borderId="117" xfId="14" applyFont="1" applyFill="1" applyBorder="1" applyAlignment="1">
      <alignment horizontal="center"/>
    </xf>
    <xf numFmtId="0" fontId="3" fillId="3" borderId="118" xfId="14" applyFont="1" applyFill="1" applyBorder="1" applyAlignment="1">
      <alignment horizontal="center"/>
    </xf>
    <xf numFmtId="0" fontId="4" fillId="3" borderId="126" xfId="14" applyFill="1" applyBorder="1" applyAlignment="1">
      <alignment horizontal="center"/>
    </xf>
    <xf numFmtId="0" fontId="4" fillId="3" borderId="138" xfId="14" applyFill="1" applyBorder="1" applyAlignment="1">
      <alignment horizontal="center"/>
    </xf>
    <xf numFmtId="0" fontId="4" fillId="3" borderId="139" xfId="14" applyFill="1" applyBorder="1" applyAlignment="1">
      <alignment horizontal="center"/>
    </xf>
    <xf numFmtId="0" fontId="3" fillId="3" borderId="139" xfId="14" applyFont="1" applyFill="1" applyBorder="1" applyAlignment="1">
      <alignment horizontal="center"/>
    </xf>
    <xf numFmtId="0" fontId="3" fillId="3" borderId="140" xfId="14" applyFont="1" applyFill="1" applyBorder="1" applyAlignment="1">
      <alignment horizontal="center"/>
    </xf>
    <xf numFmtId="0" fontId="39" fillId="3" borderId="67" xfId="14" applyFont="1" applyFill="1" applyBorder="1" applyAlignment="1">
      <alignment horizontal="center"/>
    </xf>
    <xf numFmtId="0" fontId="3" fillId="3" borderId="129" xfId="14" applyFont="1" applyFill="1" applyBorder="1" applyAlignment="1">
      <alignment horizontal="center"/>
    </xf>
    <xf numFmtId="0" fontId="3" fillId="3" borderId="47" xfId="14" applyFont="1" applyFill="1" applyBorder="1" applyAlignment="1">
      <alignment horizontal="center"/>
    </xf>
    <xf numFmtId="0" fontId="3" fillId="3" borderId="32" xfId="14" applyFont="1" applyFill="1" applyBorder="1" applyAlignment="1">
      <alignment horizontal="center"/>
    </xf>
    <xf numFmtId="49" fontId="3" fillId="3" borderId="40" xfId="14" applyNumberFormat="1" applyFont="1" applyFill="1" applyBorder="1"/>
    <xf numFmtId="0" fontId="3" fillId="3" borderId="44" xfId="14" applyFont="1" applyFill="1" applyBorder="1"/>
    <xf numFmtId="0" fontId="3" fillId="3" borderId="6" xfId="14" applyFont="1" applyFill="1" applyBorder="1"/>
    <xf numFmtId="175" fontId="3" fillId="3" borderId="67" xfId="14" applyNumberFormat="1" applyFont="1" applyFill="1" applyBorder="1" applyAlignment="1">
      <alignment horizontal="center"/>
    </xf>
    <xf numFmtId="10" fontId="3" fillId="3" borderId="34" xfId="17" applyNumberFormat="1" applyFont="1" applyFill="1" applyBorder="1" applyProtection="1"/>
    <xf numFmtId="0" fontId="3" fillId="3" borderId="31" xfId="14" applyFont="1" applyFill="1" applyBorder="1"/>
    <xf numFmtId="175" fontId="3" fillId="3" borderId="62" xfId="14" applyNumberFormat="1" applyFont="1" applyFill="1" applyBorder="1" applyAlignment="1">
      <alignment horizontal="center"/>
    </xf>
    <xf numFmtId="40" fontId="4" fillId="0" borderId="0" xfId="14" applyNumberFormat="1" applyProtection="1">
      <protection locked="0"/>
    </xf>
    <xf numFmtId="1" fontId="3" fillId="3" borderId="40" xfId="14" applyNumberFormat="1" applyFont="1" applyFill="1" applyBorder="1"/>
    <xf numFmtId="1" fontId="3" fillId="3" borderId="31" xfId="14" applyNumberFormat="1" applyFont="1" applyFill="1" applyBorder="1"/>
    <xf numFmtId="0" fontId="3" fillId="3" borderId="66" xfId="14" applyFont="1" applyFill="1" applyBorder="1" applyAlignment="1">
      <alignment horizontal="center"/>
    </xf>
    <xf numFmtId="0" fontId="3" fillId="3" borderId="62" xfId="14" applyFont="1" applyFill="1" applyBorder="1"/>
    <xf numFmtId="40" fontId="3" fillId="3" borderId="62" xfId="14" applyNumberFormat="1" applyFont="1" applyFill="1" applyBorder="1"/>
    <xf numFmtId="40" fontId="3" fillId="3" borderId="62" xfId="14" applyNumberFormat="1" applyFont="1" applyFill="1" applyBorder="1" applyProtection="1">
      <protection locked="0"/>
    </xf>
    <xf numFmtId="9" fontId="3" fillId="3" borderId="54" xfId="17" applyFont="1" applyFill="1" applyBorder="1" applyProtection="1"/>
    <xf numFmtId="40" fontId="3" fillId="3" borderId="143" xfId="14" applyNumberFormat="1" applyFont="1" applyFill="1" applyBorder="1"/>
    <xf numFmtId="10" fontId="3" fillId="3" borderId="47" xfId="17" applyNumberFormat="1" applyFont="1" applyFill="1" applyBorder="1" applyProtection="1"/>
    <xf numFmtId="0" fontId="3" fillId="3" borderId="1" xfId="14" applyFont="1" applyFill="1" applyBorder="1"/>
    <xf numFmtId="40" fontId="3" fillId="3" borderId="67" xfId="14" applyNumberFormat="1" applyFont="1" applyFill="1" applyBorder="1"/>
    <xf numFmtId="0" fontId="3" fillId="3" borderId="66" xfId="14" applyFont="1" applyFill="1" applyBorder="1"/>
    <xf numFmtId="9" fontId="3" fillId="3" borderId="55" xfId="17" applyFont="1" applyFill="1" applyBorder="1" applyProtection="1"/>
    <xf numFmtId="0" fontId="6" fillId="3" borderId="119" xfId="14" applyFont="1" applyFill="1" applyBorder="1" applyAlignment="1">
      <alignment horizontal="centerContinuous"/>
    </xf>
    <xf numFmtId="0" fontId="4" fillId="3" borderId="144" xfId="14" applyFill="1" applyBorder="1" applyAlignment="1">
      <alignment horizontal="centerContinuous"/>
    </xf>
    <xf numFmtId="0" fontId="4" fillId="3" borderId="144" xfId="14" applyFill="1" applyBorder="1"/>
    <xf numFmtId="40" fontId="38" fillId="3" borderId="0" xfId="14" applyNumberFormat="1" applyFont="1" applyFill="1"/>
    <xf numFmtId="10" fontId="38" fillId="3" borderId="147" xfId="17" applyNumberFormat="1" applyFont="1" applyFill="1" applyBorder="1" applyProtection="1"/>
    <xf numFmtId="0" fontId="6" fillId="3" borderId="148" xfId="14" applyFont="1" applyFill="1" applyBorder="1" applyAlignment="1">
      <alignment horizontal="centerContinuous"/>
    </xf>
    <xf numFmtId="0" fontId="4" fillId="3" borderId="149" xfId="14" applyFill="1" applyBorder="1" applyAlignment="1">
      <alignment horizontal="centerContinuous"/>
    </xf>
    <xf numFmtId="0" fontId="4" fillId="3" borderId="149" xfId="14" applyFill="1" applyBorder="1"/>
    <xf numFmtId="10" fontId="38" fillId="3" borderId="149" xfId="17" applyNumberFormat="1" applyFont="1" applyFill="1" applyBorder="1" applyProtection="1"/>
    <xf numFmtId="10" fontId="38" fillId="3" borderId="150" xfId="17" applyNumberFormat="1" applyFont="1" applyFill="1" applyBorder="1" applyProtection="1">
      <protection locked="0"/>
    </xf>
    <xf numFmtId="10" fontId="38" fillId="3" borderId="151" xfId="17" applyNumberFormat="1" applyFont="1" applyFill="1" applyBorder="1" applyProtection="1"/>
    <xf numFmtId="10" fontId="38" fillId="3" borderId="152" xfId="17" applyNumberFormat="1" applyFont="1" applyFill="1" applyBorder="1" applyProtection="1"/>
    <xf numFmtId="0" fontId="6" fillId="3" borderId="153" xfId="14" applyFont="1" applyFill="1" applyBorder="1" applyAlignment="1">
      <alignment horizontal="centerContinuous"/>
    </xf>
    <xf numFmtId="0" fontId="4" fillId="3" borderId="138" xfId="14" applyFill="1" applyBorder="1" applyAlignment="1">
      <alignment horizontal="centerContinuous"/>
    </xf>
    <xf numFmtId="0" fontId="4" fillId="3" borderId="138" xfId="14" applyFill="1" applyBorder="1"/>
    <xf numFmtId="10" fontId="38" fillId="3" borderId="138" xfId="17" applyNumberFormat="1" applyFont="1" applyFill="1" applyBorder="1" applyProtection="1"/>
    <xf numFmtId="10" fontId="38" fillId="3" borderId="154" xfId="17" applyNumberFormat="1" applyFont="1" applyFill="1" applyBorder="1" applyProtection="1">
      <protection locked="0"/>
    </xf>
    <xf numFmtId="10" fontId="38" fillId="3" borderId="0" xfId="17" applyNumberFormat="1" applyFont="1" applyFill="1" applyBorder="1" applyProtection="1"/>
    <xf numFmtId="0" fontId="6" fillId="15" borderId="12" xfId="14" applyFont="1" applyFill="1" applyBorder="1" applyAlignment="1" applyProtection="1">
      <alignment horizontal="left" vertical="top"/>
      <protection locked="0"/>
    </xf>
    <xf numFmtId="0" fontId="6" fillId="15" borderId="10" xfId="14" applyFont="1" applyFill="1" applyBorder="1" applyProtection="1">
      <protection locked="0"/>
    </xf>
    <xf numFmtId="0" fontId="6" fillId="15" borderId="157" xfId="14" applyFont="1" applyFill="1" applyBorder="1" applyProtection="1">
      <protection locked="0"/>
    </xf>
    <xf numFmtId="0" fontId="6" fillId="15" borderId="10" xfId="14" applyFont="1" applyFill="1" applyBorder="1" applyAlignment="1" applyProtection="1">
      <alignment horizontal="left" vertical="top"/>
      <protection locked="0"/>
    </xf>
    <xf numFmtId="0" fontId="6" fillId="15" borderId="10" xfId="14" applyFont="1" applyFill="1" applyBorder="1" applyAlignment="1" applyProtection="1">
      <alignment horizontal="centerContinuous" vertical="center"/>
      <protection locked="0"/>
    </xf>
    <xf numFmtId="0" fontId="6" fillId="15" borderId="13" xfId="14" applyFont="1" applyFill="1" applyBorder="1" applyAlignment="1" applyProtection="1">
      <alignment horizontal="centerContinuous" vertical="center"/>
      <protection locked="0"/>
    </xf>
    <xf numFmtId="0" fontId="4" fillId="15" borderId="10" xfId="14" applyFill="1" applyBorder="1" applyProtection="1">
      <protection locked="0"/>
    </xf>
    <xf numFmtId="0" fontId="4" fillId="15" borderId="13" xfId="14" applyFill="1" applyBorder="1" applyProtection="1">
      <protection locked="0"/>
    </xf>
    <xf numFmtId="0" fontId="4" fillId="15" borderId="16" xfId="14" applyFill="1" applyBorder="1" applyAlignment="1" applyProtection="1">
      <alignment horizontal="centerContinuous" vertical="center" wrapText="1"/>
      <protection locked="0"/>
    </xf>
    <xf numFmtId="0" fontId="4" fillId="15" borderId="11" xfId="14" applyFill="1" applyBorder="1" applyProtection="1">
      <protection locked="0"/>
    </xf>
    <xf numFmtId="0" fontId="4" fillId="15" borderId="158" xfId="14" applyFill="1" applyBorder="1" applyProtection="1">
      <protection locked="0"/>
    </xf>
    <xf numFmtId="0" fontId="4" fillId="15" borderId="11" xfId="14" applyFill="1" applyBorder="1" applyAlignment="1" applyProtection="1">
      <alignment horizontal="centerContinuous" vertical="center" wrapText="1"/>
      <protection locked="0"/>
    </xf>
    <xf numFmtId="0" fontId="4" fillId="15" borderId="11" xfId="14" applyFill="1" applyBorder="1" applyAlignment="1" applyProtection="1">
      <alignment horizontal="left" vertical="center"/>
      <protection locked="0"/>
    </xf>
    <xf numFmtId="0" fontId="4" fillId="15" borderId="17" xfId="14" applyFill="1" applyBorder="1" applyAlignment="1" applyProtection="1">
      <alignment horizontal="centerContinuous" vertical="center"/>
      <protection locked="0"/>
    </xf>
    <xf numFmtId="17" fontId="4" fillId="15" borderId="11" xfId="14" applyNumberFormat="1" applyFill="1" applyBorder="1" applyAlignment="1" applyProtection="1">
      <alignment horizontal="center" vertical="center"/>
      <protection locked="0"/>
    </xf>
    <xf numFmtId="14" fontId="6" fillId="15" borderId="11" xfId="14" applyNumberFormat="1" applyFont="1" applyFill="1" applyBorder="1" applyAlignment="1" applyProtection="1">
      <alignment horizontal="center" vertical="center"/>
      <protection locked="0"/>
    </xf>
    <xf numFmtId="17" fontId="4" fillId="15" borderId="17" xfId="14" applyNumberFormat="1" applyFill="1" applyBorder="1" applyAlignment="1" applyProtection="1">
      <alignment horizontal="center" vertical="center"/>
      <protection locked="0"/>
    </xf>
    <xf numFmtId="0" fontId="0" fillId="0" borderId="10" xfId="0" applyBorder="1"/>
    <xf numFmtId="2" fontId="28" fillId="7" borderId="36" xfId="7" applyNumberFormat="1" applyFont="1" applyFill="1" applyBorder="1" applyAlignment="1" applyProtection="1">
      <alignment horizontal="center" vertical="center"/>
      <protection locked="0"/>
    </xf>
    <xf numFmtId="2" fontId="28" fillId="7" borderId="52" xfId="7" applyNumberFormat="1" applyFont="1" applyFill="1" applyBorder="1" applyAlignment="1" applyProtection="1">
      <alignment horizontal="center" vertical="center"/>
      <protection locked="0"/>
    </xf>
    <xf numFmtId="164" fontId="23" fillId="0" borderId="0" xfId="3" applyFont="1" applyFill="1" applyAlignment="1" applyProtection="1">
      <alignment vertical="center"/>
    </xf>
    <xf numFmtId="2" fontId="28" fillId="7" borderId="32" xfId="7" applyNumberFormat="1" applyFont="1" applyFill="1" applyBorder="1" applyAlignment="1" applyProtection="1">
      <alignment horizontal="center" vertical="center"/>
      <protection locked="0"/>
    </xf>
    <xf numFmtId="2" fontId="28" fillId="7" borderId="54" xfId="7" applyNumberFormat="1" applyFont="1" applyFill="1" applyBorder="1" applyAlignment="1" applyProtection="1">
      <alignment horizontal="center" vertical="center"/>
      <protection locked="0"/>
    </xf>
    <xf numFmtId="2" fontId="28" fillId="7" borderId="27" xfId="7" applyNumberFormat="1" applyFont="1" applyFill="1" applyBorder="1" applyAlignment="1" applyProtection="1">
      <alignment horizontal="center" vertical="center"/>
      <protection locked="0"/>
    </xf>
    <xf numFmtId="2" fontId="28" fillId="7" borderId="77" xfId="7" applyNumberFormat="1" applyFont="1" applyFill="1" applyBorder="1" applyAlignment="1" applyProtection="1">
      <alignment horizontal="center" vertical="center"/>
      <protection locked="0"/>
    </xf>
    <xf numFmtId="164" fontId="52" fillId="7" borderId="29" xfId="3" applyFont="1" applyFill="1" applyBorder="1" applyAlignment="1" applyProtection="1">
      <alignment horizontal="right" vertical="center"/>
      <protection locked="0"/>
    </xf>
    <xf numFmtId="0" fontId="9" fillId="11" borderId="0" xfId="0" applyFont="1" applyFill="1"/>
    <xf numFmtId="2" fontId="9" fillId="11" borderId="0" xfId="0" applyNumberFormat="1" applyFont="1" applyFill="1" applyAlignment="1">
      <alignment horizontal="center"/>
    </xf>
    <xf numFmtId="43" fontId="4" fillId="0" borderId="0" xfId="0" applyNumberFormat="1" applyFont="1"/>
    <xf numFmtId="164" fontId="0" fillId="0" borderId="0" xfId="3" applyFont="1"/>
    <xf numFmtId="164" fontId="0" fillId="0" borderId="6" xfId="3" applyFont="1" applyBorder="1"/>
    <xf numFmtId="0" fontId="54" fillId="0" borderId="0" xfId="0" applyFont="1"/>
    <xf numFmtId="43" fontId="0" fillId="0" borderId="0" xfId="0" applyNumberFormat="1"/>
    <xf numFmtId="0" fontId="3" fillId="0" borderId="0" xfId="5"/>
    <xf numFmtId="0" fontId="3" fillId="0" borderId="0" xfId="5" applyAlignment="1">
      <alignment horizontal="center"/>
    </xf>
    <xf numFmtId="176" fontId="0" fillId="0" borderId="0" xfId="6" applyNumberFormat="1" applyFont="1" applyFill="1"/>
    <xf numFmtId="0" fontId="55" fillId="0" borderId="0" xfId="19"/>
    <xf numFmtId="167" fontId="4" fillId="0" borderId="0" xfId="0" applyNumberFormat="1" applyFont="1"/>
    <xf numFmtId="2" fontId="7" fillId="0" borderId="8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/>
    <xf numFmtId="0" fontId="2" fillId="9" borderId="0" xfId="0" applyFont="1" applyFill="1"/>
    <xf numFmtId="178" fontId="2" fillId="9" borderId="0" xfId="0" applyNumberFormat="1" applyFont="1" applyFill="1"/>
    <xf numFmtId="0" fontId="2" fillId="12" borderId="0" xfId="0" applyFont="1" applyFill="1"/>
    <xf numFmtId="178" fontId="2" fillId="12" borderId="0" xfId="0" applyNumberFormat="1" applyFont="1" applyFill="1"/>
    <xf numFmtId="0" fontId="2" fillId="0" borderId="112" xfId="0" applyFont="1" applyBorder="1" applyAlignment="1">
      <alignment horizontal="centerContinuous" wrapText="1"/>
    </xf>
    <xf numFmtId="0" fontId="0" fillId="0" borderId="80" xfId="0" applyBorder="1" applyAlignment="1">
      <alignment horizontal="centerContinuous"/>
    </xf>
    <xf numFmtId="0" fontId="2" fillId="2" borderId="112" xfId="0" applyFont="1" applyFill="1" applyBorder="1" applyAlignment="1">
      <alignment horizontal="centerContinuous" wrapText="1"/>
    </xf>
    <xf numFmtId="0" fontId="0" fillId="2" borderId="80" xfId="0" applyFill="1" applyBorder="1" applyAlignment="1">
      <alignment horizontal="centerContinuous"/>
    </xf>
    <xf numFmtId="0" fontId="2" fillId="2" borderId="81" xfId="0" applyFont="1" applyFill="1" applyBorder="1" applyAlignment="1">
      <alignment horizontal="center" vertical="center" wrapText="1"/>
    </xf>
    <xf numFmtId="0" fontId="57" fillId="0" borderId="6" xfId="0" applyFont="1" applyBorder="1" applyAlignment="1">
      <alignment horizontal="center" vertical="top" wrapText="1"/>
    </xf>
    <xf numFmtId="0" fontId="57" fillId="2" borderId="34" xfId="0" applyFont="1" applyFill="1" applyBorder="1" applyAlignment="1">
      <alignment horizontal="center" vertical="top" wrapText="1"/>
    </xf>
    <xf numFmtId="164" fontId="0" fillId="0" borderId="7" xfId="3" applyFont="1" applyBorder="1"/>
    <xf numFmtId="164" fontId="0" fillId="0" borderId="44" xfId="3" applyFont="1" applyBorder="1"/>
    <xf numFmtId="4" fontId="58" fillId="2" borderId="6" xfId="0" applyNumberFormat="1" applyFont="1" applyFill="1" applyBorder="1" applyAlignment="1">
      <alignment horizontal="center" vertical="center" shrinkToFit="1"/>
    </xf>
    <xf numFmtId="4" fontId="58" fillId="9" borderId="6" xfId="0" applyNumberFormat="1" applyFont="1" applyFill="1" applyBorder="1" applyAlignment="1">
      <alignment horizontal="center" vertical="center" shrinkToFit="1"/>
    </xf>
    <xf numFmtId="4" fontId="58" fillId="16" borderId="6" xfId="0" applyNumberFormat="1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4" fontId="59" fillId="16" borderId="34" xfId="0" applyNumberFormat="1" applyFont="1" applyFill="1" applyBorder="1" applyAlignment="1">
      <alignment horizontal="center" vertical="center" shrinkToFit="1"/>
    </xf>
    <xf numFmtId="4" fontId="58" fillId="0" borderId="6" xfId="0" applyNumberFormat="1" applyFont="1" applyBorder="1" applyAlignment="1">
      <alignment horizontal="center" vertical="center" shrinkToFit="1"/>
    </xf>
    <xf numFmtId="164" fontId="0" fillId="0" borderId="31" xfId="3" applyFont="1" applyFill="1" applyBorder="1"/>
    <xf numFmtId="164" fontId="0" fillId="2" borderId="31" xfId="3" applyFont="1" applyFill="1" applyBorder="1"/>
    <xf numFmtId="164" fontId="0" fillId="0" borderId="6" xfId="3" applyFont="1" applyFill="1" applyBorder="1"/>
    <xf numFmtId="4" fontId="0" fillId="0" borderId="0" xfId="0" applyNumberFormat="1"/>
    <xf numFmtId="10" fontId="0" fillId="0" borderId="0" xfId="6" applyNumberFormat="1" applyFont="1"/>
    <xf numFmtId="4" fontId="58" fillId="17" borderId="6" xfId="0" applyNumberFormat="1" applyFont="1" applyFill="1" applyBorder="1" applyAlignment="1">
      <alignment horizontal="center" vertical="center" shrinkToFit="1"/>
    </xf>
    <xf numFmtId="164" fontId="58" fillId="17" borderId="6" xfId="3" applyFont="1" applyFill="1" applyBorder="1" applyAlignment="1">
      <alignment horizontal="center" vertical="center" shrinkToFit="1"/>
    </xf>
    <xf numFmtId="0" fontId="3" fillId="0" borderId="6" xfId="5" applyBorder="1" applyAlignment="1">
      <alignment horizontal="center"/>
    </xf>
    <xf numFmtId="0" fontId="3" fillId="0" borderId="6" xfId="5" applyBorder="1" applyAlignment="1">
      <alignment wrapText="1"/>
    </xf>
    <xf numFmtId="0" fontId="3" fillId="0" borderId="6" xfId="5" applyBorder="1"/>
    <xf numFmtId="0" fontId="0" fillId="0" borderId="0" xfId="0" applyAlignment="1">
      <alignment horizontal="center" vertical="center" wrapText="1"/>
    </xf>
    <xf numFmtId="0" fontId="3" fillId="0" borderId="44" xfId="5" applyBorder="1" applyAlignment="1">
      <alignment wrapText="1"/>
    </xf>
    <xf numFmtId="4" fontId="58" fillId="18" borderId="6" xfId="0" applyNumberFormat="1" applyFont="1" applyFill="1" applyBorder="1" applyAlignment="1">
      <alignment horizontal="center" vertical="center" shrinkToFit="1"/>
    </xf>
    <xf numFmtId="4" fontId="58" fillId="17" borderId="25" xfId="0" applyNumberFormat="1" applyFont="1" applyFill="1" applyBorder="1" applyAlignment="1">
      <alignment horizontal="center" vertical="center" shrinkToFit="1"/>
    </xf>
    <xf numFmtId="4" fontId="58" fillId="9" borderId="25" xfId="0" applyNumberFormat="1" applyFont="1" applyFill="1" applyBorder="1" applyAlignment="1">
      <alignment horizontal="center" vertical="center" shrinkToFit="1"/>
    </xf>
    <xf numFmtId="0" fontId="0" fillId="0" borderId="11" xfId="0" applyBorder="1" applyAlignment="1">
      <alignment horizontal="center" vertical="center"/>
    </xf>
    <xf numFmtId="164" fontId="0" fillId="0" borderId="0" xfId="3" quotePrefix="1" applyFont="1"/>
    <xf numFmtId="10" fontId="0" fillId="0" borderId="0" xfId="4" applyNumberFormat="1" applyFont="1"/>
    <xf numFmtId="10" fontId="0" fillId="0" borderId="67" xfId="4" applyNumberFormat="1" applyFont="1" applyBorder="1"/>
    <xf numFmtId="10" fontId="0" fillId="0" borderId="0" xfId="0" applyNumberFormat="1" applyAlignment="1">
      <alignment vertical="top"/>
    </xf>
    <xf numFmtId="164" fontId="0" fillId="2" borderId="0" xfId="3" applyFont="1" applyFill="1"/>
    <xf numFmtId="164" fontId="0" fillId="0" borderId="0" xfId="3" applyFont="1" applyFill="1"/>
    <xf numFmtId="164" fontId="0" fillId="2" borderId="6" xfId="3" applyFont="1" applyFill="1" applyBorder="1"/>
    <xf numFmtId="4" fontId="58" fillId="0" borderId="31" xfId="0" applyNumberFormat="1" applyFont="1" applyBorder="1" applyAlignment="1">
      <alignment horizontal="center" vertical="center" shrinkToFit="1"/>
    </xf>
    <xf numFmtId="0" fontId="57" fillId="2" borderId="7" xfId="0" applyFont="1" applyFill="1" applyBorder="1" applyAlignment="1">
      <alignment horizontal="center" vertical="top" wrapText="1"/>
    </xf>
    <xf numFmtId="0" fontId="57" fillId="2" borderId="6" xfId="0" applyFont="1" applyFill="1" applyBorder="1" applyAlignment="1">
      <alignment horizontal="center" vertical="top" wrapText="1"/>
    </xf>
    <xf numFmtId="164" fontId="0" fillId="0" borderId="62" xfId="3" applyFont="1" applyBorder="1"/>
    <xf numFmtId="0" fontId="27" fillId="8" borderId="10" xfId="1" applyFont="1" applyFill="1" applyBorder="1" applyAlignment="1">
      <alignment vertical="center"/>
    </xf>
    <xf numFmtId="10" fontId="6" fillId="0" borderId="29" xfId="4" applyNumberFormat="1" applyFont="1" applyFill="1" applyBorder="1" applyAlignment="1" applyProtection="1">
      <alignment horizontal="right"/>
    </xf>
    <xf numFmtId="0" fontId="62" fillId="0" borderId="0" xfId="0" quotePrefix="1" applyFont="1"/>
    <xf numFmtId="10" fontId="6" fillId="2" borderId="29" xfId="4" applyNumberFormat="1" applyFont="1" applyFill="1" applyBorder="1" applyAlignment="1" applyProtection="1">
      <alignment horizontal="right"/>
    </xf>
    <xf numFmtId="169" fontId="6" fillId="8" borderId="28" xfId="1" applyNumberFormat="1" applyFont="1" applyFill="1" applyBorder="1" applyAlignment="1">
      <alignment horizontal="right"/>
    </xf>
    <xf numFmtId="0" fontId="6" fillId="8" borderId="17" xfId="1" applyFont="1" applyFill="1" applyBorder="1"/>
    <xf numFmtId="179" fontId="61" fillId="0" borderId="0" xfId="3" applyNumberFormat="1" applyFont="1" applyFill="1" applyAlignment="1" applyProtection="1">
      <alignment horizontal="right" vertical="center"/>
    </xf>
    <xf numFmtId="179" fontId="61" fillId="0" borderId="0" xfId="0" applyNumberFormat="1" applyFont="1" applyAlignment="1">
      <alignment horizontal="right" vertical="center"/>
    </xf>
    <xf numFmtId="0" fontId="4" fillId="19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4" fontId="19" fillId="6" borderId="0" xfId="3" applyFont="1" applyFill="1" applyProtection="1"/>
    <xf numFmtId="164" fontId="4" fillId="0" borderId="0" xfId="3" applyFont="1" applyProtection="1"/>
    <xf numFmtId="4" fontId="4" fillId="0" borderId="28" xfId="1" applyNumberFormat="1" applyBorder="1" applyAlignment="1">
      <alignment horizontal="center" vertical="center"/>
    </xf>
    <xf numFmtId="4" fontId="4" fillId="0" borderId="0" xfId="0" applyNumberFormat="1" applyFont="1"/>
    <xf numFmtId="0" fontId="6" fillId="0" borderId="6" xfId="0" applyFont="1" applyBorder="1" applyAlignment="1">
      <alignment horizontal="center" vertical="center" textRotation="90" wrapText="1"/>
    </xf>
    <xf numFmtId="0" fontId="13" fillId="0" borderId="6" xfId="0" applyFont="1" applyBorder="1" applyAlignment="1">
      <alignment horizontal="centerContinuous"/>
    </xf>
    <xf numFmtId="0" fontId="14" fillId="0" borderId="0" xfId="0" applyFont="1" applyAlignment="1">
      <alignment horizontal="center" vertical="center"/>
    </xf>
    <xf numFmtId="0" fontId="47" fillId="0" borderId="0" xfId="5" applyFont="1" applyAlignment="1">
      <alignment vertical="center"/>
    </xf>
    <xf numFmtId="0" fontId="23" fillId="0" borderId="0" xfId="7" applyAlignment="1">
      <alignment vertical="center"/>
    </xf>
    <xf numFmtId="0" fontId="23" fillId="0" borderId="0" xfId="7"/>
    <xf numFmtId="2" fontId="28" fillId="0" borderId="66" xfId="7" applyNumberFormat="1" applyFont="1" applyBorder="1" applyAlignment="1">
      <alignment horizontal="right" vertical="center"/>
    </xf>
    <xf numFmtId="2" fontId="28" fillId="0" borderId="54" xfId="7" applyNumberFormat="1" applyFont="1" applyBorder="1" applyAlignment="1">
      <alignment horizontal="center" vertical="center"/>
    </xf>
    <xf numFmtId="0" fontId="30" fillId="0" borderId="0" xfId="7" applyFont="1" applyAlignment="1">
      <alignment vertical="center"/>
    </xf>
    <xf numFmtId="2" fontId="28" fillId="0" borderId="176" xfId="7" applyNumberFormat="1" applyFont="1" applyBorder="1" applyAlignment="1">
      <alignment horizontal="right" vertical="center"/>
    </xf>
    <xf numFmtId="2" fontId="28" fillId="0" borderId="55" xfId="7" applyNumberFormat="1" applyFont="1" applyBorder="1" applyAlignment="1">
      <alignment horizontal="center" vertical="center"/>
    </xf>
    <xf numFmtId="0" fontId="27" fillId="0" borderId="3" xfId="7" applyFont="1" applyBorder="1" applyAlignment="1">
      <alignment horizontal="right" vertical="center"/>
    </xf>
    <xf numFmtId="2" fontId="27" fillId="0" borderId="38" xfId="7" applyNumberFormat="1" applyFont="1" applyBorder="1" applyAlignment="1">
      <alignment horizontal="center" vertical="center"/>
    </xf>
    <xf numFmtId="2" fontId="23" fillId="0" borderId="0" xfId="7" applyNumberFormat="1" applyAlignment="1">
      <alignment vertical="center"/>
    </xf>
    <xf numFmtId="0" fontId="27" fillId="0" borderId="76" xfId="7" applyFont="1" applyBorder="1" applyAlignment="1">
      <alignment vertical="center"/>
    </xf>
    <xf numFmtId="2" fontId="28" fillId="0" borderId="78" xfId="7" applyNumberFormat="1" applyFont="1" applyBorder="1" applyAlignment="1">
      <alignment horizontal="center" vertical="center"/>
    </xf>
    <xf numFmtId="2" fontId="28" fillId="0" borderId="52" xfId="7" applyNumberFormat="1" applyFont="1" applyBorder="1" applyAlignment="1">
      <alignment horizontal="center" vertical="center"/>
    </xf>
    <xf numFmtId="0" fontId="23" fillId="0" borderId="0" xfId="7" quotePrefix="1" applyAlignment="1">
      <alignment vertical="center"/>
    </xf>
    <xf numFmtId="0" fontId="27" fillId="0" borderId="66" xfId="7" applyFont="1" applyBorder="1" applyAlignment="1">
      <alignment vertical="center"/>
    </xf>
    <xf numFmtId="0" fontId="27" fillId="0" borderId="56" xfId="7" applyFont="1" applyBorder="1" applyAlignment="1">
      <alignment vertical="center"/>
    </xf>
    <xf numFmtId="0" fontId="27" fillId="0" borderId="29" xfId="7" applyFont="1" applyBorder="1" applyAlignment="1">
      <alignment vertical="center"/>
    </xf>
    <xf numFmtId="2" fontId="27" fillId="0" borderId="37" xfId="7" applyNumberFormat="1" applyFont="1" applyBorder="1" applyAlignment="1">
      <alignment horizontal="center" vertical="center"/>
    </xf>
    <xf numFmtId="0" fontId="46" fillId="0" borderId="0" xfId="5" quotePrefix="1" applyFont="1" applyAlignment="1">
      <alignment vertical="center"/>
    </xf>
    <xf numFmtId="0" fontId="48" fillId="0" borderId="2" xfId="7" applyFont="1" applyBorder="1" applyAlignment="1">
      <alignment vertical="center"/>
    </xf>
    <xf numFmtId="10" fontId="48" fillId="0" borderId="3" xfId="7" applyNumberFormat="1" applyFont="1" applyBorder="1" applyAlignment="1">
      <alignment horizontal="centerContinuous" vertical="center"/>
    </xf>
    <xf numFmtId="9" fontId="48" fillId="0" borderId="38" xfId="7" applyNumberFormat="1" applyFont="1" applyBorder="1" applyAlignment="1">
      <alignment horizontal="centerContinuous" vertical="center"/>
    </xf>
    <xf numFmtId="0" fontId="32" fillId="0" borderId="29" xfId="7" applyFont="1" applyBorder="1" applyAlignment="1">
      <alignment horizontal="center" vertical="center"/>
    </xf>
    <xf numFmtId="169" fontId="23" fillId="0" borderId="0" xfId="7" applyNumberFormat="1" applyAlignment="1">
      <alignment vertical="center"/>
    </xf>
    <xf numFmtId="0" fontId="49" fillId="0" borderId="0" xfId="7" applyFont="1" applyAlignment="1">
      <alignment vertical="center"/>
    </xf>
    <xf numFmtId="0" fontId="50" fillId="0" borderId="0" xfId="7" applyFont="1" applyAlignment="1">
      <alignment vertical="center"/>
    </xf>
    <xf numFmtId="0" fontId="50" fillId="0" borderId="0" xfId="7" applyFont="1"/>
    <xf numFmtId="0" fontId="28" fillId="0" borderId="0" xfId="7" applyFont="1" applyAlignment="1">
      <alignment vertical="center"/>
    </xf>
    <xf numFmtId="0" fontId="3" fillId="0" borderId="0" xfId="7" applyFont="1" applyAlignment="1">
      <alignment vertical="center"/>
    </xf>
    <xf numFmtId="0" fontId="6" fillId="0" borderId="0" xfId="7" applyFont="1" applyAlignment="1">
      <alignment vertical="center"/>
    </xf>
    <xf numFmtId="0" fontId="51" fillId="0" borderId="0" xfId="7" applyFont="1" applyAlignment="1">
      <alignment horizontal="center" vertical="center"/>
    </xf>
    <xf numFmtId="0" fontId="2" fillId="0" borderId="0" xfId="7" applyFont="1" applyAlignment="1">
      <alignment vertical="center"/>
    </xf>
    <xf numFmtId="2" fontId="29" fillId="0" borderId="0" xfId="7" applyNumberFormat="1" applyFont="1" applyAlignment="1">
      <alignment horizontal="left" vertical="center"/>
    </xf>
    <xf numFmtId="2" fontId="29" fillId="0" borderId="6" xfId="7" quotePrefix="1" applyNumberFormat="1" applyFont="1" applyBorder="1" applyAlignment="1">
      <alignment horizontal="right" vertical="center"/>
    </xf>
    <xf numFmtId="2" fontId="29" fillId="0" borderId="6" xfId="7" applyNumberFormat="1" applyFont="1" applyBorder="1" applyAlignment="1">
      <alignment horizontal="right" vertical="center"/>
    </xf>
    <xf numFmtId="0" fontId="31" fillId="0" borderId="0" xfId="7" applyFont="1" applyAlignment="1">
      <alignment vertical="center"/>
    </xf>
    <xf numFmtId="0" fontId="25" fillId="0" borderId="0" xfId="7" applyFont="1" applyAlignment="1">
      <alignment vertical="center"/>
    </xf>
    <xf numFmtId="0" fontId="6" fillId="0" borderId="29" xfId="7" applyFont="1" applyBorder="1" applyAlignment="1">
      <alignment horizontal="center" vertical="center"/>
    </xf>
    <xf numFmtId="0" fontId="6" fillId="0" borderId="37" xfId="7" applyFont="1" applyBorder="1" applyAlignment="1">
      <alignment horizontal="center" vertical="center"/>
    </xf>
    <xf numFmtId="0" fontId="6" fillId="0" borderId="5" xfId="7" applyFont="1" applyBorder="1" applyAlignment="1">
      <alignment horizontal="center" vertical="center"/>
    </xf>
    <xf numFmtId="0" fontId="6" fillId="0" borderId="30" xfId="7" applyFont="1" applyBorder="1" applyAlignment="1">
      <alignment horizontal="center" vertical="center"/>
    </xf>
    <xf numFmtId="0" fontId="4" fillId="0" borderId="33" xfId="7" applyFont="1" applyBorder="1" applyAlignment="1">
      <alignment vertical="center" wrapText="1"/>
    </xf>
    <xf numFmtId="10" fontId="4" fillId="0" borderId="46" xfId="7" applyNumberFormat="1" applyFont="1" applyBorder="1" applyAlignment="1">
      <alignment horizontal="center" vertical="center"/>
    </xf>
    <xf numFmtId="10" fontId="4" fillId="0" borderId="31" xfId="7" applyNumberFormat="1" applyFont="1" applyBorder="1" applyAlignment="1">
      <alignment horizontal="center" vertical="center"/>
    </xf>
    <xf numFmtId="10" fontId="4" fillId="0" borderId="47" xfId="7" applyNumberFormat="1" applyFont="1" applyBorder="1" applyAlignment="1">
      <alignment horizontal="center" vertical="center"/>
    </xf>
    <xf numFmtId="0" fontId="4" fillId="0" borderId="45" xfId="7" applyFont="1" applyBorder="1" applyAlignment="1">
      <alignment vertical="center" wrapText="1"/>
    </xf>
    <xf numFmtId="10" fontId="4" fillId="0" borderId="44" xfId="7" applyNumberFormat="1" applyFont="1" applyBorder="1" applyAlignment="1">
      <alignment horizontal="center" vertical="center"/>
    </xf>
    <xf numFmtId="10" fontId="4" fillId="0" borderId="6" xfId="7" applyNumberFormat="1" applyFont="1" applyBorder="1" applyAlignment="1">
      <alignment horizontal="center" vertical="center"/>
    </xf>
    <xf numFmtId="10" fontId="4" fillId="0" borderId="34" xfId="7" applyNumberFormat="1" applyFont="1" applyBorder="1" applyAlignment="1">
      <alignment horizontal="center" vertical="center"/>
    </xf>
    <xf numFmtId="0" fontId="4" fillId="0" borderId="8" xfId="7" applyFont="1" applyBorder="1" applyAlignment="1">
      <alignment vertical="center" wrapText="1"/>
    </xf>
    <xf numFmtId="10" fontId="4" fillId="0" borderId="82" xfId="7" applyNumberFormat="1" applyFont="1" applyBorder="1" applyAlignment="1">
      <alignment horizontal="center" vertical="center"/>
    </xf>
    <xf numFmtId="10" fontId="4" fillId="0" borderId="25" xfId="7" applyNumberFormat="1" applyFont="1" applyBorder="1" applyAlignment="1">
      <alignment horizontal="center" vertical="center"/>
    </xf>
    <xf numFmtId="10" fontId="4" fillId="0" borderId="83" xfId="7" applyNumberFormat="1" applyFont="1" applyBorder="1" applyAlignment="1">
      <alignment horizontal="center" vertical="center"/>
    </xf>
    <xf numFmtId="0" fontId="25" fillId="0" borderId="0" xfId="7" applyFont="1" applyAlignment="1">
      <alignment vertical="center" wrapText="1"/>
    </xf>
    <xf numFmtId="10" fontId="4" fillId="0" borderId="85" xfId="7" applyNumberFormat="1" applyFont="1" applyBorder="1" applyAlignment="1">
      <alignment horizontal="center" vertical="center"/>
    </xf>
    <xf numFmtId="10" fontId="4" fillId="0" borderId="24" xfId="7" applyNumberFormat="1" applyFont="1" applyBorder="1" applyAlignment="1">
      <alignment horizontal="center" vertical="center"/>
    </xf>
    <xf numFmtId="10" fontId="4" fillId="0" borderId="51" xfId="7" applyNumberFormat="1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 wrapText="1"/>
    </xf>
    <xf numFmtId="0" fontId="6" fillId="0" borderId="85" xfId="7" applyFont="1" applyBorder="1" applyAlignment="1">
      <alignment horizontal="center" vertical="center"/>
    </xf>
    <xf numFmtId="0" fontId="6" fillId="0" borderId="24" xfId="7" applyFont="1" applyBorder="1" applyAlignment="1">
      <alignment horizontal="center" vertical="center"/>
    </xf>
    <xf numFmtId="0" fontId="6" fillId="0" borderId="51" xfId="7" applyFont="1" applyBorder="1" applyAlignment="1">
      <alignment horizontal="center" vertical="center"/>
    </xf>
    <xf numFmtId="10" fontId="25" fillId="0" borderId="0" xfId="7" applyNumberFormat="1" applyFont="1" applyAlignment="1">
      <alignment vertical="center"/>
    </xf>
    <xf numFmtId="10" fontId="23" fillId="0" borderId="0" xfId="7" applyNumberFormat="1" applyAlignment="1">
      <alignment vertical="center"/>
    </xf>
    <xf numFmtId="0" fontId="6" fillId="0" borderId="29" xfId="7" applyFont="1" applyBorder="1" applyAlignment="1">
      <alignment vertical="center" wrapText="1"/>
    </xf>
    <xf numFmtId="0" fontId="25" fillId="0" borderId="0" xfId="7" applyFont="1"/>
    <xf numFmtId="2" fontId="28" fillId="0" borderId="54" xfId="7" applyNumberFormat="1" applyFont="1" applyBorder="1" applyAlignment="1" applyProtection="1">
      <alignment horizontal="center" vertical="center"/>
      <protection locked="0"/>
    </xf>
    <xf numFmtId="10" fontId="4" fillId="0" borderId="38" xfId="6" applyNumberFormat="1" applyFont="1" applyFill="1" applyBorder="1" applyAlignment="1" applyProtection="1">
      <alignment vertical="center"/>
    </xf>
    <xf numFmtId="0" fontId="4" fillId="20" borderId="6" xfId="5" applyFont="1" applyFill="1" applyBorder="1" applyAlignment="1" applyProtection="1">
      <alignment horizontal="center" vertical="center"/>
      <protection locked="0"/>
    </xf>
    <xf numFmtId="49" fontId="17" fillId="0" borderId="28" xfId="5" applyNumberFormat="1" applyFont="1" applyBorder="1" applyAlignment="1">
      <alignment horizontal="centerContinuous" vertical="center"/>
    </xf>
    <xf numFmtId="0" fontId="4" fillId="0" borderId="28" xfId="5" applyFont="1" applyBorder="1" applyAlignment="1">
      <alignment horizontal="centerContinuous" vertical="center"/>
    </xf>
    <xf numFmtId="0" fontId="4" fillId="0" borderId="38" xfId="5" applyFont="1" applyBorder="1" applyAlignment="1">
      <alignment horizontal="centerContinuous" vertical="center"/>
    </xf>
    <xf numFmtId="0" fontId="4" fillId="0" borderId="0" xfId="5" applyFont="1"/>
    <xf numFmtId="0" fontId="61" fillId="0" borderId="0" xfId="5" applyFont="1" applyAlignment="1">
      <alignment vertical="center"/>
    </xf>
    <xf numFmtId="0" fontId="4" fillId="0" borderId="3" xfId="5" applyFont="1" applyBorder="1" applyAlignment="1">
      <alignment horizontal="left"/>
    </xf>
    <xf numFmtId="0" fontId="4" fillId="0" borderId="28" xfId="5" applyFont="1" applyBorder="1" applyAlignment="1">
      <alignment horizontal="left"/>
    </xf>
    <xf numFmtId="0" fontId="4" fillId="0" borderId="28" xfId="1" applyBorder="1"/>
    <xf numFmtId="165" fontId="6" fillId="0" borderId="38" xfId="1" applyNumberFormat="1" applyFont="1" applyBorder="1" applyAlignment="1">
      <alignment horizontal="center" vertical="center"/>
    </xf>
    <xf numFmtId="0" fontId="6" fillId="0" borderId="29" xfId="5" applyFont="1" applyBorder="1" applyAlignment="1">
      <alignment horizontal="center" wrapText="1"/>
    </xf>
    <xf numFmtId="0" fontId="6" fillId="0" borderId="0" xfId="5" applyFont="1"/>
    <xf numFmtId="49" fontId="6" fillId="0" borderId="48" xfId="5" applyNumberFormat="1" applyFont="1" applyBorder="1" applyAlignment="1">
      <alignment horizontal="center"/>
    </xf>
    <xf numFmtId="0" fontId="13" fillId="0" borderId="10" xfId="5" applyFont="1" applyBorder="1"/>
    <xf numFmtId="0" fontId="4" fillId="0" borderId="10" xfId="5" applyFont="1" applyBorder="1"/>
    <xf numFmtId="4" fontId="6" fillId="0" borderId="13" xfId="1" applyNumberFormat="1" applyFont="1" applyBorder="1"/>
    <xf numFmtId="49" fontId="6" fillId="0" borderId="2" xfId="5" applyNumberFormat="1" applyFont="1" applyBorder="1" applyAlignment="1">
      <alignment horizontal="center"/>
    </xf>
    <xf numFmtId="0" fontId="13" fillId="0" borderId="28" xfId="5" applyFont="1" applyBorder="1"/>
    <xf numFmtId="0" fontId="4" fillId="0" borderId="28" xfId="5" applyFont="1" applyBorder="1"/>
    <xf numFmtId="4" fontId="6" fillId="0" borderId="38" xfId="1" applyNumberFormat="1" applyFont="1" applyBorder="1"/>
    <xf numFmtId="0" fontId="13" fillId="0" borderId="0" xfId="5" applyFont="1"/>
    <xf numFmtId="0" fontId="13" fillId="0" borderId="11" xfId="5" applyFont="1" applyBorder="1"/>
    <xf numFmtId="0" fontId="4" fillId="0" borderId="11" xfId="5" applyFont="1" applyBorder="1"/>
    <xf numFmtId="0" fontId="14" fillId="0" borderId="3" xfId="5" applyFont="1" applyBorder="1" applyAlignment="1">
      <alignment horizontal="left" vertical="center"/>
    </xf>
    <xf numFmtId="0" fontId="14" fillId="0" borderId="28" xfId="5" applyFont="1" applyBorder="1" applyAlignment="1">
      <alignment horizontal="left" vertical="center"/>
    </xf>
    <xf numFmtId="0" fontId="6" fillId="0" borderId="28" xfId="1" applyFont="1" applyBorder="1" applyAlignment="1">
      <alignment horizontal="left" vertical="center" indent="25"/>
    </xf>
    <xf numFmtId="10" fontId="6" fillId="0" borderId="38" xfId="6" applyNumberFormat="1" applyFont="1" applyFill="1" applyBorder="1" applyAlignment="1" applyProtection="1">
      <alignment vertical="center"/>
    </xf>
    <xf numFmtId="0" fontId="6" fillId="0" borderId="0" xfId="5" applyFont="1" applyAlignment="1">
      <alignment vertical="center"/>
    </xf>
    <xf numFmtId="0" fontId="6" fillId="0" borderId="68" xfId="5" applyFont="1" applyBorder="1" applyAlignment="1">
      <alignment horizontal="left" vertical="center"/>
    </xf>
    <xf numFmtId="0" fontId="4" fillId="0" borderId="69" xfId="5" applyFont="1" applyBorder="1" applyAlignment="1">
      <alignment horizontal="left" vertical="center"/>
    </xf>
    <xf numFmtId="0" fontId="6" fillId="0" borderId="70" xfId="1" applyFont="1" applyBorder="1" applyAlignment="1">
      <alignment horizontal="center" vertical="center" wrapText="1"/>
    </xf>
    <xf numFmtId="4" fontId="6" fillId="0" borderId="70" xfId="1" applyNumberFormat="1" applyFont="1" applyBorder="1" applyAlignment="1">
      <alignment horizontal="center" vertical="center" wrapText="1"/>
    </xf>
    <xf numFmtId="0" fontId="4" fillId="0" borderId="16" xfId="5" applyFont="1" applyBorder="1" applyAlignment="1">
      <alignment horizontal="left" vertical="center"/>
    </xf>
    <xf numFmtId="0" fontId="4" fillId="0" borderId="11" xfId="5" applyFont="1" applyBorder="1" applyAlignment="1">
      <alignment horizontal="left" vertical="center"/>
    </xf>
    <xf numFmtId="0" fontId="4" fillId="0" borderId="0" xfId="5" applyFont="1" applyAlignment="1">
      <alignment horizontal="left"/>
    </xf>
    <xf numFmtId="0" fontId="6" fillId="4" borderId="71" xfId="1" applyFont="1" applyFill="1" applyBorder="1" applyAlignment="1" applyProtection="1">
      <alignment horizontal="left" vertical="center" indent="25"/>
      <protection locked="0"/>
    </xf>
    <xf numFmtId="164" fontId="6" fillId="2" borderId="72" xfId="3" applyFont="1" applyFill="1" applyBorder="1" applyAlignment="1" applyProtection="1">
      <alignment horizontal="center" vertical="top"/>
      <protection locked="0"/>
    </xf>
    <xf numFmtId="0" fontId="6" fillId="4" borderId="72" xfId="1" applyFont="1" applyFill="1" applyBorder="1" applyAlignment="1" applyProtection="1">
      <alignment horizontal="left" vertical="center"/>
      <protection locked="0"/>
    </xf>
    <xf numFmtId="49" fontId="6" fillId="3" borderId="50" xfId="5" applyNumberFormat="1" applyFont="1" applyFill="1" applyBorder="1" applyAlignment="1">
      <alignment horizontal="left" vertical="center"/>
    </xf>
    <xf numFmtId="0" fontId="6" fillId="0" borderId="58" xfId="5" applyFont="1" applyBorder="1" applyAlignment="1">
      <alignment horizontal="left" vertical="center"/>
    </xf>
    <xf numFmtId="0" fontId="6" fillId="0" borderId="20" xfId="5" applyFont="1" applyBorder="1" applyAlignment="1">
      <alignment horizontal="left" vertical="center"/>
    </xf>
    <xf numFmtId="0" fontId="6" fillId="0" borderId="67" xfId="5" applyFont="1" applyBorder="1" applyAlignment="1">
      <alignment horizontal="left" vertical="center"/>
    </xf>
    <xf numFmtId="0" fontId="6" fillId="0" borderId="33" xfId="5" applyFont="1" applyBorder="1" applyAlignment="1">
      <alignment horizontal="left" vertical="center"/>
    </xf>
    <xf numFmtId="49" fontId="6" fillId="0" borderId="53" xfId="5" applyNumberFormat="1" applyFont="1" applyBorder="1" applyAlignment="1">
      <alignment horizontal="center" vertical="center"/>
    </xf>
    <xf numFmtId="49" fontId="6" fillId="3" borderId="56" xfId="5" applyNumberFormat="1" applyFont="1" applyFill="1" applyBorder="1" applyAlignment="1">
      <alignment horizontal="left" vertical="center"/>
    </xf>
    <xf numFmtId="0" fontId="6" fillId="0" borderId="59" xfId="5" applyFont="1" applyBorder="1" applyAlignment="1">
      <alignment horizontal="left" vertical="center"/>
    </xf>
    <xf numFmtId="0" fontId="6" fillId="0" borderId="11" xfId="5" applyFont="1" applyBorder="1" applyAlignment="1">
      <alignment horizontal="left" vertical="center"/>
    </xf>
    <xf numFmtId="0" fontId="6" fillId="0" borderId="26" xfId="5" applyFont="1" applyBorder="1" applyAlignment="1">
      <alignment horizontal="left" vertical="center"/>
    </xf>
    <xf numFmtId="49" fontId="6" fillId="0" borderId="26" xfId="5" applyNumberFormat="1" applyFont="1" applyBorder="1" applyAlignment="1">
      <alignment horizontal="center" vertical="center"/>
    </xf>
    <xf numFmtId="0" fontId="60" fillId="0" borderId="0" xfId="5" applyFont="1" applyAlignment="1">
      <alignment horizontal="center" vertical="top"/>
    </xf>
    <xf numFmtId="4" fontId="68" fillId="20" borderId="46" xfId="14" applyNumberFormat="1" applyFont="1" applyFill="1" applyBorder="1" applyAlignment="1" applyProtection="1">
      <alignment horizontal="center" vertical="center"/>
      <protection locked="0"/>
    </xf>
    <xf numFmtId="4" fontId="68" fillId="20" borderId="44" xfId="14" applyNumberFormat="1" applyFont="1" applyFill="1" applyBorder="1" applyAlignment="1" applyProtection="1">
      <alignment horizontal="center" vertical="center"/>
      <protection locked="0"/>
    </xf>
    <xf numFmtId="4" fontId="68" fillId="20" borderId="43" xfId="14" applyNumberFormat="1" applyFont="1" applyFill="1" applyBorder="1" applyAlignment="1" applyProtection="1">
      <alignment horizontal="center" vertical="center"/>
      <protection locked="0"/>
    </xf>
    <xf numFmtId="4" fontId="68" fillId="20" borderId="80" xfId="14" applyNumberFormat="1" applyFont="1" applyFill="1" applyBorder="1" applyAlignment="1" applyProtection="1">
      <alignment horizontal="center" vertical="center"/>
      <protection locked="0"/>
    </xf>
    <xf numFmtId="4" fontId="68" fillId="20" borderId="82" xfId="14" applyNumberFormat="1" applyFont="1" applyFill="1" applyBorder="1" applyAlignment="1" applyProtection="1">
      <alignment horizontal="center" vertical="center"/>
      <protection locked="0"/>
    </xf>
    <xf numFmtId="0" fontId="65" fillId="0" borderId="3" xfId="14" applyFont="1" applyBorder="1" applyAlignment="1">
      <alignment horizontal="centerContinuous" vertical="center"/>
    </xf>
    <xf numFmtId="0" fontId="64" fillId="0" borderId="28" xfId="14" applyFont="1" applyBorder="1" applyAlignment="1">
      <alignment horizontal="centerContinuous" vertical="center"/>
    </xf>
    <xf numFmtId="0" fontId="64" fillId="0" borderId="38" xfId="14" applyFont="1" applyBorder="1" applyAlignment="1">
      <alignment horizontal="centerContinuous" vertical="center"/>
    </xf>
    <xf numFmtId="0" fontId="66" fillId="0" borderId="12" xfId="14" applyFont="1" applyBorder="1" applyAlignment="1">
      <alignment horizontal="right" vertical="center"/>
    </xf>
    <xf numFmtId="0" fontId="67" fillId="0" borderId="10" xfId="14" applyFont="1" applyBorder="1" applyAlignment="1">
      <alignment horizontal="left" vertical="center" indent="1"/>
    </xf>
    <xf numFmtId="0" fontId="68" fillId="0" borderId="10" xfId="14" applyFont="1" applyBorder="1" applyAlignment="1">
      <alignment vertical="center"/>
    </xf>
    <xf numFmtId="49" fontId="67" fillId="0" borderId="13" xfId="14" applyNumberFormat="1" applyFont="1" applyBorder="1" applyAlignment="1">
      <alignment vertical="center"/>
    </xf>
    <xf numFmtId="0" fontId="68" fillId="0" borderId="0" xfId="14" applyFont="1"/>
    <xf numFmtId="0" fontId="66" fillId="0" borderId="14" xfId="14" applyFont="1" applyBorder="1" applyAlignment="1">
      <alignment horizontal="right" vertical="center"/>
    </xf>
    <xf numFmtId="0" fontId="67" fillId="0" borderId="0" xfId="14" applyFont="1" applyAlignment="1">
      <alignment horizontal="left" vertical="center" indent="1"/>
    </xf>
    <xf numFmtId="0" fontId="68" fillId="0" borderId="0" xfId="14" applyFont="1" applyAlignment="1">
      <alignment vertical="center"/>
    </xf>
    <xf numFmtId="49" fontId="67" fillId="0" borderId="15" xfId="14" applyNumberFormat="1" applyFont="1" applyBorder="1" applyAlignment="1">
      <alignment vertical="center"/>
    </xf>
    <xf numFmtId="17" fontId="67" fillId="0" borderId="0" xfId="14" applyNumberFormat="1" applyFont="1" applyAlignment="1">
      <alignment horizontal="left" vertical="center" indent="1"/>
    </xf>
    <xf numFmtId="0" fontId="67" fillId="0" borderId="0" xfId="14" applyFont="1" applyAlignment="1">
      <alignment vertical="center"/>
    </xf>
    <xf numFmtId="180" fontId="69" fillId="0" borderId="0" xfId="20" applyFont="1" applyBorder="1" applyAlignment="1" applyProtection="1">
      <alignment vertical="center"/>
    </xf>
    <xf numFmtId="0" fontId="68" fillId="0" borderId="15" xfId="14" applyFont="1" applyBorder="1" applyAlignment="1">
      <alignment vertical="center"/>
    </xf>
    <xf numFmtId="0" fontId="68" fillId="0" borderId="12" xfId="14" applyFont="1" applyBorder="1" applyAlignment="1">
      <alignment horizontal="center" vertical="center"/>
    </xf>
    <xf numFmtId="0" fontId="68" fillId="0" borderId="177" xfId="14" applyFont="1" applyBorder="1" applyAlignment="1">
      <alignment vertical="center"/>
    </xf>
    <xf numFmtId="0" fontId="67" fillId="0" borderId="79" xfId="14" applyFont="1" applyBorder="1" applyAlignment="1">
      <alignment horizontal="centerContinuous" vertical="center"/>
    </xf>
    <xf numFmtId="0" fontId="67" fillId="0" borderId="81" xfId="14" applyFont="1" applyBorder="1" applyAlignment="1">
      <alignment horizontal="centerContinuous" vertical="center"/>
    </xf>
    <xf numFmtId="0" fontId="67" fillId="0" borderId="107" xfId="14" applyFont="1" applyBorder="1" applyAlignment="1">
      <alignment horizontal="center" vertical="center"/>
    </xf>
    <xf numFmtId="0" fontId="67" fillId="0" borderId="25" xfId="14" applyFont="1" applyBorder="1" applyAlignment="1">
      <alignment horizontal="center" vertical="center"/>
    </xf>
    <xf numFmtId="0" fontId="67" fillId="0" borderId="83" xfId="14" applyFont="1" applyBorder="1" applyAlignment="1">
      <alignment horizontal="center" vertical="center"/>
    </xf>
    <xf numFmtId="0" fontId="68" fillId="0" borderId="67" xfId="14" applyFont="1" applyBorder="1" applyAlignment="1">
      <alignment vertical="center"/>
    </xf>
    <xf numFmtId="0" fontId="68" fillId="0" borderId="7" xfId="14" applyFont="1" applyBorder="1" applyAlignment="1">
      <alignment vertical="center"/>
    </xf>
    <xf numFmtId="0" fontId="68" fillId="0" borderId="112" xfId="14" applyFont="1" applyBorder="1" applyAlignment="1">
      <alignment vertical="center"/>
    </xf>
    <xf numFmtId="49" fontId="67" fillId="0" borderId="6" xfId="14" applyNumberFormat="1" applyFont="1" applyBorder="1" applyAlignment="1">
      <alignment horizontal="center" vertical="center"/>
    </xf>
    <xf numFmtId="0" fontId="68" fillId="0" borderId="183" xfId="14" applyFont="1" applyBorder="1" applyAlignment="1">
      <alignment vertical="center"/>
    </xf>
    <xf numFmtId="0" fontId="68" fillId="0" borderId="0" xfId="14" applyFont="1" applyAlignment="1">
      <alignment horizontal="center"/>
    </xf>
    <xf numFmtId="49" fontId="67" fillId="0" borderId="0" xfId="14" applyNumberFormat="1" applyFont="1" applyAlignment="1">
      <alignment horizontal="center" vertical="center"/>
    </xf>
    <xf numFmtId="4" fontId="68" fillId="0" borderId="0" xfId="14" applyNumberFormat="1" applyFont="1" applyAlignment="1">
      <alignment horizontal="center" vertical="center"/>
    </xf>
    <xf numFmtId="0" fontId="71" fillId="0" borderId="0" xfId="14" applyFont="1" applyAlignment="1">
      <alignment horizontal="center"/>
    </xf>
    <xf numFmtId="0" fontId="70" fillId="0" borderId="0" xfId="14" applyFont="1"/>
    <xf numFmtId="4" fontId="68" fillId="0" borderId="46" xfId="14" applyNumberFormat="1" applyFont="1" applyBorder="1" applyAlignment="1" applyProtection="1">
      <alignment horizontal="center" vertical="center"/>
      <protection locked="0"/>
    </xf>
    <xf numFmtId="4" fontId="68" fillId="0" borderId="44" xfId="14" applyNumberFormat="1" applyFont="1" applyBorder="1" applyAlignment="1" applyProtection="1">
      <alignment horizontal="center" vertical="center"/>
      <protection locked="0"/>
    </xf>
    <xf numFmtId="4" fontId="67" fillId="0" borderId="44" xfId="14" quotePrefix="1" applyNumberFormat="1" applyFont="1" applyBorder="1" applyAlignment="1" applyProtection="1">
      <alignment horizontal="center" vertical="center"/>
      <protection locked="0"/>
    </xf>
    <xf numFmtId="4" fontId="68" fillId="0" borderId="43" xfId="14" applyNumberFormat="1" applyFont="1" applyBorder="1" applyAlignment="1" applyProtection="1">
      <alignment horizontal="center" vertical="center"/>
      <protection locked="0"/>
    </xf>
    <xf numFmtId="4" fontId="68" fillId="0" borderId="80" xfId="14" applyNumberFormat="1" applyFont="1" applyBorder="1" applyAlignment="1" applyProtection="1">
      <alignment horizontal="center" vertical="center"/>
      <protection locked="0"/>
    </xf>
    <xf numFmtId="4" fontId="68" fillId="0" borderId="82" xfId="14" applyNumberFormat="1" applyFont="1" applyBorder="1" applyAlignment="1" applyProtection="1">
      <alignment horizontal="center" vertical="center"/>
      <protection locked="0"/>
    </xf>
    <xf numFmtId="4" fontId="68" fillId="0" borderId="52" xfId="14" applyNumberFormat="1" applyFont="1" applyBorder="1" applyAlignment="1" applyProtection="1">
      <alignment horizontal="center" vertical="center"/>
      <protection locked="0"/>
    </xf>
    <xf numFmtId="4" fontId="68" fillId="0" borderId="54" xfId="14" applyNumberFormat="1" applyFont="1" applyBorder="1" applyAlignment="1" applyProtection="1">
      <alignment horizontal="center" vertical="center"/>
      <protection locked="0"/>
    </xf>
    <xf numFmtId="4" fontId="67" fillId="0" borderId="54" xfId="14" quotePrefix="1" applyNumberFormat="1" applyFont="1" applyBorder="1" applyAlignment="1" applyProtection="1">
      <alignment horizontal="center" vertical="center"/>
      <protection locked="0"/>
    </xf>
    <xf numFmtId="4" fontId="68" fillId="0" borderId="55" xfId="14" applyNumberFormat="1" applyFont="1" applyBorder="1" applyAlignment="1" applyProtection="1">
      <alignment horizontal="center" vertical="center"/>
      <protection locked="0"/>
    </xf>
    <xf numFmtId="4" fontId="68" fillId="0" borderId="23" xfId="14" applyNumberFormat="1" applyFont="1" applyBorder="1" applyAlignment="1" applyProtection="1">
      <alignment horizontal="center" vertical="center"/>
      <protection locked="0"/>
    </xf>
    <xf numFmtId="4" fontId="68" fillId="0" borderId="77" xfId="14" applyNumberFormat="1" applyFont="1" applyBorder="1" applyAlignment="1" applyProtection="1">
      <alignment horizontal="center" vertical="center"/>
      <protection locked="0"/>
    </xf>
    <xf numFmtId="0" fontId="68" fillId="0" borderId="18" xfId="14" applyFont="1" applyBorder="1" applyAlignment="1">
      <alignment vertical="center"/>
    </xf>
    <xf numFmtId="0" fontId="67" fillId="0" borderId="24" xfId="14" applyFont="1" applyBorder="1" applyAlignment="1">
      <alignment horizontal="center" vertical="center"/>
    </xf>
    <xf numFmtId="49" fontId="67" fillId="0" borderId="31" xfId="14" applyNumberFormat="1" applyFont="1" applyBorder="1" applyAlignment="1">
      <alignment horizontal="center" vertical="center"/>
    </xf>
    <xf numFmtId="0" fontId="68" fillId="0" borderId="6" xfId="14" applyFont="1" applyBorder="1" applyAlignment="1">
      <alignment horizontal="center" vertical="center"/>
    </xf>
    <xf numFmtId="49" fontId="68" fillId="0" borderId="6" xfId="14" applyNumberFormat="1" applyFont="1" applyBorder="1" applyAlignment="1">
      <alignment horizontal="center" vertical="center"/>
    </xf>
    <xf numFmtId="0" fontId="68" fillId="0" borderId="79" xfId="14" applyFont="1" applyBorder="1" applyAlignment="1">
      <alignment horizontal="center" vertical="center"/>
    </xf>
    <xf numFmtId="49" fontId="67" fillId="0" borderId="24" xfId="14" applyNumberFormat="1" applyFont="1" applyBorder="1" applyAlignment="1">
      <alignment horizontal="center" vertical="center"/>
    </xf>
    <xf numFmtId="49" fontId="67" fillId="0" borderId="25" xfId="14" applyNumberFormat="1" applyFont="1" applyBorder="1" applyAlignment="1">
      <alignment horizontal="center" vertical="center"/>
    </xf>
    <xf numFmtId="0" fontId="4" fillId="0" borderId="0" xfId="14" applyAlignment="1">
      <alignment vertical="center"/>
    </xf>
    <xf numFmtId="0" fontId="68" fillId="0" borderId="7" xfId="14" applyFont="1" applyBorder="1" applyAlignment="1">
      <alignment vertical="center" wrapText="1"/>
    </xf>
    <xf numFmtId="0" fontId="4" fillId="0" borderId="28" xfId="0" applyFont="1" applyBorder="1" applyAlignment="1">
      <alignment horizontal="center" vertical="center"/>
    </xf>
    <xf numFmtId="0" fontId="68" fillId="0" borderId="115" xfId="14" applyFont="1" applyBorder="1" applyAlignment="1">
      <alignment vertical="center"/>
    </xf>
    <xf numFmtId="0" fontId="68" fillId="0" borderId="40" xfId="14" applyFont="1" applyBorder="1" applyAlignment="1">
      <alignment horizontal="center" vertical="center"/>
    </xf>
    <xf numFmtId="0" fontId="63" fillId="8" borderId="0" xfId="1" applyFont="1" applyFill="1" applyAlignment="1">
      <alignment horizontal="left" vertical="center"/>
    </xf>
    <xf numFmtId="49" fontId="18" fillId="21" borderId="14" xfId="0" applyNumberFormat="1" applyFont="1" applyFill="1" applyBorder="1" applyAlignment="1">
      <alignment horizontal="center"/>
    </xf>
    <xf numFmtId="49" fontId="18" fillId="21" borderId="0" xfId="0" applyNumberFormat="1" applyFont="1" applyFill="1" applyAlignment="1">
      <alignment horizontal="center"/>
    </xf>
    <xf numFmtId="4" fontId="18" fillId="21" borderId="0" xfId="1" applyNumberFormat="1" applyFont="1" applyFill="1" applyAlignment="1">
      <alignment horizontal="center"/>
    </xf>
    <xf numFmtId="0" fontId="18" fillId="21" borderId="0" xfId="1" applyFont="1" applyFill="1" applyAlignment="1">
      <alignment horizontal="centerContinuous"/>
    </xf>
    <xf numFmtId="0" fontId="18" fillId="21" borderId="15" xfId="1" applyFont="1" applyFill="1" applyBorder="1" applyAlignment="1">
      <alignment horizontal="centerContinuous"/>
    </xf>
    <xf numFmtId="4" fontId="18" fillId="21" borderId="65" xfId="1" applyNumberFormat="1" applyFont="1" applyFill="1" applyBorder="1" applyAlignment="1">
      <alignment horizontal="center"/>
    </xf>
    <xf numFmtId="0" fontId="6" fillId="8" borderId="0" xfId="1" applyFont="1" applyFill="1" applyAlignment="1">
      <alignment horizontal="right" indent="1"/>
    </xf>
    <xf numFmtId="49" fontId="4" fillId="8" borderId="14" xfId="0" applyNumberFormat="1" applyFont="1" applyFill="1" applyBorder="1" applyAlignment="1">
      <alignment horizontal="center"/>
    </xf>
    <xf numFmtId="49" fontId="4" fillId="8" borderId="0" xfId="0" applyNumberFormat="1" applyFont="1" applyFill="1" applyAlignment="1">
      <alignment horizontal="center"/>
    </xf>
    <xf numFmtId="49" fontId="15" fillId="8" borderId="11" xfId="0" applyNumberFormat="1" applyFont="1" applyFill="1" applyBorder="1"/>
    <xf numFmtId="0" fontId="6" fillId="8" borderId="11" xfId="1" applyFont="1" applyFill="1" applyBorder="1" applyAlignment="1">
      <alignment horizontal="right" indent="1"/>
    </xf>
    <xf numFmtId="0" fontId="13" fillId="0" borderId="62" xfId="0" applyFont="1" applyBorder="1" applyAlignment="1">
      <alignment horizontal="centerContinuous" vertical="center"/>
    </xf>
    <xf numFmtId="0" fontId="13" fillId="0" borderId="44" xfId="0" applyFont="1" applyBorder="1" applyAlignment="1">
      <alignment horizontal="centerContinuous" vertical="center"/>
    </xf>
    <xf numFmtId="0" fontId="0" fillId="0" borderId="0" xfId="0" applyAlignment="1">
      <alignment vertical="center"/>
    </xf>
    <xf numFmtId="0" fontId="6" fillId="8" borderId="0" xfId="1" applyFont="1" applyFill="1" applyProtection="1">
      <protection locked="0"/>
    </xf>
    <xf numFmtId="0" fontId="6" fillId="8" borderId="65" xfId="1" applyFont="1" applyFill="1" applyBorder="1" applyAlignment="1">
      <alignment horizontal="right" indent="1"/>
    </xf>
    <xf numFmtId="39" fontId="18" fillId="10" borderId="60" xfId="3" applyNumberFormat="1" applyFont="1" applyFill="1" applyBorder="1" applyAlignment="1" applyProtection="1">
      <alignment horizontal="centerContinuous"/>
    </xf>
    <xf numFmtId="0" fontId="4" fillId="10" borderId="22" xfId="0" applyFont="1" applyFill="1" applyBorder="1" applyAlignment="1">
      <alignment horizontal="centerContinuous"/>
    </xf>
    <xf numFmtId="39" fontId="15" fillId="10" borderId="20" xfId="3" applyNumberFormat="1" applyFont="1" applyFill="1" applyBorder="1" applyAlignment="1" applyProtection="1">
      <alignment horizontal="centerContinuous"/>
    </xf>
    <xf numFmtId="0" fontId="4" fillId="10" borderId="20" xfId="0" applyFont="1" applyFill="1" applyBorder="1" applyAlignment="1">
      <alignment horizontal="centerContinuous"/>
    </xf>
    <xf numFmtId="39" fontId="15" fillId="10" borderId="23" xfId="3" applyNumberFormat="1" applyFont="1" applyFill="1" applyBorder="1" applyAlignment="1" applyProtection="1">
      <alignment horizontal="centerContinuous"/>
    </xf>
    <xf numFmtId="164" fontId="6" fillId="0" borderId="3" xfId="3" applyFont="1" applyBorder="1" applyAlignment="1">
      <alignment vertical="center"/>
    </xf>
    <xf numFmtId="164" fontId="6" fillId="0" borderId="28" xfId="3" applyFont="1" applyBorder="1" applyAlignment="1">
      <alignment vertical="center"/>
    </xf>
    <xf numFmtId="164" fontId="6" fillId="0" borderId="38" xfId="3" applyFont="1" applyBorder="1" applyAlignment="1">
      <alignment vertical="center"/>
    </xf>
    <xf numFmtId="164" fontId="6" fillId="0" borderId="11" xfId="3" applyFont="1" applyBorder="1" applyAlignment="1">
      <alignment vertical="center"/>
    </xf>
    <xf numFmtId="164" fontId="6" fillId="0" borderId="17" xfId="3" applyFont="1" applyBorder="1" applyAlignment="1">
      <alignment vertical="center"/>
    </xf>
    <xf numFmtId="164" fontId="4" fillId="0" borderId="0" xfId="3" applyFont="1"/>
    <xf numFmtId="4" fontId="2" fillId="2" borderId="0" xfId="3" applyNumberFormat="1" applyFont="1" applyFill="1"/>
    <xf numFmtId="164" fontId="4" fillId="0" borderId="11" xfId="3" applyFont="1" applyBorder="1" applyAlignment="1">
      <alignment horizontal="center"/>
    </xf>
    <xf numFmtId="164" fontId="4" fillId="0" borderId="11" xfId="3" applyFont="1" applyBorder="1"/>
    <xf numFmtId="0" fontId="4" fillId="0" borderId="10" xfId="1" applyBorder="1" applyAlignment="1">
      <alignment horizontal="left" indent="7"/>
    </xf>
    <xf numFmtId="2" fontId="4" fillId="0" borderId="10" xfId="1" applyNumberFormat="1" applyBorder="1" applyAlignment="1">
      <alignment horizontal="center"/>
    </xf>
    <xf numFmtId="167" fontId="4" fillId="0" borderId="10" xfId="1" applyNumberFormat="1" applyBorder="1" applyAlignment="1">
      <alignment horizontal="center"/>
    </xf>
    <xf numFmtId="4" fontId="4" fillId="0" borderId="10" xfId="1" applyNumberFormat="1" applyBorder="1" applyAlignment="1">
      <alignment horizontal="center"/>
    </xf>
    <xf numFmtId="4" fontId="6" fillId="0" borderId="10" xfId="1" applyNumberFormat="1" applyFont="1" applyBorder="1" applyAlignment="1">
      <alignment horizontal="center"/>
    </xf>
    <xf numFmtId="164" fontId="4" fillId="0" borderId="10" xfId="3" applyFont="1" applyBorder="1" applyAlignment="1">
      <alignment horizontal="center"/>
    </xf>
    <xf numFmtId="164" fontId="4" fillId="0" borderId="10" xfId="3" applyFont="1" applyBorder="1"/>
    <xf numFmtId="0" fontId="4" fillId="0" borderId="11" xfId="1" applyBorder="1" applyAlignment="1">
      <alignment horizontal="left" indent="7"/>
    </xf>
    <xf numFmtId="2" fontId="4" fillId="0" borderId="11" xfId="1" applyNumberFormat="1" applyBorder="1" applyAlignment="1">
      <alignment horizontal="center"/>
    </xf>
    <xf numFmtId="167" fontId="4" fillId="0" borderId="11" xfId="1" applyNumberFormat="1" applyBorder="1" applyAlignment="1">
      <alignment horizontal="center"/>
    </xf>
    <xf numFmtId="4" fontId="4" fillId="0" borderId="11" xfId="1" applyNumberFormat="1" applyBorder="1" applyAlignment="1">
      <alignment horizontal="center"/>
    </xf>
    <xf numFmtId="4" fontId="6" fillId="0" borderId="11" xfId="1" applyNumberFormat="1" applyFont="1" applyBorder="1" applyAlignment="1">
      <alignment horizontal="center"/>
    </xf>
    <xf numFmtId="0" fontId="4" fillId="6" borderId="0" xfId="0" applyFont="1" applyFill="1"/>
    <xf numFmtId="0" fontId="4" fillId="6" borderId="15" xfId="0" applyFont="1" applyFill="1" applyBorder="1"/>
    <xf numFmtId="0" fontId="4" fillId="6" borderId="11" xfId="0" applyFont="1" applyFill="1" applyBorder="1"/>
    <xf numFmtId="0" fontId="4" fillId="6" borderId="17" xfId="0" applyFont="1" applyFill="1" applyBorder="1"/>
    <xf numFmtId="0" fontId="4" fillId="6" borderId="14" xfId="0" applyFont="1" applyFill="1" applyBorder="1"/>
    <xf numFmtId="0" fontId="4" fillId="6" borderId="16" xfId="0" applyFont="1" applyFill="1" applyBorder="1"/>
    <xf numFmtId="0" fontId="6" fillId="6" borderId="14" xfId="0" applyFont="1" applyFill="1" applyBorder="1"/>
    <xf numFmtId="49" fontId="6" fillId="6" borderId="0" xfId="1" applyNumberFormat="1" applyFont="1" applyFill="1"/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wrapText="1"/>
    </xf>
    <xf numFmtId="1" fontId="4" fillId="0" borderId="0" xfId="0" applyNumberFormat="1" applyFont="1" applyAlignment="1">
      <alignment horizontal="left"/>
    </xf>
    <xf numFmtId="0" fontId="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49" fontId="15" fillId="8" borderId="14" xfId="0" applyNumberFormat="1" applyFont="1" applyFill="1" applyBorder="1" applyAlignment="1">
      <alignment horizontal="center"/>
    </xf>
    <xf numFmtId="49" fontId="15" fillId="8" borderId="16" xfId="0" applyNumberFormat="1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49" fontId="15" fillId="8" borderId="0" xfId="0" applyNumberFormat="1" applyFont="1" applyFill="1" applyAlignment="1">
      <alignment horizontal="center"/>
    </xf>
    <xf numFmtId="49" fontId="15" fillId="8" borderId="11" xfId="0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3" fillId="0" borderId="0" xfId="1" applyFont="1" applyAlignment="1">
      <alignment vertical="center"/>
    </xf>
    <xf numFmtId="179" fontId="3" fillId="19" borderId="6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22" borderId="6" xfId="5" applyFont="1" applyFill="1" applyBorder="1" applyAlignment="1" applyProtection="1">
      <alignment horizontal="center" vertical="center"/>
      <protection locked="0"/>
    </xf>
    <xf numFmtId="0" fontId="3" fillId="19" borderId="6" xfId="0" applyFont="1" applyFill="1" applyBorder="1" applyAlignment="1">
      <alignment horizontal="center" vertical="center"/>
    </xf>
    <xf numFmtId="164" fontId="72" fillId="3" borderId="6" xfId="16" applyFont="1" applyFill="1" applyBorder="1" applyAlignment="1" applyProtection="1">
      <alignment vertical="center"/>
    </xf>
    <xf numFmtId="2" fontId="67" fillId="0" borderId="0" xfId="14" applyNumberFormat="1" applyFont="1" applyAlignment="1">
      <alignment horizontal="center"/>
    </xf>
    <xf numFmtId="49" fontId="67" fillId="0" borderId="0" xfId="14" applyNumberFormat="1" applyFont="1" applyAlignment="1">
      <alignment horizontal="center"/>
    </xf>
    <xf numFmtId="0" fontId="68" fillId="20" borderId="0" xfId="14" applyFont="1" applyFill="1" applyAlignment="1" applyProtection="1">
      <alignment vertical="center"/>
      <protection locked="0"/>
    </xf>
    <xf numFmtId="4" fontId="6" fillId="7" borderId="72" xfId="3" applyNumberFormat="1" applyFont="1" applyFill="1" applyBorder="1" applyAlignment="1" applyProtection="1">
      <alignment horizontal="center" vertical="center"/>
    </xf>
    <xf numFmtId="4" fontId="6" fillId="0" borderId="38" xfId="1" applyNumberFormat="1" applyFont="1" applyBorder="1" applyAlignment="1">
      <alignment horizontal="right" vertical="center"/>
    </xf>
    <xf numFmtId="49" fontId="78" fillId="0" borderId="3" xfId="5" applyNumberFormat="1" applyFont="1" applyBorder="1" applyAlignment="1">
      <alignment horizontal="centerContinuous" vertical="center"/>
    </xf>
    <xf numFmtId="0" fontId="33" fillId="0" borderId="12" xfId="14" applyFont="1" applyBorder="1" applyAlignment="1">
      <alignment horizontal="centerContinuous"/>
    </xf>
    <xf numFmtId="0" fontId="4" fillId="0" borderId="10" xfId="14" applyBorder="1" applyAlignment="1">
      <alignment horizontal="centerContinuous"/>
    </xf>
    <xf numFmtId="0" fontId="4" fillId="0" borderId="13" xfId="14" applyBorder="1" applyAlignment="1">
      <alignment horizontal="centerContinuous"/>
    </xf>
    <xf numFmtId="0" fontId="24" fillId="0" borderId="14" xfId="14" applyFont="1" applyBorder="1" applyAlignment="1">
      <alignment horizontal="left"/>
    </xf>
    <xf numFmtId="0" fontId="27" fillId="0" borderId="3" xfId="14" applyFont="1" applyBorder="1" applyAlignment="1">
      <alignment horizontal="centerContinuous"/>
    </xf>
    <xf numFmtId="0" fontId="27" fillId="0" borderId="38" xfId="14" applyFont="1" applyBorder="1" applyAlignment="1">
      <alignment horizontal="centerContinuous"/>
    </xf>
    <xf numFmtId="0" fontId="4" fillId="0" borderId="0" xfId="14" applyAlignment="1">
      <alignment horizontal="center"/>
    </xf>
    <xf numFmtId="0" fontId="4" fillId="0" borderId="15" xfId="14" applyBorder="1" applyAlignment="1">
      <alignment horizontal="center"/>
    </xf>
    <xf numFmtId="0" fontId="33" fillId="0" borderId="16" xfId="14" applyFont="1" applyBorder="1" applyAlignment="1">
      <alignment horizontal="centerContinuous"/>
    </xf>
    <xf numFmtId="0" fontId="4" fillId="0" borderId="11" xfId="14" applyBorder="1" applyAlignment="1">
      <alignment horizontal="centerContinuous"/>
    </xf>
    <xf numFmtId="0" fontId="4" fillId="0" borderId="17" xfId="14" applyBorder="1" applyAlignment="1">
      <alignment horizontal="centerContinuous"/>
    </xf>
    <xf numFmtId="0" fontId="27" fillId="0" borderId="14" xfId="14" applyFont="1" applyBorder="1" applyAlignment="1">
      <alignment horizontal="centerContinuous"/>
    </xf>
    <xf numFmtId="0" fontId="4" fillId="0" borderId="0" xfId="14" applyAlignment="1">
      <alignment horizontal="centerContinuous"/>
    </xf>
    <xf numFmtId="0" fontId="4" fillId="0" borderId="15" xfId="14" applyBorder="1" applyAlignment="1">
      <alignment horizontal="centerContinuous"/>
    </xf>
    <xf numFmtId="0" fontId="4" fillId="0" borderId="10" xfId="14" applyBorder="1"/>
    <xf numFmtId="0" fontId="34" fillId="0" borderId="0" xfId="14" quotePrefix="1" applyFont="1" applyAlignment="1">
      <alignment horizontal="left"/>
    </xf>
    <xf numFmtId="0" fontId="27" fillId="0" borderId="86" xfId="14" quotePrefix="1" applyFont="1" applyBorder="1" applyAlignment="1">
      <alignment horizontal="center"/>
    </xf>
    <xf numFmtId="0" fontId="27" fillId="0" borderId="0" xfId="14" quotePrefix="1" applyFont="1" applyAlignment="1">
      <alignment horizontal="left"/>
    </xf>
    <xf numFmtId="0" fontId="27" fillId="0" borderId="90" xfId="14" applyFont="1" applyBorder="1" applyAlignment="1">
      <alignment horizontal="center"/>
    </xf>
    <xf numFmtId="0" fontId="4" fillId="0" borderId="11" xfId="14" applyBorder="1"/>
    <xf numFmtId="0" fontId="4" fillId="0" borderId="12" xfId="14" applyBorder="1"/>
    <xf numFmtId="0" fontId="4" fillId="0" borderId="13" xfId="14" applyBorder="1"/>
    <xf numFmtId="0" fontId="27" fillId="0" borderId="16" xfId="14" applyFont="1" applyBorder="1" applyAlignment="1">
      <alignment horizontal="centerContinuous"/>
    </xf>
    <xf numFmtId="0" fontId="4" fillId="0" borderId="86" xfId="14" applyBorder="1"/>
    <xf numFmtId="0" fontId="34" fillId="0" borderId="93" xfId="14" quotePrefix="1" applyFont="1" applyBorder="1" applyAlignment="1">
      <alignment horizontal="center"/>
    </xf>
    <xf numFmtId="0" fontId="34" fillId="0" borderId="0" xfId="14" quotePrefix="1" applyFont="1" applyAlignment="1">
      <alignment horizontal="left" indent="2"/>
    </xf>
    <xf numFmtId="0" fontId="27" fillId="0" borderId="93" xfId="14" applyFont="1" applyBorder="1" applyAlignment="1">
      <alignment horizontal="center"/>
    </xf>
    <xf numFmtId="0" fontId="27" fillId="0" borderId="0" xfId="14" quotePrefix="1" applyFont="1" applyAlignment="1">
      <alignment horizontal="left" indent="2"/>
    </xf>
    <xf numFmtId="0" fontId="27" fillId="0" borderId="90" xfId="14" applyFont="1" applyBorder="1"/>
    <xf numFmtId="17" fontId="4" fillId="0" borderId="0" xfId="14" applyNumberFormat="1"/>
    <xf numFmtId="0" fontId="4" fillId="0" borderId="0" xfId="14" quotePrefix="1"/>
    <xf numFmtId="0" fontId="4" fillId="20" borderId="0" xfId="14" applyFill="1" applyProtection="1">
      <protection locked="0"/>
    </xf>
    <xf numFmtId="20" fontId="4" fillId="0" borderId="0" xfId="14" applyNumberFormat="1"/>
    <xf numFmtId="49" fontId="20" fillId="0" borderId="3" xfId="0" applyNumberFormat="1" applyFont="1" applyBorder="1" applyAlignment="1">
      <alignment horizontal="centerContinuous" vertical="center"/>
    </xf>
    <xf numFmtId="49" fontId="15" fillId="0" borderId="28" xfId="0" applyNumberFormat="1" applyFont="1" applyBorder="1" applyAlignment="1">
      <alignment horizontal="centerContinuous" vertical="center"/>
    </xf>
    <xf numFmtId="0" fontId="4" fillId="0" borderId="28" xfId="0" applyFont="1" applyBorder="1" applyAlignment="1">
      <alignment horizontal="centerContinuous" vertical="center"/>
    </xf>
    <xf numFmtId="0" fontId="4" fillId="0" borderId="38" xfId="0" applyFont="1" applyBorder="1" applyAlignment="1">
      <alignment horizontal="centerContinuous" vertical="center"/>
    </xf>
    <xf numFmtId="0" fontId="41" fillId="20" borderId="46" xfId="14" applyFont="1" applyFill="1" applyBorder="1" applyAlignment="1" applyProtection="1">
      <alignment horizontal="center"/>
      <protection locked="0"/>
    </xf>
    <xf numFmtId="0" fontId="41" fillId="20" borderId="128" xfId="14" applyFont="1" applyFill="1" applyBorder="1" applyAlignment="1" applyProtection="1">
      <alignment horizontal="center"/>
      <protection locked="0"/>
    </xf>
    <xf numFmtId="0" fontId="4" fillId="0" borderId="13" xfId="5" applyFont="1" applyBorder="1"/>
    <xf numFmtId="0" fontId="6" fillId="4" borderId="184" xfId="1" applyFont="1" applyFill="1" applyBorder="1" applyAlignment="1" applyProtection="1">
      <alignment vertical="center"/>
      <protection locked="0"/>
    </xf>
    <xf numFmtId="0" fontId="4" fillId="0" borderId="15" xfId="5" applyFont="1" applyBorder="1"/>
    <xf numFmtId="0" fontId="4" fillId="0" borderId="17" xfId="5" applyFont="1" applyBorder="1"/>
    <xf numFmtId="2" fontId="28" fillId="7" borderId="78" xfId="7" applyNumberFormat="1" applyFont="1" applyFill="1" applyBorder="1" applyAlignment="1" applyProtection="1">
      <alignment horizontal="center" vertical="center"/>
      <protection locked="0"/>
    </xf>
    <xf numFmtId="2" fontId="28" fillId="7" borderId="23" xfId="7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1" fontId="4" fillId="0" borderId="0" xfId="0" applyNumberFormat="1" applyFont="1" applyAlignment="1" applyProtection="1">
      <alignment horizontal="center" vertical="center"/>
      <protection locked="0"/>
    </xf>
    <xf numFmtId="1" fontId="4" fillId="0" borderId="0" xfId="0" applyNumberFormat="1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67" fillId="0" borderId="16" xfId="14" applyFont="1" applyBorder="1" applyAlignment="1">
      <alignment horizontal="center" vertical="center"/>
    </xf>
    <xf numFmtId="0" fontId="9" fillId="3" borderId="20" xfId="14" quotePrefix="1" applyFont="1" applyFill="1" applyBorder="1" applyAlignment="1">
      <alignment horizontal="left" vertical="center" indent="3"/>
    </xf>
    <xf numFmtId="0" fontId="6" fillId="3" borderId="97" xfId="14" applyFont="1" applyFill="1" applyBorder="1" applyAlignment="1">
      <alignment horizontal="left" vertical="center"/>
    </xf>
    <xf numFmtId="0" fontId="2" fillId="0" borderId="99" xfId="14" applyFont="1" applyBorder="1" applyAlignment="1">
      <alignment horizontal="centerContinuous" vertical="center"/>
    </xf>
    <xf numFmtId="49" fontId="2" fillId="0" borderId="44" xfId="14" applyNumberFormat="1" applyFont="1" applyBorder="1" applyAlignment="1">
      <alignment horizontal="centerContinuous" vertical="center"/>
    </xf>
    <xf numFmtId="49" fontId="2" fillId="0" borderId="100" xfId="14" applyNumberFormat="1" applyFont="1" applyBorder="1" applyAlignment="1">
      <alignment horizontal="centerContinuous" vertical="center"/>
    </xf>
    <xf numFmtId="0" fontId="2" fillId="3" borderId="7" xfId="14" applyFont="1" applyFill="1" applyBorder="1" applyAlignment="1">
      <alignment horizontal="centerContinuous" vertical="center"/>
    </xf>
    <xf numFmtId="0" fontId="2" fillId="3" borderId="62" xfId="14" applyFont="1" applyFill="1" applyBorder="1" applyAlignment="1">
      <alignment horizontal="centerContinuous" vertical="center"/>
    </xf>
    <xf numFmtId="10" fontId="2" fillId="0" borderId="102" xfId="17" applyNumberFormat="1" applyFont="1" applyFill="1" applyBorder="1" applyAlignment="1" applyProtection="1">
      <alignment horizontal="center" vertical="center"/>
      <protection locked="0"/>
    </xf>
    <xf numFmtId="0" fontId="4" fillId="0" borderId="0" xfId="14" applyAlignment="1" applyProtection="1">
      <alignment vertical="center"/>
      <protection locked="0"/>
    </xf>
    <xf numFmtId="0" fontId="6" fillId="3" borderId="103" xfId="14" applyFont="1" applyFill="1" applyBorder="1" applyAlignment="1">
      <alignment horizontal="left" vertical="center"/>
    </xf>
    <xf numFmtId="0" fontId="2" fillId="0" borderId="105" xfId="14" applyFont="1" applyBorder="1" applyAlignment="1">
      <alignment horizontal="center" vertical="center"/>
    </xf>
    <xf numFmtId="14" fontId="2" fillId="0" borderId="106" xfId="14" applyNumberFormat="1" applyFont="1" applyBorder="1" applyAlignment="1">
      <alignment horizontal="center" vertical="center"/>
    </xf>
    <xf numFmtId="0" fontId="2" fillId="3" borderId="107" xfId="14" applyFont="1" applyFill="1" applyBorder="1" applyAlignment="1">
      <alignment horizontal="centerContinuous" vertical="center"/>
    </xf>
    <xf numFmtId="0" fontId="2" fillId="3" borderId="73" xfId="14" applyFont="1" applyFill="1" applyBorder="1" applyAlignment="1">
      <alignment horizontal="centerContinuous" vertical="center"/>
    </xf>
    <xf numFmtId="0" fontId="2" fillId="3" borderId="11" xfId="14" applyFont="1" applyFill="1" applyBorder="1" applyAlignment="1">
      <alignment horizontal="centerContinuous" vertical="center"/>
    </xf>
    <xf numFmtId="10" fontId="2" fillId="0" borderId="109" xfId="17" applyNumberFormat="1" applyFont="1" applyFill="1" applyBorder="1" applyAlignment="1" applyProtection="1">
      <alignment horizontal="center" vertical="center"/>
      <protection locked="0"/>
    </xf>
    <xf numFmtId="0" fontId="6" fillId="0" borderId="98" xfId="14" applyFont="1" applyBorder="1" applyAlignment="1">
      <alignment horizontal="left" vertical="center"/>
    </xf>
    <xf numFmtId="0" fontId="6" fillId="0" borderId="62" xfId="14" applyFont="1" applyBorder="1" applyAlignment="1">
      <alignment horizontal="left" vertical="center"/>
    </xf>
    <xf numFmtId="0" fontId="6" fillId="0" borderId="99" xfId="14" applyFont="1" applyBorder="1" applyAlignment="1">
      <alignment horizontal="left" vertical="center"/>
    </xf>
    <xf numFmtId="49" fontId="6" fillId="0" borderId="44" xfId="14" applyNumberFormat="1" applyFont="1" applyBorder="1" applyAlignment="1">
      <alignment horizontal="center" vertical="center"/>
    </xf>
    <xf numFmtId="0" fontId="6" fillId="0" borderId="104" xfId="14" applyFont="1" applyBorder="1" applyAlignment="1">
      <alignment vertical="center"/>
    </xf>
    <xf numFmtId="0" fontId="6" fillId="0" borderId="11" xfId="14" applyFont="1" applyBorder="1" applyAlignment="1">
      <alignment vertical="center"/>
    </xf>
    <xf numFmtId="0" fontId="6" fillId="0" borderId="11" xfId="14" applyFont="1" applyBorder="1" applyAlignment="1">
      <alignment horizontal="left" vertical="center"/>
    </xf>
    <xf numFmtId="0" fontId="6" fillId="0" borderId="105" xfId="14" applyFont="1" applyBorder="1" applyAlignment="1">
      <alignment horizontal="left" vertical="center"/>
    </xf>
    <xf numFmtId="49" fontId="6" fillId="0" borderId="85" xfId="14" applyNumberFormat="1" applyFont="1" applyBorder="1" applyAlignment="1">
      <alignment horizontal="center" vertical="center"/>
    </xf>
    <xf numFmtId="44" fontId="2" fillId="0" borderId="108" xfId="14" applyNumberFormat="1" applyFont="1" applyBorder="1" applyAlignment="1">
      <alignment horizontal="center" vertical="center"/>
    </xf>
    <xf numFmtId="14" fontId="2" fillId="20" borderId="85" xfId="14" applyNumberFormat="1" applyFont="1" applyFill="1" applyBorder="1" applyAlignment="1" applyProtection="1">
      <alignment horizontal="center" vertical="center"/>
      <protection locked="0"/>
    </xf>
    <xf numFmtId="1" fontId="2" fillId="20" borderId="85" xfId="14" applyNumberFormat="1" applyFont="1" applyFill="1" applyBorder="1" applyAlignment="1" applyProtection="1">
      <alignment horizontal="center" vertical="center"/>
      <protection locked="0"/>
    </xf>
    <xf numFmtId="44" fontId="2" fillId="20" borderId="101" xfId="14" applyNumberFormat="1" applyFont="1" applyFill="1" applyBorder="1" applyAlignment="1" applyProtection="1">
      <alignment horizontal="center" vertical="center"/>
      <protection locked="0"/>
    </xf>
    <xf numFmtId="40" fontId="44" fillId="0" borderId="155" xfId="14" applyNumberFormat="1" applyFont="1" applyBorder="1" applyAlignment="1">
      <alignment horizontal="center"/>
    </xf>
    <xf numFmtId="10" fontId="44" fillId="0" borderId="156" xfId="17" applyNumberFormat="1" applyFont="1" applyFill="1" applyBorder="1" applyAlignment="1" applyProtection="1">
      <alignment horizontal="center"/>
    </xf>
    <xf numFmtId="0" fontId="2" fillId="20" borderId="85" xfId="14" applyFont="1" applyFill="1" applyBorder="1" applyAlignment="1" applyProtection="1">
      <alignment horizontal="center" vertical="center"/>
      <protection locked="0"/>
    </xf>
    <xf numFmtId="0" fontId="52" fillId="6" borderId="14" xfId="1" applyFont="1" applyFill="1" applyBorder="1" applyAlignment="1">
      <alignment horizontal="left" vertical="center"/>
    </xf>
    <xf numFmtId="39" fontId="17" fillId="10" borderId="12" xfId="3" applyNumberFormat="1" applyFont="1" applyFill="1" applyBorder="1" applyAlignment="1" applyProtection="1">
      <alignment horizontal="left" vertical="center"/>
    </xf>
    <xf numFmtId="39" fontId="79" fillId="10" borderId="10" xfId="3" applyNumberFormat="1" applyFont="1" applyFill="1" applyBorder="1" applyAlignment="1" applyProtection="1">
      <alignment horizontal="left" vertical="center"/>
    </xf>
    <xf numFmtId="4" fontId="68" fillId="0" borderId="46" xfId="14" applyNumberFormat="1" applyFont="1" applyBorder="1" applyAlignment="1">
      <alignment horizontal="center" vertical="center"/>
    </xf>
    <xf numFmtId="4" fontId="68" fillId="0" borderId="44" xfId="14" applyNumberFormat="1" applyFont="1" applyBorder="1" applyAlignment="1">
      <alignment horizontal="center" vertical="center"/>
    </xf>
    <xf numFmtId="4" fontId="67" fillId="0" borderId="44" xfId="14" quotePrefix="1" applyNumberFormat="1" applyFont="1" applyBorder="1" applyAlignment="1">
      <alignment horizontal="center" vertical="center"/>
    </xf>
    <xf numFmtId="4" fontId="68" fillId="0" borderId="43" xfId="14" applyNumberFormat="1" applyFont="1" applyBorder="1" applyAlignment="1">
      <alignment horizontal="center" vertical="center"/>
    </xf>
    <xf numFmtId="4" fontId="68" fillId="0" borderId="80" xfId="14" applyNumberFormat="1" applyFont="1" applyBorder="1" applyAlignment="1">
      <alignment horizontal="center" vertical="center"/>
    </xf>
    <xf numFmtId="4" fontId="68" fillId="0" borderId="82" xfId="14" applyNumberFormat="1" applyFont="1" applyBorder="1" applyAlignment="1">
      <alignment horizontal="center" vertical="center"/>
    </xf>
    <xf numFmtId="0" fontId="6" fillId="0" borderId="15" xfId="1" applyFont="1" applyBorder="1"/>
    <xf numFmtId="0" fontId="27" fillId="0" borderId="10" xfId="1" applyFont="1" applyBorder="1" applyAlignment="1">
      <alignment vertical="center"/>
    </xf>
    <xf numFmtId="0" fontId="4" fillId="0" borderId="13" xfId="1" applyBorder="1"/>
    <xf numFmtId="177" fontId="76" fillId="20" borderId="171" xfId="3" applyNumberFormat="1" applyFont="1" applyFill="1" applyBorder="1" applyAlignment="1" applyProtection="1">
      <alignment horizontal="center" vertical="center"/>
      <protection locked="0"/>
    </xf>
    <xf numFmtId="173" fontId="57" fillId="0" borderId="94" xfId="5" applyNumberFormat="1" applyFont="1" applyBorder="1"/>
    <xf numFmtId="173" fontId="77" fillId="0" borderId="95" xfId="5" applyNumberFormat="1" applyFont="1" applyBorder="1"/>
    <xf numFmtId="0" fontId="77" fillId="0" borderId="96" xfId="5" applyFont="1" applyBorder="1"/>
    <xf numFmtId="10" fontId="57" fillId="0" borderId="95" xfId="5" applyNumberFormat="1" applyFont="1" applyBorder="1"/>
    <xf numFmtId="3" fontId="28" fillId="0" borderId="11" xfId="16" applyNumberFormat="1" applyFont="1" applyBorder="1" applyAlignment="1" applyProtection="1">
      <alignment horizontal="left" vertical="center"/>
    </xf>
    <xf numFmtId="0" fontId="28" fillId="0" borderId="11" xfId="14" applyFont="1" applyBorder="1" applyAlignment="1">
      <alignment vertical="center"/>
    </xf>
    <xf numFmtId="1" fontId="28" fillId="0" borderId="17" xfId="14" applyNumberFormat="1" applyFont="1" applyBorder="1" applyAlignment="1">
      <alignment horizontal="center" vertical="center"/>
    </xf>
    <xf numFmtId="0" fontId="27" fillId="0" borderId="92" xfId="14" applyFont="1" applyBorder="1" applyAlignment="1">
      <alignment vertical="center"/>
    </xf>
    <xf numFmtId="0" fontId="4" fillId="20" borderId="0" xfId="14" applyFill="1" applyAlignment="1" applyProtection="1">
      <alignment vertical="center"/>
      <protection locked="0"/>
    </xf>
    <xf numFmtId="20" fontId="4" fillId="0" borderId="0" xfId="14" applyNumberFormat="1" applyAlignment="1">
      <alignment vertical="center"/>
    </xf>
    <xf numFmtId="0" fontId="27" fillId="0" borderId="90" xfId="14" applyFont="1" applyBorder="1" applyAlignment="1">
      <alignment vertical="center"/>
    </xf>
    <xf numFmtId="0" fontId="27" fillId="0" borderId="88" xfId="14" applyFont="1" applyBorder="1" applyAlignment="1">
      <alignment vertical="center"/>
    </xf>
    <xf numFmtId="3" fontId="28" fillId="0" borderId="28" xfId="16" applyNumberFormat="1" applyFont="1" applyBorder="1" applyAlignment="1" applyProtection="1">
      <alignment horizontal="left" vertical="center"/>
    </xf>
    <xf numFmtId="0" fontId="28" fillId="0" borderId="28" xfId="14" applyFont="1" applyBorder="1" applyAlignment="1">
      <alignment vertical="center"/>
    </xf>
    <xf numFmtId="1" fontId="28" fillId="0" borderId="38" xfId="14" applyNumberFormat="1" applyFont="1" applyBorder="1" applyAlignment="1">
      <alignment horizontal="center" vertical="center"/>
    </xf>
    <xf numFmtId="0" fontId="27" fillId="0" borderId="86" xfId="14" applyFont="1" applyBorder="1" applyAlignment="1">
      <alignment vertical="center"/>
    </xf>
    <xf numFmtId="3" fontId="27" fillId="13" borderId="87" xfId="16" applyNumberFormat="1" applyFont="1" applyFill="1" applyBorder="1" applyAlignment="1" applyProtection="1">
      <alignment horizontal="center" vertical="center"/>
      <protection locked="0"/>
    </xf>
    <xf numFmtId="3" fontId="27" fillId="13" borderId="89" xfId="16" applyNumberFormat="1" applyFont="1" applyFill="1" applyBorder="1" applyAlignment="1" applyProtection="1">
      <alignment horizontal="center" vertical="center"/>
      <protection locked="0"/>
    </xf>
    <xf numFmtId="0" fontId="83" fillId="0" borderId="0" xfId="5" applyFont="1"/>
    <xf numFmtId="0" fontId="81" fillId="20" borderId="0" xfId="5" applyFont="1" applyFill="1" applyAlignment="1">
      <alignment horizontal="centerContinuous"/>
    </xf>
    <xf numFmtId="0" fontId="82" fillId="20" borderId="0" xfId="5" applyFont="1" applyFill="1" applyAlignment="1">
      <alignment horizontal="centerContinuous"/>
    </xf>
    <xf numFmtId="0" fontId="7" fillId="0" borderId="12" xfId="5" applyFont="1" applyBorder="1"/>
    <xf numFmtId="0" fontId="76" fillId="20" borderId="159" xfId="5" applyFont="1" applyFill="1" applyBorder="1" applyProtection="1">
      <protection locked="0"/>
    </xf>
    <xf numFmtId="0" fontId="76" fillId="20" borderId="160" xfId="5" applyFont="1" applyFill="1" applyBorder="1" applyProtection="1">
      <protection locked="0"/>
    </xf>
    <xf numFmtId="0" fontId="7" fillId="0" borderId="14" xfId="5" applyFont="1" applyBorder="1"/>
    <xf numFmtId="0" fontId="76" fillId="20" borderId="161" xfId="5" applyFont="1" applyFill="1" applyBorder="1" applyProtection="1">
      <protection locked="0"/>
    </xf>
    <xf numFmtId="0" fontId="76" fillId="20" borderId="162" xfId="5" applyFont="1" applyFill="1" applyBorder="1" applyProtection="1">
      <protection locked="0"/>
    </xf>
    <xf numFmtId="0" fontId="7" fillId="0" borderId="16" xfId="5" applyFont="1" applyBorder="1"/>
    <xf numFmtId="0" fontId="76" fillId="20" borderId="11" xfId="5" applyFont="1" applyFill="1" applyBorder="1" applyProtection="1">
      <protection locked="0"/>
    </xf>
    <xf numFmtId="0" fontId="76" fillId="20" borderId="17" xfId="5" applyFont="1" applyFill="1" applyBorder="1" applyProtection="1">
      <protection locked="0"/>
    </xf>
    <xf numFmtId="0" fontId="24" fillId="0" borderId="12" xfId="5" applyFont="1" applyBorder="1" applyAlignment="1">
      <alignment horizontal="right"/>
    </xf>
    <xf numFmtId="0" fontId="7" fillId="0" borderId="64" xfId="5" applyFont="1" applyBorder="1" applyAlignment="1">
      <alignment horizontal="right"/>
    </xf>
    <xf numFmtId="0" fontId="75" fillId="20" borderId="164" xfId="5" applyFont="1" applyFill="1" applyBorder="1" applyAlignment="1" applyProtection="1">
      <alignment horizontal="left" indent="3"/>
      <protection locked="0"/>
    </xf>
    <xf numFmtId="0" fontId="80" fillId="20" borderId="164" xfId="5" applyFont="1" applyFill="1" applyBorder="1" applyProtection="1">
      <protection locked="0"/>
    </xf>
    <xf numFmtId="0" fontId="80" fillId="20" borderId="163" xfId="5" applyFont="1" applyFill="1" applyBorder="1" applyProtection="1">
      <protection locked="0"/>
    </xf>
    <xf numFmtId="0" fontId="3" fillId="0" borderId="16" xfId="5" applyBorder="1"/>
    <xf numFmtId="0" fontId="7" fillId="0" borderId="57" xfId="5" applyFont="1" applyBorder="1" applyAlignment="1">
      <alignment horizontal="right"/>
    </xf>
    <xf numFmtId="0" fontId="75" fillId="20" borderId="11" xfId="5" applyFont="1" applyFill="1" applyBorder="1" applyAlignment="1" applyProtection="1">
      <alignment horizontal="left" indent="3"/>
      <protection locked="0"/>
    </xf>
    <xf numFmtId="0" fontId="80" fillId="20" borderId="11" xfId="5" applyFont="1" applyFill="1" applyBorder="1" applyProtection="1">
      <protection locked="0"/>
    </xf>
    <xf numFmtId="0" fontId="80" fillId="20" borderId="17" xfId="5" applyFont="1" applyFill="1" applyBorder="1" applyProtection="1">
      <protection locked="0"/>
    </xf>
    <xf numFmtId="0" fontId="2" fillId="0" borderId="0" xfId="5" applyFont="1"/>
    <xf numFmtId="0" fontId="24" fillId="0" borderId="12" xfId="5" applyFont="1" applyBorder="1" applyAlignment="1">
      <alignment horizontal="centerContinuous"/>
    </xf>
    <xf numFmtId="0" fontId="3" fillId="0" borderId="10" xfId="5" applyBorder="1" applyAlignment="1">
      <alignment horizontal="centerContinuous"/>
    </xf>
    <xf numFmtId="0" fontId="3" fillId="0" borderId="19" xfId="5" applyBorder="1" applyAlignment="1">
      <alignment horizontal="centerContinuous"/>
    </xf>
    <xf numFmtId="0" fontId="3" fillId="0" borderId="10" xfId="5" applyBorder="1"/>
    <xf numFmtId="0" fontId="24" fillId="0" borderId="177" xfId="5" applyFont="1" applyBorder="1" applyAlignment="1">
      <alignment horizontal="centerContinuous"/>
    </xf>
    <xf numFmtId="0" fontId="3" fillId="0" borderId="13" xfId="5" applyBorder="1" applyAlignment="1">
      <alignment horizontal="centerContinuous"/>
    </xf>
    <xf numFmtId="0" fontId="7" fillId="0" borderId="178" xfId="5" applyFont="1" applyBorder="1" applyAlignment="1">
      <alignment horizontal="left" indent="5"/>
    </xf>
    <xf numFmtId="0" fontId="3" fillId="0" borderId="166" xfId="5" applyBorder="1" applyAlignment="1">
      <alignment horizontal="left"/>
    </xf>
    <xf numFmtId="0" fontId="3" fillId="0" borderId="173" xfId="5" applyBorder="1"/>
    <xf numFmtId="0" fontId="3" fillId="0" borderId="15" xfId="5" applyBorder="1"/>
    <xf numFmtId="0" fontId="7" fillId="0" borderId="14" xfId="5" applyFont="1" applyBorder="1" applyAlignment="1">
      <alignment horizontal="left" indent="5"/>
    </xf>
    <xf numFmtId="0" fontId="3" fillId="0" borderId="0" xfId="5" applyAlignment="1">
      <alignment horizontal="left"/>
    </xf>
    <xf numFmtId="10" fontId="76" fillId="20" borderId="171" xfId="6" applyNumberFormat="1" applyFont="1" applyFill="1" applyBorder="1" applyAlignment="1" applyProtection="1">
      <alignment horizontal="center" vertical="center"/>
      <protection locked="0"/>
    </xf>
    <xf numFmtId="0" fontId="24" fillId="0" borderId="127" xfId="5" applyFont="1" applyBorder="1" applyAlignment="1">
      <alignment horizontal="centerContinuous"/>
    </xf>
    <xf numFmtId="0" fontId="3" fillId="0" borderId="52" xfId="5" applyBorder="1" applyAlignment="1">
      <alignment horizontal="centerContinuous"/>
    </xf>
    <xf numFmtId="0" fontId="7" fillId="0" borderId="176" xfId="5" applyFont="1" applyBorder="1" applyAlignment="1">
      <alignment horizontal="centerContinuous"/>
    </xf>
    <xf numFmtId="0" fontId="3" fillId="0" borderId="9" xfId="5" applyBorder="1" applyAlignment="1">
      <alignment horizontal="centerContinuous"/>
    </xf>
    <xf numFmtId="0" fontId="3" fillId="0" borderId="43" xfId="5" applyBorder="1" applyAlignment="1">
      <alignment horizontal="centerContinuous"/>
    </xf>
    <xf numFmtId="0" fontId="9" fillId="0" borderId="115" xfId="5" applyFont="1" applyBorder="1" applyAlignment="1">
      <alignment horizontal="center"/>
    </xf>
    <xf numFmtId="0" fontId="9" fillId="0" borderId="41" xfId="5" applyFont="1" applyBorder="1" applyAlignment="1">
      <alignment horizontal="centerContinuous"/>
    </xf>
    <xf numFmtId="0" fontId="9" fillId="0" borderId="66" xfId="5" applyFont="1" applyBorder="1" applyAlignment="1">
      <alignment horizontal="center"/>
    </xf>
    <xf numFmtId="0" fontId="9" fillId="0" borderId="7" xfId="5" applyFont="1" applyBorder="1" applyAlignment="1">
      <alignment horizontal="centerContinuous"/>
    </xf>
    <xf numFmtId="0" fontId="9" fillId="0" borderId="44" xfId="5" applyFont="1" applyBorder="1" applyAlignment="1">
      <alignment horizontal="centerContinuous"/>
    </xf>
    <xf numFmtId="0" fontId="3" fillId="0" borderId="127" xfId="5" applyBorder="1"/>
    <xf numFmtId="0" fontId="9" fillId="0" borderId="118" xfId="5" applyFont="1" applyBorder="1" applyAlignment="1">
      <alignment horizontal="centerContinuous"/>
    </xf>
    <xf numFmtId="0" fontId="7" fillId="0" borderId="179" xfId="5" applyFont="1" applyBorder="1"/>
    <xf numFmtId="0" fontId="7" fillId="20" borderId="165" xfId="5" applyFont="1" applyFill="1" applyBorder="1" applyAlignment="1" applyProtection="1">
      <alignment horizontal="left" indent="2"/>
      <protection locked="0"/>
    </xf>
    <xf numFmtId="10" fontId="76" fillId="20" borderId="170" xfId="6" applyNumberFormat="1" applyFont="1" applyFill="1" applyBorder="1" applyAlignment="1" applyProtection="1">
      <alignment horizontal="center"/>
      <protection locked="0"/>
    </xf>
    <xf numFmtId="0" fontId="3" fillId="0" borderId="40" xfId="5" applyBorder="1"/>
    <xf numFmtId="0" fontId="3" fillId="0" borderId="41" xfId="5" applyBorder="1"/>
    <xf numFmtId="0" fontId="7" fillId="0" borderId="175" xfId="5" applyFont="1" applyBorder="1"/>
    <xf numFmtId="0" fontId="7" fillId="20" borderId="167" xfId="5" applyFont="1" applyFill="1" applyBorder="1" applyAlignment="1" applyProtection="1">
      <alignment horizontal="left" indent="2"/>
      <protection locked="0"/>
    </xf>
    <xf numFmtId="10" fontId="76" fillId="20" borderId="171" xfId="6" applyNumberFormat="1" applyFont="1" applyFill="1" applyBorder="1" applyAlignment="1" applyProtection="1">
      <alignment horizontal="center"/>
      <protection locked="0"/>
    </xf>
    <xf numFmtId="0" fontId="7" fillId="0" borderId="1" xfId="5" applyFont="1" applyBorder="1" applyAlignment="1">
      <alignment horizontal="left" indent="2"/>
    </xf>
    <xf numFmtId="10" fontId="9" fillId="0" borderId="118" xfId="6" applyNumberFormat="1" applyFont="1" applyFill="1" applyBorder="1" applyAlignment="1" applyProtection="1">
      <alignment horizontal="center"/>
    </xf>
    <xf numFmtId="0" fontId="7" fillId="0" borderId="180" xfId="5" applyFont="1" applyBorder="1"/>
    <xf numFmtId="0" fontId="7" fillId="20" borderId="168" xfId="5" applyFont="1" applyFill="1" applyBorder="1" applyAlignment="1" applyProtection="1">
      <alignment horizontal="left" indent="2"/>
      <protection locked="0"/>
    </xf>
    <xf numFmtId="10" fontId="76" fillId="20" borderId="172" xfId="6" applyNumberFormat="1" applyFont="1" applyFill="1" applyBorder="1" applyAlignment="1" applyProtection="1">
      <alignment horizontal="center"/>
      <protection locked="0"/>
    </xf>
    <xf numFmtId="0" fontId="3" fillId="0" borderId="31" xfId="5" applyBorder="1"/>
    <xf numFmtId="0" fontId="3" fillId="0" borderId="47" xfId="5" applyBorder="1"/>
    <xf numFmtId="0" fontId="7" fillId="0" borderId="32" xfId="5" applyFont="1" applyBorder="1"/>
    <xf numFmtId="0" fontId="7" fillId="20" borderId="7" xfId="5" applyFont="1" applyFill="1" applyBorder="1" applyAlignment="1" applyProtection="1">
      <alignment horizontal="left" indent="2"/>
      <protection locked="0"/>
    </xf>
    <xf numFmtId="10" fontId="76" fillId="20" borderId="169" xfId="6" applyNumberFormat="1" applyFont="1" applyFill="1" applyBorder="1" applyAlignment="1" applyProtection="1">
      <alignment horizontal="center"/>
      <protection locked="0"/>
    </xf>
    <xf numFmtId="0" fontId="7" fillId="0" borderId="6" xfId="5" applyFont="1" applyBorder="1" applyAlignment="1">
      <alignment horizontal="left" indent="2"/>
    </xf>
    <xf numFmtId="10" fontId="9" fillId="0" borderId="34" xfId="6" applyNumberFormat="1" applyFont="1" applyFill="1" applyBorder="1" applyAlignment="1" applyProtection="1">
      <alignment horizontal="center"/>
    </xf>
    <xf numFmtId="0" fontId="7" fillId="0" borderId="127" xfId="5" applyFont="1" applyBorder="1" applyAlignment="1">
      <alignment horizontal="left" indent="2"/>
    </xf>
    <xf numFmtId="0" fontId="9" fillId="0" borderId="176" xfId="5" applyFont="1" applyBorder="1"/>
    <xf numFmtId="10" fontId="7" fillId="0" borderId="6" xfId="6" applyNumberFormat="1" applyFont="1" applyFill="1" applyBorder="1" applyAlignment="1" applyProtection="1">
      <alignment horizontal="center"/>
    </xf>
    <xf numFmtId="10" fontId="7" fillId="0" borderId="34" xfId="6" applyNumberFormat="1" applyFont="1" applyFill="1" applyBorder="1" applyAlignment="1" applyProtection="1">
      <alignment horizontal="center"/>
    </xf>
    <xf numFmtId="0" fontId="9" fillId="0" borderId="16" xfId="5" applyFont="1" applyBorder="1"/>
    <xf numFmtId="0" fontId="7" fillId="0" borderId="25" xfId="5" applyFont="1" applyBorder="1" applyAlignment="1">
      <alignment horizontal="left" indent="2"/>
    </xf>
    <xf numFmtId="0" fontId="7" fillId="0" borderId="25" xfId="5" applyFont="1" applyBorder="1" applyAlignment="1">
      <alignment horizontal="center"/>
    </xf>
    <xf numFmtId="0" fontId="3" fillId="0" borderId="11" xfId="5" applyBorder="1"/>
    <xf numFmtId="0" fontId="3" fillId="0" borderId="115" xfId="5" applyBorder="1"/>
    <xf numFmtId="0" fontId="3" fillId="0" borderId="9" xfId="5" applyBorder="1"/>
    <xf numFmtId="0" fontId="3" fillId="0" borderId="43" xfId="5" applyBorder="1"/>
    <xf numFmtId="0" fontId="3" fillId="0" borderId="174" xfId="5" applyBorder="1"/>
    <xf numFmtId="0" fontId="3" fillId="0" borderId="14" xfId="5" applyBorder="1"/>
    <xf numFmtId="0" fontId="7" fillId="0" borderId="173" xfId="5" applyFont="1" applyBorder="1" applyAlignment="1">
      <alignment horizontal="left"/>
    </xf>
    <xf numFmtId="0" fontId="24" fillId="0" borderId="76" xfId="5" applyFont="1" applyBorder="1" applyAlignment="1">
      <alignment horizontal="centerContinuous"/>
    </xf>
    <xf numFmtId="0" fontId="7" fillId="0" borderId="176" xfId="5" applyFont="1" applyBorder="1" applyAlignment="1">
      <alignment horizontal="center"/>
    </xf>
    <xf numFmtId="0" fontId="7" fillId="0" borderId="41" xfId="5" applyFont="1" applyBorder="1" applyAlignment="1">
      <alignment horizontal="centerContinuous"/>
    </xf>
    <xf numFmtId="0" fontId="2" fillId="0" borderId="76" xfId="5" applyFont="1" applyBorder="1"/>
    <xf numFmtId="0" fontId="7" fillId="0" borderId="118" xfId="5" applyFont="1" applyBorder="1" applyAlignment="1">
      <alignment horizontal="centerContinuous"/>
    </xf>
    <xf numFmtId="0" fontId="3" fillId="0" borderId="39" xfId="5" applyBorder="1"/>
    <xf numFmtId="0" fontId="7" fillId="0" borderId="181" xfId="5" applyFont="1" applyBorder="1" applyAlignment="1">
      <alignment horizontal="left" indent="2"/>
    </xf>
    <xf numFmtId="167" fontId="7" fillId="0" borderId="118" xfId="6" applyNumberFormat="1" applyFont="1" applyFill="1" applyBorder="1" applyAlignment="1" applyProtection="1">
      <alignment horizontal="center"/>
    </xf>
    <xf numFmtId="0" fontId="3" fillId="0" borderId="36" xfId="5" applyBorder="1"/>
    <xf numFmtId="0" fontId="7" fillId="0" borderId="7" xfId="5" applyFont="1" applyBorder="1" applyAlignment="1">
      <alignment horizontal="left"/>
    </xf>
    <xf numFmtId="0" fontId="3" fillId="0" borderId="44" xfId="5" applyBorder="1"/>
    <xf numFmtId="0" fontId="7" fillId="0" borderId="66" xfId="5" applyFont="1" applyBorder="1" applyAlignment="1">
      <alignment horizontal="left" indent="2"/>
    </xf>
    <xf numFmtId="167" fontId="7" fillId="0" borderId="34" xfId="6" applyNumberFormat="1" applyFont="1" applyFill="1" applyBorder="1" applyAlignment="1" applyProtection="1">
      <alignment horizontal="center"/>
    </xf>
    <xf numFmtId="0" fontId="2" fillId="0" borderId="0" xfId="5" applyFont="1" applyAlignment="1">
      <alignment horizontal="right"/>
    </xf>
    <xf numFmtId="0" fontId="7" fillId="0" borderId="0" xfId="5" applyFont="1" applyAlignment="1">
      <alignment horizontal="center"/>
    </xf>
    <xf numFmtId="176" fontId="7" fillId="0" borderId="0" xfId="6" applyNumberFormat="1" applyFont="1" applyFill="1" applyBorder="1" applyAlignment="1" applyProtection="1">
      <alignment horizontal="center"/>
    </xf>
    <xf numFmtId="0" fontId="7" fillId="0" borderId="76" xfId="5" applyFont="1" applyBorder="1" applyAlignment="1">
      <alignment horizontal="left" indent="2"/>
    </xf>
    <xf numFmtId="0" fontId="9" fillId="0" borderId="0" xfId="5" applyFont="1"/>
    <xf numFmtId="0" fontId="7" fillId="0" borderId="32" xfId="5" applyFont="1" applyBorder="1" applyAlignment="1">
      <alignment horizontal="left" indent="2"/>
    </xf>
    <xf numFmtId="0" fontId="7" fillId="0" borderId="27" xfId="5" applyFont="1" applyBorder="1" applyAlignment="1">
      <alignment horizontal="left" indent="2"/>
    </xf>
    <xf numFmtId="0" fontId="7" fillId="0" borderId="83" xfId="5" applyFont="1" applyBorder="1" applyAlignment="1">
      <alignment horizontal="center"/>
    </xf>
    <xf numFmtId="0" fontId="3" fillId="0" borderId="16" xfId="5" applyBorder="1" applyAlignment="1">
      <alignment horizontal="right" vertical="center"/>
    </xf>
    <xf numFmtId="49" fontId="2" fillId="0" borderId="22" xfId="0" applyNumberFormat="1" applyFont="1" applyBorder="1" applyAlignment="1">
      <alignment horizontal="left" vertical="center"/>
    </xf>
    <xf numFmtId="0" fontId="2" fillId="5" borderId="58" xfId="0" applyFont="1" applyFill="1" applyBorder="1" applyAlignment="1" applyProtection="1">
      <alignment horizontal="left" vertical="center"/>
      <protection locked="0"/>
    </xf>
    <xf numFmtId="49" fontId="2" fillId="0" borderId="61" xfId="0" applyNumberFormat="1" applyFont="1" applyBorder="1" applyAlignment="1">
      <alignment horizontal="center" vertical="center"/>
    </xf>
    <xf numFmtId="49" fontId="2" fillId="5" borderId="23" xfId="0" applyNumberFormat="1" applyFont="1" applyFill="1" applyBorder="1" applyAlignment="1" applyProtection="1">
      <alignment horizontal="center" vertical="center"/>
      <protection locked="0"/>
    </xf>
    <xf numFmtId="0" fontId="2" fillId="0" borderId="22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" fillId="0" borderId="53" xfId="0" applyFont="1" applyBorder="1" applyAlignment="1">
      <alignment horizontal="left" vertical="center"/>
    </xf>
    <xf numFmtId="49" fontId="2" fillId="5" borderId="53" xfId="0" applyNumberFormat="1" applyFont="1" applyFill="1" applyBorder="1" applyAlignment="1" applyProtection="1">
      <alignment horizontal="center" vertical="center"/>
      <protection locked="0"/>
    </xf>
    <xf numFmtId="49" fontId="2" fillId="0" borderId="66" xfId="0" applyNumberFormat="1" applyFont="1" applyBorder="1" applyAlignment="1">
      <alignment horizontal="left" vertical="center"/>
    </xf>
    <xf numFmtId="0" fontId="2" fillId="5" borderId="74" xfId="0" applyFont="1" applyFill="1" applyBorder="1" applyAlignment="1" applyProtection="1">
      <alignment horizontal="left" vertical="center"/>
      <protection locked="0"/>
    </xf>
    <xf numFmtId="49" fontId="2" fillId="0" borderId="75" xfId="0" applyNumberFormat="1" applyFont="1" applyBorder="1" applyAlignment="1">
      <alignment horizontal="center" vertical="center"/>
    </xf>
    <xf numFmtId="49" fontId="2" fillId="5" borderId="54" xfId="0" applyNumberFormat="1" applyFont="1" applyFill="1" applyBorder="1" applyAlignment="1" applyProtection="1">
      <alignment horizontal="center" vertical="center"/>
      <protection locked="0"/>
    </xf>
    <xf numFmtId="0" fontId="2" fillId="0" borderId="66" xfId="0" applyFont="1" applyBorder="1" applyAlignment="1">
      <alignment horizontal="left" vertical="center"/>
    </xf>
    <xf numFmtId="0" fontId="2" fillId="0" borderId="62" xfId="0" applyFont="1" applyBorder="1" applyAlignment="1">
      <alignment horizontal="left" vertical="center"/>
    </xf>
    <xf numFmtId="0" fontId="2" fillId="0" borderId="45" xfId="0" applyFont="1" applyBorder="1" applyAlignment="1">
      <alignment horizontal="left" vertical="center"/>
    </xf>
    <xf numFmtId="49" fontId="2" fillId="5" borderId="45" xfId="0" applyNumberFormat="1" applyFont="1" applyFill="1" applyBorder="1" applyAlignment="1" applyProtection="1">
      <alignment horizontal="center" vertical="center"/>
      <protection locked="0"/>
    </xf>
    <xf numFmtId="49" fontId="2" fillId="5" borderId="62" xfId="0" applyNumberFormat="1" applyFont="1" applyFill="1" applyBorder="1" applyAlignment="1" applyProtection="1">
      <alignment horizontal="center" vertical="center"/>
      <protection locked="0"/>
    </xf>
    <xf numFmtId="0" fontId="73" fillId="0" borderId="54" xfId="0" applyFont="1" applyBorder="1" applyAlignment="1">
      <alignment horizontal="right" vertical="center"/>
    </xf>
    <xf numFmtId="49" fontId="2" fillId="0" borderId="12" xfId="0" applyNumberFormat="1" applyFont="1" applyBorder="1" applyAlignment="1">
      <alignment horizontal="center" vertical="center" wrapText="1"/>
    </xf>
    <xf numFmtId="49" fontId="2" fillId="0" borderId="18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Continuous" vertical="center" wrapText="1"/>
    </xf>
    <xf numFmtId="0" fontId="2" fillId="0" borderId="37" xfId="1" applyFont="1" applyBorder="1" applyAlignment="1">
      <alignment horizontal="center" vertical="center"/>
    </xf>
    <xf numFmtId="0" fontId="2" fillId="0" borderId="30" xfId="1" applyFont="1" applyBorder="1" applyAlignment="1">
      <alignment horizontal="center" vertical="center"/>
    </xf>
    <xf numFmtId="2" fontId="2" fillId="0" borderId="3" xfId="1" applyNumberFormat="1" applyFont="1" applyBorder="1" applyAlignment="1">
      <alignment horizontal="centerContinuous" vertical="center"/>
    </xf>
    <xf numFmtId="0" fontId="3" fillId="0" borderId="28" xfId="1" applyFont="1" applyBorder="1" applyAlignment="1">
      <alignment horizontal="centerContinuous" vertical="center"/>
    </xf>
    <xf numFmtId="0" fontId="2" fillId="0" borderId="28" xfId="1" applyFont="1" applyBorder="1" applyAlignment="1">
      <alignment horizontal="centerContinuous" vertical="center"/>
    </xf>
    <xf numFmtId="0" fontId="2" fillId="0" borderId="49" xfId="1" applyFont="1" applyBorder="1" applyAlignment="1">
      <alignment horizontal="center" vertical="center"/>
    </xf>
    <xf numFmtId="0" fontId="2" fillId="0" borderId="12" xfId="0" applyFont="1" applyBorder="1" applyAlignment="1">
      <alignment horizontal="centerContinuous" vertical="center"/>
    </xf>
    <xf numFmtId="0" fontId="2" fillId="0" borderId="10" xfId="0" applyFont="1" applyBorder="1" applyAlignment="1">
      <alignment horizontal="centerContinuous" vertical="center"/>
    </xf>
    <xf numFmtId="0" fontId="2" fillId="0" borderId="13" xfId="0" applyFont="1" applyBorder="1" applyAlignment="1">
      <alignment horizontal="centerContinuous" vertical="center"/>
    </xf>
    <xf numFmtId="0" fontId="3" fillId="0" borderId="16" xfId="0" quotePrefix="1" applyFont="1" applyBorder="1" applyAlignment="1">
      <alignment horizontal="center"/>
    </xf>
    <xf numFmtId="0" fontId="3" fillId="0" borderId="24" xfId="0" applyFont="1" applyBorder="1" applyAlignment="1">
      <alignment horizontal="center" vertical="center"/>
    </xf>
    <xf numFmtId="0" fontId="3" fillId="0" borderId="17" xfId="1" applyFont="1" applyBorder="1"/>
    <xf numFmtId="2" fontId="2" fillId="0" borderId="37" xfId="1" applyNumberFormat="1" applyFont="1" applyBorder="1" applyAlignment="1">
      <alignment horizontal="center" vertical="top"/>
    </xf>
    <xf numFmtId="167" fontId="2" fillId="0" borderId="30" xfId="1" applyNumberFormat="1" applyFont="1" applyBorder="1" applyAlignment="1">
      <alignment horizontal="center" vertical="top"/>
    </xf>
    <xf numFmtId="2" fontId="2" fillId="0" borderId="37" xfId="1" applyNumberFormat="1" applyFont="1" applyBorder="1" applyAlignment="1">
      <alignment horizontal="center" vertical="center"/>
    </xf>
    <xf numFmtId="2" fontId="2" fillId="0" borderId="5" xfId="1" applyNumberFormat="1" applyFont="1" applyBorder="1" applyAlignment="1">
      <alignment horizontal="center" vertical="center"/>
    </xf>
    <xf numFmtId="2" fontId="2" fillId="0" borderId="42" xfId="1" applyNumberFormat="1" applyFont="1" applyBorder="1" applyAlignment="1">
      <alignment horizontal="center" vertical="center"/>
    </xf>
    <xf numFmtId="2" fontId="3" fillId="0" borderId="51" xfId="1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37" xfId="0" applyNumberFormat="1" applyFont="1" applyBorder="1" applyAlignment="1">
      <alignment horizontal="center" vertical="center"/>
    </xf>
    <xf numFmtId="165" fontId="2" fillId="0" borderId="30" xfId="1" applyNumberFormat="1" applyFont="1" applyBorder="1" applyAlignment="1">
      <alignment horizontal="center" vertical="center"/>
    </xf>
    <xf numFmtId="165" fontId="2" fillId="0" borderId="30" xfId="1" applyNumberFormat="1" applyFont="1" applyBorder="1" applyAlignment="1">
      <alignment horizontal="center" vertical="center" wrapText="1"/>
    </xf>
    <xf numFmtId="49" fontId="2" fillId="0" borderId="16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84" fillId="0" borderId="17" xfId="0" applyFont="1" applyBorder="1" applyAlignment="1">
      <alignment vertical="center" wrapText="1"/>
    </xf>
    <xf numFmtId="4" fontId="85" fillId="0" borderId="28" xfId="0" applyNumberFormat="1" applyFont="1" applyBorder="1" applyAlignment="1">
      <alignment vertical="center"/>
    </xf>
    <xf numFmtId="4" fontId="44" fillId="0" borderId="38" xfId="0" applyNumberFormat="1" applyFont="1" applyBorder="1" applyAlignment="1">
      <alignment vertical="center"/>
    </xf>
    <xf numFmtId="4" fontId="2" fillId="0" borderId="3" xfId="1" applyNumberFormat="1" applyFont="1" applyBorder="1" applyAlignment="1">
      <alignment vertical="center"/>
    </xf>
    <xf numFmtId="4" fontId="2" fillId="0" borderId="28" xfId="1" applyNumberFormat="1" applyFont="1" applyBorder="1" applyAlignment="1">
      <alignment vertical="center"/>
    </xf>
    <xf numFmtId="164" fontId="2" fillId="0" borderId="3" xfId="3" applyFont="1" applyBorder="1" applyAlignment="1">
      <alignment vertical="center"/>
    </xf>
    <xf numFmtId="164" fontId="2" fillId="0" borderId="28" xfId="3" applyFont="1" applyBorder="1" applyAlignment="1">
      <alignment vertical="center"/>
    </xf>
    <xf numFmtId="164" fontId="2" fillId="0" borderId="38" xfId="3" applyFont="1" applyBorder="1" applyAlignment="1">
      <alignment vertical="center"/>
    </xf>
    <xf numFmtId="164" fontId="2" fillId="0" borderId="29" xfId="3" applyFont="1" applyBorder="1" applyAlignment="1">
      <alignment vertical="center"/>
    </xf>
    <xf numFmtId="0" fontId="3" fillId="0" borderId="36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52" xfId="1" quotePrefix="1" applyFont="1" applyBorder="1" applyAlignment="1">
      <alignment horizontal="left" vertical="center" wrapText="1"/>
    </xf>
    <xf numFmtId="2" fontId="3" fillId="0" borderId="46" xfId="1" quotePrefix="1" applyNumberFormat="1" applyFont="1" applyBorder="1" applyAlignment="1">
      <alignment horizontal="center" vertical="center"/>
    </xf>
    <xf numFmtId="167" fontId="3" fillId="0" borderId="47" xfId="1" quotePrefix="1" applyNumberFormat="1" applyFont="1" applyBorder="1" applyAlignment="1">
      <alignment horizontal="center" vertical="center"/>
    </xf>
    <xf numFmtId="4" fontId="3" fillId="0" borderId="36" xfId="1" quotePrefix="1" applyNumberFormat="1" applyFont="1" applyBorder="1" applyAlignment="1">
      <alignment horizontal="center" vertical="center"/>
    </xf>
    <xf numFmtId="4" fontId="3" fillId="0" borderId="31" xfId="1" applyNumberFormat="1" applyFont="1" applyBorder="1" applyAlignment="1">
      <alignment horizontal="center" vertical="center"/>
    </xf>
    <xf numFmtId="4" fontId="2" fillId="0" borderId="31" xfId="1" applyNumberFormat="1" applyFont="1" applyBorder="1" applyAlignment="1">
      <alignment horizontal="center" vertical="center"/>
    </xf>
    <xf numFmtId="2" fontId="3" fillId="0" borderId="47" xfId="1" applyNumberFormat="1" applyFont="1" applyBorder="1" applyAlignment="1">
      <alignment horizontal="center" vertical="center"/>
    </xf>
    <xf numFmtId="164" fontId="3" fillId="0" borderId="31" xfId="3" applyFont="1" applyBorder="1"/>
    <xf numFmtId="164" fontId="3" fillId="0" borderId="34" xfId="3" applyFont="1" applyBorder="1" applyAlignment="1">
      <alignment vertical="center"/>
    </xf>
    <xf numFmtId="164" fontId="3" fillId="0" borderId="21" xfId="3" applyFont="1" applyBorder="1" applyAlignment="1">
      <alignment vertical="center"/>
    </xf>
    <xf numFmtId="0" fontId="3" fillId="0" borderId="3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4" xfId="1" quotePrefix="1" applyFont="1" applyBorder="1" applyAlignment="1">
      <alignment horizontal="left" vertical="center" wrapText="1"/>
    </xf>
    <xf numFmtId="2" fontId="3" fillId="0" borderId="44" xfId="1" quotePrefix="1" applyNumberFormat="1" applyFont="1" applyBorder="1" applyAlignment="1">
      <alignment horizontal="center" vertical="center"/>
    </xf>
    <xf numFmtId="167" fontId="3" fillId="0" borderId="34" xfId="1" quotePrefix="1" applyNumberFormat="1" applyFont="1" applyBorder="1" applyAlignment="1">
      <alignment horizontal="center" vertical="center"/>
    </xf>
    <xf numFmtId="4" fontId="3" fillId="0" borderId="32" xfId="1" quotePrefix="1" applyNumberFormat="1" applyFont="1" applyBorder="1" applyAlignment="1">
      <alignment horizontal="center" vertical="center"/>
    </xf>
    <xf numFmtId="4" fontId="3" fillId="0" borderId="6" xfId="1" applyNumberFormat="1" applyFont="1" applyBorder="1" applyAlignment="1">
      <alignment horizontal="center" vertical="center"/>
    </xf>
    <xf numFmtId="4" fontId="2" fillId="0" borderId="6" xfId="1" applyNumberFormat="1" applyFont="1" applyBorder="1" applyAlignment="1">
      <alignment horizontal="center" vertical="center"/>
    </xf>
    <xf numFmtId="2" fontId="3" fillId="0" borderId="34" xfId="1" applyNumberFormat="1" applyFont="1" applyBorder="1" applyAlignment="1">
      <alignment horizontal="center" vertical="center"/>
    </xf>
    <xf numFmtId="164" fontId="3" fillId="0" borderId="31" xfId="3" applyFont="1" applyBorder="1" applyAlignment="1">
      <alignment vertical="center"/>
    </xf>
    <xf numFmtId="164" fontId="3" fillId="0" borderId="4" xfId="3" applyFont="1" applyBorder="1" applyAlignment="1">
      <alignment vertical="center"/>
    </xf>
    <xf numFmtId="0" fontId="3" fillId="0" borderId="54" xfId="1" applyFont="1" applyBorder="1" applyAlignment="1">
      <alignment vertical="center" wrapText="1"/>
    </xf>
    <xf numFmtId="2" fontId="3" fillId="0" borderId="44" xfId="1" applyNumberFormat="1" applyFont="1" applyBorder="1" applyAlignment="1">
      <alignment horizontal="center" vertical="center"/>
    </xf>
    <xf numFmtId="167" fontId="3" fillId="0" borderId="34" xfId="1" applyNumberFormat="1" applyFont="1" applyBorder="1" applyAlignment="1">
      <alignment horizontal="center" vertical="center"/>
    </xf>
    <xf numFmtId="4" fontId="3" fillId="0" borderId="44" xfId="1" applyNumberFormat="1" applyFont="1" applyBorder="1" applyAlignment="1">
      <alignment horizontal="center" vertical="center"/>
    </xf>
    <xf numFmtId="164" fontId="3" fillId="0" borderId="32" xfId="3" applyFont="1" applyBorder="1" applyAlignment="1">
      <alignment vertical="center"/>
    </xf>
    <xf numFmtId="164" fontId="3" fillId="0" borderId="6" xfId="3" applyFont="1" applyBorder="1" applyAlignment="1">
      <alignment vertical="center"/>
    </xf>
    <xf numFmtId="4" fontId="3" fillId="0" borderId="32" xfId="1" applyNumberFormat="1" applyFont="1" applyBorder="1" applyAlignment="1">
      <alignment horizontal="center" vertical="center"/>
    </xf>
    <xf numFmtId="0" fontId="72" fillId="0" borderId="32" xfId="0" quotePrefix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4" xfId="1" applyFont="1" applyBorder="1" applyAlignment="1">
      <alignment vertical="center" wrapText="1"/>
    </xf>
    <xf numFmtId="4" fontId="85" fillId="0" borderId="62" xfId="0" applyNumberFormat="1" applyFont="1" applyBorder="1" applyAlignment="1">
      <alignment horizontal="center" vertical="center"/>
    </xf>
    <xf numFmtId="4" fontId="44" fillId="0" borderId="54" xfId="0" applyNumberFormat="1" applyFont="1" applyBorder="1" applyAlignment="1">
      <alignment vertical="center"/>
    </xf>
    <xf numFmtId="4" fontId="2" fillId="0" borderId="66" xfId="1" applyNumberFormat="1" applyFont="1" applyBorder="1" applyAlignment="1">
      <alignment horizontal="center" vertical="center"/>
    </xf>
    <xf numFmtId="4" fontId="2" fillId="0" borderId="62" xfId="1" applyNumberFormat="1" applyFont="1" applyBorder="1" applyAlignment="1">
      <alignment horizontal="center" vertical="center"/>
    </xf>
    <xf numFmtId="4" fontId="2" fillId="0" borderId="62" xfId="1" applyNumberFormat="1" applyFont="1" applyBorder="1" applyAlignment="1">
      <alignment vertical="center"/>
    </xf>
    <xf numFmtId="164" fontId="2" fillId="0" borderId="66" xfId="3" applyFont="1" applyBorder="1" applyAlignment="1">
      <alignment vertical="center"/>
    </xf>
    <xf numFmtId="164" fontId="2" fillId="0" borderId="62" xfId="3" applyFont="1" applyBorder="1" applyAlignment="1">
      <alignment vertical="center"/>
    </xf>
    <xf numFmtId="164" fontId="2" fillId="0" borderId="54" xfId="3" applyFont="1" applyBorder="1" applyAlignment="1">
      <alignment vertical="center"/>
    </xf>
    <xf numFmtId="49" fontId="72" fillId="20" borderId="32" xfId="0" quotePrefix="1" applyNumberFormat="1" applyFont="1" applyFill="1" applyBorder="1" applyAlignment="1" applyProtection="1">
      <alignment horizontal="center" vertical="center"/>
      <protection locked="0"/>
    </xf>
    <xf numFmtId="49" fontId="72" fillId="20" borderId="6" xfId="0" quotePrefix="1" applyNumberFormat="1" applyFont="1" applyFill="1" applyBorder="1" applyAlignment="1" applyProtection="1">
      <alignment horizontal="center" vertical="center"/>
      <protection locked="0"/>
    </xf>
    <xf numFmtId="0" fontId="3" fillId="20" borderId="34" xfId="0" applyFont="1" applyFill="1" applyBorder="1" applyAlignment="1" applyProtection="1">
      <alignment horizontal="left" vertical="center" wrapText="1"/>
      <protection locked="0"/>
    </xf>
    <xf numFmtId="2" fontId="3" fillId="20" borderId="44" xfId="1" applyNumberFormat="1" applyFont="1" applyFill="1" applyBorder="1" applyAlignment="1" applyProtection="1">
      <alignment horizontal="center" vertical="center"/>
      <protection locked="0"/>
    </xf>
    <xf numFmtId="167" fontId="3" fillId="20" borderId="34" xfId="1" applyNumberFormat="1" applyFont="1" applyFill="1" applyBorder="1" applyAlignment="1" applyProtection="1">
      <alignment horizontal="center" vertical="center"/>
      <protection locked="0"/>
    </xf>
    <xf numFmtId="4" fontId="3" fillId="20" borderId="32" xfId="1" applyNumberFormat="1" applyFont="1" applyFill="1" applyBorder="1" applyAlignment="1" applyProtection="1">
      <alignment horizontal="center" vertical="center"/>
      <protection locked="0"/>
    </xf>
    <xf numFmtId="4" fontId="3" fillId="20" borderId="6" xfId="1" applyNumberFormat="1" applyFont="1" applyFill="1" applyBorder="1" applyAlignment="1" applyProtection="1">
      <alignment horizontal="center" vertical="center"/>
      <protection locked="0"/>
    </xf>
    <xf numFmtId="0" fontId="3" fillId="20" borderId="47" xfId="0" applyFont="1" applyFill="1" applyBorder="1" applyAlignment="1" applyProtection="1">
      <alignment horizontal="left" vertical="center" wrapText="1"/>
      <protection locked="0"/>
    </xf>
    <xf numFmtId="164" fontId="3" fillId="0" borderId="47" xfId="3" applyFont="1" applyBorder="1" applyAlignment="1">
      <alignment vertical="center"/>
    </xf>
    <xf numFmtId="49" fontId="72" fillId="20" borderId="27" xfId="0" quotePrefix="1" applyNumberFormat="1" applyFont="1" applyFill="1" applyBorder="1" applyAlignment="1" applyProtection="1">
      <alignment horizontal="center" vertical="center"/>
      <protection locked="0"/>
    </xf>
    <xf numFmtId="49" fontId="72" fillId="20" borderId="25" xfId="0" quotePrefix="1" applyNumberFormat="1" applyFont="1" applyFill="1" applyBorder="1" applyAlignment="1" applyProtection="1">
      <alignment horizontal="center" vertical="center"/>
      <protection locked="0"/>
    </xf>
    <xf numFmtId="2" fontId="3" fillId="20" borderId="43" xfId="1" applyNumberFormat="1" applyFont="1" applyFill="1" applyBorder="1" applyAlignment="1" applyProtection="1">
      <alignment horizontal="center" vertical="center"/>
      <protection locked="0"/>
    </xf>
    <xf numFmtId="167" fontId="3" fillId="20" borderId="41" xfId="1" applyNumberFormat="1" applyFont="1" applyFill="1" applyBorder="1" applyAlignment="1" applyProtection="1">
      <alignment horizontal="center" vertical="center"/>
      <protection locked="0"/>
    </xf>
    <xf numFmtId="4" fontId="3" fillId="20" borderId="39" xfId="1" applyNumberFormat="1" applyFont="1" applyFill="1" applyBorder="1" applyAlignment="1" applyProtection="1">
      <alignment horizontal="center" vertical="center"/>
      <protection locked="0"/>
    </xf>
    <xf numFmtId="4" fontId="3" fillId="20" borderId="40" xfId="1" applyNumberFormat="1" applyFont="1" applyFill="1" applyBorder="1" applyAlignment="1" applyProtection="1">
      <alignment horizontal="center" vertical="center"/>
      <protection locked="0"/>
    </xf>
    <xf numFmtId="4" fontId="3" fillId="0" borderId="40" xfId="1" applyNumberFormat="1" applyFont="1" applyBorder="1" applyAlignment="1">
      <alignment horizontal="center" vertical="center"/>
    </xf>
    <xf numFmtId="4" fontId="2" fillId="0" borderId="1" xfId="1" applyNumberFormat="1" applyFont="1" applyBorder="1" applyAlignment="1">
      <alignment horizontal="center" vertical="center"/>
    </xf>
    <xf numFmtId="164" fontId="3" fillId="0" borderId="41" xfId="3" applyFont="1" applyBorder="1" applyAlignment="1">
      <alignment vertical="center"/>
    </xf>
    <xf numFmtId="4" fontId="85" fillId="0" borderId="28" xfId="0" applyNumberFormat="1" applyFont="1" applyBorder="1" applyAlignment="1">
      <alignment horizontal="center" vertical="center"/>
    </xf>
    <xf numFmtId="4" fontId="2" fillId="0" borderId="3" xfId="1" applyNumberFormat="1" applyFont="1" applyBorder="1" applyAlignment="1">
      <alignment horizontal="center" vertical="center"/>
    </xf>
    <xf numFmtId="4" fontId="2" fillId="0" borderId="28" xfId="1" applyNumberFormat="1" applyFont="1" applyBorder="1" applyAlignment="1">
      <alignment horizontal="center" vertical="center"/>
    </xf>
    <xf numFmtId="0" fontId="3" fillId="0" borderId="52" xfId="1" applyFont="1" applyBorder="1" applyAlignment="1">
      <alignment vertical="center" wrapText="1"/>
    </xf>
    <xf numFmtId="167" fontId="3" fillId="0" borderId="47" xfId="1" applyNumberFormat="1" applyFont="1" applyBorder="1" applyAlignment="1">
      <alignment horizontal="center" vertical="center"/>
    </xf>
    <xf numFmtId="4" fontId="3" fillId="0" borderId="46" xfId="1" applyNumberFormat="1" applyFont="1" applyBorder="1" applyAlignment="1">
      <alignment horizontal="center" vertical="center"/>
    </xf>
    <xf numFmtId="4" fontId="3" fillId="0" borderId="36" xfId="1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7" xfId="0" applyNumberFormat="1" applyFont="1" applyBorder="1" applyAlignment="1">
      <alignment horizontal="center" vertical="center"/>
    </xf>
    <xf numFmtId="0" fontId="84" fillId="0" borderId="38" xfId="0" applyFont="1" applyBorder="1" applyAlignment="1">
      <alignment vertical="center" wrapText="1"/>
    </xf>
    <xf numFmtId="4" fontId="3" fillId="0" borderId="44" xfId="1" quotePrefix="1" applyNumberFormat="1" applyFont="1" applyBorder="1" applyAlignment="1">
      <alignment horizontal="center" vertical="center"/>
    </xf>
    <xf numFmtId="4" fontId="3" fillId="0" borderId="6" xfId="1" quotePrefix="1" applyNumberFormat="1" applyFont="1" applyBorder="1" applyAlignment="1">
      <alignment horizontal="center" vertical="center"/>
    </xf>
    <xf numFmtId="0" fontId="3" fillId="0" borderId="32" xfId="2" applyBorder="1" applyAlignment="1">
      <alignment horizontal="center" vertical="center"/>
    </xf>
    <xf numFmtId="0" fontId="3" fillId="0" borderId="6" xfId="2" applyBorder="1" applyAlignment="1">
      <alignment horizontal="center" vertical="center"/>
    </xf>
    <xf numFmtId="0" fontId="3" fillId="0" borderId="54" xfId="1" applyFont="1" applyBorder="1" applyAlignment="1">
      <alignment horizontal="left" vertical="center" wrapText="1"/>
    </xf>
    <xf numFmtId="2" fontId="2" fillId="0" borderId="34" xfId="1" applyNumberFormat="1" applyFont="1" applyBorder="1" applyAlignment="1">
      <alignment horizontal="center" vertical="center"/>
    </xf>
    <xf numFmtId="164" fontId="3" fillId="0" borderId="44" xfId="3" applyFont="1" applyBorder="1" applyAlignment="1">
      <alignment horizontal="center" vertical="center"/>
    </xf>
    <xf numFmtId="164" fontId="3" fillId="0" borderId="6" xfId="3" applyFont="1" applyBorder="1" applyAlignment="1">
      <alignment horizontal="center" vertical="center"/>
    </xf>
    <xf numFmtId="2" fontId="3" fillId="20" borderId="44" xfId="1" quotePrefix="1" applyNumberFormat="1" applyFont="1" applyFill="1" applyBorder="1" applyAlignment="1" applyProtection="1">
      <alignment horizontal="center" vertical="center"/>
      <protection locked="0"/>
    </xf>
    <xf numFmtId="4" fontId="3" fillId="0" borderId="62" xfId="1" applyNumberFormat="1" applyFont="1" applyBorder="1" applyAlignment="1">
      <alignment vertical="center"/>
    </xf>
    <xf numFmtId="4" fontId="3" fillId="0" borderId="28" xfId="1" applyNumberFormat="1" applyFont="1" applyBorder="1" applyAlignment="1">
      <alignment vertical="center"/>
    </xf>
    <xf numFmtId="0" fontId="3" fillId="0" borderId="39" xfId="2" applyBorder="1" applyAlignment="1">
      <alignment horizontal="center" vertical="center"/>
    </xf>
    <xf numFmtId="0" fontId="3" fillId="0" borderId="55" xfId="1" applyFont="1" applyBorder="1" applyAlignment="1">
      <alignment vertical="center" wrapText="1"/>
    </xf>
    <xf numFmtId="2" fontId="3" fillId="0" borderId="43" xfId="1" applyNumberFormat="1" applyFont="1" applyBorder="1" applyAlignment="1">
      <alignment horizontal="center" vertical="center"/>
    </xf>
    <xf numFmtId="167" fontId="3" fillId="0" borderId="41" xfId="1" quotePrefix="1" applyNumberFormat="1" applyFont="1" applyBorder="1" applyAlignment="1">
      <alignment horizontal="center" vertical="center"/>
    </xf>
    <xf numFmtId="4" fontId="3" fillId="0" borderId="39" xfId="1" applyNumberFormat="1" applyFont="1" applyBorder="1" applyAlignment="1">
      <alignment horizontal="center" vertical="center"/>
    </xf>
    <xf numFmtId="4" fontId="2" fillId="0" borderId="40" xfId="1" applyNumberFormat="1" applyFont="1" applyBorder="1" applyAlignment="1">
      <alignment horizontal="center" vertical="center"/>
    </xf>
    <xf numFmtId="2" fontId="3" fillId="0" borderId="41" xfId="1" applyNumberFormat="1" applyFont="1" applyBorder="1" applyAlignment="1">
      <alignment horizontal="center" vertical="center"/>
    </xf>
    <xf numFmtId="0" fontId="3" fillId="0" borderId="78" xfId="2" applyBorder="1" applyAlignment="1">
      <alignment horizontal="center" vertical="center"/>
    </xf>
    <xf numFmtId="0" fontId="3" fillId="0" borderId="79" xfId="2" applyBorder="1" applyAlignment="1">
      <alignment horizontal="center" vertical="center"/>
    </xf>
    <xf numFmtId="0" fontId="3" fillId="0" borderId="23" xfId="1" applyFont="1" applyBorder="1" applyAlignment="1">
      <alignment vertical="center" wrapText="1"/>
    </xf>
    <xf numFmtId="2" fontId="3" fillId="0" borderId="80" xfId="1" applyNumberFormat="1" applyFont="1" applyBorder="1" applyAlignment="1">
      <alignment horizontal="center" vertical="center"/>
    </xf>
    <xf numFmtId="167" fontId="3" fillId="0" borderId="81" xfId="1" applyNumberFormat="1" applyFont="1" applyBorder="1" applyAlignment="1">
      <alignment horizontal="center" vertical="center"/>
    </xf>
    <xf numFmtId="4" fontId="3" fillId="0" borderId="78" xfId="1" applyNumberFormat="1" applyFont="1" applyBorder="1" applyAlignment="1">
      <alignment horizontal="center" vertical="center"/>
    </xf>
    <xf numFmtId="4" fontId="3" fillId="0" borderId="79" xfId="1" applyNumberFormat="1" applyFont="1" applyBorder="1" applyAlignment="1">
      <alignment horizontal="center" vertical="center"/>
    </xf>
    <xf numFmtId="4" fontId="2" fillId="0" borderId="79" xfId="1" applyNumberFormat="1" applyFont="1" applyBorder="1" applyAlignment="1">
      <alignment horizontal="center" vertical="center"/>
    </xf>
    <xf numFmtId="2" fontId="3" fillId="0" borderId="81" xfId="1" applyNumberFormat="1" applyFont="1" applyBorder="1" applyAlignment="1">
      <alignment horizontal="center" vertical="center"/>
    </xf>
    <xf numFmtId="164" fontId="3" fillId="0" borderId="78" xfId="3" applyFont="1" applyBorder="1" applyAlignment="1">
      <alignment vertical="center"/>
    </xf>
    <xf numFmtId="164" fontId="3" fillId="0" borderId="79" xfId="3" applyFont="1" applyBorder="1" applyAlignment="1">
      <alignment vertical="center"/>
    </xf>
    <xf numFmtId="164" fontId="3" fillId="0" borderId="81" xfId="3" applyFont="1" applyBorder="1" applyAlignment="1">
      <alignment vertical="center"/>
    </xf>
    <xf numFmtId="0" fontId="3" fillId="0" borderId="27" xfId="2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77" xfId="1" applyFont="1" applyBorder="1" applyAlignment="1">
      <alignment vertical="center" wrapText="1"/>
    </xf>
    <xf numFmtId="2" fontId="3" fillId="0" borderId="27" xfId="1" quotePrefix="1" applyNumberFormat="1" applyFon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4" fontId="3" fillId="0" borderId="25" xfId="1" applyNumberFormat="1" applyFont="1" applyBorder="1" applyAlignment="1">
      <alignment horizontal="center" vertical="center"/>
    </xf>
    <xf numFmtId="4" fontId="2" fillId="0" borderId="25" xfId="1" applyNumberFormat="1" applyFont="1" applyBorder="1" applyAlignment="1">
      <alignment horizontal="center" vertical="center"/>
    </xf>
    <xf numFmtId="2" fontId="3" fillId="0" borderId="83" xfId="1" applyNumberFormat="1" applyFont="1" applyBorder="1" applyAlignment="1">
      <alignment horizontal="center" vertical="center"/>
    </xf>
    <xf numFmtId="164" fontId="3" fillId="0" borderId="84" xfId="3" applyFont="1" applyBorder="1" applyAlignment="1">
      <alignment vertical="center"/>
    </xf>
    <xf numFmtId="164" fontId="3" fillId="0" borderId="24" xfId="3" applyFont="1" applyBorder="1" applyAlignment="1">
      <alignment vertical="center"/>
    </xf>
    <xf numFmtId="164" fontId="3" fillId="0" borderId="83" xfId="3" applyFont="1" applyBorder="1" applyAlignment="1">
      <alignment vertical="center"/>
    </xf>
    <xf numFmtId="167" fontId="3" fillId="0" borderId="183" xfId="0" applyNumberFormat="1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167" fontId="3" fillId="0" borderId="41" xfId="1" applyNumberFormat="1" applyFont="1" applyBorder="1" applyAlignment="1">
      <alignment horizontal="center" vertical="center"/>
    </xf>
    <xf numFmtId="164" fontId="3" fillId="0" borderId="1" xfId="3" applyFont="1" applyBorder="1" applyAlignment="1">
      <alignment vertical="center"/>
    </xf>
    <xf numFmtId="0" fontId="3" fillId="0" borderId="78" xfId="0" applyFont="1" applyBorder="1" applyAlignment="1">
      <alignment horizontal="center" vertical="center"/>
    </xf>
    <xf numFmtId="0" fontId="3" fillId="0" borderId="79" xfId="0" applyFont="1" applyBorder="1" applyAlignment="1">
      <alignment horizontal="center" vertical="center"/>
    </xf>
    <xf numFmtId="0" fontId="3" fillId="0" borderId="54" xfId="1" applyFont="1" applyBorder="1" applyAlignment="1">
      <alignment horizontal="left" vertical="center" wrapText="1" readingOrder="1"/>
    </xf>
    <xf numFmtId="0" fontId="3" fillId="0" borderId="34" xfId="1" applyFont="1" applyBorder="1" applyAlignment="1">
      <alignment horizontal="center" vertical="center"/>
    </xf>
    <xf numFmtId="164" fontId="3" fillId="0" borderId="32" xfId="3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2" fontId="3" fillId="0" borderId="82" xfId="1" applyNumberFormat="1" applyFont="1" applyBorder="1" applyAlignment="1">
      <alignment horizontal="center" vertical="center"/>
    </xf>
    <xf numFmtId="167" fontId="3" fillId="0" borderId="83" xfId="1" applyNumberFormat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 wrapText="1" readingOrder="1"/>
    </xf>
    <xf numFmtId="0" fontId="3" fillId="0" borderId="52" xfId="1" applyFont="1" applyBorder="1" applyAlignment="1">
      <alignment vertical="center" wrapText="1" readingOrder="1"/>
    </xf>
    <xf numFmtId="0" fontId="3" fillId="0" borderId="84" xfId="0" applyFont="1" applyBorder="1" applyAlignment="1">
      <alignment horizontal="center" vertical="center"/>
    </xf>
    <xf numFmtId="0" fontId="3" fillId="0" borderId="17" xfId="1" applyFont="1" applyBorder="1" applyAlignment="1">
      <alignment vertical="center" wrapText="1" readingOrder="1"/>
    </xf>
    <xf numFmtId="4" fontId="2" fillId="0" borderId="24" xfId="1" applyNumberFormat="1" applyFont="1" applyBorder="1" applyAlignment="1">
      <alignment horizontal="center" vertical="center"/>
    </xf>
    <xf numFmtId="0" fontId="3" fillId="0" borderId="77" xfId="1" applyFont="1" applyBorder="1" applyAlignment="1">
      <alignment horizontal="left" vertical="center" wrapText="1"/>
    </xf>
    <xf numFmtId="164" fontId="3" fillId="0" borderId="25" xfId="3" applyFont="1" applyBorder="1" applyAlignment="1">
      <alignment horizontal="center" vertical="center"/>
    </xf>
    <xf numFmtId="0" fontId="3" fillId="0" borderId="55" xfId="1" applyFont="1" applyBorder="1" applyAlignment="1">
      <alignment horizontal="left" vertical="center" wrapText="1"/>
    </xf>
    <xf numFmtId="0" fontId="3" fillId="0" borderId="34" xfId="1" applyFont="1" applyBorder="1" applyAlignment="1">
      <alignment horizontal="left" vertical="center" wrapText="1"/>
    </xf>
    <xf numFmtId="0" fontId="3" fillId="0" borderId="17" xfId="1" applyFont="1" applyBorder="1" applyAlignment="1">
      <alignment horizontal="left" vertical="center" wrapText="1"/>
    </xf>
    <xf numFmtId="0" fontId="3" fillId="0" borderId="81" xfId="1" applyFont="1" applyBorder="1" applyAlignment="1">
      <alignment horizontal="left" vertical="center" wrapText="1"/>
    </xf>
    <xf numFmtId="0" fontId="3" fillId="0" borderId="52" xfId="1" applyFont="1" applyBorder="1" applyAlignment="1">
      <alignment horizontal="left" vertical="center" wrapText="1"/>
    </xf>
    <xf numFmtId="0" fontId="2" fillId="0" borderId="23" xfId="1" applyFont="1" applyBorder="1" applyAlignment="1">
      <alignment vertical="center" wrapText="1"/>
    </xf>
    <xf numFmtId="2" fontId="3" fillId="0" borderId="85" xfId="1" applyNumberFormat="1" applyFont="1" applyBorder="1" applyAlignment="1">
      <alignment horizontal="center" vertical="center"/>
    </xf>
    <xf numFmtId="0" fontId="80" fillId="0" borderId="23" xfId="1" applyFont="1" applyBorder="1" applyAlignment="1">
      <alignment vertical="center" wrapText="1"/>
    </xf>
    <xf numFmtId="167" fontId="80" fillId="0" borderId="81" xfId="1" applyNumberFormat="1" applyFont="1" applyBorder="1" applyAlignment="1">
      <alignment horizontal="center" vertical="center"/>
    </xf>
    <xf numFmtId="167" fontId="2" fillId="0" borderId="81" xfId="1" applyNumberFormat="1" applyFont="1" applyBorder="1" applyAlignment="1">
      <alignment horizontal="center" vertical="center"/>
    </xf>
    <xf numFmtId="0" fontId="73" fillId="0" borderId="23" xfId="1" applyFont="1" applyBorder="1" applyAlignment="1">
      <alignment vertical="center" wrapText="1"/>
    </xf>
    <xf numFmtId="167" fontId="73" fillId="0" borderId="81" xfId="1" applyNumberFormat="1" applyFont="1" applyBorder="1" applyAlignment="1">
      <alignment horizontal="center" vertical="center"/>
    </xf>
    <xf numFmtId="2" fontId="3" fillId="0" borderId="80" xfId="1" applyNumberFormat="1" applyFont="1" applyBorder="1" applyAlignment="1">
      <alignment horizontal="center" vertical="center" wrapText="1"/>
    </xf>
    <xf numFmtId="2" fontId="3" fillId="0" borderId="27" xfId="1" applyNumberFormat="1" applyFont="1" applyBorder="1" applyAlignment="1">
      <alignment horizontal="center" vertical="center"/>
    </xf>
    <xf numFmtId="4" fontId="3" fillId="0" borderId="27" xfId="1" applyNumberFormat="1" applyFont="1" applyBorder="1" applyAlignment="1">
      <alignment horizontal="center" vertical="center"/>
    </xf>
    <xf numFmtId="2" fontId="2" fillId="0" borderId="83" xfId="1" applyNumberFormat="1" applyFont="1" applyBorder="1" applyAlignment="1">
      <alignment horizontal="center" vertical="center"/>
    </xf>
    <xf numFmtId="164" fontId="3" fillId="0" borderId="27" xfId="3" applyFont="1" applyBorder="1" applyAlignment="1">
      <alignment horizontal="center" vertical="center"/>
    </xf>
    <xf numFmtId="2" fontId="3" fillId="0" borderId="46" xfId="1" applyNumberFormat="1" applyFont="1" applyBorder="1" applyAlignment="1">
      <alignment horizontal="center" vertical="center"/>
    </xf>
    <xf numFmtId="164" fontId="3" fillId="0" borderId="36" xfId="3" applyFont="1" applyBorder="1" applyAlignment="1">
      <alignment vertical="center"/>
    </xf>
    <xf numFmtId="0" fontId="3" fillId="0" borderId="25" xfId="2" applyBorder="1" applyAlignment="1">
      <alignment horizontal="center" vertical="center"/>
    </xf>
    <xf numFmtId="164" fontId="3" fillId="0" borderId="25" xfId="3" applyFont="1" applyBorder="1" applyAlignment="1">
      <alignment vertical="center"/>
    </xf>
    <xf numFmtId="164" fontId="3" fillId="0" borderId="27" xfId="3" applyFont="1" applyBorder="1" applyAlignment="1">
      <alignment vertical="center"/>
    </xf>
    <xf numFmtId="49" fontId="72" fillId="0" borderId="32" xfId="0" quotePrefix="1" applyNumberFormat="1" applyFont="1" applyBorder="1" applyAlignment="1">
      <alignment horizontal="center" vertical="center"/>
    </xf>
    <xf numFmtId="164" fontId="2" fillId="0" borderId="3" xfId="3" applyFont="1" applyFill="1" applyBorder="1" applyAlignment="1">
      <alignment vertical="center"/>
    </xf>
    <xf numFmtId="164" fontId="2" fillId="0" borderId="28" xfId="3" applyFont="1" applyFill="1" applyBorder="1" applyAlignment="1">
      <alignment vertical="center"/>
    </xf>
    <xf numFmtId="164" fontId="3" fillId="0" borderId="31" xfId="3" applyFont="1" applyFill="1" applyBorder="1" applyAlignment="1">
      <alignment vertical="center"/>
    </xf>
    <xf numFmtId="164" fontId="3" fillId="0" borderId="44" xfId="3" applyFont="1" applyFill="1" applyBorder="1" applyAlignment="1">
      <alignment horizontal="center" vertical="center"/>
    </xf>
    <xf numFmtId="164" fontId="3" fillId="0" borderId="6" xfId="3" applyFont="1" applyFill="1" applyBorder="1" applyAlignment="1">
      <alignment horizontal="center" vertical="center"/>
    </xf>
    <xf numFmtId="164" fontId="3" fillId="0" borderId="32" xfId="3" applyFont="1" applyFill="1" applyBorder="1" applyAlignment="1">
      <alignment vertical="center"/>
    </xf>
    <xf numFmtId="164" fontId="3" fillId="0" borderId="6" xfId="3" applyFont="1" applyFill="1" applyBorder="1" applyAlignment="1">
      <alignment vertical="center"/>
    </xf>
    <xf numFmtId="164" fontId="2" fillId="0" borderId="66" xfId="3" applyFont="1" applyFill="1" applyBorder="1" applyAlignment="1">
      <alignment vertical="center"/>
    </xf>
    <xf numFmtId="164" fontId="2" fillId="0" borderId="62" xfId="3" applyFont="1" applyFill="1" applyBorder="1" applyAlignment="1">
      <alignment vertical="center"/>
    </xf>
    <xf numFmtId="49" fontId="2" fillId="0" borderId="4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0" fontId="84" fillId="0" borderId="13" xfId="0" applyFont="1" applyBorder="1" applyAlignment="1">
      <alignment vertical="center" wrapText="1"/>
    </xf>
    <xf numFmtId="4" fontId="85" fillId="0" borderId="10" xfId="0" applyNumberFormat="1" applyFont="1" applyBorder="1" applyAlignment="1">
      <alignment horizontal="center" vertical="center"/>
    </xf>
    <xf numFmtId="4" fontId="44" fillId="0" borderId="13" xfId="0" applyNumberFormat="1" applyFont="1" applyBorder="1" applyAlignment="1">
      <alignment vertical="center"/>
    </xf>
    <xf numFmtId="4" fontId="2" fillId="0" borderId="12" xfId="1" applyNumberFormat="1" applyFont="1" applyBorder="1" applyAlignment="1">
      <alignment vertical="center"/>
    </xf>
    <xf numFmtId="4" fontId="2" fillId="0" borderId="10" xfId="1" applyNumberFormat="1" applyFont="1" applyBorder="1" applyAlignment="1">
      <alignment vertical="center"/>
    </xf>
    <xf numFmtId="4" fontId="2" fillId="0" borderId="13" xfId="1" applyNumberFormat="1" applyFont="1" applyBorder="1" applyAlignment="1">
      <alignment vertical="center"/>
    </xf>
    <xf numFmtId="164" fontId="2" fillId="0" borderId="12" xfId="3" applyFont="1" applyFill="1" applyBorder="1" applyAlignment="1">
      <alignment vertical="center"/>
    </xf>
    <xf numFmtId="164" fontId="2" fillId="0" borderId="10" xfId="3" applyFont="1" applyFill="1" applyBorder="1" applyAlignment="1">
      <alignment vertical="center"/>
    </xf>
    <xf numFmtId="164" fontId="2" fillId="0" borderId="13" xfId="3" applyFont="1" applyBorder="1" applyAlignment="1">
      <alignment vertical="center"/>
    </xf>
    <xf numFmtId="164" fontId="2" fillId="0" borderId="21" xfId="3" applyFont="1" applyBorder="1" applyAlignment="1">
      <alignment vertical="center"/>
    </xf>
    <xf numFmtId="49" fontId="2" fillId="0" borderId="84" xfId="0" applyNumberFormat="1" applyFont="1" applyBorder="1" applyAlignment="1">
      <alignment horizontal="center" vertical="center"/>
    </xf>
    <xf numFmtId="49" fontId="2" fillId="0" borderId="85" xfId="0" applyNumberFormat="1" applyFont="1" applyBorder="1" applyAlignment="1">
      <alignment horizontal="center" vertical="center"/>
    </xf>
    <xf numFmtId="0" fontId="84" fillId="0" borderId="17" xfId="0" applyFont="1" applyBorder="1" applyAlignment="1">
      <alignment horizontal="left" vertical="center" wrapText="1"/>
    </xf>
    <xf numFmtId="4" fontId="85" fillId="0" borderId="11" xfId="0" applyNumberFormat="1" applyFont="1" applyBorder="1" applyAlignment="1">
      <alignment horizontal="center" vertical="center"/>
    </xf>
    <xf numFmtId="4" fontId="44" fillId="0" borderId="17" xfId="0" applyNumberFormat="1" applyFont="1" applyBorder="1" applyAlignment="1">
      <alignment vertical="center"/>
    </xf>
    <xf numFmtId="4" fontId="2" fillId="0" borderId="16" xfId="1" applyNumberFormat="1" applyFont="1" applyBorder="1" applyAlignment="1">
      <alignment vertical="center"/>
    </xf>
    <xf numFmtId="4" fontId="2" fillId="0" borderId="11" xfId="1" applyNumberFormat="1" applyFont="1" applyBorder="1" applyAlignment="1">
      <alignment vertical="center"/>
    </xf>
    <xf numFmtId="4" fontId="2" fillId="0" borderId="17" xfId="1" applyNumberFormat="1" applyFont="1" applyBorder="1" applyAlignment="1">
      <alignment vertical="center"/>
    </xf>
    <xf numFmtId="164" fontId="2" fillId="0" borderId="11" xfId="3" applyFont="1" applyFill="1" applyBorder="1" applyAlignment="1">
      <alignment vertical="center"/>
    </xf>
    <xf numFmtId="164" fontId="2" fillId="0" borderId="17" xfId="3" applyFont="1" applyBorder="1" applyAlignment="1">
      <alignment vertical="center"/>
    </xf>
    <xf numFmtId="164" fontId="2" fillId="0" borderId="26" xfId="3" applyFont="1" applyBorder="1" applyAlignment="1">
      <alignment vertical="center"/>
    </xf>
    <xf numFmtId="0" fontId="3" fillId="0" borderId="32" xfId="0" quotePrefix="1" applyFont="1" applyBorder="1" applyAlignment="1">
      <alignment horizontal="center" vertical="center"/>
    </xf>
    <xf numFmtId="4" fontId="2" fillId="0" borderId="66" xfId="1" applyNumberFormat="1" applyFont="1" applyBorder="1" applyAlignment="1">
      <alignment vertical="center"/>
    </xf>
    <xf numFmtId="49" fontId="72" fillId="0" borderId="6" xfId="0" quotePrefix="1" applyNumberFormat="1" applyFont="1" applyBorder="1" applyAlignment="1">
      <alignment horizontal="center" vertical="center"/>
    </xf>
    <xf numFmtId="0" fontId="3" fillId="0" borderId="47" xfId="0" applyFont="1" applyBorder="1" applyAlignment="1">
      <alignment horizontal="left" vertical="center" wrapText="1"/>
    </xf>
    <xf numFmtId="4" fontId="3" fillId="0" borderId="32" xfId="1" applyNumberFormat="1" applyFont="1" applyBorder="1" applyAlignment="1">
      <alignment horizontal="left" vertical="center"/>
    </xf>
    <xf numFmtId="49" fontId="72" fillId="20" borderId="32" xfId="0" quotePrefix="1" applyNumberFormat="1" applyFont="1" applyFill="1" applyBorder="1" applyAlignment="1" applyProtection="1">
      <alignment horizontal="center" vertical="center" wrapText="1"/>
      <protection locked="0"/>
    </xf>
    <xf numFmtId="49" fontId="72" fillId="20" borderId="6" xfId="0" quotePrefix="1" applyNumberFormat="1" applyFont="1" applyFill="1" applyBorder="1" applyAlignment="1" applyProtection="1">
      <alignment horizontal="center" vertical="center" wrapText="1"/>
      <protection locked="0"/>
    </xf>
    <xf numFmtId="4" fontId="3" fillId="20" borderId="32" xfId="1" applyNumberFormat="1" applyFont="1" applyFill="1" applyBorder="1" applyAlignment="1" applyProtection="1">
      <alignment horizontal="left" vertical="center"/>
      <protection locked="0"/>
    </xf>
    <xf numFmtId="0" fontId="86" fillId="0" borderId="12" xfId="0" applyFont="1" applyBorder="1" applyAlignment="1">
      <alignment horizontal="center"/>
    </xf>
    <xf numFmtId="0" fontId="3" fillId="0" borderId="10" xfId="0" applyFont="1" applyBorder="1" applyAlignment="1">
      <alignment horizontal="left"/>
    </xf>
    <xf numFmtId="0" fontId="3" fillId="0" borderId="10" xfId="1" applyFont="1" applyBorder="1"/>
    <xf numFmtId="2" fontId="3" fillId="0" borderId="28" xfId="1" applyNumberFormat="1" applyFont="1" applyBorder="1" applyAlignment="1">
      <alignment horizontal="center"/>
    </xf>
    <xf numFmtId="167" fontId="3" fillId="0" borderId="28" xfId="1" applyNumberFormat="1" applyFont="1" applyBorder="1" applyAlignment="1">
      <alignment horizontal="center"/>
    </xf>
    <xf numFmtId="4" fontId="3" fillId="0" borderId="28" xfId="1" applyNumberFormat="1" applyFont="1" applyBorder="1" applyAlignment="1">
      <alignment horizontal="center"/>
    </xf>
    <xf numFmtId="4" fontId="2" fillId="0" borderId="28" xfId="1" applyNumberFormat="1" applyFont="1" applyBorder="1" applyAlignment="1">
      <alignment horizontal="center"/>
    </xf>
    <xf numFmtId="164" fontId="3" fillId="0" borderId="28" xfId="3" applyFont="1" applyBorder="1" applyAlignment="1">
      <alignment horizontal="center"/>
    </xf>
    <xf numFmtId="164" fontId="3" fillId="0" borderId="28" xfId="3" applyFont="1" applyBorder="1"/>
    <xf numFmtId="164" fontId="3" fillId="0" borderId="38" xfId="3" applyFont="1" applyBorder="1"/>
    <xf numFmtId="0" fontId="87" fillId="0" borderId="3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2" fillId="0" borderId="28" xfId="1" applyFont="1" applyBorder="1" applyAlignment="1">
      <alignment horizontal="left" vertical="center" indent="7"/>
    </xf>
    <xf numFmtId="2" fontId="3" fillId="0" borderId="28" xfId="1" applyNumberFormat="1" applyFont="1" applyBorder="1" applyAlignment="1">
      <alignment horizontal="center" vertical="center"/>
    </xf>
    <xf numFmtId="167" fontId="3" fillId="0" borderId="28" xfId="1" applyNumberFormat="1" applyFont="1" applyBorder="1" applyAlignment="1">
      <alignment horizontal="center" vertical="center"/>
    </xf>
    <xf numFmtId="4" fontId="3" fillId="0" borderId="28" xfId="1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right" vertical="center"/>
    </xf>
    <xf numFmtId="164" fontId="2" fillId="0" borderId="11" xfId="3" applyFont="1" applyBorder="1" applyAlignment="1">
      <alignment vertical="center"/>
    </xf>
    <xf numFmtId="49" fontId="2" fillId="0" borderId="56" xfId="0" applyNumberFormat="1" applyFont="1" applyBorder="1" applyAlignment="1">
      <alignment horizontal="left" vertical="center"/>
    </xf>
    <xf numFmtId="0" fontId="2" fillId="0" borderId="73" xfId="0" applyFont="1" applyBorder="1" applyAlignment="1">
      <alignment horizontal="left" vertical="center"/>
    </xf>
    <xf numFmtId="0" fontId="2" fillId="0" borderId="73" xfId="0" applyFont="1" applyBorder="1" applyAlignment="1" applyProtection="1">
      <alignment horizontal="left" vertical="center"/>
      <protection locked="0"/>
    </xf>
    <xf numFmtId="49" fontId="2" fillId="0" borderId="73" xfId="0" applyNumberFormat="1" applyFont="1" applyBorder="1" applyAlignment="1" applyProtection="1">
      <alignment horizontal="center" vertical="center"/>
      <protection locked="0"/>
    </xf>
    <xf numFmtId="0" fontId="2" fillId="0" borderId="77" xfId="0" applyFont="1" applyBorder="1" applyAlignment="1">
      <alignment horizontal="right" vertical="center"/>
    </xf>
    <xf numFmtId="181" fontId="73" fillId="0" borderId="8" xfId="0" applyNumberFormat="1" applyFont="1" applyBorder="1" applyAlignment="1">
      <alignment horizontal="center" vertical="center"/>
    </xf>
    <xf numFmtId="0" fontId="2" fillId="0" borderId="58" xfId="0" applyFont="1" applyBorder="1" applyAlignment="1">
      <alignment horizontal="left" vertical="center"/>
    </xf>
    <xf numFmtId="0" fontId="2" fillId="0" borderId="61" xfId="0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0" borderId="53" xfId="0" applyNumberFormat="1" applyFont="1" applyBorder="1" applyAlignment="1">
      <alignment horizontal="center" vertical="center"/>
    </xf>
    <xf numFmtId="0" fontId="2" fillId="0" borderId="74" xfId="0" applyFont="1" applyBorder="1" applyAlignment="1">
      <alignment horizontal="left" vertical="center"/>
    </xf>
    <xf numFmtId="0" fontId="2" fillId="0" borderId="75" xfId="0" applyFont="1" applyBorder="1" applyAlignment="1">
      <alignment horizontal="center" vertical="center"/>
    </xf>
    <xf numFmtId="49" fontId="2" fillId="0" borderId="54" xfId="0" applyNumberFormat="1" applyFont="1" applyBorder="1" applyAlignment="1">
      <alignment horizontal="center" vertical="center"/>
    </xf>
    <xf numFmtId="49" fontId="2" fillId="0" borderId="45" xfId="0" applyNumberFormat="1" applyFont="1" applyBorder="1" applyAlignment="1">
      <alignment horizontal="center" vertical="center"/>
    </xf>
    <xf numFmtId="0" fontId="2" fillId="5" borderId="62" xfId="0" applyFont="1" applyFill="1" applyBorder="1" applyAlignment="1" applyProtection="1">
      <alignment horizontal="center" vertical="center"/>
      <protection locked="0"/>
    </xf>
    <xf numFmtId="0" fontId="2" fillId="5" borderId="54" xfId="0" applyFont="1" applyFill="1" applyBorder="1" applyAlignment="1" applyProtection="1">
      <alignment horizontal="center" vertical="center"/>
      <protection locked="0"/>
    </xf>
    <xf numFmtId="49" fontId="2" fillId="0" borderId="56" xfId="0" applyNumberFormat="1" applyFont="1" applyBorder="1" applyAlignment="1">
      <alignment horizontal="center" vertical="center"/>
    </xf>
    <xf numFmtId="0" fontId="2" fillId="0" borderId="73" xfId="0" applyFont="1" applyBorder="1" applyAlignment="1" applyProtection="1">
      <alignment horizontal="center" vertical="center"/>
      <protection locked="0"/>
    </xf>
    <xf numFmtId="49" fontId="2" fillId="0" borderId="12" xfId="0" applyNumberFormat="1" applyFont="1" applyBorder="1" applyAlignment="1">
      <alignment horizontal="center" wrapText="1"/>
    </xf>
    <xf numFmtId="0" fontId="2" fillId="0" borderId="13" xfId="0" applyFont="1" applyBorder="1" applyAlignment="1">
      <alignment horizontal="centerContinuous" wrapText="1"/>
    </xf>
    <xf numFmtId="0" fontId="2" fillId="0" borderId="37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49" xfId="1" applyFont="1" applyBorder="1" applyAlignment="1">
      <alignment horizontal="center"/>
    </xf>
    <xf numFmtId="164" fontId="3" fillId="5" borderId="31" xfId="3" applyFont="1" applyFill="1" applyBorder="1" applyAlignment="1" applyProtection="1">
      <alignment vertical="center"/>
      <protection locked="0"/>
    </xf>
    <xf numFmtId="164" fontId="3" fillId="0" borderId="31" xfId="3" applyFont="1" applyFill="1" applyBorder="1" applyAlignment="1" applyProtection="1">
      <alignment vertical="center"/>
    </xf>
    <xf numFmtId="164" fontId="3" fillId="5" borderId="32" xfId="3" applyFont="1" applyFill="1" applyBorder="1" applyAlignment="1" applyProtection="1">
      <alignment vertical="center"/>
      <protection locked="0"/>
    </xf>
    <xf numFmtId="164" fontId="3" fillId="0" borderId="6" xfId="3" applyFont="1" applyFill="1" applyBorder="1" applyAlignment="1" applyProtection="1">
      <alignment vertical="center"/>
    </xf>
    <xf numFmtId="0" fontId="3" fillId="0" borderId="34" xfId="0" applyFont="1" applyBorder="1" applyAlignment="1">
      <alignment horizontal="left" vertical="center" wrapText="1"/>
    </xf>
    <xf numFmtId="49" fontId="72" fillId="0" borderId="39" xfId="0" quotePrefix="1" applyNumberFormat="1" applyFont="1" applyBorder="1" applyAlignment="1">
      <alignment horizontal="center" vertical="center"/>
    </xf>
    <xf numFmtId="49" fontId="72" fillId="0" borderId="40" xfId="0" quotePrefix="1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left" vertical="center" wrapText="1"/>
    </xf>
    <xf numFmtId="164" fontId="3" fillId="5" borderId="1" xfId="3" applyFont="1" applyFill="1" applyBorder="1" applyAlignment="1" applyProtection="1">
      <alignment vertical="center"/>
      <protection locked="0"/>
    </xf>
    <xf numFmtId="164" fontId="3" fillId="0" borderId="40" xfId="3" applyFont="1" applyFill="1" applyBorder="1" applyAlignment="1" applyProtection="1">
      <alignment vertical="center"/>
    </xf>
    <xf numFmtId="49" fontId="2" fillId="0" borderId="3" xfId="0" applyNumberFormat="1" applyFont="1" applyBorder="1" applyAlignment="1">
      <alignment horizontal="center" vertical="center"/>
    </xf>
    <xf numFmtId="4" fontId="44" fillId="0" borderId="38" xfId="0" applyNumberFormat="1" applyFont="1" applyBorder="1" applyAlignment="1">
      <alignment horizontal="center" vertical="center"/>
    </xf>
    <xf numFmtId="164" fontId="3" fillId="0" borderId="5" xfId="3" applyFont="1" applyFill="1" applyBorder="1" applyAlignment="1" applyProtection="1">
      <alignment vertical="center"/>
    </xf>
    <xf numFmtId="164" fontId="3" fillId="0" borderId="31" xfId="3" applyFont="1" applyFill="1" applyBorder="1" applyAlignment="1" applyProtection="1">
      <alignment vertical="center"/>
      <protection locked="0"/>
    </xf>
    <xf numFmtId="164" fontId="3" fillId="0" borderId="6" xfId="3" applyFont="1" applyFill="1" applyBorder="1" applyAlignment="1" applyProtection="1">
      <alignment vertical="center"/>
      <protection locked="0"/>
    </xf>
    <xf numFmtId="164" fontId="3" fillId="5" borderId="78" xfId="3" applyFont="1" applyFill="1" applyBorder="1" applyAlignment="1" applyProtection="1">
      <alignment vertical="center"/>
      <protection locked="0"/>
    </xf>
    <xf numFmtId="164" fontId="3" fillId="0" borderId="79" xfId="3" applyFont="1" applyFill="1" applyBorder="1" applyAlignment="1" applyProtection="1">
      <alignment vertical="center"/>
    </xf>
    <xf numFmtId="164" fontId="3" fillId="2" borderId="84" xfId="3" applyFont="1" applyFill="1" applyBorder="1" applyAlignment="1" applyProtection="1">
      <alignment vertical="center"/>
    </xf>
    <xf numFmtId="164" fontId="3" fillId="0" borderId="24" xfId="3" applyFont="1" applyFill="1" applyBorder="1" applyAlignment="1" applyProtection="1">
      <alignment vertical="center"/>
    </xf>
    <xf numFmtId="164" fontId="3" fillId="0" borderId="1" xfId="3" applyFont="1" applyFill="1" applyBorder="1" applyAlignment="1" applyProtection="1">
      <alignment vertical="center"/>
    </xf>
    <xf numFmtId="164" fontId="3" fillId="0" borderId="6" xfId="3" applyFont="1" applyFill="1" applyBorder="1" applyAlignment="1" applyProtection="1">
      <alignment horizontal="center" vertical="center"/>
    </xf>
    <xf numFmtId="164" fontId="3" fillId="0" borderId="0" xfId="3" applyFont="1"/>
    <xf numFmtId="164" fontId="3" fillId="0" borderId="25" xfId="3" applyFont="1" applyFill="1" applyBorder="1" applyAlignment="1" applyProtection="1">
      <alignment horizontal="center" vertical="center"/>
    </xf>
    <xf numFmtId="164" fontId="3" fillId="5" borderId="36" xfId="3" applyFont="1" applyFill="1" applyBorder="1" applyAlignment="1" applyProtection="1">
      <alignment vertical="center"/>
      <protection locked="0"/>
    </xf>
    <xf numFmtId="2" fontId="3" fillId="0" borderId="46" xfId="1" applyNumberFormat="1" applyFont="1" applyBorder="1" applyAlignment="1">
      <alignment horizontal="center" vertical="center" wrapText="1"/>
    </xf>
    <xf numFmtId="164" fontId="2" fillId="0" borderId="66" xfId="3" applyFont="1" applyBorder="1" applyAlignment="1" applyProtection="1">
      <alignment vertical="center"/>
    </xf>
    <xf numFmtId="164" fontId="2" fillId="0" borderId="62" xfId="3" applyFont="1" applyBorder="1" applyAlignment="1" applyProtection="1">
      <alignment vertical="center"/>
    </xf>
    <xf numFmtId="164" fontId="2" fillId="0" borderId="54" xfId="3" applyFont="1" applyBorder="1" applyAlignment="1" applyProtection="1">
      <alignment vertical="center"/>
    </xf>
    <xf numFmtId="164" fontId="3" fillId="0" borderId="4" xfId="3" applyFont="1" applyBorder="1" applyAlignment="1" applyProtection="1">
      <alignment vertical="center"/>
    </xf>
    <xf numFmtId="164" fontId="3" fillId="0" borderId="34" xfId="3" applyFont="1" applyBorder="1" applyAlignment="1" applyProtection="1">
      <alignment vertical="center"/>
    </xf>
    <xf numFmtId="164" fontId="3" fillId="0" borderId="47" xfId="3" applyFont="1" applyBorder="1" applyAlignment="1" applyProtection="1">
      <alignment vertical="center"/>
    </xf>
    <xf numFmtId="164" fontId="3" fillId="0" borderId="25" xfId="3" applyFont="1" applyFill="1" applyBorder="1" applyAlignment="1" applyProtection="1">
      <alignment vertical="center"/>
    </xf>
    <xf numFmtId="164" fontId="3" fillId="2" borderId="27" xfId="3" applyFont="1" applyFill="1" applyBorder="1" applyAlignment="1" applyProtection="1">
      <alignment vertical="center"/>
    </xf>
    <xf numFmtId="49" fontId="72" fillId="0" borderId="32" xfId="0" quotePrefix="1" applyNumberFormat="1" applyFont="1" applyBorder="1" applyAlignment="1" applyProtection="1">
      <alignment horizontal="center" vertical="center"/>
      <protection locked="0"/>
    </xf>
    <xf numFmtId="164" fontId="2" fillId="0" borderId="3" xfId="3" applyFont="1" applyBorder="1" applyAlignment="1" applyProtection="1">
      <alignment vertical="center"/>
    </xf>
    <xf numFmtId="164" fontId="2" fillId="0" borderId="28" xfId="3" applyFont="1" applyBorder="1" applyAlignment="1" applyProtection="1">
      <alignment vertical="center"/>
    </xf>
    <xf numFmtId="164" fontId="2" fillId="0" borderId="38" xfId="3" applyFont="1" applyBorder="1" applyAlignment="1" applyProtection="1">
      <alignment vertical="center"/>
    </xf>
    <xf numFmtId="164" fontId="2" fillId="0" borderId="29" xfId="3" applyFont="1" applyBorder="1" applyAlignment="1" applyProtection="1">
      <alignment vertical="center"/>
    </xf>
    <xf numFmtId="164" fontId="2" fillId="0" borderId="62" xfId="3" applyFont="1" applyFill="1" applyBorder="1" applyAlignment="1" applyProtection="1">
      <alignment vertical="center"/>
    </xf>
    <xf numFmtId="164" fontId="3" fillId="0" borderId="34" xfId="3" applyFont="1" applyFill="1" applyBorder="1" applyAlignment="1" applyProtection="1">
      <alignment vertical="center"/>
    </xf>
    <xf numFmtId="164" fontId="3" fillId="0" borderId="31" xfId="3" applyFont="1" applyBorder="1" applyAlignment="1" applyProtection="1">
      <alignment vertical="center"/>
      <protection locked="0"/>
    </xf>
    <xf numFmtId="164" fontId="2" fillId="0" borderId="54" xfId="3" applyFont="1" applyFill="1" applyBorder="1" applyAlignment="1" applyProtection="1">
      <alignment vertical="center"/>
    </xf>
    <xf numFmtId="164" fontId="2" fillId="0" borderId="12" xfId="3" applyFont="1" applyBorder="1" applyAlignment="1">
      <alignment vertical="center"/>
    </xf>
    <xf numFmtId="164" fontId="2" fillId="0" borderId="10" xfId="3" applyFont="1" applyBorder="1" applyAlignment="1">
      <alignment vertical="center"/>
    </xf>
    <xf numFmtId="49" fontId="72" fillId="0" borderId="32" xfId="0" quotePrefix="1" applyNumberFormat="1" applyFont="1" applyBorder="1" applyAlignment="1">
      <alignment horizontal="center" vertical="center" wrapText="1"/>
    </xf>
    <xf numFmtId="49" fontId="72" fillId="0" borderId="6" xfId="0" quotePrefix="1" applyNumberFormat="1" applyFont="1" applyBorder="1" applyAlignment="1">
      <alignment horizontal="center" vertical="center" wrapText="1"/>
    </xf>
    <xf numFmtId="0" fontId="72" fillId="0" borderId="32" xfId="0" quotePrefix="1" applyFont="1" applyBorder="1" applyAlignment="1">
      <alignment horizontal="center" vertical="center" wrapText="1"/>
    </xf>
    <xf numFmtId="0" fontId="72" fillId="0" borderId="6" xfId="0" quotePrefix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3" fillId="0" borderId="28" xfId="0" applyFont="1" applyBorder="1" applyAlignment="1">
      <alignment horizontal="center" vertical="center"/>
    </xf>
    <xf numFmtId="181" fontId="73" fillId="20" borderId="8" xfId="0" applyNumberFormat="1" applyFont="1" applyFill="1" applyBorder="1" applyAlignment="1" applyProtection="1">
      <alignment horizontal="center" vertical="center"/>
      <protection locked="0"/>
    </xf>
    <xf numFmtId="0" fontId="2" fillId="5" borderId="20" xfId="0" applyFont="1" applyFill="1" applyBorder="1" applyAlignment="1" applyProtection="1">
      <alignment horizontal="left" vertical="center"/>
      <protection locked="0"/>
    </xf>
    <xf numFmtId="0" fontId="2" fillId="5" borderId="62" xfId="0" applyFont="1" applyFill="1" applyBorder="1" applyAlignment="1" applyProtection="1">
      <alignment horizontal="left" vertical="center"/>
      <protection locked="0"/>
    </xf>
    <xf numFmtId="182" fontId="77" fillId="0" borderId="6" xfId="4" applyNumberFormat="1" applyFont="1" applyBorder="1" applyAlignment="1">
      <alignment vertical="center"/>
    </xf>
    <xf numFmtId="1" fontId="57" fillId="0" borderId="36" xfId="0" applyNumberFormat="1" applyFont="1" applyBorder="1" applyAlignment="1">
      <alignment horizontal="left" vertical="center"/>
    </xf>
    <xf numFmtId="0" fontId="57" fillId="0" borderId="31" xfId="0" applyFont="1" applyBorder="1" applyAlignment="1">
      <alignment horizontal="left" vertical="center"/>
    </xf>
    <xf numFmtId="0" fontId="57" fillId="0" borderId="127" xfId="0" applyFont="1" applyBorder="1" applyAlignment="1">
      <alignment horizontal="center" vertical="center"/>
    </xf>
    <xf numFmtId="1" fontId="58" fillId="2" borderId="32" xfId="0" applyNumberFormat="1" applyFont="1" applyFill="1" applyBorder="1" applyAlignment="1">
      <alignment vertical="center" shrinkToFit="1"/>
    </xf>
    <xf numFmtId="0" fontId="4" fillId="0" borderId="6" xfId="0" applyFont="1" applyBorder="1" applyAlignment="1">
      <alignment vertical="center" wrapText="1"/>
    </xf>
    <xf numFmtId="0" fontId="4" fillId="0" borderId="7" xfId="0" applyFont="1" applyBorder="1" applyAlignment="1">
      <alignment horizontal="center" vertical="center" wrapText="1"/>
    </xf>
    <xf numFmtId="4" fontId="58" fillId="2" borderId="32" xfId="0" applyNumberFormat="1" applyFont="1" applyFill="1" applyBorder="1" applyAlignment="1">
      <alignment horizontal="right" vertical="center" shrinkToFit="1"/>
    </xf>
    <xf numFmtId="4" fontId="58" fillId="2" borderId="6" xfId="0" applyNumberFormat="1" applyFont="1" applyFill="1" applyBorder="1" applyAlignment="1">
      <alignment horizontal="right" vertical="center" shrinkToFit="1"/>
    </xf>
    <xf numFmtId="4" fontId="58" fillId="2" borderId="7" xfId="0" applyNumberFormat="1" applyFont="1" applyFill="1" applyBorder="1" applyAlignment="1">
      <alignment horizontal="right" vertical="center" shrinkToFit="1"/>
    </xf>
    <xf numFmtId="1" fontId="58" fillId="2" borderId="44" xfId="0" applyNumberFormat="1" applyFont="1" applyFill="1" applyBorder="1" applyAlignment="1">
      <alignment vertical="center" shrinkToFit="1"/>
    </xf>
    <xf numFmtId="1" fontId="58" fillId="2" borderId="27" xfId="0" applyNumberFormat="1" applyFont="1" applyFill="1" applyBorder="1" applyAlignment="1">
      <alignment vertical="center" shrinkToFit="1"/>
    </xf>
    <xf numFmtId="0" fontId="4" fillId="0" borderId="25" xfId="0" applyFont="1" applyBorder="1" applyAlignment="1">
      <alignment vertical="center" wrapText="1"/>
    </xf>
    <xf numFmtId="0" fontId="4" fillId="0" borderId="183" xfId="0" applyFont="1" applyBorder="1" applyAlignment="1">
      <alignment horizontal="center" vertical="center" wrapText="1"/>
    </xf>
    <xf numFmtId="4" fontId="58" fillId="2" borderId="27" xfId="0" applyNumberFormat="1" applyFont="1" applyFill="1" applyBorder="1" applyAlignment="1">
      <alignment horizontal="right" vertical="center" shrinkToFit="1"/>
    </xf>
    <xf numFmtId="4" fontId="58" fillId="2" borderId="25" xfId="0" applyNumberFormat="1" applyFont="1" applyFill="1" applyBorder="1" applyAlignment="1">
      <alignment horizontal="right" vertical="center" shrinkToFit="1"/>
    </xf>
    <xf numFmtId="4" fontId="58" fillId="2" borderId="183" xfId="0" applyNumberFormat="1" applyFont="1" applyFill="1" applyBorder="1" applyAlignment="1">
      <alignment horizontal="right" vertical="center" shrinkToFit="1"/>
    </xf>
    <xf numFmtId="4" fontId="58" fillId="0" borderId="6" xfId="0" applyNumberFormat="1" applyFont="1" applyBorder="1" applyAlignment="1">
      <alignment horizontal="right" vertical="center" shrinkToFit="1"/>
    </xf>
    <xf numFmtId="4" fontId="58" fillId="0" borderId="7" xfId="0" applyNumberFormat="1" applyFont="1" applyBorder="1" applyAlignment="1">
      <alignment horizontal="right" vertical="center" shrinkToFit="1"/>
    </xf>
    <xf numFmtId="4" fontId="58" fillId="0" borderId="25" xfId="0" applyNumberFormat="1" applyFont="1" applyBorder="1" applyAlignment="1">
      <alignment horizontal="right" vertical="center" shrinkToFit="1"/>
    </xf>
    <xf numFmtId="4" fontId="58" fillId="0" borderId="183" xfId="0" applyNumberFormat="1" applyFont="1" applyBorder="1" applyAlignment="1">
      <alignment horizontal="right" vertical="center" shrinkToFit="1"/>
    </xf>
    <xf numFmtId="0" fontId="0" fillId="0" borderId="6" xfId="0" applyBorder="1"/>
    <xf numFmtId="0" fontId="57" fillId="0" borderId="6" xfId="0" applyFont="1" applyBorder="1" applyAlignment="1">
      <alignment horizontal="center" vertical="center" wrapText="1"/>
    </xf>
    <xf numFmtId="0" fontId="57" fillId="0" borderId="36" xfId="0" applyFont="1" applyBorder="1" applyAlignment="1">
      <alignment horizontal="center" vertical="center" wrapText="1"/>
    </xf>
    <xf numFmtId="0" fontId="57" fillId="0" borderId="31" xfId="0" applyFont="1" applyBorder="1" applyAlignment="1">
      <alignment horizontal="center" vertical="center" wrapText="1"/>
    </xf>
    <xf numFmtId="17" fontId="57" fillId="0" borderId="31" xfId="0" applyNumberFormat="1" applyFont="1" applyBorder="1" applyAlignment="1">
      <alignment horizontal="center" vertical="center" wrapText="1"/>
    </xf>
    <xf numFmtId="17" fontId="57" fillId="0" borderId="127" xfId="0" applyNumberFormat="1" applyFont="1" applyBorder="1" applyAlignment="1">
      <alignment horizontal="center" vertical="center" wrapText="1"/>
    </xf>
    <xf numFmtId="17" fontId="45" fillId="0" borderId="7" xfId="0" applyNumberFormat="1" applyFont="1" applyBorder="1" applyAlignment="1">
      <alignment vertical="center"/>
    </xf>
    <xf numFmtId="17" fontId="45" fillId="0" borderId="62" xfId="0" applyNumberFormat="1" applyFont="1" applyBorder="1" applyAlignment="1">
      <alignment horizontal="left" vertical="center"/>
    </xf>
    <xf numFmtId="0" fontId="0" fillId="0" borderId="62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44" xfId="0" applyBorder="1" applyAlignment="1">
      <alignment vertical="center"/>
    </xf>
    <xf numFmtId="0" fontId="4" fillId="0" borderId="3" xfId="5" applyFont="1" applyBorder="1" applyAlignment="1">
      <alignment horizontal="left" vertical="center"/>
    </xf>
    <xf numFmtId="0" fontId="6" fillId="0" borderId="28" xfId="5" applyFont="1" applyBorder="1" applyAlignment="1">
      <alignment horizontal="right" vertical="center"/>
    </xf>
    <xf numFmtId="0" fontId="4" fillId="0" borderId="3" xfId="14" applyBorder="1" applyAlignment="1" applyProtection="1">
      <alignment vertical="center"/>
      <protection locked="0"/>
    </xf>
    <xf numFmtId="0" fontId="4" fillId="0" borderId="28" xfId="14" applyBorder="1" applyProtection="1">
      <protection locked="0"/>
    </xf>
    <xf numFmtId="0" fontId="6" fillId="0" borderId="38" xfId="5" applyFont="1" applyBorder="1" applyAlignment="1">
      <alignment horizontal="right" vertical="center"/>
    </xf>
    <xf numFmtId="0" fontId="6" fillId="0" borderId="12" xfId="14" applyFont="1" applyBorder="1" applyAlignment="1">
      <alignment horizontal="left" vertical="top"/>
    </xf>
    <xf numFmtId="0" fontId="6" fillId="0" borderId="10" xfId="14" applyFont="1" applyBorder="1"/>
    <xf numFmtId="0" fontId="6" fillId="0" borderId="157" xfId="14" applyFont="1" applyBorder="1"/>
    <xf numFmtId="0" fontId="6" fillId="0" borderId="10" xfId="14" applyFont="1" applyBorder="1" applyAlignment="1">
      <alignment horizontal="left"/>
    </xf>
    <xf numFmtId="0" fontId="6" fillId="0" borderId="10" xfId="14" applyFont="1" applyBorder="1" applyAlignment="1">
      <alignment horizontal="centerContinuous" vertical="center"/>
    </xf>
    <xf numFmtId="0" fontId="6" fillId="0" borderId="13" xfId="14" applyFont="1" applyBorder="1"/>
    <xf numFmtId="0" fontId="4" fillId="0" borderId="16" xfId="14" applyBorder="1" applyAlignment="1">
      <alignment horizontal="centerContinuous" vertical="center"/>
    </xf>
    <xf numFmtId="14" fontId="4" fillId="0" borderId="11" xfId="14" applyNumberFormat="1" applyBorder="1" applyAlignment="1">
      <alignment horizontal="center" vertical="center"/>
    </xf>
    <xf numFmtId="0" fontId="4" fillId="0" borderId="158" xfId="14" applyBorder="1"/>
    <xf numFmtId="0" fontId="4" fillId="0" borderId="11" xfId="14" applyBorder="1" applyAlignment="1">
      <alignment horizontal="centerContinuous" vertical="center" wrapText="1"/>
    </xf>
    <xf numFmtId="0" fontId="4" fillId="0" borderId="11" xfId="14" applyBorder="1" applyAlignment="1">
      <alignment vertical="center"/>
    </xf>
    <xf numFmtId="17" fontId="4" fillId="0" borderId="17" xfId="14" applyNumberFormat="1" applyBorder="1" applyAlignment="1">
      <alignment horizontal="center" vertical="center"/>
    </xf>
    <xf numFmtId="0" fontId="4" fillId="0" borderId="38" xfId="14" applyBorder="1" applyAlignment="1" applyProtection="1">
      <alignment horizontal="centerContinuous" vertical="center"/>
      <protection locked="0"/>
    </xf>
    <xf numFmtId="181" fontId="74" fillId="0" borderId="3" xfId="0" applyNumberFormat="1" applyFont="1" applyBorder="1" applyAlignment="1">
      <alignment horizontal="centerContinuous" vertical="center"/>
    </xf>
    <xf numFmtId="164" fontId="6" fillId="4" borderId="38" xfId="3" applyFont="1" applyFill="1" applyBorder="1"/>
    <xf numFmtId="164" fontId="6" fillId="4" borderId="38" xfId="3" applyFont="1" applyFill="1" applyBorder="1" applyAlignment="1">
      <alignment vertical="center"/>
    </xf>
    <xf numFmtId="164" fontId="3" fillId="3" borderId="6" xfId="3" applyFont="1" applyFill="1" applyBorder="1"/>
    <xf numFmtId="164" fontId="3" fillId="3" borderId="141" xfId="3" applyFont="1" applyFill="1" applyBorder="1" applyProtection="1">
      <protection locked="0"/>
    </xf>
    <xf numFmtId="164" fontId="3" fillId="3" borderId="62" xfId="3" applyFont="1" applyFill="1" applyBorder="1"/>
    <xf numFmtId="164" fontId="3" fillId="3" borderId="62" xfId="3" applyFont="1" applyFill="1" applyBorder="1" applyProtection="1">
      <protection locked="0"/>
    </xf>
    <xf numFmtId="164" fontId="3" fillId="3" borderId="31" xfId="3" applyFont="1" applyFill="1" applyBorder="1"/>
    <xf numFmtId="164" fontId="3" fillId="3" borderId="142" xfId="3" applyFont="1" applyFill="1" applyBorder="1" applyProtection="1">
      <protection locked="0"/>
    </xf>
    <xf numFmtId="164" fontId="3" fillId="3" borderId="101" xfId="3" applyFont="1" applyFill="1" applyBorder="1"/>
    <xf numFmtId="164" fontId="3" fillId="3" borderId="129" xfId="3" applyFont="1" applyFill="1" applyBorder="1"/>
    <xf numFmtId="164" fontId="3" fillId="3" borderId="9" xfId="3" applyFont="1" applyFill="1" applyBorder="1"/>
    <xf numFmtId="164" fontId="38" fillId="3" borderId="146" xfId="3" applyFont="1" applyFill="1" applyBorder="1"/>
    <xf numFmtId="164" fontId="38" fillId="3" borderId="144" xfId="3" applyFont="1" applyFill="1" applyBorder="1"/>
    <xf numFmtId="164" fontId="38" fillId="3" borderId="1" xfId="3" applyFont="1" applyFill="1" applyBorder="1"/>
    <xf numFmtId="164" fontId="38" fillId="3" borderId="145" xfId="3" applyFont="1" applyFill="1" applyBorder="1" applyProtection="1">
      <protection locked="0"/>
    </xf>
    <xf numFmtId="164" fontId="43" fillId="0" borderId="129" xfId="3" applyFont="1" applyBorder="1" applyAlignment="1">
      <alignment horizontal="right"/>
    </xf>
    <xf numFmtId="164" fontId="41" fillId="3" borderId="47" xfId="3" applyFont="1" applyFill="1" applyBorder="1"/>
    <xf numFmtId="164" fontId="3" fillId="3" borderId="131" xfId="3" applyFont="1" applyFill="1" applyBorder="1"/>
    <xf numFmtId="164" fontId="3" fillId="3" borderId="132" xfId="3" applyFont="1" applyFill="1" applyBorder="1"/>
    <xf numFmtId="164" fontId="38" fillId="3" borderId="135" xfId="3" applyFont="1" applyFill="1" applyBorder="1"/>
    <xf numFmtId="164" fontId="38" fillId="3" borderId="136" xfId="3" applyFont="1" applyFill="1" applyBorder="1"/>
    <xf numFmtId="164" fontId="38" fillId="3" borderId="113" xfId="3" applyFont="1" applyFill="1" applyBorder="1"/>
    <xf numFmtId="4" fontId="72" fillId="0" borderId="54" xfId="0" applyNumberFormat="1" applyFont="1" applyBorder="1" applyAlignment="1">
      <alignment horizontal="center" vertical="center"/>
    </xf>
    <xf numFmtId="0" fontId="72" fillId="0" borderId="6" xfId="0" applyFont="1" applyBorder="1" applyAlignment="1" applyProtection="1">
      <alignment horizontal="center" vertical="center"/>
      <protection locked="0"/>
    </xf>
    <xf numFmtId="0" fontId="72" fillId="0" borderId="66" xfId="0" applyFont="1" applyBorder="1" applyAlignment="1">
      <alignment horizontal="center" vertical="center" wrapText="1"/>
    </xf>
    <xf numFmtId="0" fontId="3" fillId="0" borderId="0" xfId="0" quotePrefix="1" applyFont="1"/>
    <xf numFmtId="0" fontId="28" fillId="0" borderId="0" xfId="0" applyFont="1" applyAlignment="1">
      <alignment vertical="center"/>
    </xf>
    <xf numFmtId="164" fontId="75" fillId="0" borderId="0" xfId="3" applyFont="1"/>
    <xf numFmtId="164" fontId="75" fillId="0" borderId="0" xfId="3" applyFont="1" applyAlignment="1">
      <alignment horizontal="right"/>
    </xf>
    <xf numFmtId="164" fontId="75" fillId="0" borderId="0" xfId="3" applyFont="1" applyAlignment="1">
      <alignment horizontal="center"/>
    </xf>
    <xf numFmtId="164" fontId="51" fillId="0" borderId="0" xfId="3" applyFont="1"/>
    <xf numFmtId="164" fontId="51" fillId="0" borderId="0" xfId="3" applyFont="1" applyAlignment="1">
      <alignment horizontal="right"/>
    </xf>
    <xf numFmtId="164" fontId="51" fillId="0" borderId="0" xfId="3" applyFont="1" applyAlignment="1">
      <alignment horizontal="center"/>
    </xf>
    <xf numFmtId="179" fontId="61" fillId="19" borderId="0" xfId="0" applyNumberFormat="1" applyFont="1" applyFill="1" applyAlignment="1">
      <alignment horizontal="center" vertical="center" wrapText="1"/>
    </xf>
    <xf numFmtId="0" fontId="87" fillId="23" borderId="12" xfId="1" applyFont="1" applyFill="1" applyBorder="1" applyAlignment="1">
      <alignment vertical="center"/>
    </xf>
    <xf numFmtId="0" fontId="87" fillId="23" borderId="10" xfId="1" applyFont="1" applyFill="1" applyBorder="1" applyAlignment="1">
      <alignment vertical="center"/>
    </xf>
    <xf numFmtId="0" fontId="72" fillId="23" borderId="10" xfId="0" applyFont="1" applyFill="1" applyBorder="1" applyAlignment="1">
      <alignment vertical="top" wrapText="1"/>
    </xf>
    <xf numFmtId="0" fontId="72" fillId="23" borderId="13" xfId="0" applyFont="1" applyFill="1" applyBorder="1" applyAlignment="1">
      <alignment vertical="top" wrapText="1"/>
    </xf>
    <xf numFmtId="0" fontId="72" fillId="23" borderId="76" xfId="1" applyFont="1" applyFill="1" applyBorder="1" applyAlignment="1">
      <alignment vertical="center"/>
    </xf>
    <xf numFmtId="0" fontId="87" fillId="23" borderId="67" xfId="1" applyFont="1" applyFill="1" applyBorder="1" applyAlignment="1">
      <alignment vertical="center"/>
    </xf>
    <xf numFmtId="0" fontId="72" fillId="23" borderId="67" xfId="0" applyFont="1" applyFill="1" applyBorder="1" applyAlignment="1">
      <alignment vertical="top" wrapText="1"/>
    </xf>
    <xf numFmtId="0" fontId="72" fillId="23" borderId="52" xfId="0" applyFont="1" applyFill="1" applyBorder="1" applyAlignment="1">
      <alignment vertical="top" wrapText="1"/>
    </xf>
    <xf numFmtId="0" fontId="72" fillId="23" borderId="16" xfId="1" applyFont="1" applyFill="1" applyBorder="1" applyAlignment="1">
      <alignment vertical="center"/>
    </xf>
    <xf numFmtId="0" fontId="87" fillId="23" borderId="11" xfId="1" applyFont="1" applyFill="1" applyBorder="1" applyAlignment="1">
      <alignment vertical="center"/>
    </xf>
    <xf numFmtId="0" fontId="72" fillId="23" borderId="11" xfId="0" applyFont="1" applyFill="1" applyBorder="1" applyAlignment="1">
      <alignment vertical="top" wrapText="1"/>
    </xf>
    <xf numFmtId="0" fontId="72" fillId="23" borderId="17" xfId="0" applyFont="1" applyFill="1" applyBorder="1" applyAlignment="1">
      <alignment vertical="top" wrapText="1"/>
    </xf>
    <xf numFmtId="167" fontId="72" fillId="0" borderId="34" xfId="1" applyNumberFormat="1" applyFont="1" applyBorder="1" applyAlignment="1">
      <alignment horizontal="center" vertical="center"/>
    </xf>
    <xf numFmtId="167" fontId="72" fillId="0" borderId="83" xfId="1" applyNumberFormat="1" applyFont="1" applyBorder="1" applyAlignment="1">
      <alignment horizontal="center" vertical="center"/>
    </xf>
    <xf numFmtId="0" fontId="74" fillId="2" borderId="16" xfId="5" applyFont="1" applyFill="1" applyBorder="1" applyAlignment="1">
      <alignment horizontal="center" vertical="center"/>
    </xf>
    <xf numFmtId="0" fontId="24" fillId="2" borderId="12" xfId="5" applyFont="1" applyFill="1" applyBorder="1" applyAlignment="1">
      <alignment horizontal="center"/>
    </xf>
    <xf numFmtId="167" fontId="3" fillId="0" borderId="166" xfId="5" applyNumberFormat="1" applyBorder="1" applyAlignment="1">
      <alignment horizontal="left"/>
    </xf>
    <xf numFmtId="0" fontId="88" fillId="23" borderId="6" xfId="0" applyFont="1" applyFill="1" applyBorder="1" applyAlignment="1" applyProtection="1">
      <alignment horizontal="center" vertical="center"/>
      <protection locked="0"/>
    </xf>
    <xf numFmtId="167" fontId="3" fillId="20" borderId="54" xfId="1" applyNumberFormat="1" applyFont="1" applyFill="1" applyBorder="1" applyAlignment="1" applyProtection="1">
      <alignment horizontal="center" vertical="center"/>
      <protection locked="0"/>
    </xf>
    <xf numFmtId="164" fontId="72" fillId="0" borderId="6" xfId="16" applyFont="1" applyBorder="1" applyAlignment="1" applyProtection="1">
      <alignment vertical="center" wrapText="1"/>
    </xf>
    <xf numFmtId="181" fontId="74" fillId="0" borderId="29" xfId="0" applyNumberFormat="1" applyFont="1" applyBorder="1" applyAlignment="1">
      <alignment horizontal="center" vertical="center"/>
    </xf>
    <xf numFmtId="0" fontId="2" fillId="20" borderId="8" xfId="0" applyFont="1" applyFill="1" applyBorder="1" applyAlignment="1" applyProtection="1">
      <alignment horizontal="left"/>
      <protection locked="0"/>
    </xf>
    <xf numFmtId="167" fontId="9" fillId="20" borderId="6" xfId="1" applyNumberFormat="1" applyFont="1" applyFill="1" applyBorder="1" applyAlignment="1" applyProtection="1">
      <alignment horizontal="center"/>
      <protection locked="0"/>
    </xf>
    <xf numFmtId="1" fontId="9" fillId="20" borderId="6" xfId="1" applyNumberFormat="1" applyFont="1" applyFill="1" applyBorder="1" applyAlignment="1" applyProtection="1">
      <alignment horizontal="center"/>
      <protection locked="0"/>
    </xf>
    <xf numFmtId="2" fontId="7" fillId="20" borderId="0" xfId="0" applyNumberFormat="1" applyFont="1" applyFill="1" applyAlignment="1" applyProtection="1">
      <alignment horizontal="center"/>
      <protection locked="0"/>
    </xf>
    <xf numFmtId="166" fontId="7" fillId="20" borderId="0" xfId="0" applyNumberFormat="1" applyFont="1" applyFill="1" applyAlignment="1" applyProtection="1">
      <alignment horizontal="center"/>
      <protection locked="0"/>
    </xf>
    <xf numFmtId="2" fontId="9" fillId="20" borderId="0" xfId="0" applyNumberFormat="1" applyFont="1" applyFill="1" applyAlignment="1" applyProtection="1">
      <alignment horizontal="center"/>
      <protection locked="0"/>
    </xf>
    <xf numFmtId="0" fontId="9" fillId="20" borderId="0" xfId="0" applyFont="1" applyFill="1" applyProtection="1">
      <protection locked="0"/>
    </xf>
    <xf numFmtId="0" fontId="9" fillId="20" borderId="0" xfId="0" applyFont="1" applyFill="1" applyAlignment="1" applyProtection="1">
      <alignment horizontal="center"/>
      <protection locked="0"/>
    </xf>
    <xf numFmtId="1" fontId="9" fillId="20" borderId="7" xfId="1" applyNumberFormat="1" applyFont="1" applyFill="1" applyBorder="1" applyAlignment="1" applyProtection="1">
      <alignment horizontal="center"/>
      <protection locked="0"/>
    </xf>
    <xf numFmtId="0" fontId="2" fillId="20" borderId="9" xfId="0" applyFont="1" applyFill="1" applyBorder="1" applyAlignment="1">
      <alignment horizontal="left"/>
    </xf>
    <xf numFmtId="49" fontId="89" fillId="3" borderId="0" xfId="0" applyNumberFormat="1" applyFont="1" applyFill="1" applyAlignment="1">
      <alignment horizontal="left" vertical="center"/>
    </xf>
    <xf numFmtId="0" fontId="37" fillId="14" borderId="6" xfId="18" quotePrefix="1" applyFont="1" applyFill="1" applyBorder="1" applyAlignment="1">
      <alignment horizontal="center"/>
    </xf>
    <xf numFmtId="0" fontId="91" fillId="3" borderId="121" xfId="14" applyFont="1" applyFill="1" applyBorder="1" applyAlignment="1">
      <alignment horizontal="right"/>
    </xf>
    <xf numFmtId="1" fontId="74" fillId="20" borderId="122" xfId="14" applyNumberFormat="1" applyFont="1" applyFill="1" applyBorder="1" applyAlignment="1" applyProtection="1">
      <alignment horizontal="center"/>
      <protection locked="0"/>
    </xf>
    <xf numFmtId="10" fontId="3" fillId="0" borderId="6" xfId="4" applyNumberFormat="1" applyFont="1" applyFill="1" applyBorder="1" applyAlignment="1" applyProtection="1">
      <alignment horizontal="center" vertical="center"/>
    </xf>
    <xf numFmtId="4" fontId="6" fillId="20" borderId="111" xfId="14" applyNumberFormat="1" applyFont="1" applyFill="1" applyBorder="1" applyAlignment="1" applyProtection="1">
      <alignment horizontal="left" indent="1"/>
      <protection locked="0"/>
    </xf>
    <xf numFmtId="4" fontId="3" fillId="0" borderId="43" xfId="1" applyNumberFormat="1" applyFont="1" applyBorder="1" applyAlignment="1">
      <alignment horizontal="center" vertical="center"/>
    </xf>
    <xf numFmtId="4" fontId="3" fillId="0" borderId="1" xfId="1" applyNumberFormat="1" applyFont="1" applyBorder="1" applyAlignment="1">
      <alignment horizontal="center" vertical="center"/>
    </xf>
    <xf numFmtId="0" fontId="3" fillId="0" borderId="55" xfId="1" quotePrefix="1" applyFont="1" applyBorder="1" applyAlignment="1">
      <alignment horizontal="left" vertical="center" wrapText="1"/>
    </xf>
    <xf numFmtId="2" fontId="3" fillId="0" borderId="43" xfId="1" quotePrefix="1" applyNumberFormat="1" applyFont="1" applyBorder="1" applyAlignment="1">
      <alignment horizontal="center" vertical="center"/>
    </xf>
    <xf numFmtId="4" fontId="3" fillId="0" borderId="39" xfId="1" quotePrefix="1" applyNumberFormat="1" applyFont="1" applyBorder="1" applyAlignment="1">
      <alignment horizontal="center" vertical="center"/>
    </xf>
    <xf numFmtId="164" fontId="3" fillId="0" borderId="39" xfId="3" applyFont="1" applyBorder="1" applyAlignment="1">
      <alignment vertical="center"/>
    </xf>
    <xf numFmtId="164" fontId="3" fillId="0" borderId="40" xfId="3" applyFont="1" applyBorder="1" applyAlignment="1">
      <alignment vertical="center"/>
    </xf>
    <xf numFmtId="49" fontId="72" fillId="20" borderId="39" xfId="0" quotePrefix="1" applyNumberFormat="1" applyFont="1" applyFill="1" applyBorder="1" applyAlignment="1" applyProtection="1">
      <alignment horizontal="center" vertical="center"/>
      <protection locked="0"/>
    </xf>
    <xf numFmtId="49" fontId="72" fillId="20" borderId="40" xfId="0" quotePrefix="1" applyNumberFormat="1" applyFont="1" applyFill="1" applyBorder="1" applyAlignment="1" applyProtection="1">
      <alignment horizontal="center" vertical="center"/>
      <protection locked="0"/>
    </xf>
    <xf numFmtId="0" fontId="3" fillId="20" borderId="118" xfId="0" applyFont="1" applyFill="1" applyBorder="1" applyAlignment="1" applyProtection="1">
      <alignment horizontal="left" vertical="center" wrapText="1"/>
      <protection locked="0"/>
    </xf>
    <xf numFmtId="0" fontId="3" fillId="20" borderId="41" xfId="0" applyFont="1" applyFill="1" applyBorder="1" applyAlignment="1" applyProtection="1">
      <alignment horizontal="left" vertical="center" wrapText="1"/>
      <protection locked="0"/>
    </xf>
    <xf numFmtId="4" fontId="3" fillId="0" borderId="43" xfId="1" quotePrefix="1" applyNumberFormat="1" applyFont="1" applyBorder="1" applyAlignment="1">
      <alignment horizontal="center" vertical="center"/>
    </xf>
    <xf numFmtId="164" fontId="3" fillId="0" borderId="43" xfId="3" applyFont="1" applyBorder="1" applyAlignment="1">
      <alignment horizontal="center" vertical="center"/>
    </xf>
    <xf numFmtId="164" fontId="3" fillId="0" borderId="40" xfId="3" applyFont="1" applyBorder="1" applyAlignment="1">
      <alignment horizontal="center" vertical="center"/>
    </xf>
    <xf numFmtId="2" fontId="3" fillId="0" borderId="39" xfId="1" quotePrefix="1" applyNumberFormat="1" applyFont="1" applyBorder="1" applyAlignment="1">
      <alignment horizontal="center" vertical="center"/>
    </xf>
    <xf numFmtId="4" fontId="3" fillId="0" borderId="181" xfId="1" applyNumberFormat="1" applyFont="1" applyBorder="1" applyAlignment="1">
      <alignment horizontal="center" vertical="center"/>
    </xf>
    <xf numFmtId="164" fontId="3" fillId="0" borderId="181" xfId="3" applyFont="1" applyBorder="1" applyAlignment="1">
      <alignment vertical="center"/>
    </xf>
    <xf numFmtId="2" fontId="3" fillId="0" borderId="174" xfId="1" applyNumberFormat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55" xfId="1" applyFont="1" applyBorder="1" applyAlignment="1">
      <alignment vertical="center" wrapText="1"/>
    </xf>
    <xf numFmtId="4" fontId="85" fillId="0" borderId="9" xfId="0" applyNumberFormat="1" applyFont="1" applyBorder="1" applyAlignment="1">
      <alignment horizontal="center" vertical="center"/>
    </xf>
    <xf numFmtId="4" fontId="44" fillId="0" borderId="55" xfId="0" applyNumberFormat="1" applyFont="1" applyBorder="1" applyAlignment="1">
      <alignment vertical="center"/>
    </xf>
    <xf numFmtId="4" fontId="2" fillId="0" borderId="176" xfId="1" applyNumberFormat="1" applyFont="1" applyBorder="1" applyAlignment="1">
      <alignment horizontal="center" vertical="center"/>
    </xf>
    <xf numFmtId="4" fontId="2" fillId="0" borderId="9" xfId="1" applyNumberFormat="1" applyFont="1" applyBorder="1" applyAlignment="1">
      <alignment horizontal="center" vertical="center"/>
    </xf>
    <xf numFmtId="4" fontId="2" fillId="0" borderId="9" xfId="1" applyNumberFormat="1" applyFont="1" applyBorder="1" applyAlignment="1">
      <alignment vertical="center"/>
    </xf>
    <xf numFmtId="164" fontId="2" fillId="0" borderId="176" xfId="3" applyFont="1" applyBorder="1" applyAlignment="1">
      <alignment vertical="center"/>
    </xf>
    <xf numFmtId="164" fontId="2" fillId="0" borderId="9" xfId="3" applyFont="1" applyBorder="1" applyAlignment="1">
      <alignment vertical="center"/>
    </xf>
    <xf numFmtId="164" fontId="2" fillId="0" borderId="55" xfId="3" applyFont="1" applyBorder="1" applyAlignment="1">
      <alignment vertical="center"/>
    </xf>
    <xf numFmtId="164" fontId="3" fillId="0" borderId="1" xfId="3" applyFont="1" applyFill="1" applyBorder="1" applyAlignment="1">
      <alignment vertical="center"/>
    </xf>
    <xf numFmtId="2" fontId="2" fillId="0" borderId="41" xfId="1" applyNumberFormat="1" applyFont="1" applyBorder="1" applyAlignment="1">
      <alignment horizontal="center" vertical="center"/>
    </xf>
    <xf numFmtId="164" fontId="3" fillId="0" borderId="43" xfId="3" applyFont="1" applyFill="1" applyBorder="1" applyAlignment="1">
      <alignment horizontal="center" vertical="center"/>
    </xf>
    <xf numFmtId="164" fontId="3" fillId="0" borderId="40" xfId="3" applyFont="1" applyFill="1" applyBorder="1" applyAlignment="1">
      <alignment horizontal="center" vertical="center"/>
    </xf>
    <xf numFmtId="49" fontId="72" fillId="20" borderId="39" xfId="0" quotePrefix="1" applyNumberFormat="1" applyFont="1" applyFill="1" applyBorder="1" applyAlignment="1" applyProtection="1">
      <alignment horizontal="center" vertical="center" wrapText="1"/>
      <protection locked="0"/>
    </xf>
    <xf numFmtId="49" fontId="72" fillId="20" borderId="40" xfId="0" quotePrefix="1" applyNumberFormat="1" applyFont="1" applyFill="1" applyBorder="1" applyAlignment="1" applyProtection="1">
      <alignment horizontal="center" vertical="center" wrapText="1"/>
      <protection locked="0"/>
    </xf>
    <xf numFmtId="4" fontId="3" fillId="20" borderId="39" xfId="1" applyNumberFormat="1" applyFont="1" applyFill="1" applyBorder="1" applyAlignment="1" applyProtection="1">
      <alignment horizontal="left" vertical="center"/>
      <protection locked="0"/>
    </xf>
    <xf numFmtId="0" fontId="86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1" applyFont="1" applyAlignment="1">
      <alignment horizontal="left" indent="7"/>
    </xf>
    <xf numFmtId="2" fontId="3" fillId="0" borderId="0" xfId="1" applyNumberFormat="1" applyFont="1" applyAlignment="1">
      <alignment horizontal="center"/>
    </xf>
    <xf numFmtId="167" fontId="3" fillId="0" borderId="0" xfId="1" applyNumberFormat="1" applyFont="1" applyAlignment="1">
      <alignment horizontal="center"/>
    </xf>
    <xf numFmtId="4" fontId="3" fillId="0" borderId="0" xfId="1" applyNumberFormat="1" applyFont="1" applyAlignment="1">
      <alignment horizontal="center"/>
    </xf>
    <xf numFmtId="4" fontId="2" fillId="0" borderId="0" xfId="1" applyNumberFormat="1" applyFont="1" applyAlignment="1">
      <alignment horizontal="center"/>
    </xf>
    <xf numFmtId="164" fontId="3" fillId="0" borderId="0" xfId="3" applyFont="1" applyBorder="1" applyAlignment="1">
      <alignment horizontal="center"/>
    </xf>
    <xf numFmtId="164" fontId="2" fillId="0" borderId="0" xfId="3" applyFont="1" applyBorder="1" applyAlignment="1">
      <alignment vertical="center"/>
    </xf>
    <xf numFmtId="164" fontId="3" fillId="0" borderId="0" xfId="3" applyFont="1" applyBorder="1"/>
    <xf numFmtId="0" fontId="72" fillId="0" borderId="76" xfId="0" applyFont="1" applyBorder="1" applyAlignment="1">
      <alignment horizontal="center" vertical="center" wrapText="1"/>
    </xf>
    <xf numFmtId="0" fontId="72" fillId="0" borderId="31" xfId="0" applyFont="1" applyBorder="1" applyAlignment="1" applyProtection="1">
      <alignment horizontal="center" vertical="center"/>
      <protection locked="0"/>
    </xf>
    <xf numFmtId="2" fontId="3" fillId="20" borderId="46" xfId="1" applyNumberFormat="1" applyFont="1" applyFill="1" applyBorder="1" applyAlignment="1" applyProtection="1">
      <alignment horizontal="center" vertical="center"/>
      <protection locked="0"/>
    </xf>
    <xf numFmtId="49" fontId="72" fillId="20" borderId="36" xfId="0" quotePrefix="1" applyNumberFormat="1" applyFont="1" applyFill="1" applyBorder="1" applyAlignment="1" applyProtection="1">
      <alignment horizontal="center" vertical="center"/>
      <protection locked="0"/>
    </xf>
    <xf numFmtId="49" fontId="72" fillId="20" borderId="31" xfId="0" quotePrefix="1" applyNumberFormat="1" applyFont="1" applyFill="1" applyBorder="1" applyAlignment="1" applyProtection="1">
      <alignment horizontal="center" vertical="center"/>
      <protection locked="0"/>
    </xf>
    <xf numFmtId="167" fontId="3" fillId="20" borderId="47" xfId="1" applyNumberFormat="1" applyFont="1" applyFill="1" applyBorder="1" applyAlignment="1" applyProtection="1">
      <alignment horizontal="center" vertical="center"/>
      <protection locked="0"/>
    </xf>
    <xf numFmtId="4" fontId="3" fillId="20" borderId="36" xfId="1" applyNumberFormat="1" applyFont="1" applyFill="1" applyBorder="1" applyAlignment="1" applyProtection="1">
      <alignment horizontal="center" vertical="center"/>
      <protection locked="0"/>
    </xf>
    <xf numFmtId="4" fontId="3" fillId="20" borderId="31" xfId="1" applyNumberFormat="1" applyFont="1" applyFill="1" applyBorder="1" applyAlignment="1" applyProtection="1">
      <alignment horizontal="center" vertical="center"/>
      <protection locked="0"/>
    </xf>
    <xf numFmtId="4" fontId="3" fillId="0" borderId="46" xfId="1" quotePrefix="1" applyNumberFormat="1" applyFont="1" applyBorder="1" applyAlignment="1">
      <alignment horizontal="center" vertical="center"/>
    </xf>
    <xf numFmtId="4" fontId="3" fillId="0" borderId="31" xfId="1" quotePrefix="1" applyNumberFormat="1" applyFont="1" applyBorder="1" applyAlignment="1">
      <alignment horizontal="center" vertical="center"/>
    </xf>
    <xf numFmtId="0" fontId="3" fillId="0" borderId="36" xfId="2" applyBorder="1" applyAlignment="1">
      <alignment horizontal="center" vertical="center"/>
    </xf>
    <xf numFmtId="0" fontId="3" fillId="0" borderId="31" xfId="2" applyBorder="1" applyAlignment="1">
      <alignment horizontal="center" vertical="center"/>
    </xf>
    <xf numFmtId="0" fontId="80" fillId="0" borderId="52" xfId="1" applyFont="1" applyBorder="1" applyAlignment="1">
      <alignment vertical="center" wrapText="1"/>
    </xf>
    <xf numFmtId="167" fontId="80" fillId="0" borderId="47" xfId="1" applyNumberFormat="1" applyFont="1" applyBorder="1" applyAlignment="1">
      <alignment horizontal="center" vertical="center"/>
    </xf>
    <xf numFmtId="0" fontId="73" fillId="0" borderId="52" xfId="1" applyFont="1" applyBorder="1" applyAlignment="1">
      <alignment vertical="center" wrapText="1"/>
    </xf>
    <xf numFmtId="167" fontId="73" fillId="0" borderId="47" xfId="1" applyNumberFormat="1" applyFont="1" applyBorder="1" applyAlignment="1">
      <alignment horizontal="center" vertical="center"/>
    </xf>
    <xf numFmtId="0" fontId="3" fillId="0" borderId="18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5" xfId="1" applyFont="1" applyBorder="1" applyAlignment="1">
      <alignment vertical="center" wrapText="1"/>
    </xf>
    <xf numFmtId="167" fontId="3" fillId="0" borderId="118" xfId="1" applyNumberFormat="1" applyFont="1" applyBorder="1" applyAlignment="1">
      <alignment horizontal="center" vertical="center"/>
    </xf>
    <xf numFmtId="2" fontId="3" fillId="0" borderId="118" xfId="1" applyNumberFormat="1" applyFont="1" applyBorder="1" applyAlignment="1">
      <alignment horizontal="center" vertical="center"/>
    </xf>
    <xf numFmtId="164" fontId="3" fillId="0" borderId="118" xfId="3" applyFont="1" applyBorder="1" applyAlignment="1">
      <alignment vertical="center"/>
    </xf>
    <xf numFmtId="0" fontId="3" fillId="0" borderId="15" xfId="1" applyFont="1" applyBorder="1" applyAlignment="1">
      <alignment horizontal="left" vertical="center" wrapText="1"/>
    </xf>
    <xf numFmtId="0" fontId="72" fillId="0" borderId="36" xfId="0" quotePrefix="1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52" xfId="1" applyFont="1" applyBorder="1" applyAlignment="1">
      <alignment vertical="center" wrapText="1"/>
    </xf>
    <xf numFmtId="4" fontId="85" fillId="0" borderId="67" xfId="0" applyNumberFormat="1" applyFont="1" applyBorder="1" applyAlignment="1">
      <alignment horizontal="center" vertical="center"/>
    </xf>
    <xf numFmtId="4" fontId="44" fillId="0" borderId="52" xfId="0" applyNumberFormat="1" applyFont="1" applyBorder="1" applyAlignment="1">
      <alignment vertical="center"/>
    </xf>
    <xf numFmtId="4" fontId="2" fillId="0" borderId="76" xfId="1" applyNumberFormat="1" applyFont="1" applyBorder="1" applyAlignment="1">
      <alignment vertical="center"/>
    </xf>
    <xf numFmtId="4" fontId="2" fillId="0" borderId="67" xfId="1" applyNumberFormat="1" applyFont="1" applyBorder="1" applyAlignment="1">
      <alignment vertical="center"/>
    </xf>
    <xf numFmtId="164" fontId="2" fillId="0" borderId="76" xfId="3" applyFont="1" applyFill="1" applyBorder="1" applyAlignment="1">
      <alignment vertical="center"/>
    </xf>
    <xf numFmtId="164" fontId="2" fillId="0" borderId="67" xfId="3" applyFont="1" applyFill="1" applyBorder="1" applyAlignment="1">
      <alignment vertical="center"/>
    </xf>
    <xf numFmtId="164" fontId="2" fillId="0" borderId="52" xfId="3" applyFont="1" applyBorder="1" applyAlignment="1">
      <alignment vertical="center"/>
    </xf>
    <xf numFmtId="0" fontId="63" fillId="0" borderId="0" xfId="1" applyFont="1" applyAlignment="1">
      <alignment horizontal="left" vertical="center"/>
    </xf>
    <xf numFmtId="49" fontId="15" fillId="8" borderId="0" xfId="0" applyNumberFormat="1" applyFont="1" applyFill="1"/>
    <xf numFmtId="0" fontId="6" fillId="8" borderId="0" xfId="1" applyFont="1" applyFill="1"/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38" xfId="1" applyFont="1" applyBorder="1" applyAlignment="1">
      <alignment vertical="center" wrapText="1"/>
    </xf>
    <xf numFmtId="2" fontId="3" fillId="0" borderId="37" xfId="1" applyNumberFormat="1" applyFont="1" applyBorder="1" applyAlignment="1">
      <alignment horizontal="center" vertical="center"/>
    </xf>
    <xf numFmtId="167" fontId="3" fillId="0" borderId="30" xfId="1" applyNumberFormat="1" applyFont="1" applyBorder="1" applyAlignment="1">
      <alignment horizontal="center" vertical="center"/>
    </xf>
    <xf numFmtId="4" fontId="3" fillId="0" borderId="37" xfId="1" applyNumberFormat="1" applyFont="1" applyBorder="1" applyAlignment="1">
      <alignment horizontal="center" vertical="center"/>
    </xf>
    <xf numFmtId="4" fontId="3" fillId="0" borderId="5" xfId="1" applyNumberFormat="1" applyFont="1" applyBorder="1" applyAlignment="1">
      <alignment horizontal="center" vertical="center"/>
    </xf>
    <xf numFmtId="4" fontId="2" fillId="0" borderId="5" xfId="1" applyNumberFormat="1" applyFont="1" applyBorder="1" applyAlignment="1">
      <alignment horizontal="center" vertical="center"/>
    </xf>
    <xf numFmtId="2" fontId="3" fillId="0" borderId="30" xfId="1" applyNumberFormat="1" applyFont="1" applyBorder="1" applyAlignment="1">
      <alignment horizontal="center" vertical="center"/>
    </xf>
    <xf numFmtId="164" fontId="3" fillId="0" borderId="5" xfId="3" applyFont="1" applyBorder="1" applyAlignment="1">
      <alignment vertical="center"/>
    </xf>
    <xf numFmtId="164" fontId="3" fillId="0" borderId="30" xfId="3" applyFont="1" applyBorder="1" applyAlignment="1">
      <alignment vertical="center"/>
    </xf>
    <xf numFmtId="164" fontId="3" fillId="0" borderId="29" xfId="3" applyFont="1" applyBorder="1" applyAlignment="1">
      <alignment vertical="center"/>
    </xf>
    <xf numFmtId="0" fontId="72" fillId="0" borderId="3" xfId="0" applyFont="1" applyBorder="1" applyAlignment="1">
      <alignment horizontal="center" vertical="center" wrapText="1"/>
    </xf>
    <xf numFmtId="0" fontId="72" fillId="0" borderId="5" xfId="0" applyFont="1" applyBorder="1" applyAlignment="1" applyProtection="1">
      <alignment horizontal="center" vertical="center"/>
      <protection locked="0"/>
    </xf>
    <xf numFmtId="4" fontId="3" fillId="0" borderId="2" xfId="1" applyNumberFormat="1" applyFont="1" applyBorder="1" applyAlignment="1">
      <alignment horizontal="center" vertical="center"/>
    </xf>
    <xf numFmtId="164" fontId="3" fillId="0" borderId="2" xfId="3" applyFont="1" applyBorder="1" applyAlignment="1">
      <alignment vertical="center"/>
    </xf>
    <xf numFmtId="2" fontId="3" fillId="20" borderId="37" xfId="1" applyNumberFormat="1" applyFont="1" applyFill="1" applyBorder="1" applyAlignment="1" applyProtection="1">
      <alignment horizontal="center" vertical="center"/>
      <protection locked="0"/>
    </xf>
    <xf numFmtId="2" fontId="3" fillId="20" borderId="80" xfId="1" applyNumberFormat="1" applyFont="1" applyFill="1" applyBorder="1" applyAlignment="1" applyProtection="1">
      <alignment horizontal="center" vertical="center"/>
      <protection locked="0"/>
    </xf>
    <xf numFmtId="4" fontId="3" fillId="0" borderId="80" xfId="1" applyNumberFormat="1" applyFont="1" applyBorder="1" applyAlignment="1">
      <alignment horizontal="center" vertical="center"/>
    </xf>
    <xf numFmtId="0" fontId="3" fillId="20" borderId="83" xfId="0" applyFont="1" applyFill="1" applyBorder="1" applyAlignment="1" applyProtection="1">
      <alignment horizontal="left" vertical="center" wrapText="1"/>
      <protection locked="0"/>
    </xf>
    <xf numFmtId="2" fontId="3" fillId="20" borderId="82" xfId="1" applyNumberFormat="1" applyFont="1" applyFill="1" applyBorder="1" applyAlignment="1" applyProtection="1">
      <alignment horizontal="center" vertical="center"/>
      <protection locked="0"/>
    </xf>
    <xf numFmtId="167" fontId="3" fillId="20" borderId="83" xfId="1" applyNumberFormat="1" applyFont="1" applyFill="1" applyBorder="1" applyAlignment="1" applyProtection="1">
      <alignment horizontal="center" vertical="center"/>
      <protection locked="0"/>
    </xf>
    <xf numFmtId="4" fontId="3" fillId="0" borderId="82" xfId="1" applyNumberFormat="1" applyFont="1" applyBorder="1" applyAlignment="1">
      <alignment horizontal="center" vertical="center"/>
    </xf>
    <xf numFmtId="4" fontId="3" fillId="20" borderId="25" xfId="1" applyNumberFormat="1" applyFont="1" applyFill="1" applyBorder="1" applyAlignment="1" applyProtection="1">
      <alignment horizontal="center" vertical="center"/>
      <protection locked="0"/>
    </xf>
    <xf numFmtId="164" fontId="3" fillId="0" borderId="26" xfId="3" applyFont="1" applyBorder="1" applyAlignment="1">
      <alignment vertical="center"/>
    </xf>
    <xf numFmtId="2" fontId="3" fillId="0" borderId="37" xfId="1" quotePrefix="1" applyNumberFormat="1" applyFont="1" applyBorder="1" applyAlignment="1">
      <alignment horizontal="center" vertical="center"/>
    </xf>
    <xf numFmtId="4" fontId="3" fillId="0" borderId="37" xfId="1" quotePrefix="1" applyNumberFormat="1" applyFont="1" applyBorder="1" applyAlignment="1">
      <alignment horizontal="center" vertical="center"/>
    </xf>
    <xf numFmtId="2" fontId="3" fillId="0" borderId="80" xfId="1" quotePrefix="1" applyNumberFormat="1" applyFont="1" applyBorder="1" applyAlignment="1">
      <alignment horizontal="center" vertical="center"/>
    </xf>
    <xf numFmtId="167" fontId="3" fillId="0" borderId="81" xfId="1" quotePrefix="1" applyNumberFormat="1" applyFont="1" applyBorder="1" applyAlignment="1">
      <alignment horizontal="center" vertical="center"/>
    </xf>
    <xf numFmtId="4" fontId="3" fillId="0" borderId="80" xfId="1" quotePrefix="1" applyNumberFormat="1" applyFont="1" applyBorder="1" applyAlignment="1">
      <alignment horizontal="center" vertical="center"/>
    </xf>
    <xf numFmtId="2" fontId="3" fillId="0" borderId="82" xfId="1" quotePrefix="1" applyNumberFormat="1" applyFont="1" applyBorder="1" applyAlignment="1">
      <alignment horizontal="center" vertical="center"/>
    </xf>
    <xf numFmtId="167" fontId="3" fillId="0" borderId="83" xfId="1" quotePrefix="1" applyNumberFormat="1" applyFont="1" applyBorder="1" applyAlignment="1">
      <alignment horizontal="center" vertical="center"/>
    </xf>
    <xf numFmtId="164" fontId="3" fillId="0" borderId="82" xfId="3" applyFont="1" applyBorder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4" fontId="3" fillId="0" borderId="84" xfId="1" applyNumberFormat="1" applyFont="1" applyBorder="1" applyAlignment="1">
      <alignment horizontal="center" vertical="center"/>
    </xf>
    <xf numFmtId="164" fontId="3" fillId="0" borderId="5" xfId="3" applyFont="1" applyFill="1" applyBorder="1" applyAlignment="1">
      <alignment vertical="center"/>
    </xf>
    <xf numFmtId="164" fontId="3" fillId="0" borderId="79" xfId="3" applyFont="1" applyFill="1" applyBorder="1" applyAlignment="1">
      <alignment vertical="center"/>
    </xf>
    <xf numFmtId="164" fontId="3" fillId="0" borderId="24" xfId="3" applyFont="1" applyFill="1" applyBorder="1" applyAlignment="1">
      <alignment vertical="center"/>
    </xf>
    <xf numFmtId="0" fontId="72" fillId="0" borderId="78" xfId="0" quotePrefix="1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4" fontId="85" fillId="0" borderId="20" xfId="0" applyNumberFormat="1" applyFont="1" applyBorder="1" applyAlignment="1">
      <alignment horizontal="center" vertical="center"/>
    </xf>
    <xf numFmtId="4" fontId="44" fillId="0" borderId="23" xfId="0" applyNumberFormat="1" applyFont="1" applyBorder="1" applyAlignment="1">
      <alignment vertical="center"/>
    </xf>
    <xf numFmtId="4" fontId="2" fillId="0" borderId="22" xfId="1" applyNumberFormat="1" applyFont="1" applyBorder="1" applyAlignment="1">
      <alignment horizontal="center" vertical="center"/>
    </xf>
    <xf numFmtId="4" fontId="2" fillId="0" borderId="20" xfId="1" applyNumberFormat="1" applyFont="1" applyBorder="1" applyAlignment="1">
      <alignment horizontal="center" vertical="center"/>
    </xf>
    <xf numFmtId="4" fontId="2" fillId="0" borderId="20" xfId="1" applyNumberFormat="1" applyFont="1" applyBorder="1" applyAlignment="1">
      <alignment vertical="center"/>
    </xf>
    <xf numFmtId="164" fontId="2" fillId="0" borderId="22" xfId="3" applyFont="1" applyFill="1" applyBorder="1" applyAlignment="1">
      <alignment vertical="center"/>
    </xf>
    <xf numFmtId="164" fontId="2" fillId="0" borderId="20" xfId="3" applyFont="1" applyFill="1" applyBorder="1" applyAlignment="1">
      <alignment vertical="center"/>
    </xf>
    <xf numFmtId="164" fontId="2" fillId="0" borderId="23" xfId="3" applyFont="1" applyBorder="1" applyAlignment="1">
      <alignment vertical="center"/>
    </xf>
    <xf numFmtId="4" fontId="3" fillId="0" borderId="82" xfId="1" quotePrefix="1" applyNumberFormat="1" applyFont="1" applyBorder="1" applyAlignment="1">
      <alignment horizontal="center" vertical="center"/>
    </xf>
    <xf numFmtId="0" fontId="3" fillId="0" borderId="23" xfId="1" applyFont="1" applyBorder="1" applyAlignment="1">
      <alignment horizontal="left" vertical="center" wrapText="1"/>
    </xf>
    <xf numFmtId="0" fontId="86" fillId="0" borderId="3" xfId="0" applyFont="1" applyBorder="1" applyAlignment="1">
      <alignment horizontal="center" vertical="center"/>
    </xf>
    <xf numFmtId="0" fontId="3" fillId="0" borderId="28" xfId="1" applyFont="1" applyBorder="1" applyAlignment="1">
      <alignment horizontal="left" indent="7"/>
    </xf>
    <xf numFmtId="0" fontId="14" fillId="0" borderId="14" xfId="0" applyFont="1" applyBorder="1" applyAlignment="1">
      <alignment horizontal="center" vertical="center"/>
    </xf>
    <xf numFmtId="164" fontId="4" fillId="0" borderId="0" xfId="3" applyFont="1" applyFill="1" applyBorder="1" applyProtection="1"/>
    <xf numFmtId="164" fontId="4" fillId="0" borderId="15" xfId="3" applyFont="1" applyFill="1" applyBorder="1" applyProtection="1"/>
    <xf numFmtId="4" fontId="6" fillId="2" borderId="0" xfId="3" applyNumberFormat="1" applyFont="1" applyFill="1" applyBorder="1" applyProtection="1"/>
    <xf numFmtId="0" fontId="14" fillId="0" borderId="16" xfId="0" applyFont="1" applyBorder="1" applyAlignment="1">
      <alignment horizontal="center" vertical="center"/>
    </xf>
    <xf numFmtId="0" fontId="4" fillId="0" borderId="11" xfId="0" applyFont="1" applyBorder="1" applyAlignment="1">
      <alignment horizontal="left"/>
    </xf>
    <xf numFmtId="0" fontId="4" fillId="0" borderId="11" xfId="0" applyFont="1" applyBorder="1"/>
    <xf numFmtId="164" fontId="4" fillId="0" borderId="11" xfId="3" applyFont="1" applyFill="1" applyBorder="1" applyProtection="1"/>
    <xf numFmtId="49" fontId="20" fillId="6" borderId="3" xfId="0" applyNumberFormat="1" applyFont="1" applyFill="1" applyBorder="1" applyAlignment="1">
      <alignment horizontal="centerContinuous" vertical="center"/>
    </xf>
    <xf numFmtId="49" fontId="15" fillId="6" borderId="28" xfId="0" applyNumberFormat="1" applyFont="1" applyFill="1" applyBorder="1" applyAlignment="1">
      <alignment horizontal="centerContinuous" vertical="center"/>
    </xf>
    <xf numFmtId="0" fontId="4" fillId="6" borderId="28" xfId="0" applyFont="1" applyFill="1" applyBorder="1" applyAlignment="1">
      <alignment horizontal="centerContinuous" vertical="center"/>
    </xf>
    <xf numFmtId="0" fontId="4" fillId="6" borderId="38" xfId="0" applyFont="1" applyFill="1" applyBorder="1" applyAlignment="1">
      <alignment horizontal="centerContinuous" vertical="center"/>
    </xf>
    <xf numFmtId="49" fontId="2" fillId="6" borderId="22" xfId="0" applyNumberFormat="1" applyFont="1" applyFill="1" applyBorder="1" applyAlignment="1">
      <alignment horizontal="left" vertical="center"/>
    </xf>
    <xf numFmtId="0" fontId="2" fillId="6" borderId="60" xfId="0" applyFont="1" applyFill="1" applyBorder="1" applyAlignment="1" applyProtection="1">
      <alignment horizontal="left" vertical="center"/>
      <protection locked="0"/>
    </xf>
    <xf numFmtId="49" fontId="2" fillId="6" borderId="58" xfId="0" applyNumberFormat="1" applyFont="1" applyFill="1" applyBorder="1" applyAlignment="1" applyProtection="1">
      <alignment horizontal="left" vertical="center"/>
      <protection locked="0"/>
    </xf>
    <xf numFmtId="0" fontId="2" fillId="6" borderId="20" xfId="0" applyFont="1" applyFill="1" applyBorder="1" applyAlignment="1" applyProtection="1">
      <alignment horizontal="left" vertical="center"/>
      <protection locked="0"/>
    </xf>
    <xf numFmtId="0" fontId="2" fillId="6" borderId="12" xfId="0" applyFont="1" applyFill="1" applyBorder="1" applyAlignment="1">
      <alignment vertical="center"/>
    </xf>
    <xf numFmtId="10" fontId="2" fillId="24" borderId="13" xfId="6" applyNumberFormat="1" applyFont="1" applyFill="1" applyBorder="1" applyAlignment="1">
      <alignment horizontal="center" vertical="center"/>
    </xf>
    <xf numFmtId="49" fontId="2" fillId="6" borderId="66" xfId="0" applyNumberFormat="1" applyFont="1" applyFill="1" applyBorder="1" applyAlignment="1">
      <alignment horizontal="left" vertical="center"/>
    </xf>
    <xf numFmtId="0" fontId="2" fillId="6" borderId="185" xfId="0" applyFont="1" applyFill="1" applyBorder="1" applyAlignment="1" applyProtection="1">
      <alignment horizontal="left" vertical="center"/>
      <protection locked="0"/>
    </xf>
    <xf numFmtId="49" fontId="2" fillId="6" borderId="74" xfId="0" applyNumberFormat="1" applyFont="1" applyFill="1" applyBorder="1" applyAlignment="1" applyProtection="1">
      <alignment horizontal="left" vertical="center"/>
      <protection locked="0"/>
    </xf>
    <xf numFmtId="0" fontId="2" fillId="6" borderId="62" xfId="0" applyFont="1" applyFill="1" applyBorder="1" applyAlignment="1" applyProtection="1">
      <alignment horizontal="left" vertical="center"/>
      <protection locked="0"/>
    </xf>
    <xf numFmtId="0" fontId="2" fillId="6" borderId="14" xfId="0" applyFont="1" applyFill="1" applyBorder="1" applyAlignment="1">
      <alignment vertical="center"/>
    </xf>
    <xf numFmtId="0" fontId="2" fillId="6" borderId="15" xfId="0" applyFont="1" applyFill="1" applyBorder="1" applyAlignment="1">
      <alignment vertical="center"/>
    </xf>
    <xf numFmtId="49" fontId="2" fillId="6" borderId="16" xfId="0" applyNumberFormat="1" applyFont="1" applyFill="1" applyBorder="1" applyAlignment="1">
      <alignment horizontal="left" vertical="center"/>
    </xf>
    <xf numFmtId="0" fontId="2" fillId="6" borderId="57" xfId="0" applyFont="1" applyFill="1" applyBorder="1" applyAlignment="1" applyProtection="1">
      <alignment horizontal="left" vertical="center"/>
      <protection locked="0"/>
    </xf>
    <xf numFmtId="49" fontId="2" fillId="6" borderId="59" xfId="0" applyNumberFormat="1" applyFont="1" applyFill="1" applyBorder="1" applyAlignment="1" applyProtection="1">
      <alignment horizontal="left" vertical="center" wrapText="1"/>
      <protection locked="0"/>
    </xf>
    <xf numFmtId="0" fontId="2" fillId="6" borderId="0" xfId="0" applyFont="1" applyFill="1" applyAlignment="1" applyProtection="1">
      <alignment horizontal="left" vertical="center"/>
      <protection locked="0"/>
    </xf>
    <xf numFmtId="49" fontId="2" fillId="24" borderId="58" xfId="0" applyNumberFormat="1" applyFont="1" applyFill="1" applyBorder="1" applyAlignment="1" applyProtection="1">
      <alignment horizontal="left" vertical="center"/>
      <protection locked="0"/>
    </xf>
    <xf numFmtId="0" fontId="2" fillId="6" borderId="22" xfId="0" applyFont="1" applyFill="1" applyBorder="1" applyAlignment="1" applyProtection="1">
      <alignment vertical="center"/>
      <protection locked="0"/>
    </xf>
    <xf numFmtId="0" fontId="2" fillId="6" borderId="20" xfId="0" applyFont="1" applyFill="1" applyBorder="1" applyAlignment="1" applyProtection="1">
      <alignment vertical="center"/>
      <protection locked="0"/>
    </xf>
    <xf numFmtId="49" fontId="2" fillId="24" borderId="74" xfId="0" applyNumberFormat="1" applyFont="1" applyFill="1" applyBorder="1" applyAlignment="1" applyProtection="1">
      <alignment horizontal="left" vertical="center"/>
      <protection locked="0"/>
    </xf>
    <xf numFmtId="49" fontId="2" fillId="24" borderId="59" xfId="0" applyNumberFormat="1" applyFont="1" applyFill="1" applyBorder="1" applyAlignment="1" applyProtection="1">
      <alignment horizontal="left" vertical="center"/>
      <protection locked="0"/>
    </xf>
    <xf numFmtId="49" fontId="2" fillId="6" borderId="12" xfId="0" applyNumberFormat="1" applyFont="1" applyFill="1" applyBorder="1" applyAlignment="1">
      <alignment horizontal="center" vertical="center" wrapText="1"/>
    </xf>
    <xf numFmtId="49" fontId="2" fillId="6" borderId="18" xfId="0" applyNumberFormat="1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Continuous" vertical="center" wrapText="1"/>
    </xf>
    <xf numFmtId="0" fontId="2" fillId="6" borderId="118" xfId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Continuous" vertical="center" wrapText="1"/>
    </xf>
    <xf numFmtId="0" fontId="2" fillId="6" borderId="0" xfId="0" applyFont="1" applyFill="1" applyAlignment="1">
      <alignment horizontal="centerContinuous" vertical="center"/>
    </xf>
    <xf numFmtId="0" fontId="2" fillId="6" borderId="15" xfId="0" applyFont="1" applyFill="1" applyBorder="1" applyAlignment="1">
      <alignment horizontal="centerContinuous" vertical="center"/>
    </xf>
    <xf numFmtId="0" fontId="3" fillId="6" borderId="16" xfId="0" quotePrefix="1" applyFont="1" applyFill="1" applyBorder="1" applyAlignment="1">
      <alignment horizontal="left" vertical="center"/>
    </xf>
    <xf numFmtId="0" fontId="3" fillId="6" borderId="24" xfId="0" applyFont="1" applyFill="1" applyBorder="1" applyAlignment="1">
      <alignment horizontal="center"/>
    </xf>
    <xf numFmtId="0" fontId="3" fillId="6" borderId="17" xfId="1" applyFont="1" applyFill="1" applyBorder="1" applyAlignment="1">
      <alignment vertical="center"/>
    </xf>
    <xf numFmtId="2" fontId="3" fillId="6" borderId="51" xfId="1" applyNumberFormat="1" applyFont="1" applyFill="1" applyBorder="1" applyAlignment="1">
      <alignment horizontal="center" vertical="center"/>
    </xf>
    <xf numFmtId="2" fontId="2" fillId="6" borderId="2" xfId="0" applyNumberFormat="1" applyFont="1" applyFill="1" applyBorder="1" applyAlignment="1">
      <alignment horizontal="center" vertical="center"/>
    </xf>
    <xf numFmtId="2" fontId="2" fillId="6" borderId="37" xfId="0" applyNumberFormat="1" applyFont="1" applyFill="1" applyBorder="1" applyAlignment="1">
      <alignment horizontal="center" vertical="center"/>
    </xf>
    <xf numFmtId="165" fontId="2" fillId="6" borderId="30" xfId="1" applyNumberFormat="1" applyFont="1" applyFill="1" applyBorder="1" applyAlignment="1">
      <alignment horizontal="center" vertical="center"/>
    </xf>
    <xf numFmtId="165" fontId="2" fillId="6" borderId="30" xfId="1" applyNumberFormat="1" applyFont="1" applyFill="1" applyBorder="1" applyAlignment="1">
      <alignment horizontal="center" vertical="center" wrapText="1"/>
    </xf>
    <xf numFmtId="49" fontId="2" fillId="6" borderId="16" xfId="0" applyNumberFormat="1" applyFont="1" applyFill="1" applyBorder="1" applyAlignment="1">
      <alignment horizontal="center"/>
    </xf>
    <xf numFmtId="49" fontId="2" fillId="6" borderId="5" xfId="0" applyNumberFormat="1" applyFont="1" applyFill="1" applyBorder="1" applyAlignment="1">
      <alignment horizontal="center"/>
    </xf>
    <xf numFmtId="0" fontId="84" fillId="6" borderId="17" xfId="0" applyFont="1" applyFill="1" applyBorder="1" applyAlignment="1">
      <alignment vertical="center" wrapText="1"/>
    </xf>
    <xf numFmtId="4" fontId="2" fillId="6" borderId="28" xfId="1" applyNumberFormat="1" applyFont="1" applyFill="1" applyBorder="1" applyAlignment="1">
      <alignment vertical="center"/>
    </xf>
    <xf numFmtId="4" fontId="2" fillId="6" borderId="3" xfId="1" applyNumberFormat="1" applyFont="1" applyFill="1" applyBorder="1" applyAlignment="1">
      <alignment vertical="center"/>
    </xf>
    <xf numFmtId="4" fontId="2" fillId="6" borderId="38" xfId="1" applyNumberFormat="1" applyFont="1" applyFill="1" applyBorder="1" applyAlignment="1">
      <alignment vertical="center"/>
    </xf>
    <xf numFmtId="177" fontId="2" fillId="6" borderId="29" xfId="1" applyNumberFormat="1" applyFont="1" applyFill="1" applyBorder="1" applyAlignment="1">
      <alignment vertical="center"/>
    </xf>
    <xf numFmtId="4" fontId="4" fillId="0" borderId="0" xfId="0" applyNumberFormat="1" applyFont="1" applyAlignment="1">
      <alignment vertical="center"/>
    </xf>
    <xf numFmtId="0" fontId="3" fillId="6" borderId="32" xfId="0" applyFont="1" applyFill="1" applyBorder="1" applyAlignment="1">
      <alignment horizontal="center"/>
    </xf>
    <xf numFmtId="0" fontId="3" fillId="6" borderId="6" xfId="0" applyFont="1" applyFill="1" applyBorder="1" applyAlignment="1">
      <alignment horizontal="center"/>
    </xf>
    <xf numFmtId="0" fontId="3" fillId="6" borderId="54" xfId="1" applyFont="1" applyFill="1" applyBorder="1" applyAlignment="1">
      <alignment vertical="center" wrapText="1"/>
    </xf>
    <xf numFmtId="2" fontId="3" fillId="6" borderId="34" xfId="1" applyNumberFormat="1" applyFont="1" applyFill="1" applyBorder="1" applyAlignment="1">
      <alignment horizontal="center" vertical="center"/>
    </xf>
    <xf numFmtId="4" fontId="3" fillId="6" borderId="31" xfId="0" applyNumberFormat="1" applyFont="1" applyFill="1" applyBorder="1" applyAlignment="1" applyProtection="1">
      <alignment vertical="center"/>
      <protection locked="0"/>
    </xf>
    <xf numFmtId="4" fontId="3" fillId="24" borderId="31" xfId="0" applyNumberFormat="1" applyFont="1" applyFill="1" applyBorder="1" applyAlignment="1" applyProtection="1">
      <alignment vertical="center"/>
      <protection locked="0"/>
    </xf>
    <xf numFmtId="4" fontId="3" fillId="6" borderId="34" xfId="1" applyNumberFormat="1" applyFont="1" applyFill="1" applyBorder="1" applyAlignment="1">
      <alignment vertical="center"/>
    </xf>
    <xf numFmtId="4" fontId="3" fillId="6" borderId="4" xfId="1" applyNumberFormat="1" applyFont="1" applyFill="1" applyBorder="1" applyAlignment="1">
      <alignment vertical="center"/>
    </xf>
    <xf numFmtId="4" fontId="3" fillId="6" borderId="32" xfId="0" applyNumberFormat="1" applyFont="1" applyFill="1" applyBorder="1" applyAlignment="1" applyProtection="1">
      <alignment vertical="center"/>
      <protection locked="0"/>
    </xf>
    <xf numFmtId="4" fontId="3" fillId="24" borderId="6" xfId="0" applyNumberFormat="1" applyFont="1" applyFill="1" applyBorder="1" applyAlignment="1" applyProtection="1">
      <alignment vertical="center"/>
      <protection locked="0"/>
    </xf>
    <xf numFmtId="49" fontId="2" fillId="6" borderId="2" xfId="0" applyNumberFormat="1" applyFont="1" applyFill="1" applyBorder="1" applyAlignment="1">
      <alignment horizontal="center"/>
    </xf>
    <xf numFmtId="49" fontId="2" fillId="6" borderId="37" xfId="0" applyNumberFormat="1" applyFont="1" applyFill="1" applyBorder="1" applyAlignment="1">
      <alignment horizontal="center"/>
    </xf>
    <xf numFmtId="0" fontId="84" fillId="6" borderId="38" xfId="0" applyFont="1" applyFill="1" applyBorder="1" applyAlignment="1">
      <alignment vertical="center" wrapText="1"/>
    </xf>
    <xf numFmtId="4" fontId="3" fillId="6" borderId="28" xfId="1" applyNumberFormat="1" applyFont="1" applyFill="1" applyBorder="1" applyAlignment="1">
      <alignment vertical="center"/>
    </xf>
    <xf numFmtId="0" fontId="3" fillId="0" borderId="78" xfId="2" applyBorder="1" applyAlignment="1">
      <alignment horizontal="center"/>
    </xf>
    <xf numFmtId="0" fontId="3" fillId="0" borderId="79" xfId="2" applyBorder="1" applyAlignment="1">
      <alignment horizontal="center"/>
    </xf>
    <xf numFmtId="4" fontId="3" fillId="24" borderId="79" xfId="0" applyNumberFormat="1" applyFont="1" applyFill="1" applyBorder="1" applyAlignment="1" applyProtection="1">
      <alignment horizontal="right"/>
      <protection locked="0"/>
    </xf>
    <xf numFmtId="4" fontId="3" fillId="0" borderId="34" xfId="1" applyNumberFormat="1" applyFont="1" applyBorder="1" applyAlignment="1">
      <alignment vertical="center"/>
    </xf>
    <xf numFmtId="0" fontId="3" fillId="0" borderId="36" xfId="2" applyBorder="1" applyAlignment="1">
      <alignment horizontal="center"/>
    </xf>
    <xf numFmtId="0" fontId="3" fillId="0" borderId="31" xfId="2" applyBorder="1" applyAlignment="1">
      <alignment horizontal="center"/>
    </xf>
    <xf numFmtId="4" fontId="3" fillId="24" borderId="31" xfId="0" applyNumberFormat="1" applyFont="1" applyFill="1" applyBorder="1" applyAlignment="1" applyProtection="1">
      <alignment horizontal="right"/>
      <protection locked="0"/>
    </xf>
    <xf numFmtId="0" fontId="3" fillId="0" borderId="32" xfId="2" applyBorder="1" applyAlignment="1">
      <alignment horizontal="center"/>
    </xf>
    <xf numFmtId="0" fontId="3" fillId="0" borderId="6" xfId="0" applyFont="1" applyBorder="1" applyAlignment="1">
      <alignment horizontal="center"/>
    </xf>
    <xf numFmtId="4" fontId="3" fillId="24" borderId="6" xfId="0" applyNumberFormat="1" applyFont="1" applyFill="1" applyBorder="1" applyAlignment="1" applyProtection="1">
      <alignment horizontal="right"/>
      <protection locked="0"/>
    </xf>
    <xf numFmtId="0" fontId="3" fillId="0" borderId="31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4" fontId="3" fillId="24" borderId="6" xfId="0" applyNumberFormat="1" applyFont="1" applyFill="1" applyBorder="1" applyAlignment="1">
      <alignment horizontal="right"/>
    </xf>
    <xf numFmtId="4" fontId="3" fillId="24" borderId="31" xfId="0" applyNumberFormat="1" applyFont="1" applyFill="1" applyBorder="1" applyAlignment="1">
      <alignment horizontal="right"/>
    </xf>
    <xf numFmtId="0" fontId="3" fillId="6" borderId="54" xfId="1" applyFont="1" applyFill="1" applyBorder="1" applyAlignment="1">
      <alignment horizontal="left" vertical="center" wrapText="1"/>
    </xf>
    <xf numFmtId="0" fontId="86" fillId="6" borderId="3" xfId="0" applyFont="1" applyFill="1" applyBorder="1"/>
    <xf numFmtId="0" fontId="3" fillId="6" borderId="28" xfId="0" applyFont="1" applyFill="1" applyBorder="1" applyAlignment="1">
      <alignment vertical="center"/>
    </xf>
    <xf numFmtId="0" fontId="2" fillId="6" borderId="38" xfId="1" applyFont="1" applyFill="1" applyBorder="1" applyAlignment="1">
      <alignment horizontal="left" vertical="center"/>
    </xf>
    <xf numFmtId="2" fontId="3" fillId="6" borderId="28" xfId="1" applyNumberFormat="1" applyFont="1" applyFill="1" applyBorder="1" applyAlignment="1">
      <alignment horizontal="center" vertical="center"/>
    </xf>
    <xf numFmtId="4" fontId="2" fillId="6" borderId="3" xfId="0" applyNumberFormat="1" applyFont="1" applyFill="1" applyBorder="1" applyAlignment="1">
      <alignment vertical="center"/>
    </xf>
    <xf numFmtId="4" fontId="2" fillId="6" borderId="38" xfId="0" applyNumberFormat="1" applyFont="1" applyFill="1" applyBorder="1" applyAlignment="1">
      <alignment vertical="center"/>
    </xf>
    <xf numFmtId="4" fontId="2" fillId="6" borderId="29" xfId="1" applyNumberFormat="1" applyFont="1" applyFill="1" applyBorder="1" applyAlignment="1">
      <alignment vertical="center"/>
    </xf>
    <xf numFmtId="0" fontId="6" fillId="6" borderId="12" xfId="14" applyFont="1" applyFill="1" applyBorder="1" applyAlignment="1" applyProtection="1">
      <alignment horizontal="left" vertical="top"/>
      <protection locked="0"/>
    </xf>
    <xf numFmtId="0" fontId="6" fillId="6" borderId="10" xfId="14" applyFont="1" applyFill="1" applyBorder="1" applyProtection="1">
      <protection locked="0"/>
    </xf>
    <xf numFmtId="0" fontId="6" fillId="6" borderId="13" xfId="14" applyFont="1" applyFill="1" applyBorder="1" applyProtection="1">
      <protection locked="0"/>
    </xf>
    <xf numFmtId="0" fontId="4" fillId="0" borderId="14" xfId="0" applyFont="1" applyBorder="1" applyAlignment="1">
      <alignment vertical="center"/>
    </xf>
    <xf numFmtId="0" fontId="6" fillId="6" borderId="14" xfId="14" applyFont="1" applyFill="1" applyBorder="1" applyAlignment="1" applyProtection="1">
      <alignment horizontal="left" vertical="top"/>
      <protection locked="0"/>
    </xf>
    <xf numFmtId="0" fontId="6" fillId="6" borderId="0" xfId="14" applyFont="1" applyFill="1" applyProtection="1">
      <protection locked="0"/>
    </xf>
    <xf numFmtId="0" fontId="6" fillId="6" borderId="15" xfId="14" applyFont="1" applyFill="1" applyBorder="1" applyProtection="1">
      <protection locked="0"/>
    </xf>
    <xf numFmtId="0" fontId="4" fillId="6" borderId="16" xfId="14" applyFill="1" applyBorder="1" applyAlignment="1" applyProtection="1">
      <alignment horizontal="centerContinuous" vertical="center" wrapText="1"/>
      <protection locked="0"/>
    </xf>
    <xf numFmtId="0" fontId="4" fillId="6" borderId="11" xfId="14" applyFill="1" applyBorder="1" applyProtection="1">
      <protection locked="0"/>
    </xf>
    <xf numFmtId="0" fontId="4" fillId="6" borderId="17" xfId="14" applyFill="1" applyBorder="1" applyProtection="1">
      <protection locked="0"/>
    </xf>
    <xf numFmtId="4" fontId="3" fillId="6" borderId="46" xfId="0" applyNumberFormat="1" applyFont="1" applyFill="1" applyBorder="1" applyAlignment="1" applyProtection="1">
      <alignment vertical="center"/>
      <protection locked="0"/>
    </xf>
    <xf numFmtId="49" fontId="57" fillId="0" borderId="104" xfId="14" applyNumberFormat="1" applyFont="1" applyBorder="1" applyAlignment="1">
      <alignment vertical="center"/>
    </xf>
    <xf numFmtId="0" fontId="33" fillId="3" borderId="10" xfId="14" applyFont="1" applyFill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77" fillId="22" borderId="7" xfId="5" applyFont="1" applyFill="1" applyBorder="1" applyAlignment="1">
      <alignment horizontal="center" vertical="center" wrapText="1"/>
    </xf>
    <xf numFmtId="0" fontId="77" fillId="22" borderId="44" xfId="5" applyFont="1" applyFill="1" applyBorder="1" applyAlignment="1">
      <alignment horizontal="center" vertical="center" wrapText="1"/>
    </xf>
    <xf numFmtId="0" fontId="27" fillId="0" borderId="10" xfId="14" applyFont="1" applyBorder="1" applyAlignment="1">
      <alignment vertical="center"/>
    </xf>
    <xf numFmtId="0" fontId="27" fillId="0" borderId="0" xfId="14" applyFont="1" applyAlignment="1">
      <alignment vertical="center"/>
    </xf>
    <xf numFmtId="0" fontId="27" fillId="0" borderId="11" xfId="14" applyFont="1" applyBorder="1" applyAlignment="1">
      <alignment vertical="center"/>
    </xf>
    <xf numFmtId="10" fontId="27" fillId="0" borderId="13" xfId="14" applyNumberFormat="1" applyFont="1" applyBorder="1" applyAlignment="1">
      <alignment horizontal="left" vertical="center"/>
    </xf>
    <xf numFmtId="0" fontId="27" fillId="0" borderId="15" xfId="14" applyFont="1" applyBorder="1" applyAlignment="1">
      <alignment horizontal="left" vertical="center"/>
    </xf>
    <xf numFmtId="0" fontId="27" fillId="0" borderId="17" xfId="14" applyFont="1" applyBorder="1" applyAlignment="1">
      <alignment horizontal="left" vertical="center"/>
    </xf>
    <xf numFmtId="10" fontId="27" fillId="0" borderId="87" xfId="17" applyNumberFormat="1" applyFont="1" applyBorder="1" applyAlignment="1" applyProtection="1">
      <alignment horizontal="center" vertical="center"/>
    </xf>
    <xf numFmtId="10" fontId="27" fillId="0" borderId="91" xfId="17" applyNumberFormat="1" applyFont="1" applyBorder="1" applyAlignment="1" applyProtection="1">
      <alignment horizontal="center" vertical="center"/>
    </xf>
    <xf numFmtId="170" fontId="27" fillId="13" borderId="28" xfId="16" applyNumberFormat="1" applyFont="1" applyFill="1" applyBorder="1" applyAlignment="1" applyProtection="1">
      <alignment horizontal="center" vertical="center"/>
      <protection locked="0"/>
    </xf>
    <xf numFmtId="170" fontId="4" fillId="0" borderId="28" xfId="14" applyNumberFormat="1" applyBorder="1" applyAlignment="1" applyProtection="1">
      <alignment horizontal="center" vertical="center"/>
      <protection locked="0"/>
    </xf>
    <xf numFmtId="170" fontId="4" fillId="0" borderId="38" xfId="14" applyNumberFormat="1" applyBorder="1" applyAlignment="1" applyProtection="1">
      <alignment horizontal="center" vertical="center"/>
      <protection locked="0"/>
    </xf>
    <xf numFmtId="170" fontId="27" fillId="0" borderId="10" xfId="16" applyNumberFormat="1" applyFont="1" applyBorder="1" applyAlignment="1" applyProtection="1">
      <alignment horizontal="center"/>
    </xf>
    <xf numFmtId="170" fontId="27" fillId="0" borderId="0" xfId="16" applyNumberFormat="1" applyFont="1" applyAlignment="1" applyProtection="1">
      <alignment horizontal="center"/>
    </xf>
    <xf numFmtId="171" fontId="27" fillId="0" borderId="13" xfId="5" applyNumberFormat="1" applyFont="1" applyBorder="1" applyAlignment="1">
      <alignment horizontal="left" vertical="center"/>
    </xf>
    <xf numFmtId="0" fontId="28" fillId="0" borderId="15" xfId="5" applyFont="1" applyBorder="1" applyAlignment="1">
      <alignment horizontal="left" vertical="center"/>
    </xf>
    <xf numFmtId="0" fontId="28" fillId="0" borderId="17" xfId="5" applyFont="1" applyBorder="1" applyAlignment="1">
      <alignment horizontal="left" vertical="center"/>
    </xf>
    <xf numFmtId="10" fontId="2" fillId="0" borderId="0" xfId="17" applyNumberFormat="1" applyFont="1" applyAlignment="1" applyProtection="1">
      <alignment horizontal="left" vertical="center"/>
    </xf>
    <xf numFmtId="10" fontId="2" fillId="0" borderId="11" xfId="17" applyNumberFormat="1" applyFont="1" applyBorder="1" applyAlignment="1" applyProtection="1">
      <alignment horizontal="left" vertical="center"/>
    </xf>
    <xf numFmtId="170" fontId="27" fillId="13" borderId="10" xfId="16" applyNumberFormat="1" applyFont="1" applyFill="1" applyBorder="1" applyAlignment="1" applyProtection="1">
      <alignment horizontal="center" vertical="center"/>
    </xf>
    <xf numFmtId="170" fontId="4" fillId="0" borderId="10" xfId="14" applyNumberFormat="1" applyBorder="1" applyAlignment="1">
      <alignment horizontal="center" vertical="center"/>
    </xf>
    <xf numFmtId="170" fontId="4" fillId="0" borderId="13" xfId="14" applyNumberFormat="1" applyBorder="1" applyAlignment="1">
      <alignment horizontal="center" vertical="center"/>
    </xf>
    <xf numFmtId="172" fontId="27" fillId="13" borderId="28" xfId="16" applyNumberFormat="1" applyFont="1" applyFill="1" applyBorder="1" applyAlignment="1" applyProtection="1">
      <alignment horizontal="center" vertical="center"/>
      <protection locked="0"/>
    </xf>
    <xf numFmtId="172" fontId="4" fillId="0" borderId="28" xfId="14" applyNumberFormat="1" applyBorder="1" applyAlignment="1" applyProtection="1">
      <alignment horizontal="center" vertical="center"/>
      <protection locked="0"/>
    </xf>
    <xf numFmtId="172" fontId="4" fillId="0" borderId="38" xfId="14" applyNumberFormat="1" applyBorder="1" applyAlignment="1" applyProtection="1">
      <alignment horizontal="center" vertical="center"/>
      <protection locked="0"/>
    </xf>
    <xf numFmtId="173" fontId="27" fillId="0" borderId="13" xfId="5" applyNumberFormat="1" applyFont="1" applyBorder="1" applyAlignment="1">
      <alignment horizontal="left" vertical="center"/>
    </xf>
    <xf numFmtId="173" fontId="28" fillId="0" borderId="15" xfId="5" applyNumberFormat="1" applyFont="1" applyBorder="1" applyAlignment="1">
      <alignment horizontal="left" vertical="center"/>
    </xf>
    <xf numFmtId="0" fontId="3" fillId="0" borderId="15" xfId="5" applyBorder="1" applyAlignment="1">
      <alignment horizontal="left" vertical="center"/>
    </xf>
    <xf numFmtId="0" fontId="3" fillId="0" borderId="17" xfId="5" applyBorder="1" applyAlignment="1">
      <alignment horizontal="left" vertical="center"/>
    </xf>
    <xf numFmtId="0" fontId="6" fillId="0" borderId="182" xfId="0" applyFont="1" applyBorder="1" applyAlignment="1">
      <alignment horizontal="left" vertical="center" wrapText="1"/>
    </xf>
    <xf numFmtId="0" fontId="56" fillId="0" borderId="182" xfId="0" applyFont="1" applyBorder="1" applyAlignment="1">
      <alignment horizontal="left" vertical="center" wrapText="1"/>
    </xf>
    <xf numFmtId="0" fontId="4" fillId="0" borderId="0" xfId="7" applyFont="1" applyAlignment="1">
      <alignment horizontal="justify" vertical="center" wrapText="1"/>
    </xf>
    <xf numFmtId="0" fontId="4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6" fillId="0" borderId="3" xfId="7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" xfId="7" quotePrefix="1" applyFont="1" applyBorder="1" applyAlignment="1">
      <alignment horizontal="left" vertical="center"/>
    </xf>
    <xf numFmtId="0" fontId="6" fillId="0" borderId="28" xfId="7" applyFont="1" applyBorder="1" applyAlignment="1">
      <alignment horizontal="left" vertical="center"/>
    </xf>
    <xf numFmtId="0" fontId="3" fillId="0" borderId="38" xfId="5" applyBorder="1" applyAlignment="1">
      <alignment horizontal="left" vertical="center"/>
    </xf>
    <xf numFmtId="0" fontId="24" fillId="0" borderId="3" xfId="7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27" fillId="0" borderId="21" xfId="7" applyFont="1" applyBorder="1" applyAlignment="1">
      <alignment horizontal="center" vertical="center" wrapText="1"/>
    </xf>
    <xf numFmtId="0" fontId="27" fillId="0" borderId="4" xfId="7" applyFont="1" applyBorder="1" applyAlignment="1">
      <alignment horizontal="center" vertical="center" wrapText="1"/>
    </xf>
    <xf numFmtId="0" fontId="0" fillId="0" borderId="26" xfId="0" applyBorder="1" applyAlignment="1">
      <alignment vertical="center" wrapText="1"/>
    </xf>
    <xf numFmtId="0" fontId="6" fillId="0" borderId="12" xfId="7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6" fillId="0" borderId="21" xfId="7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50" fillId="0" borderId="12" xfId="7" applyFont="1" applyBorder="1" applyAlignment="1">
      <alignment horizontal="left" vertical="center" wrapText="1"/>
    </xf>
    <xf numFmtId="0" fontId="50" fillId="0" borderId="10" xfId="7" applyFont="1" applyBorder="1" applyAlignment="1">
      <alignment horizontal="left" vertical="center" wrapText="1"/>
    </xf>
    <xf numFmtId="0" fontId="50" fillId="0" borderId="13" xfId="7" applyFont="1" applyBorder="1" applyAlignment="1">
      <alignment horizontal="left" vertical="center" wrapText="1"/>
    </xf>
    <xf numFmtId="0" fontId="50" fillId="0" borderId="14" xfId="7" applyFont="1" applyBorder="1" applyAlignment="1">
      <alignment horizontal="left" vertical="center" wrapText="1"/>
    </xf>
    <xf numFmtId="0" fontId="50" fillId="0" borderId="0" xfId="7" applyFont="1" applyAlignment="1">
      <alignment horizontal="left" vertical="center" wrapText="1"/>
    </xf>
    <xf numFmtId="0" fontId="50" fillId="0" borderId="15" xfId="7" applyFont="1" applyBorder="1" applyAlignment="1">
      <alignment horizontal="left" vertical="center" wrapText="1"/>
    </xf>
    <xf numFmtId="0" fontId="50" fillId="0" borderId="16" xfId="7" applyFont="1" applyBorder="1" applyAlignment="1">
      <alignment horizontal="left" vertical="center" wrapText="1"/>
    </xf>
    <xf numFmtId="0" fontId="50" fillId="0" borderId="11" xfId="7" applyFont="1" applyBorder="1" applyAlignment="1">
      <alignment horizontal="left" vertical="center" wrapText="1"/>
    </xf>
    <xf numFmtId="0" fontId="50" fillId="0" borderId="17" xfId="7" applyFont="1" applyBorder="1" applyAlignment="1">
      <alignment horizontal="left" vertical="center" wrapText="1"/>
    </xf>
    <xf numFmtId="0" fontId="6" fillId="0" borderId="28" xfId="7" applyFont="1" applyBorder="1" applyAlignment="1">
      <alignment horizontal="center" vertical="center" wrapText="1"/>
    </xf>
    <xf numFmtId="0" fontId="6" fillId="0" borderId="38" xfId="7" applyFont="1" applyBorder="1" applyAlignment="1">
      <alignment horizontal="center" vertical="center" wrapText="1"/>
    </xf>
    <xf numFmtId="0" fontId="6" fillId="0" borderId="21" xfId="7" applyFont="1" applyBorder="1" applyAlignment="1">
      <alignment vertical="center" wrapText="1"/>
    </xf>
    <xf numFmtId="0" fontId="6" fillId="0" borderId="26" xfId="0" applyFont="1" applyBorder="1" applyAlignment="1">
      <alignment vertical="center" wrapText="1"/>
    </xf>
    <xf numFmtId="0" fontId="7" fillId="0" borderId="48" xfId="14" applyFont="1" applyBorder="1" applyAlignment="1">
      <alignment horizontal="center" vertical="center" textRotation="90"/>
    </xf>
    <xf numFmtId="0" fontId="7" fillId="0" borderId="181" xfId="14" applyFont="1" applyBorder="1" applyAlignment="1">
      <alignment horizontal="center" vertical="center" textRotation="90"/>
    </xf>
    <xf numFmtId="0" fontId="7" fillId="0" borderId="84" xfId="14" applyFont="1" applyBorder="1" applyAlignment="1">
      <alignment horizontal="center" vertical="center" textRotation="90"/>
    </xf>
    <xf numFmtId="0" fontId="7" fillId="0" borderId="48" xfId="14" applyFont="1" applyBorder="1" applyAlignment="1">
      <alignment horizontal="center" vertical="center" textRotation="90" wrapText="1"/>
    </xf>
    <xf numFmtId="0" fontId="7" fillId="0" borderId="181" xfId="14" applyFont="1" applyBorder="1" applyAlignment="1">
      <alignment horizontal="center" vertical="center" textRotation="90" wrapText="1"/>
    </xf>
    <xf numFmtId="0" fontId="7" fillId="0" borderId="84" xfId="14" applyFont="1" applyBorder="1" applyAlignment="1">
      <alignment horizontal="center" vertical="center" textRotation="90" wrapText="1"/>
    </xf>
    <xf numFmtId="0" fontId="6" fillId="0" borderId="48" xfId="14" applyFont="1" applyBorder="1" applyAlignment="1">
      <alignment horizontal="center" vertical="center" textRotation="90" wrapText="1"/>
    </xf>
    <xf numFmtId="0" fontId="6" fillId="0" borderId="181" xfId="14" applyFont="1" applyBorder="1" applyAlignment="1">
      <alignment horizontal="center" vertical="center" textRotation="90" wrapText="1"/>
    </xf>
    <xf numFmtId="0" fontId="6" fillId="0" borderId="84" xfId="14" applyFont="1" applyBorder="1" applyAlignment="1">
      <alignment horizontal="center" vertical="center" textRotation="90" wrapText="1"/>
    </xf>
    <xf numFmtId="10" fontId="2" fillId="24" borderId="14" xfId="6" applyNumberFormat="1" applyFont="1" applyFill="1" applyBorder="1" applyAlignment="1">
      <alignment horizontal="center" vertical="center"/>
    </xf>
    <xf numFmtId="10" fontId="2" fillId="24" borderId="15" xfId="6" applyNumberFormat="1" applyFont="1" applyFill="1" applyBorder="1" applyAlignment="1">
      <alignment horizontal="center" vertical="center"/>
    </xf>
    <xf numFmtId="44" fontId="2" fillId="6" borderId="20" xfId="22" applyFont="1" applyFill="1" applyBorder="1" applyAlignment="1" applyProtection="1">
      <alignment horizontal="center" vertical="center"/>
      <protection locked="0"/>
    </xf>
    <xf numFmtId="44" fontId="2" fillId="6" borderId="23" xfId="22" applyFont="1" applyFill="1" applyBorder="1" applyAlignment="1" applyProtection="1">
      <alignment horizontal="center" vertical="center"/>
      <protection locked="0"/>
    </xf>
    <xf numFmtId="0" fontId="2" fillId="6" borderId="66" xfId="0" applyFont="1" applyFill="1" applyBorder="1" applyAlignment="1" applyProtection="1">
      <alignment horizontal="center" vertical="center"/>
      <protection locked="0"/>
    </xf>
    <xf numFmtId="0" fontId="2" fillId="6" borderId="62" xfId="0" applyFont="1" applyFill="1" applyBorder="1" applyAlignment="1" applyProtection="1">
      <alignment horizontal="center" vertical="center"/>
      <protection locked="0"/>
    </xf>
    <xf numFmtId="0" fontId="2" fillId="6" borderId="54" xfId="0" applyFont="1" applyFill="1" applyBorder="1" applyAlignment="1" applyProtection="1">
      <alignment horizontal="center" vertical="center"/>
      <protection locked="0"/>
    </xf>
    <xf numFmtId="0" fontId="2" fillId="6" borderId="56" xfId="0" applyFont="1" applyFill="1" applyBorder="1" applyAlignment="1" applyProtection="1">
      <alignment horizontal="center" vertical="center"/>
      <protection locked="0"/>
    </xf>
    <xf numFmtId="0" fontId="2" fillId="6" borderId="73" xfId="0" applyFont="1" applyFill="1" applyBorder="1" applyAlignment="1" applyProtection="1">
      <alignment horizontal="center" vertical="center"/>
      <protection locked="0"/>
    </xf>
    <xf numFmtId="0" fontId="2" fillId="6" borderId="77" xfId="0" applyFont="1" applyFill="1" applyBorder="1" applyAlignment="1" applyProtection="1">
      <alignment horizontal="center" vertical="center"/>
      <protection locked="0"/>
    </xf>
    <xf numFmtId="0" fontId="4" fillId="15" borderId="16" xfId="14" applyFill="1" applyBorder="1" applyAlignment="1" applyProtection="1">
      <alignment horizontal="center" vertical="center" wrapText="1"/>
      <protection locked="0"/>
    </xf>
    <xf numFmtId="0" fontId="4" fillId="15" borderId="11" xfId="14" applyFill="1" applyBorder="1" applyAlignment="1" applyProtection="1">
      <alignment horizontal="center" vertical="center" wrapText="1"/>
      <protection locked="0"/>
    </xf>
    <xf numFmtId="0" fontId="4" fillId="15" borderId="158" xfId="14" applyFill="1" applyBorder="1" applyAlignment="1" applyProtection="1">
      <alignment horizontal="center" vertical="center" wrapText="1"/>
      <protection locked="0"/>
    </xf>
    <xf numFmtId="0" fontId="4" fillId="15" borderId="186" xfId="14" applyFill="1" applyBorder="1" applyAlignment="1" applyProtection="1">
      <alignment horizontal="center" vertical="center" wrapText="1"/>
      <protection locked="0"/>
    </xf>
    <xf numFmtId="0" fontId="4" fillId="15" borderId="17" xfId="14" applyFill="1" applyBorder="1" applyAlignment="1" applyProtection="1">
      <alignment horizontal="center" vertical="center" wrapText="1"/>
      <protection locked="0"/>
    </xf>
    <xf numFmtId="0" fontId="4" fillId="0" borderId="16" xfId="14" applyBorder="1" applyAlignment="1">
      <alignment horizontal="center" vertical="center"/>
    </xf>
    <xf numFmtId="0" fontId="4" fillId="0" borderId="11" xfId="14" applyBorder="1" applyAlignment="1">
      <alignment horizontal="center" vertical="center"/>
    </xf>
    <xf numFmtId="0" fontId="4" fillId="0" borderId="158" xfId="14" applyBorder="1" applyAlignment="1">
      <alignment horizontal="center" vertical="center"/>
    </xf>
    <xf numFmtId="0" fontId="4" fillId="0" borderId="186" xfId="14" applyBorder="1" applyAlignment="1">
      <alignment horizontal="center" vertical="center" wrapText="1"/>
    </xf>
    <xf numFmtId="0" fontId="4" fillId="0" borderId="11" xfId="14" applyBorder="1" applyAlignment="1">
      <alignment horizontal="center" vertical="center" wrapText="1"/>
    </xf>
    <xf numFmtId="0" fontId="4" fillId="0" borderId="17" xfId="14" applyBorder="1" applyAlignment="1">
      <alignment horizontal="center" vertical="center" wrapText="1"/>
    </xf>
    <xf numFmtId="17" fontId="4" fillId="15" borderId="16" xfId="14" applyNumberFormat="1" applyFill="1" applyBorder="1" applyAlignment="1" applyProtection="1">
      <alignment horizontal="center" vertical="center"/>
      <protection locked="0"/>
    </xf>
    <xf numFmtId="17" fontId="4" fillId="15" borderId="11" xfId="14" applyNumberFormat="1" applyFill="1" applyBorder="1" applyAlignment="1" applyProtection="1">
      <alignment horizontal="center" vertical="center"/>
      <protection locked="0"/>
    </xf>
    <xf numFmtId="17" fontId="4" fillId="15" borderId="17" xfId="14" applyNumberFormat="1" applyFill="1" applyBorder="1" applyAlignment="1" applyProtection="1">
      <alignment horizontal="center" vertical="center"/>
      <protection locked="0"/>
    </xf>
    <xf numFmtId="0" fontId="75" fillId="6" borderId="0" xfId="0" applyFont="1" applyFill="1" applyAlignment="1">
      <alignment horizontal="center" vertical="center" wrapText="1"/>
    </xf>
    <xf numFmtId="0" fontId="2" fillId="23" borderId="40" xfId="0" applyFont="1" applyFill="1" applyBorder="1" applyAlignment="1">
      <alignment horizontal="center" vertical="center" wrapText="1"/>
    </xf>
    <xf numFmtId="0" fontId="2" fillId="23" borderId="31" xfId="0" applyFont="1" applyFill="1" applyBorder="1" applyAlignment="1">
      <alignment horizontal="center" vertical="center" wrapText="1"/>
    </xf>
  </cellXfs>
  <cellStyles count="23">
    <cellStyle name="Hiperlink" xfId="19" builtinId="8"/>
    <cellStyle name="Moeda" xfId="22" builtinId="4"/>
    <cellStyle name="Moeda 2" xfId="20" xr:uid="{00000000-0005-0000-0000-000001000000}"/>
    <cellStyle name="Normal" xfId="0" builtinId="0"/>
    <cellStyle name="Normal 2" xfId="5" xr:uid="{00000000-0005-0000-0000-000003000000}"/>
    <cellStyle name="Normal 3" xfId="8" xr:uid="{00000000-0005-0000-0000-000004000000}"/>
    <cellStyle name="Normal 3 2" xfId="7" xr:uid="{00000000-0005-0000-0000-000005000000}"/>
    <cellStyle name="Normal 3 3" xfId="14" xr:uid="{00000000-0005-0000-0000-000006000000}"/>
    <cellStyle name="Normal 3 4" xfId="11" xr:uid="{00000000-0005-0000-0000-000007000000}"/>
    <cellStyle name="Normal 4" xfId="18" xr:uid="{00000000-0005-0000-0000-000008000000}"/>
    <cellStyle name="Normal 5" xfId="21" xr:uid="{00000000-0005-0000-0000-000009000000}"/>
    <cellStyle name="Normal_ORÇAMENTO" xfId="1" xr:uid="{00000000-0005-0000-0000-00000A000000}"/>
    <cellStyle name="Normal_ORÇAMENTO ALTERNATIVA 1 DER Junho2001" xfId="2" xr:uid="{00000000-0005-0000-0000-00000B000000}"/>
    <cellStyle name="Porcentagem" xfId="4" builtinId="5"/>
    <cellStyle name="Porcentagem 2" xfId="6" xr:uid="{00000000-0005-0000-0000-00000D000000}"/>
    <cellStyle name="Porcentagem 3" xfId="17" xr:uid="{00000000-0005-0000-0000-00000E000000}"/>
    <cellStyle name="Vírgula" xfId="3" builtinId="3"/>
    <cellStyle name="Vírgula 2" xfId="9" xr:uid="{00000000-0005-0000-0000-000010000000}"/>
    <cellStyle name="Vírgula 2 2" xfId="15" xr:uid="{00000000-0005-0000-0000-000011000000}"/>
    <cellStyle name="Vírgula 2 3" xfId="12" xr:uid="{00000000-0005-0000-0000-000012000000}"/>
    <cellStyle name="Vírgula 3" xfId="13" xr:uid="{00000000-0005-0000-0000-000013000000}"/>
    <cellStyle name="Vírgula 4" xfId="10" xr:uid="{00000000-0005-0000-0000-000014000000}"/>
    <cellStyle name="Vírgula 5" xfId="16" xr:uid="{00000000-0005-0000-0000-000015000000}"/>
  </cellStyles>
  <dxfs count="0"/>
  <tableStyles count="0" defaultTableStyle="TableStyleMedium2" defaultPivotStyle="PivotStyleLight16"/>
  <colors>
    <mruColors>
      <color rgb="FF0000FF"/>
      <color rgb="FFCCFFCC"/>
      <color rgb="FFFFFFCC"/>
      <color rgb="FF66FFFF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4</xdr:row>
      <xdr:rowOff>0</xdr:rowOff>
    </xdr:from>
    <xdr:to>
      <xdr:col>3</xdr:col>
      <xdr:colOff>1813671</xdr:colOff>
      <xdr:row>10</xdr:row>
      <xdr:rowOff>59391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981075" y="647700"/>
          <a:ext cx="3842497" cy="107856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rgbClr val="0000FF"/>
              </a:solidFill>
            </a:rPr>
            <a:t>ATUALIZAR</a:t>
          </a:r>
          <a:r>
            <a:rPr lang="pt-BR" sz="1400" b="0" baseline="0">
              <a:solidFill>
                <a:srgbClr val="0000FF"/>
              </a:solidFill>
            </a:rPr>
            <a:t> A TABELA DO </a:t>
          </a:r>
          <a:r>
            <a:rPr lang="pt-BR" sz="1400" b="1" baseline="0">
              <a:solidFill>
                <a:srgbClr val="0000FF"/>
              </a:solidFill>
            </a:rPr>
            <a:t>BDI</a:t>
          </a:r>
          <a:r>
            <a:rPr lang="pt-BR" sz="1400" b="0" baseline="0">
              <a:solidFill>
                <a:srgbClr val="0000FF"/>
              </a:solidFill>
            </a:rPr>
            <a:t> PARA O CÁLCULO CORRETO DOS PREÇOS UNITÁRIOS. E AJUSTAR </a:t>
          </a:r>
          <a:br>
            <a:rPr lang="pt-BR" sz="1400" b="0" baseline="0">
              <a:solidFill>
                <a:srgbClr val="0000FF"/>
              </a:solidFill>
            </a:rPr>
          </a:br>
          <a:r>
            <a:rPr lang="pt-BR" sz="1400" b="0" baseline="0">
              <a:solidFill>
                <a:srgbClr val="0000FF"/>
              </a:solidFill>
            </a:rPr>
            <a:t>AS </a:t>
          </a:r>
          <a:r>
            <a:rPr lang="pt-BR" sz="1400" b="1" baseline="0">
              <a:solidFill>
                <a:srgbClr val="0000FF"/>
              </a:solidFill>
            </a:rPr>
            <a:t>DMT's</a:t>
          </a:r>
          <a:r>
            <a:rPr lang="pt-BR" sz="1400" b="0" baseline="0">
              <a:solidFill>
                <a:srgbClr val="0000FF"/>
              </a:solidFill>
            </a:rPr>
            <a:t> NA PASTA ESPECÍFICA E AS DEMAIS NA PASTA DA </a:t>
          </a:r>
          <a:r>
            <a:rPr lang="pt-BR" sz="1400" b="1" baseline="0">
              <a:solidFill>
                <a:srgbClr val="0000FF"/>
              </a:solidFill>
            </a:rPr>
            <a:t>GLOBAL</a:t>
          </a:r>
          <a:endParaRPr lang="pt-BR" sz="1400" b="1">
            <a:solidFill>
              <a:srgbClr val="0000FF"/>
            </a:solidFill>
          </a:endParaRPr>
        </a:p>
      </xdr:txBody>
    </xdr:sp>
    <xdr:clientData fPrintsWithSheet="0"/>
  </xdr:twoCellAnchor>
  <xdr:twoCellAnchor editAs="oneCell">
    <xdr:from>
      <xdr:col>11</xdr:col>
      <xdr:colOff>133350</xdr:colOff>
      <xdr:row>3</xdr:row>
      <xdr:rowOff>85725</xdr:rowOff>
    </xdr:from>
    <xdr:to>
      <xdr:col>13</xdr:col>
      <xdr:colOff>847725</xdr:colOff>
      <xdr:row>10</xdr:row>
      <xdr:rowOff>38100</xdr:rowOff>
    </xdr:to>
    <xdr:sp macro="" textlink="">
      <xdr:nvSpPr>
        <xdr:cNvPr id="2" name="Balão de Fala: Retângulo 1">
          <a:extLst>
            <a:ext uri="{FF2B5EF4-FFF2-40B4-BE49-F238E27FC236}">
              <a16:creationId xmlns:a16="http://schemas.microsoft.com/office/drawing/2014/main" id="{07905789-CAA4-6362-62CF-BC05D1067A0F}"/>
            </a:ext>
          </a:extLst>
        </xdr:cNvPr>
        <xdr:cNvSpPr/>
      </xdr:nvSpPr>
      <xdr:spPr bwMode="auto">
        <a:xfrm>
          <a:off x="11715750" y="962025"/>
          <a:ext cx="2295525" cy="1133475"/>
        </a:xfrm>
        <a:prstGeom prst="wedgeRectCallout">
          <a:avLst>
            <a:gd name="adj1" fmla="val -33435"/>
            <a:gd name="adj2" fmla="val 133928"/>
          </a:avLst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200" b="0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Utilizar a função </a:t>
          </a:r>
        </a:p>
        <a:p>
          <a:pPr algn="ctr"/>
          <a:r>
            <a:rPr lang="pt-BR" sz="1200" b="1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"=ARRED( ;2)"</a:t>
          </a:r>
        </a:p>
        <a:p>
          <a:pPr algn="ctr"/>
          <a:r>
            <a:rPr lang="pt-BR" sz="1200" b="1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com 2 casas decimais </a:t>
          </a:r>
        </a:p>
        <a:p>
          <a:pPr algn="ctr"/>
          <a:r>
            <a:rPr lang="pt-BR" sz="1200" b="0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para calcular os quantitativos</a:t>
          </a:r>
        </a:p>
        <a:p>
          <a:pPr algn="ctr"/>
          <a:r>
            <a:rPr lang="pt-BR" sz="1200" b="0">
              <a:solidFill>
                <a:schemeClr val="tx2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Ex: </a:t>
          </a:r>
          <a:r>
            <a:rPr lang="pt-BR" sz="1200" b="1">
              <a:solidFill>
                <a:schemeClr val="tx2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=ARRED(23,45*0,05;2)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428624</xdr:colOff>
      <xdr:row>5</xdr:row>
      <xdr:rowOff>66674</xdr:rowOff>
    </xdr:from>
    <xdr:to>
      <xdr:col>15</xdr:col>
      <xdr:colOff>152399</xdr:colOff>
      <xdr:row>14</xdr:row>
      <xdr:rowOff>19049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8953499" y="1304924"/>
          <a:ext cx="3457575" cy="16668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0" baseline="0">
              <a:solidFill>
                <a:srgbClr val="0000FF"/>
              </a:solidFill>
            </a:rPr>
            <a:t>AJUSTAR </a:t>
          </a:r>
          <a:br>
            <a:rPr lang="pt-BR" sz="1800" b="0" baseline="0">
              <a:solidFill>
                <a:srgbClr val="0000FF"/>
              </a:solidFill>
            </a:rPr>
          </a:br>
          <a:r>
            <a:rPr lang="pt-BR" sz="1800" b="0" baseline="0">
              <a:solidFill>
                <a:srgbClr val="0000FF"/>
              </a:solidFill>
            </a:rPr>
            <a:t>AS </a:t>
          </a:r>
          <a:r>
            <a:rPr lang="pt-BR" sz="1800" b="1" baseline="0">
              <a:solidFill>
                <a:srgbClr val="0000FF"/>
              </a:solidFill>
            </a:rPr>
            <a:t>DMT's</a:t>
          </a:r>
          <a:r>
            <a:rPr lang="pt-BR" sz="1800" b="0" baseline="0">
              <a:solidFill>
                <a:srgbClr val="0000FF"/>
              </a:solidFill>
            </a:rPr>
            <a:t> NESTA PASTA, QUE AUTOMATICAMENTE FICARÁ AJUSTADA AS PASTAS DO ORÇAMENTO.</a:t>
          </a:r>
          <a:endParaRPr lang="pt-BR" sz="1800" b="1">
            <a:solidFill>
              <a:srgbClr val="0000FF"/>
            </a:solidFill>
          </a:endParaRP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85725</xdr:colOff>
      <xdr:row>557</xdr:row>
      <xdr:rowOff>200025</xdr:rowOff>
    </xdr:from>
    <xdr:ext cx="2009775" cy="1019175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91A166E2-A71E-1EA4-94FC-C6C9FE8DAD91}"/>
            </a:ext>
          </a:extLst>
        </xdr:cNvPr>
        <xdr:cNvSpPr txBox="1"/>
      </xdr:nvSpPr>
      <xdr:spPr>
        <a:xfrm>
          <a:off x="16697325" y="111718725"/>
          <a:ext cx="2009775" cy="101917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/>
            <a:t> * marcar "</a:t>
          </a:r>
          <a:r>
            <a:rPr lang="pt-BR" sz="1100" b="1"/>
            <a:t>1</a:t>
          </a:r>
          <a:r>
            <a:rPr lang="pt-BR" sz="1100"/>
            <a:t>" na coluna "U" para </a:t>
          </a:r>
          <a:br>
            <a:rPr lang="pt-BR" sz="1100"/>
          </a:br>
          <a:r>
            <a:rPr lang="pt-BR" sz="1100"/>
            <a:t>    usar o </a:t>
          </a:r>
          <a:r>
            <a:rPr lang="pt-BR" sz="1100" b="1"/>
            <a:t>BDI de Material</a:t>
          </a:r>
        </a:p>
        <a:p>
          <a:pPr algn="l"/>
          <a:endParaRPr lang="pt-BR" sz="1100"/>
        </a:p>
        <a:p>
          <a:pPr algn="l"/>
          <a:r>
            <a:rPr lang="pt-BR" sz="1100"/>
            <a:t>* marcar "</a:t>
          </a:r>
          <a:r>
            <a:rPr lang="pt-BR" sz="1100" b="1"/>
            <a:t>0</a:t>
          </a:r>
          <a:r>
            <a:rPr lang="pt-BR" sz="1100"/>
            <a:t>" na coluna "U" para </a:t>
          </a:r>
          <a:br>
            <a:rPr lang="pt-BR" sz="1100"/>
          </a:br>
          <a:r>
            <a:rPr lang="pt-BR" sz="1100"/>
            <a:t>   usar o </a:t>
          </a:r>
          <a:r>
            <a:rPr lang="pt-BR" sz="1100" b="1"/>
            <a:t>BDI de Serviços</a:t>
          </a:r>
        </a:p>
      </xdr:txBody>
    </xdr:sp>
    <xdr:clientData fPrint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uy\_01%20Reequil&#237;brio%20-%20arquivos%20revisados\Realinamento%20SET%202017-INCC-mensal%20ANP-DNIT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UYJOSE\BACK_UP\viabilidade%20normal%202019\Reequilibrio%20base%20tabela%20jun%202018%20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C"/>
      <sheetName val="ANP após 2015"/>
      <sheetName val="percentuais por insumo"/>
      <sheetName val="TESTE"/>
      <sheetName val="proposta"/>
      <sheetName val="2017 SEM"/>
      <sheetName val="R1"/>
      <sheetName val="R2"/>
      <sheetName val="R3"/>
      <sheetName val="R4"/>
      <sheetName val="R5"/>
      <sheetName val="R6"/>
      <sheetName val="R7"/>
      <sheetName val="R8 saldo"/>
      <sheetName val="SOMA"/>
      <sheetName val="resumo"/>
      <sheetName val="Composição TCPOWe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P após 2015"/>
      <sheetName val="INCC"/>
      <sheetName val="IGP-DI"/>
      <sheetName val="PROPOSTA"/>
      <sheetName val="med_SEM REEQ"/>
      <sheetName val="med a"/>
      <sheetName val="med b"/>
      <sheetName val="med c"/>
      <sheetName val="med d"/>
      <sheetName val="med e"/>
      <sheetName val="med f"/>
      <sheetName val="med g"/>
      <sheetName val="med h"/>
      <sheetName val="med i"/>
      <sheetName val="med-soma"/>
      <sheetName val="saldo"/>
      <sheetName val="global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uy José da Costa" id="{3700DA48-E085-4295-938F-A8B4296C1D21}" userId="S::ruy@paranacidade.org.br::b5bf2d50-b6ff-45e8-9467-289c385da7f0" providerId="AD"/>
  <person displayName="Roberto Chun Yan Pan" id="{C88AF698-4F81-4C66-AC12-49D0C4526F46}" userId="S::robertopan@paranacidade.org.br::b48950a5-d6cc-4bb4-af60-fa0938b8ee80" providerId="AD"/>
</personLis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S2" dT="2023-03-07T11:56:11.70" personId="{C88AF698-4F81-4C66-AC12-49D0C4526F46}" id="{2CF7446A-84F4-4CCA-87B7-2F04368F5AD2}" done="1">
    <text xml:space="preserve">Informar o valor do Convênio do PAM para este projeto.
</text>
  </threadedComment>
  <threadedComment ref="E6" dT="2023-05-30T14:16:20.33" personId="{C88AF698-4F81-4C66-AC12-49D0C4526F46}" id="{7B433FB9-6879-41E5-8E0E-05B1626E1D2A}" done="1">
    <text>Prazo mínimo de 6 meses de obra.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15" dT="2023-03-07T12:45:27.06" personId="{C88AF698-4F81-4C66-AC12-49D0C4526F46}" id="{F91E1158-D790-4C73-8422-CC63B5B7C06A}" done="1">
    <text>Tabela de referência da análise do projeto (não apagar essa informações das planilha dos editais: planilha de serviços, anexo e cartilha).</text>
  </threadedComment>
  <threadedComment ref="O16" dT="2023-04-14T12:03:50.19" personId="{C88AF698-4F81-4C66-AC12-49D0C4526F46}" id="{FEF2AC90-68BD-4EBD-BAA2-1340250CB694}" done="1">
    <text>Informar a data da aprovação do projeto, que será a data base para reajustamento do contrato quando necessário, conforme o Decreto 10.086/22 do Paraná, que regulamenta a Lei 14.133/2021.</text>
  </threadedComment>
  <threadedComment ref="D543" dT="2022-05-20T19:09:19.94" personId="{3700DA48-E085-4295-938F-A8B4296C1D21}" id="{9A388544-8DCE-47B8-8E05-09F66A322966}">
    <text>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ext>
  </threadedComment>
  <threadedComment ref="D544" dT="2022-05-20T19:11:06.16" personId="{3700DA48-E085-4295-938F-A8B4296C1D21}" id="{AABE1422-78A6-4327-B5C0-A511D859DAE3}">
    <text>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ext>
  </threadedComment>
  <threadedComment ref="D545" dT="2022-05-20T19:12:19.15" personId="{3700DA48-E085-4295-938F-A8B4296C1D21}" id="{2DBAC8DB-6720-46A5-9320-DCDBF768325E}">
    <text>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ext>
  </threadedComment>
  <threadedComment ref="D546" dT="2022-05-20T19:13:44.21" personId="{3700DA48-E085-4295-938F-A8B4296C1D21}" id="{8A96A638-AD53-4BC9-8626-84F8B050E805}">
    <text>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ext>
  </threadedComment>
  <threadedComment ref="D547" dT="2022-05-20T19:15:19.76" personId="{3700DA48-E085-4295-938F-A8B4296C1D21}" id="{5C62EF5E-9646-44BB-8213-8D21E5BC6772}">
    <text>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ext>
  </threadedComment>
  <threadedComment ref="D548" dT="2022-05-20T19:16:12.52" personId="{3700DA48-E085-4295-938F-A8B4296C1D21}" id="{9FACA1A5-0068-46A2-8D31-617A85646F91}">
    <text>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ext>
  </threadedComment>
  <threadedComment ref="D551" dT="2022-05-20T19:26:23.41" personId="{3700DA48-E085-4295-938F-A8B4296C1D21}" id="{F5EE1DCA-9761-48E4-88F7-0158606C077E}">
    <text>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543" dT="2022-05-20T19:09:19.94" personId="{3700DA48-E085-4295-938F-A8B4296C1D21}" id="{089F3248-863D-4E58-9A72-A0EB75FB02AA}">
    <text>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ext>
  </threadedComment>
  <threadedComment ref="D544" dT="2022-05-20T19:11:06.16" personId="{3700DA48-E085-4295-938F-A8B4296C1D21}" id="{B0D0578E-02BE-4064-8839-1E0DB2B02727}">
    <text>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ext>
  </threadedComment>
  <threadedComment ref="D545" dT="2022-05-20T19:12:19.15" personId="{3700DA48-E085-4295-938F-A8B4296C1D21}" id="{4F9F2BA5-3A64-4AD9-950A-DC94D366B8EA}">
    <text>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ext>
  </threadedComment>
  <threadedComment ref="D546" dT="2022-05-20T19:13:44.21" personId="{3700DA48-E085-4295-938F-A8B4296C1D21}" id="{74F19F8F-8FF0-4487-BFC1-C3B515963568}">
    <text>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ext>
  </threadedComment>
  <threadedComment ref="D547" dT="2022-05-20T19:15:19.76" personId="{3700DA48-E085-4295-938F-A8B4296C1D21}" id="{A1817C80-A946-42EC-A11B-71699F193008}">
    <text>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ext>
  </threadedComment>
  <threadedComment ref="D548" dT="2022-05-20T19:16:12.52" personId="{3700DA48-E085-4295-938F-A8B4296C1D21}" id="{794FB6C4-ADA8-4B28-9F28-3B06F5DC81F7}">
    <text>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ext>
  </threadedComment>
  <threadedComment ref="D551" dT="2022-05-20T19:26:23.41" personId="{3700DA48-E085-4295-938F-A8B4296C1D21}" id="{5F2A7E28-5BAA-4FF7-8D80-50B5D93E2464}">
    <text>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br/anp/pt-br/assuntos/precos-e-defesa-da-concorrencia/precos/precos-de-distribuicao-de-produtos-asfalticos" TargetMode="External"/><Relationship Id="rId2" Type="http://schemas.openxmlformats.org/officeDocument/2006/relationships/hyperlink" Target="https://www.gov.br/anp/pt-br/assuntos/precos-e-defesa-da-concorrencia/precos/precos-de-produtores-e-importadores-de-derivados-de-petroleo" TargetMode="External"/><Relationship Id="rId1" Type="http://schemas.openxmlformats.org/officeDocument/2006/relationships/hyperlink" Target="https://www.gov.br/anp/pt-br/assuntos/precos-e-defesa-da-concorrencia/precos/precos-de-distribuicao-de-produtos-asfalticos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www.gov.br/anp/pt-br/assuntos/precos-e-defesa-da-concorrencia/precos/precos-de-produtores-e-importadores-de-derivados-de-petroleo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9">
    <tabColor rgb="FF0070C0"/>
    <pageSetUpPr fitToPage="1"/>
  </sheetPr>
  <dimension ref="A1:AY2578"/>
  <sheetViews>
    <sheetView showZeros="0" topLeftCell="C2454" workbookViewId="0">
      <selection activeCell="O2492" sqref="O2492"/>
    </sheetView>
  </sheetViews>
  <sheetFormatPr defaultColWidth="21.6640625" defaultRowHeight="12.75"/>
  <cols>
    <col min="1" max="1" width="15.6640625" style="317" hidden="1" customWidth="1"/>
    <col min="2" max="2" width="19.83203125" style="567" customWidth="1"/>
    <col min="3" max="3" width="17.1640625" style="567" customWidth="1"/>
    <col min="4" max="4" width="76.83203125" style="37" customWidth="1"/>
    <col min="5" max="5" width="15.83203125" style="37" customWidth="1"/>
    <col min="6" max="6" width="12.83203125" style="37" customWidth="1"/>
    <col min="7" max="7" width="15.33203125" style="37" bestFit="1" customWidth="1"/>
    <col min="8" max="9" width="12.83203125" style="37" customWidth="1"/>
    <col min="10" max="10" width="13.83203125" style="37" customWidth="1"/>
    <col min="11" max="11" width="6.83203125" style="37" customWidth="1"/>
    <col min="12" max="12" width="15.83203125" style="37" customWidth="1"/>
    <col min="13" max="13" width="11.83203125" style="37" customWidth="1"/>
    <col min="14" max="15" width="22.83203125" style="37" customWidth="1"/>
    <col min="16" max="16" width="4.6640625" style="36" customWidth="1"/>
    <col min="17" max="20" width="4.6640625" style="37" customWidth="1"/>
    <col min="21" max="24" width="21.6640625" style="37"/>
    <col min="25" max="25" width="21.6640625" style="317"/>
    <col min="26" max="16384" width="21.6640625" style="37"/>
  </cols>
  <sheetData>
    <row r="1" spans="1:25" ht="26.25" customHeight="1">
      <c r="B1" s="670" t="s">
        <v>418</v>
      </c>
      <c r="C1" s="671"/>
      <c r="D1" s="671"/>
      <c r="E1" s="308"/>
      <c r="F1" s="32"/>
      <c r="G1" s="35"/>
      <c r="H1" s="33"/>
      <c r="I1" s="34"/>
      <c r="J1" s="34"/>
      <c r="K1" s="523" t="s">
        <v>421</v>
      </c>
      <c r="L1" s="524" t="s">
        <v>421</v>
      </c>
      <c r="M1" s="525"/>
      <c r="N1" s="526" t="s">
        <v>421</v>
      </c>
      <c r="O1" s="527"/>
      <c r="T1"/>
    </row>
    <row r="2" spans="1:25" ht="24.75" customHeight="1">
      <c r="B2" s="669" t="str">
        <f>$O$15</f>
        <v>Tabela Referência: DER/PR de FEVEREIRO/2023 sem desoneração</v>
      </c>
      <c r="C2" s="556"/>
      <c r="D2" s="549"/>
      <c r="E2" s="506"/>
      <c r="F2" s="47"/>
      <c r="G2" s="41"/>
      <c r="H2" s="38"/>
      <c r="I2" s="39"/>
      <c r="J2" s="38"/>
      <c r="K2" s="38"/>
      <c r="L2" s="40"/>
      <c r="M2" s="549"/>
      <c r="N2" s="549"/>
      <c r="O2" s="550"/>
      <c r="T2"/>
    </row>
    <row r="3" spans="1:25" ht="18" customHeight="1">
      <c r="B3" s="507"/>
      <c r="C3" s="508"/>
      <c r="D3" s="509" t="s">
        <v>422</v>
      </c>
      <c r="E3" s="510" t="s">
        <v>422</v>
      </c>
      <c r="F3" s="511"/>
      <c r="G3" s="44"/>
      <c r="H3" s="42"/>
      <c r="I3" s="39"/>
      <c r="J3" s="43"/>
      <c r="K3" s="512" t="s">
        <v>422</v>
      </c>
      <c r="L3" s="512" t="s">
        <v>422</v>
      </c>
      <c r="M3" s="549"/>
      <c r="N3" s="549"/>
      <c r="O3" s="550"/>
      <c r="T3"/>
    </row>
    <row r="4" spans="1:25">
      <c r="A4" s="317" t="s">
        <v>152</v>
      </c>
      <c r="B4" s="562" t="s">
        <v>152</v>
      </c>
      <c r="C4" s="568"/>
      <c r="D4" s="513"/>
      <c r="E4" s="521"/>
      <c r="F4" s="46"/>
      <c r="G4" s="44"/>
      <c r="H4" s="42"/>
      <c r="I4" s="39"/>
      <c r="J4" s="43"/>
      <c r="K4" s="43"/>
      <c r="L4" s="45"/>
      <c r="M4" s="549"/>
      <c r="N4" s="549"/>
      <c r="O4" s="550"/>
    </row>
    <row r="5" spans="1:25">
      <c r="A5" s="317" t="s">
        <v>152</v>
      </c>
      <c r="B5" s="562" t="s">
        <v>152</v>
      </c>
      <c r="C5" s="568"/>
      <c r="D5" s="513"/>
      <c r="E5" s="521"/>
      <c r="F5" s="47"/>
      <c r="G5" s="44"/>
      <c r="H5" s="42"/>
      <c r="I5" s="39"/>
      <c r="J5" s="43"/>
      <c r="K5" s="43"/>
      <c r="L5" s="45"/>
      <c r="M5" s="549"/>
      <c r="N5" s="549"/>
      <c r="O5" s="550"/>
    </row>
    <row r="6" spans="1:25">
      <c r="A6" s="317" t="s">
        <v>152</v>
      </c>
      <c r="B6" s="562" t="s">
        <v>152</v>
      </c>
      <c r="C6" s="568"/>
      <c r="D6" s="513"/>
      <c r="E6" s="521"/>
      <c r="F6" s="46"/>
      <c r="G6" s="44"/>
      <c r="H6" s="42"/>
      <c r="I6" s="39"/>
      <c r="J6" s="43"/>
      <c r="K6" s="43"/>
      <c r="L6" s="45"/>
      <c r="M6" s="549"/>
      <c r="N6" s="549"/>
      <c r="O6" s="550"/>
    </row>
    <row r="7" spans="1:25">
      <c r="A7" s="317" t="s">
        <v>152</v>
      </c>
      <c r="B7" s="562" t="s">
        <v>152</v>
      </c>
      <c r="C7" s="568"/>
      <c r="D7" s="513"/>
      <c r="E7" s="521"/>
      <c r="F7" s="46"/>
      <c r="G7" s="44"/>
      <c r="H7" s="42"/>
      <c r="I7" s="39"/>
      <c r="J7" s="43"/>
      <c r="K7" s="43"/>
      <c r="L7" s="45"/>
      <c r="M7" s="549"/>
      <c r="N7" s="549"/>
      <c r="O7" s="550"/>
    </row>
    <row r="8" spans="1:25" ht="13.5" thickBot="1">
      <c r="B8" s="514"/>
      <c r="C8" s="515"/>
      <c r="D8" s="513"/>
      <c r="E8" s="521"/>
      <c r="F8" s="46"/>
      <c r="G8" s="44"/>
      <c r="H8" s="42"/>
      <c r="I8" s="39"/>
      <c r="J8" s="43"/>
      <c r="K8" s="43"/>
      <c r="L8" s="45"/>
      <c r="M8" s="549"/>
      <c r="N8" s="549"/>
      <c r="O8" s="550"/>
    </row>
    <row r="9" spans="1:25" ht="15" thickBot="1">
      <c r="B9" s="562"/>
      <c r="C9" s="568"/>
      <c r="D9" s="522" t="s">
        <v>1975</v>
      </c>
      <c r="E9" s="78">
        <f>BDI!B17</f>
        <v>0.18379999999999999</v>
      </c>
      <c r="F9" s="46"/>
      <c r="G9" s="44"/>
      <c r="H9" s="42"/>
      <c r="I9" s="39"/>
      <c r="J9" s="43"/>
      <c r="K9" s="43"/>
      <c r="L9" s="45"/>
      <c r="M9" s="549"/>
      <c r="N9" s="549"/>
      <c r="O9" s="550"/>
      <c r="Q9" s="310"/>
    </row>
    <row r="10" spans="1:25" ht="13.5" thickBot="1">
      <c r="B10" s="562"/>
      <c r="C10" s="568"/>
      <c r="D10" s="522" t="s">
        <v>512</v>
      </c>
      <c r="E10" s="79">
        <f>BDI!B15</f>
        <v>0.22219999999999998</v>
      </c>
      <c r="F10" s="46"/>
      <c r="G10" s="44"/>
      <c r="H10" s="42"/>
      <c r="I10" s="39"/>
      <c r="J10" s="43"/>
      <c r="K10" s="43"/>
      <c r="L10" s="45"/>
      <c r="M10" s="549"/>
      <c r="N10" s="549"/>
      <c r="O10" s="550"/>
    </row>
    <row r="11" spans="1:25" ht="13.5" thickBot="1">
      <c r="B11" s="563"/>
      <c r="C11" s="569"/>
      <c r="D11" s="517"/>
      <c r="E11" s="312"/>
      <c r="F11" s="48"/>
      <c r="G11" s="52"/>
      <c r="H11" s="49"/>
      <c r="I11" s="50"/>
      <c r="J11" s="51"/>
      <c r="K11" s="51"/>
      <c r="L11" s="53"/>
      <c r="M11" s="551"/>
      <c r="N11" s="551"/>
      <c r="O11" s="552"/>
    </row>
    <row r="12" spans="1:25" ht="25.15" customHeight="1" thickBot="1">
      <c r="B12" s="69" t="s">
        <v>157</v>
      </c>
      <c r="C12" s="54"/>
      <c r="D12" s="55"/>
      <c r="E12" s="55"/>
      <c r="F12" s="56"/>
      <c r="G12" s="55"/>
      <c r="H12" s="55"/>
      <c r="I12" s="55"/>
      <c r="J12" s="55"/>
      <c r="K12" s="55"/>
      <c r="L12" s="55"/>
      <c r="M12" s="55"/>
      <c r="N12" s="55"/>
      <c r="O12" s="56"/>
    </row>
    <row r="13" spans="1:25" s="77" customFormat="1" ht="18" customHeight="1">
      <c r="A13" s="317"/>
      <c r="B13" s="804" t="s">
        <v>159</v>
      </c>
      <c r="C13" s="1075" t="str">
        <f>'REF. DE PREÇOS n editavel'!C13</f>
        <v>DOIS VIZINHOS</v>
      </c>
      <c r="D13" s="809"/>
      <c r="E13" s="1076" t="s">
        <v>160</v>
      </c>
      <c r="F13" s="1077" t="str">
        <f>'REF. DE PREÇOS n editavel'!F13</f>
        <v>XX</v>
      </c>
      <c r="G13" s="808"/>
      <c r="H13" s="809"/>
      <c r="I13" s="809"/>
      <c r="J13" s="809"/>
      <c r="K13" s="809"/>
      <c r="L13" s="809"/>
      <c r="M13" s="809"/>
      <c r="N13" s="810" t="s">
        <v>160</v>
      </c>
      <c r="O13" s="1078" t="str">
        <f>'REF. DE PREÇOS n editavel'!O13</f>
        <v>XX</v>
      </c>
      <c r="P13" s="76"/>
      <c r="Y13" s="317"/>
    </row>
    <row r="14" spans="1:25" s="77" customFormat="1" ht="18" customHeight="1">
      <c r="A14" s="317"/>
      <c r="B14" s="812" t="s">
        <v>161</v>
      </c>
      <c r="C14" s="1079" t="str">
        <f>'REF. DE PREÇOS n editavel'!C14</f>
        <v xml:space="preserve">PAVIMENTAÇÃO DE VIAS </v>
      </c>
      <c r="D14" s="817"/>
      <c r="E14" s="1080" t="s">
        <v>163</v>
      </c>
      <c r="F14" s="1081" t="str">
        <f>'REF. DE PREÇOS n editavel'!F14</f>
        <v>1</v>
      </c>
      <c r="G14" s="816"/>
      <c r="H14" s="817"/>
      <c r="I14" s="817"/>
      <c r="J14" s="817"/>
      <c r="K14" s="817"/>
      <c r="L14" s="817"/>
      <c r="M14" s="817"/>
      <c r="N14" s="818" t="s">
        <v>162</v>
      </c>
      <c r="O14" s="1082" t="str">
        <f>'REF. DE PREÇOS n editavel'!O14</f>
        <v>1</v>
      </c>
      <c r="P14" s="76"/>
      <c r="Y14" s="317"/>
    </row>
    <row r="15" spans="1:25" s="77" customFormat="1" ht="18" customHeight="1">
      <c r="A15" s="317"/>
      <c r="B15" s="812" t="s">
        <v>476</v>
      </c>
      <c r="C15" s="813" t="s">
        <v>2281</v>
      </c>
      <c r="D15" s="1144"/>
      <c r="E15" s="1083"/>
      <c r="F15" s="1084"/>
      <c r="G15" s="816"/>
      <c r="H15" s="817"/>
      <c r="I15" s="817"/>
      <c r="J15" s="817"/>
      <c r="K15" s="817"/>
      <c r="L15" s="817"/>
      <c r="M15" s="817"/>
      <c r="N15" s="817"/>
      <c r="O15" s="821" t="str">
        <f>'REF. DE PREÇOS n editavel'!O15</f>
        <v>Tabela Referência: DER/PR de FEVEREIRO/2023 sem desoneração</v>
      </c>
      <c r="P15" s="76"/>
      <c r="Y15" s="317"/>
    </row>
    <row r="16" spans="1:25" s="77" customFormat="1" ht="18" customHeight="1" thickBot="1">
      <c r="A16" s="317"/>
      <c r="B16" s="1085"/>
      <c r="C16" s="1086"/>
      <c r="D16" s="1071"/>
      <c r="E16" s="1086"/>
      <c r="F16" s="1086"/>
      <c r="G16" s="1070"/>
      <c r="H16" s="1070"/>
      <c r="I16" s="1070"/>
      <c r="J16" s="1070"/>
      <c r="K16" s="1070"/>
      <c r="L16" s="1070"/>
      <c r="M16" s="1070"/>
      <c r="N16" s="1073" t="s">
        <v>2168</v>
      </c>
      <c r="O16" s="1074">
        <f ca="1">'REF. DE PREÇOS n editavel'!O16</f>
        <v>45391</v>
      </c>
      <c r="P16" s="76"/>
      <c r="Y16" s="317"/>
    </row>
    <row r="17" spans="1:51" ht="18" customHeight="1" thickBot="1">
      <c r="B17" s="1087" t="s">
        <v>414</v>
      </c>
      <c r="C17" s="823" t="s">
        <v>415</v>
      </c>
      <c r="D17" s="1088" t="s">
        <v>153</v>
      </c>
      <c r="E17" s="1089" t="s">
        <v>0</v>
      </c>
      <c r="F17" s="1090" t="s">
        <v>1</v>
      </c>
      <c r="G17" s="827" t="s">
        <v>2</v>
      </c>
      <c r="H17" s="828"/>
      <c r="I17" s="829"/>
      <c r="J17" s="828"/>
      <c r="K17" s="1091" t="s">
        <v>156</v>
      </c>
      <c r="L17" s="831" t="s">
        <v>2125</v>
      </c>
      <c r="M17" s="832"/>
      <c r="N17" s="833"/>
      <c r="O17" s="833"/>
      <c r="P17" s="29" t="s">
        <v>1992</v>
      </c>
      <c r="Q17" s="29"/>
      <c r="R17" s="30"/>
      <c r="S17" s="30"/>
      <c r="T17" s="323"/>
    </row>
    <row r="18" spans="1:51" ht="46.5" thickBot="1">
      <c r="A18" s="631" t="s">
        <v>1842</v>
      </c>
      <c r="B18" s="834" t="s">
        <v>165</v>
      </c>
      <c r="C18" s="835"/>
      <c r="D18" s="836" t="s">
        <v>1843</v>
      </c>
      <c r="E18" s="837" t="s">
        <v>154</v>
      </c>
      <c r="F18" s="838" t="s">
        <v>155</v>
      </c>
      <c r="G18" s="839" t="s">
        <v>3</v>
      </c>
      <c r="H18" s="840" t="s">
        <v>4</v>
      </c>
      <c r="I18" s="840" t="s">
        <v>5</v>
      </c>
      <c r="J18" s="841" t="s">
        <v>6</v>
      </c>
      <c r="K18" s="842"/>
      <c r="L18" s="843" t="s">
        <v>7</v>
      </c>
      <c r="M18" s="844" t="s">
        <v>8</v>
      </c>
      <c r="N18" s="845" t="s">
        <v>9</v>
      </c>
      <c r="O18" s="846" t="s">
        <v>158</v>
      </c>
      <c r="P18" s="31" t="s">
        <v>416</v>
      </c>
      <c r="Q18" s="31" t="s">
        <v>419</v>
      </c>
      <c r="R18" s="31" t="s">
        <v>420</v>
      </c>
      <c r="S18" s="31" t="s">
        <v>418</v>
      </c>
      <c r="T18" s="322" t="s">
        <v>2080</v>
      </c>
      <c r="W18" s="1509" t="s">
        <v>2133</v>
      </c>
      <c r="X18" s="1510"/>
      <c r="Y18" s="574" t="s">
        <v>2134</v>
      </c>
    </row>
    <row r="19" spans="1:51" ht="13.5" thickBot="1">
      <c r="A19" s="317" t="s">
        <v>474</v>
      </c>
      <c r="B19" s="847" t="s">
        <v>474</v>
      </c>
      <c r="C19" s="848"/>
      <c r="D19" s="849" t="s">
        <v>432</v>
      </c>
      <c r="E19" s="850"/>
      <c r="F19" s="851"/>
      <c r="G19" s="852"/>
      <c r="H19" s="853"/>
      <c r="I19" s="853"/>
      <c r="J19" s="853"/>
      <c r="K19" s="853" t="s">
        <v>506</v>
      </c>
      <c r="L19" s="854"/>
      <c r="M19" s="855"/>
      <c r="N19" s="856"/>
      <c r="O19" s="857">
        <f>SUM(N20:N68)</f>
        <v>504520.8</v>
      </c>
      <c r="P19" s="58" t="str">
        <f>IF(OR(O19&gt;0,O19&gt;0),"X","")</f>
        <v>X</v>
      </c>
      <c r="Q19" s="317" t="str">
        <f t="shared" ref="Q19:Q82" si="0">IF(P19="X","x",IF(P19="xx","x",IF(P19="xy","x",IF(P19="y","x",IF(OR(N19&gt;0,N19&gt;0),"x","")))))</f>
        <v>x</v>
      </c>
      <c r="R19" s="317" t="str">
        <f t="shared" ref="R19:R84" si="1">IF(P19="X","x",IF(P19="y","x",IF(P19="xx","x",IF(N19&gt;0,"x",""))))</f>
        <v>x</v>
      </c>
      <c r="S19" s="317" t="str">
        <f t="shared" ref="S19:S84" si="2">IF(P19="X","x",IF(N19&gt;0,"x",""))</f>
        <v>x</v>
      </c>
      <c r="T19" s="317" t="str">
        <f>'REF. DE PREÇOS n editavel'!S19</f>
        <v>x</v>
      </c>
      <c r="W19" s="575"/>
      <c r="X19" s="575"/>
      <c r="Y19" s="576"/>
    </row>
    <row r="20" spans="1:51">
      <c r="A20" s="317">
        <v>831000</v>
      </c>
      <c r="B20" s="858" t="str">
        <f>'REF. DE PREÇOS n editavel'!B20</f>
        <v>831000A</v>
      </c>
      <c r="C20" s="859" t="str">
        <f>'REF. DE PREÇOS n editavel'!C20</f>
        <v>DER</v>
      </c>
      <c r="D20" s="860" t="str">
        <f>'REF. DE PREÇOS n editavel'!D20</f>
        <v>Construção de Cerca 4 fios c/ mourões de concreto</v>
      </c>
      <c r="E20" s="861">
        <f>'REF. DE PREÇOS n editavel'!E20</f>
        <v>0</v>
      </c>
      <c r="F20" s="862">
        <f>'REF. DE PREÇOS n editavel'!F20</f>
        <v>0</v>
      </c>
      <c r="G20" s="863">
        <f>'REF. DE PREÇOS n editavel'!G20</f>
        <v>0</v>
      </c>
      <c r="H20" s="864">
        <f>'REF. DE PREÇOS n editavel'!H20</f>
        <v>41.45</v>
      </c>
      <c r="I20" s="864">
        <f>'REF. DE PREÇOS n editavel'!I20</f>
        <v>41.45</v>
      </c>
      <c r="J20" s="865">
        <f>'REF. DE PREÇOS n editavel'!J20</f>
        <v>50.66</v>
      </c>
      <c r="K20" s="866" t="s">
        <v>13</v>
      </c>
      <c r="L20" s="1092"/>
      <c r="M20" s="1093">
        <f t="shared" ref="M20:M83" si="3">IF(L20=0,0,ROUND(J20,2))</f>
        <v>0</v>
      </c>
      <c r="N20" s="868">
        <f t="shared" ref="N20:N23" si="4">IF(ISBLANK(L20),0,IF(W20=0,ROUND(L20*M20,2),IF(W20="b",ROUNDDOWN(L20*M20,2),ROUNDUP(L20*M20,2))))</f>
        <v>0</v>
      </c>
      <c r="O20" s="869"/>
      <c r="P20" s="76"/>
      <c r="Q20" s="317" t="str">
        <f t="shared" si="0"/>
        <v/>
      </c>
      <c r="R20" s="317" t="str">
        <f t="shared" si="1"/>
        <v/>
      </c>
      <c r="S20" s="317" t="str">
        <f t="shared" si="2"/>
        <v/>
      </c>
      <c r="T20" s="317" t="str">
        <f>'REF. DE PREÇOS n editavel'!S20</f>
        <v/>
      </c>
      <c r="W20" s="577">
        <v>0</v>
      </c>
      <c r="X20" s="575"/>
      <c r="Y20" s="578">
        <f>IF('REF. DE PREÇOS n editavel'!W20=0,0,IF('REF. DE PREÇOS n editavel'!W20&gt;0,"c","b"))</f>
        <v>0</v>
      </c>
    </row>
    <row r="21" spans="1:51">
      <c r="A21" s="317">
        <v>830000</v>
      </c>
      <c r="B21" s="870" t="str">
        <f>'REF. DE PREÇOS n editavel'!B21</f>
        <v>830000A</v>
      </c>
      <c r="C21" s="871" t="str">
        <f>'REF. DE PREÇOS n editavel'!C21</f>
        <v>DER</v>
      </c>
      <c r="D21" s="872" t="str">
        <f>'REF. DE PREÇOS n editavel'!D21</f>
        <v>Construção de Cerca 4 fios c/ mourões de madeira</v>
      </c>
      <c r="E21" s="873">
        <f>'REF. DE PREÇOS n editavel'!E21</f>
        <v>0</v>
      </c>
      <c r="F21" s="874">
        <f>'REF. DE PREÇOS n editavel'!F21</f>
        <v>0</v>
      </c>
      <c r="G21" s="875">
        <f>'REF. DE PREÇOS n editavel'!G21</f>
        <v>0</v>
      </c>
      <c r="H21" s="864">
        <f>'REF. DE PREÇOS n editavel'!H21</f>
        <v>36.44</v>
      </c>
      <c r="I21" s="876">
        <f>'REF. DE PREÇOS n editavel'!I21</f>
        <v>36.44</v>
      </c>
      <c r="J21" s="877">
        <f>'REF. DE PREÇOS n editavel'!J21</f>
        <v>44.54</v>
      </c>
      <c r="K21" s="878" t="s">
        <v>13</v>
      </c>
      <c r="L21" s="1092"/>
      <c r="M21" s="1093">
        <f t="shared" si="3"/>
        <v>0</v>
      </c>
      <c r="N21" s="868">
        <f t="shared" si="4"/>
        <v>0</v>
      </c>
      <c r="O21" s="880"/>
      <c r="Q21" s="317" t="str">
        <f t="shared" si="0"/>
        <v/>
      </c>
      <c r="R21" s="317" t="str">
        <f t="shared" si="1"/>
        <v/>
      </c>
      <c r="S21" s="317" t="str">
        <f t="shared" si="2"/>
        <v/>
      </c>
      <c r="T21" s="317" t="str">
        <f>'REF. DE PREÇOS n editavel'!S21</f>
        <v/>
      </c>
      <c r="W21" s="577">
        <v>0</v>
      </c>
      <c r="X21" s="575"/>
      <c r="Y21" s="578">
        <f>IF('REF. DE PREÇOS n editavel'!W21=0,0,IF('REF. DE PREÇOS n editavel'!W21&gt;0,"c","b"))</f>
        <v>0</v>
      </c>
    </row>
    <row r="22" spans="1:51">
      <c r="A22" s="632">
        <v>606600</v>
      </c>
      <c r="B22" s="870" t="str">
        <f>'REF. DE PREÇOS n editavel'!B22</f>
        <v>606600A</v>
      </c>
      <c r="C22" s="871" t="str">
        <f>'REF. DE PREÇOS n editavel'!C22</f>
        <v>DER</v>
      </c>
      <c r="D22" s="881" t="str">
        <f>'REF. DE PREÇOS n editavel'!D22</f>
        <v>Demolição de Concreto Armado</v>
      </c>
      <c r="E22" s="882">
        <f>'REF. DE PREÇOS n editavel'!E22</f>
        <v>0</v>
      </c>
      <c r="F22" s="874">
        <f>'REF. DE PREÇOS n editavel'!F22</f>
        <v>0</v>
      </c>
      <c r="G22" s="875">
        <f>'REF. DE PREÇOS n editavel'!G22</f>
        <v>0</v>
      </c>
      <c r="H22" s="864">
        <f>'REF. DE PREÇOS n editavel'!H22</f>
        <v>309.52999999999997</v>
      </c>
      <c r="I22" s="876">
        <f>'REF. DE PREÇOS n editavel'!I22</f>
        <v>309.52999999999997</v>
      </c>
      <c r="J22" s="877">
        <f>'REF. DE PREÇOS n editavel'!J22</f>
        <v>378.31</v>
      </c>
      <c r="K22" s="878" t="s">
        <v>10</v>
      </c>
      <c r="L22" s="1092"/>
      <c r="M22" s="1093">
        <f t="shared" si="3"/>
        <v>0</v>
      </c>
      <c r="N22" s="868">
        <f t="shared" si="4"/>
        <v>0</v>
      </c>
      <c r="O22" s="880"/>
      <c r="Q22" s="317" t="str">
        <f t="shared" si="0"/>
        <v/>
      </c>
      <c r="R22" s="317" t="str">
        <f t="shared" si="1"/>
        <v/>
      </c>
      <c r="S22" s="317" t="str">
        <f t="shared" si="2"/>
        <v/>
      </c>
      <c r="T22" s="317" t="str">
        <f>'REF. DE PREÇOS n editavel'!S22</f>
        <v/>
      </c>
      <c r="W22" s="577">
        <v>0</v>
      </c>
      <c r="X22" s="575"/>
      <c r="Y22" s="578">
        <f>IF('REF. DE PREÇOS n editavel'!W22=0,0,IF('REF. DE PREÇOS n editavel'!W22&gt;0,"c","b"))</f>
        <v>0</v>
      </c>
    </row>
    <row r="23" spans="1:51">
      <c r="A23" s="633">
        <v>606700</v>
      </c>
      <c r="B23" s="870" t="str">
        <f>'REF. DE PREÇOS n editavel'!B23</f>
        <v>606700A</v>
      </c>
      <c r="C23" s="871" t="str">
        <f>'REF. DE PREÇOS n editavel'!C23</f>
        <v>DER</v>
      </c>
      <c r="D23" s="881" t="str">
        <f>'REF. DE PREÇOS n editavel'!D23</f>
        <v>Demolição de Concreto Símples</v>
      </c>
      <c r="E23" s="882">
        <f>'REF. DE PREÇOS n editavel'!E23</f>
        <v>0</v>
      </c>
      <c r="F23" s="874">
        <f>'REF. DE PREÇOS n editavel'!F23</f>
        <v>0</v>
      </c>
      <c r="G23" s="875">
        <f>'REF. DE PREÇOS n editavel'!G23</f>
        <v>0</v>
      </c>
      <c r="H23" s="864">
        <f>'REF. DE PREÇOS n editavel'!H23</f>
        <v>148.04</v>
      </c>
      <c r="I23" s="876">
        <f>'REF. DE PREÇOS n editavel'!I23</f>
        <v>148.04</v>
      </c>
      <c r="J23" s="877">
        <f>'REF. DE PREÇOS n editavel'!J23</f>
        <v>180.93</v>
      </c>
      <c r="K23" s="878" t="s">
        <v>10</v>
      </c>
      <c r="L23" s="1092"/>
      <c r="M23" s="1093">
        <f t="shared" si="3"/>
        <v>0</v>
      </c>
      <c r="N23" s="868">
        <f t="shared" si="4"/>
        <v>0</v>
      </c>
      <c r="O23" s="880"/>
      <c r="Q23" s="317" t="str">
        <f t="shared" si="0"/>
        <v/>
      </c>
      <c r="R23" s="317" t="str">
        <f t="shared" si="1"/>
        <v/>
      </c>
      <c r="S23" s="317" t="str">
        <f t="shared" si="2"/>
        <v/>
      </c>
      <c r="T23" s="317" t="str">
        <f>'REF. DE PREÇOS n editavel'!S23</f>
        <v/>
      </c>
      <c r="W23" s="577">
        <v>0</v>
      </c>
      <c r="X23" s="575"/>
      <c r="Y23" s="578">
        <f>IF('REF. DE PREÇOS n editavel'!W23=0,0,IF('REF. DE PREÇOS n editavel'!W23&gt;0,"c","b"))</f>
        <v>0</v>
      </c>
    </row>
    <row r="24" spans="1:51">
      <c r="A24" s="317">
        <v>512000</v>
      </c>
      <c r="B24" s="870">
        <f>'REF. DE PREÇOS n editavel'!B24</f>
        <v>512000</v>
      </c>
      <c r="C24" s="871" t="str">
        <f>'REF. DE PREÇOS n editavel'!C24</f>
        <v>DER</v>
      </c>
      <c r="D24" s="881" t="str">
        <f>'REF. DE PREÇOS n editavel'!D24</f>
        <v>Demolição Manual de Pavimento e Transporte</v>
      </c>
      <c r="E24" s="882">
        <f>'REF. DE PREÇOS n editavel'!E24</f>
        <v>10</v>
      </c>
      <c r="F24" s="883">
        <f>'REF. DE PREÇOS n editavel'!F24</f>
        <v>1.86</v>
      </c>
      <c r="G24" s="884">
        <f>'REF. DE PREÇOS n editavel'!G24</f>
        <v>24.886800000000004</v>
      </c>
      <c r="H24" s="864">
        <f>'REF. DE PREÇOS n editavel'!H24</f>
        <v>62.35</v>
      </c>
      <c r="I24" s="876">
        <f>'REF. DE PREÇOS n editavel'!I24</f>
        <v>87.236800000000002</v>
      </c>
      <c r="J24" s="877">
        <f>'REF. DE PREÇOS n editavel'!J24</f>
        <v>106.62</v>
      </c>
      <c r="K24" s="878" t="s">
        <v>10</v>
      </c>
      <c r="L24" s="1092"/>
      <c r="M24" s="1093">
        <f t="shared" si="3"/>
        <v>0</v>
      </c>
      <c r="N24" s="579">
        <f>IF(ISBLANK(L24),0,IF(W24=0,ROUND(L24*M24,2),IF(W24="b",ROUNDDOWN(L24*M24,2),ROUNDUP(L24*M24,2))))</f>
        <v>0</v>
      </c>
      <c r="O24" s="880"/>
      <c r="Q24" s="317" t="str">
        <f t="shared" si="0"/>
        <v/>
      </c>
      <c r="R24" s="317" t="str">
        <f t="shared" si="1"/>
        <v/>
      </c>
      <c r="S24" s="317" t="str">
        <f t="shared" si="2"/>
        <v/>
      </c>
      <c r="T24" s="317" t="str">
        <f>'REF. DE PREÇOS n editavel'!S24</f>
        <v/>
      </c>
      <c r="W24" s="577">
        <v>0</v>
      </c>
      <c r="X24" s="575"/>
      <c r="Y24" s="578">
        <f>IF('REF. DE PREÇOS n editavel'!W24=0,0,IF('REF. DE PREÇOS n editavel'!W24&gt;0,"c","b"))</f>
        <v>0</v>
      </c>
    </row>
    <row r="25" spans="1:51">
      <c r="A25" s="317">
        <v>512050</v>
      </c>
      <c r="B25" s="870">
        <f>'REF. DE PREÇOS n editavel'!B25</f>
        <v>512050</v>
      </c>
      <c r="C25" s="871" t="str">
        <f>'REF. DE PREÇOS n editavel'!C25</f>
        <v>DER</v>
      </c>
      <c r="D25" s="881" t="str">
        <f>'REF. DE PREÇOS n editavel'!D25</f>
        <v>Demolição Mecânica de Pavimento e Transporte</v>
      </c>
      <c r="E25" s="882">
        <f>'REF. DE PREÇOS n editavel'!E25</f>
        <v>10</v>
      </c>
      <c r="F25" s="883">
        <f>'REF. DE PREÇOS n editavel'!F25</f>
        <v>1.86</v>
      </c>
      <c r="G25" s="884">
        <f>'REF. DE PREÇOS n editavel'!G25</f>
        <v>24.886800000000004</v>
      </c>
      <c r="H25" s="864">
        <f>'REF. DE PREÇOS n editavel'!H25</f>
        <v>41.9</v>
      </c>
      <c r="I25" s="876">
        <f>'REF. DE PREÇOS n editavel'!I25</f>
        <v>66.786799999999999</v>
      </c>
      <c r="J25" s="877">
        <f>'REF. DE PREÇOS n editavel'!J25</f>
        <v>81.63</v>
      </c>
      <c r="K25" s="878" t="s">
        <v>10</v>
      </c>
      <c r="L25" s="1092">
        <f>L135*0.4</f>
        <v>6135.8</v>
      </c>
      <c r="M25" s="1093">
        <f t="shared" si="3"/>
        <v>81.63</v>
      </c>
      <c r="N25" s="579">
        <f t="shared" ref="N25:N88" si="5">IF(ISBLANK(L25),0,IF(W25=0,ROUND(L25*M25,2),IF(W25="b",ROUNDDOWN(L25*M25,2),ROUNDUP(L25*M25,2))))</f>
        <v>500865.35</v>
      </c>
      <c r="O25" s="880"/>
      <c r="Q25" s="317" t="str">
        <f t="shared" si="0"/>
        <v>x</v>
      </c>
      <c r="R25" s="317" t="str">
        <f t="shared" si="1"/>
        <v>x</v>
      </c>
      <c r="S25" s="317" t="str">
        <f t="shared" si="2"/>
        <v>x</v>
      </c>
      <c r="T25" s="317" t="str">
        <f>'REF. DE PREÇOS n editavel'!S25</f>
        <v>x</v>
      </c>
      <c r="W25" s="577">
        <v>0</v>
      </c>
      <c r="X25" s="575"/>
      <c r="Y25" s="578">
        <f>IF('REF. DE PREÇOS n editavel'!W25=0,0,IF('REF. DE PREÇOS n editavel'!W25&gt;0,"c","b"))</f>
        <v>0</v>
      </c>
    </row>
    <row r="26" spans="1:51">
      <c r="A26" s="317">
        <v>810250</v>
      </c>
      <c r="B26" s="870" t="str">
        <f>'REF. DE PREÇOS n editavel'!B26</f>
        <v>PAI-022B</v>
      </c>
      <c r="C26" s="871" t="str">
        <f>'REF. DE PREÇOS n editavel'!C26</f>
        <v>PM Curitiba-abr/22</v>
      </c>
      <c r="D26" s="881" t="str">
        <f>'REF. DE PREÇOS n editavel'!D26</f>
        <v>Arrancamento Fincadinha de concreto - (9x19x39cm-0,0171m3/m)</v>
      </c>
      <c r="E26" s="882">
        <f>'REF. DE PREÇOS n editavel'!E26</f>
        <v>10</v>
      </c>
      <c r="F26" s="883">
        <f>'REF. DE PREÇOS n editavel'!F26</f>
        <v>3.9800000000000002E-2</v>
      </c>
      <c r="G26" s="884">
        <f>'REF. DE PREÇOS n editavel'!G26</f>
        <v>0.53252400000000011</v>
      </c>
      <c r="H26" s="864">
        <f>'REF. DE PREÇOS n editavel'!H26</f>
        <v>5.05</v>
      </c>
      <c r="I26" s="876">
        <f>'REF. DE PREÇOS n editavel'!I26</f>
        <v>5.5825240000000003</v>
      </c>
      <c r="J26" s="877">
        <f>'REF. DE PREÇOS n editavel'!J26</f>
        <v>6.82</v>
      </c>
      <c r="K26" s="878" t="s">
        <v>13</v>
      </c>
      <c r="L26" s="1092"/>
      <c r="M26" s="1093">
        <f t="shared" si="3"/>
        <v>0</v>
      </c>
      <c r="N26" s="579">
        <f t="shared" si="5"/>
        <v>0</v>
      </c>
      <c r="O26" s="880"/>
      <c r="Q26" s="317" t="str">
        <f t="shared" si="0"/>
        <v/>
      </c>
      <c r="R26" s="317" t="str">
        <f t="shared" si="1"/>
        <v/>
      </c>
      <c r="S26" s="317" t="str">
        <f t="shared" si="2"/>
        <v/>
      </c>
      <c r="T26" s="317" t="str">
        <f>'REF. DE PREÇOS n editavel'!S26</f>
        <v/>
      </c>
      <c r="W26" s="577">
        <v>0</v>
      </c>
      <c r="X26" s="575"/>
      <c r="Y26" s="578">
        <f>IF('REF. DE PREÇOS n editavel'!W26=0,0,IF('REF. DE PREÇOS n editavel'!W26&gt;0,"c","b"))</f>
        <v>0</v>
      </c>
      <c r="AX26" s="870" t="s">
        <v>2212</v>
      </c>
      <c r="AY26" s="871" t="s">
        <v>453</v>
      </c>
    </row>
    <row r="27" spans="1:51">
      <c r="A27" s="317">
        <v>810250</v>
      </c>
      <c r="B27" s="870" t="str">
        <f>'REF. DE PREÇOS n editavel'!B27</f>
        <v>PAI-022C</v>
      </c>
      <c r="C27" s="871" t="str">
        <f>'REF. DE PREÇOS n editavel'!C27</f>
        <v>PM Curitiba-abr/22</v>
      </c>
      <c r="D27" s="881" t="str">
        <f>'REF. DE PREÇOS n editavel'!D27</f>
        <v>Arrancamento Fincadinha de concreto - (5x22,5x45cm-0,01125m3/m)</v>
      </c>
      <c r="E27" s="882">
        <f>'REF. DE PREÇOS n editavel'!E27</f>
        <v>10</v>
      </c>
      <c r="F27" s="883">
        <f>'REF. DE PREÇOS n editavel'!F27</f>
        <v>2.63E-2</v>
      </c>
      <c r="G27" s="884">
        <f>'REF. DE PREÇOS n editavel'!G27</f>
        <v>0.35189400000000004</v>
      </c>
      <c r="H27" s="864">
        <f>'REF. DE PREÇOS n editavel'!H27</f>
        <v>5.05</v>
      </c>
      <c r="I27" s="876">
        <f>'REF. DE PREÇOS n editavel'!I27</f>
        <v>5.4018939999999995</v>
      </c>
      <c r="J27" s="877">
        <f>'REF. DE PREÇOS n editavel'!J27</f>
        <v>6.6</v>
      </c>
      <c r="K27" s="878" t="s">
        <v>13</v>
      </c>
      <c r="L27" s="1092"/>
      <c r="M27" s="1093">
        <f t="shared" si="3"/>
        <v>0</v>
      </c>
      <c r="N27" s="579">
        <f t="shared" si="5"/>
        <v>0</v>
      </c>
      <c r="O27" s="880"/>
      <c r="Q27" s="317" t="str">
        <f t="shared" si="0"/>
        <v/>
      </c>
      <c r="R27" s="317" t="str">
        <f t="shared" si="1"/>
        <v/>
      </c>
      <c r="S27" s="317" t="str">
        <f t="shared" si="2"/>
        <v/>
      </c>
      <c r="T27" s="317" t="str">
        <f>'REF. DE PREÇOS n editavel'!S27</f>
        <v/>
      </c>
      <c r="W27" s="577">
        <v>0</v>
      </c>
      <c r="X27" s="575"/>
      <c r="Y27" s="578">
        <f>IF('REF. DE PREÇOS n editavel'!W27=0,0,IF('REF. DE PREÇOS n editavel'!W27&gt;0,"c","b"))</f>
        <v>0</v>
      </c>
      <c r="AX27" s="870" t="s">
        <v>2213</v>
      </c>
      <c r="AY27" s="871" t="s">
        <v>453</v>
      </c>
    </row>
    <row r="28" spans="1:51">
      <c r="A28" s="317">
        <v>810250</v>
      </c>
      <c r="B28" s="870" t="str">
        <f>'REF. DE PREÇOS n editavel'!B28</f>
        <v>PAI-022D</v>
      </c>
      <c r="C28" s="871" t="str">
        <f>'REF. DE PREÇOS n editavel'!C28</f>
        <v>PM Curitiba-abr/22</v>
      </c>
      <c r="D28" s="881" t="str">
        <f>'REF. DE PREÇOS n editavel'!D28</f>
        <v>Arrancamento Fincadinha de concreto moldada in loco- (7x20cm-0,014m3/m)</v>
      </c>
      <c r="E28" s="882">
        <f>'REF. DE PREÇOS n editavel'!E28</f>
        <v>10</v>
      </c>
      <c r="F28" s="883">
        <f>'REF. DE PREÇOS n editavel'!F28</f>
        <v>3.2800000000000003E-2</v>
      </c>
      <c r="G28" s="884">
        <f>'REF. DE PREÇOS n editavel'!G28</f>
        <v>0.43886400000000009</v>
      </c>
      <c r="H28" s="864">
        <f>'REF. DE PREÇOS n editavel'!H28</f>
        <v>5.05</v>
      </c>
      <c r="I28" s="876">
        <f>'REF. DE PREÇOS n editavel'!I28</f>
        <v>5.4888639999999995</v>
      </c>
      <c r="J28" s="877">
        <f>'REF. DE PREÇOS n editavel'!J28</f>
        <v>6.71</v>
      </c>
      <c r="K28" s="878" t="s">
        <v>13</v>
      </c>
      <c r="L28" s="1092"/>
      <c r="M28" s="1093">
        <f t="shared" si="3"/>
        <v>0</v>
      </c>
      <c r="N28" s="579">
        <f t="shared" si="5"/>
        <v>0</v>
      </c>
      <c r="O28" s="880"/>
      <c r="Q28" s="317" t="str">
        <f t="shared" si="0"/>
        <v/>
      </c>
      <c r="R28" s="317" t="str">
        <f t="shared" si="1"/>
        <v/>
      </c>
      <c r="S28" s="317" t="str">
        <f t="shared" si="2"/>
        <v/>
      </c>
      <c r="T28" s="317" t="str">
        <f>'REF. DE PREÇOS n editavel'!S28</f>
        <v/>
      </c>
      <c r="W28" s="577">
        <v>0</v>
      </c>
      <c r="X28" s="575"/>
      <c r="Y28" s="578">
        <f>IF('REF. DE PREÇOS n editavel'!W28=0,0,IF('REF. DE PREÇOS n editavel'!W28&gt;0,"c","b"))</f>
        <v>0</v>
      </c>
      <c r="AX28" s="870" t="s">
        <v>2214</v>
      </c>
      <c r="AY28" s="871" t="s">
        <v>453</v>
      </c>
    </row>
    <row r="29" spans="1:51">
      <c r="A29" s="317" t="s">
        <v>451</v>
      </c>
      <c r="B29" s="870" t="str">
        <f>'REF. DE PREÇOS n editavel'!B29</f>
        <v>PAI-022A</v>
      </c>
      <c r="C29" s="871" t="str">
        <f>'REF. DE PREÇOS n editavel'!C29</f>
        <v>PM Curitiba-abr/22</v>
      </c>
      <c r="D29" s="881" t="str">
        <f>'REF. DE PREÇOS n editavel'!D29</f>
        <v>Arrancamento Fincadinha de Granito</v>
      </c>
      <c r="E29" s="882">
        <f>'REF. DE PREÇOS n editavel'!E29</f>
        <v>43.1</v>
      </c>
      <c r="F29" s="883">
        <f>'REF. DE PREÇOS n editavel'!F29</f>
        <v>2.1600000000000001E-2</v>
      </c>
      <c r="G29" s="884">
        <f>'REF. DE PREÇOS n editavel'!G29</f>
        <v>1.0540152</v>
      </c>
      <c r="H29" s="876">
        <f>'REF. DE PREÇOS n editavel'!H29</f>
        <v>5.05</v>
      </c>
      <c r="I29" s="876">
        <f>'REF. DE PREÇOS n editavel'!I29</f>
        <v>6.1040152000000001</v>
      </c>
      <c r="J29" s="877">
        <f>'REF. DE PREÇOS n editavel'!J29</f>
        <v>7.46</v>
      </c>
      <c r="K29" s="878" t="s">
        <v>13</v>
      </c>
      <c r="L29" s="1092"/>
      <c r="M29" s="1093">
        <f t="shared" si="3"/>
        <v>0</v>
      </c>
      <c r="N29" s="579">
        <f t="shared" si="5"/>
        <v>0</v>
      </c>
      <c r="O29" s="880"/>
      <c r="Q29" s="317" t="str">
        <f t="shared" si="0"/>
        <v/>
      </c>
      <c r="R29" s="317" t="str">
        <f t="shared" si="1"/>
        <v/>
      </c>
      <c r="S29" s="317" t="str">
        <f t="shared" si="2"/>
        <v/>
      </c>
      <c r="T29" s="317" t="str">
        <f>'REF. DE PREÇOS n editavel'!S29</f>
        <v/>
      </c>
      <c r="W29" s="577">
        <v>0</v>
      </c>
      <c r="X29" s="575"/>
      <c r="Y29" s="578">
        <f>IF('REF. DE PREÇOS n editavel'!W29=0,0,IF('REF. DE PREÇOS n editavel'!W29&gt;0,"c","b"))</f>
        <v>0</v>
      </c>
      <c r="AX29" s="870" t="s">
        <v>2211</v>
      </c>
      <c r="AY29" s="871" t="s">
        <v>453</v>
      </c>
    </row>
    <row r="30" spans="1:51">
      <c r="A30" s="317">
        <v>600310</v>
      </c>
      <c r="B30" s="870" t="str">
        <f>'REF. DE PREÇOS n editavel'!B30</f>
        <v>600310A</v>
      </c>
      <c r="C30" s="871" t="str">
        <f>'REF. DE PREÇOS n editavel'!C30</f>
        <v>DER</v>
      </c>
      <c r="D30" s="881" t="str">
        <f>'REF. DE PREÇOS n editavel'!D30</f>
        <v>Limpeza de bueiro</v>
      </c>
      <c r="E30" s="873">
        <f>'REF. DE PREÇOS n editavel'!E30</f>
        <v>0</v>
      </c>
      <c r="F30" s="874">
        <f>'REF. DE PREÇOS n editavel'!F30</f>
        <v>0</v>
      </c>
      <c r="G30" s="875">
        <f>'REF. DE PREÇOS n editavel'!G30</f>
        <v>0</v>
      </c>
      <c r="H30" s="876">
        <f>'REF. DE PREÇOS n editavel'!H30</f>
        <v>142.88</v>
      </c>
      <c r="I30" s="876">
        <f>'REF. DE PREÇOS n editavel'!I30</f>
        <v>142.88</v>
      </c>
      <c r="J30" s="877">
        <f>'REF. DE PREÇOS n editavel'!J30</f>
        <v>174.63</v>
      </c>
      <c r="K30" s="878" t="s">
        <v>15</v>
      </c>
      <c r="L30" s="1092"/>
      <c r="M30" s="1093">
        <f t="shared" si="3"/>
        <v>0</v>
      </c>
      <c r="N30" s="579">
        <f t="shared" si="5"/>
        <v>0</v>
      </c>
      <c r="O30" s="880"/>
      <c r="Q30" s="317" t="str">
        <f t="shared" si="0"/>
        <v/>
      </c>
      <c r="R30" s="317" t="str">
        <f t="shared" si="1"/>
        <v/>
      </c>
      <c r="S30" s="317" t="str">
        <f t="shared" si="2"/>
        <v/>
      </c>
      <c r="T30" s="317" t="str">
        <f>'REF. DE PREÇOS n editavel'!S30</f>
        <v/>
      </c>
      <c r="W30" s="577">
        <v>0</v>
      </c>
      <c r="X30" s="575"/>
      <c r="Y30" s="578">
        <f>IF('REF. DE PREÇOS n editavel'!W30=0,0,IF('REF. DE PREÇOS n editavel'!W30&gt;0,"c","b"))</f>
        <v>0</v>
      </c>
    </row>
    <row r="31" spans="1:51">
      <c r="A31" s="317">
        <v>800900</v>
      </c>
      <c r="B31" s="870" t="str">
        <f>'REF. DE PREÇOS n editavel'!B31</f>
        <v>800900A</v>
      </c>
      <c r="C31" s="871" t="str">
        <f>'REF. DE PREÇOS n editavel'!C31</f>
        <v>DER</v>
      </c>
      <c r="D31" s="881" t="str">
        <f>'REF. DE PREÇOS n editavel'!D31</f>
        <v>Limpeza e lavagem de sinalização vertical</v>
      </c>
      <c r="E31" s="873">
        <f>'REF. DE PREÇOS n editavel'!E31</f>
        <v>0</v>
      </c>
      <c r="F31" s="874">
        <f>'REF. DE PREÇOS n editavel'!F31</f>
        <v>0</v>
      </c>
      <c r="G31" s="875">
        <f>'REF. DE PREÇOS n editavel'!G31</f>
        <v>0</v>
      </c>
      <c r="H31" s="876">
        <f>'REF. DE PREÇOS n editavel'!H31</f>
        <v>13.25</v>
      </c>
      <c r="I31" s="876">
        <f>'REF. DE PREÇOS n editavel'!I31</f>
        <v>13.25</v>
      </c>
      <c r="J31" s="877">
        <f>'REF. DE PREÇOS n editavel'!J31</f>
        <v>16.190000000000001</v>
      </c>
      <c r="K31" s="878" t="s">
        <v>12</v>
      </c>
      <c r="L31" s="1092"/>
      <c r="M31" s="1093">
        <f t="shared" si="3"/>
        <v>0</v>
      </c>
      <c r="N31" s="579">
        <f t="shared" si="5"/>
        <v>0</v>
      </c>
      <c r="O31" s="880"/>
      <c r="Q31" s="317" t="str">
        <f t="shared" si="0"/>
        <v/>
      </c>
      <c r="R31" s="317" t="str">
        <f t="shared" si="1"/>
        <v/>
      </c>
      <c r="S31" s="317" t="str">
        <f t="shared" si="2"/>
        <v/>
      </c>
      <c r="T31" s="317" t="str">
        <f>'REF. DE PREÇOS n editavel'!S31</f>
        <v/>
      </c>
      <c r="W31" s="577">
        <v>0</v>
      </c>
      <c r="X31" s="575"/>
      <c r="Y31" s="578">
        <f>IF('REF. DE PREÇOS n editavel'!W31=0,0,IF('REF. DE PREÇOS n editavel'!W31&gt;0,"c","b"))</f>
        <v>0</v>
      </c>
    </row>
    <row r="32" spans="1:51">
      <c r="A32" s="317">
        <v>801100</v>
      </c>
      <c r="B32" s="870" t="str">
        <f>'REF. DE PREÇOS n editavel'!B32</f>
        <v>801100A</v>
      </c>
      <c r="C32" s="871" t="str">
        <f>'REF. DE PREÇOS n editavel'!C32</f>
        <v>DER</v>
      </c>
      <c r="D32" s="881" t="str">
        <f>'REF. DE PREÇOS n editavel'!D32</f>
        <v>Limpeza e pintura de abrigo de ônibus</v>
      </c>
      <c r="E32" s="873">
        <f>'REF. DE PREÇOS n editavel'!E32</f>
        <v>0</v>
      </c>
      <c r="F32" s="874">
        <f>'REF. DE PREÇOS n editavel'!F32</f>
        <v>0</v>
      </c>
      <c r="G32" s="875">
        <f>'REF. DE PREÇOS n editavel'!G32</f>
        <v>0</v>
      </c>
      <c r="H32" s="876">
        <f>'REF. DE PREÇOS n editavel'!H32</f>
        <v>19.149999999999999</v>
      </c>
      <c r="I32" s="876">
        <f>'REF. DE PREÇOS n editavel'!I32</f>
        <v>19.149999999999999</v>
      </c>
      <c r="J32" s="877">
        <f>'REF. DE PREÇOS n editavel'!J32</f>
        <v>23.41</v>
      </c>
      <c r="K32" s="878" t="s">
        <v>12</v>
      </c>
      <c r="L32" s="1094"/>
      <c r="M32" s="1095">
        <f t="shared" si="3"/>
        <v>0</v>
      </c>
      <c r="N32" s="579">
        <f t="shared" si="5"/>
        <v>0</v>
      </c>
      <c r="O32" s="880"/>
      <c r="Q32" s="317" t="str">
        <f t="shared" si="0"/>
        <v/>
      </c>
      <c r="R32" s="317" t="str">
        <f t="shared" si="1"/>
        <v/>
      </c>
      <c r="S32" s="317" t="str">
        <f t="shared" si="2"/>
        <v/>
      </c>
      <c r="T32" s="317" t="str">
        <f>'REF. DE PREÇOS n editavel'!S32</f>
        <v/>
      </c>
      <c r="W32" s="577">
        <v>0</v>
      </c>
      <c r="X32" s="575"/>
      <c r="Y32" s="578">
        <f>IF('REF. DE PREÇOS n editavel'!W32=0,0,IF('REF. DE PREÇOS n editavel'!W32&gt;0,"c","b"))</f>
        <v>0</v>
      </c>
    </row>
    <row r="33" spans="1:25">
      <c r="A33" s="317">
        <v>600510</v>
      </c>
      <c r="B33" s="870" t="str">
        <f>'REF. DE PREÇOS n editavel'!B33</f>
        <v>600510A</v>
      </c>
      <c r="C33" s="871" t="str">
        <f>'REF. DE PREÇOS n editavel'!C33</f>
        <v>DER</v>
      </c>
      <c r="D33" s="881" t="str">
        <f>'REF. DE PREÇOS n editavel'!D33</f>
        <v>Limpeza e pintura de meio fio</v>
      </c>
      <c r="E33" s="873">
        <f>'REF. DE PREÇOS n editavel'!E33</f>
        <v>0</v>
      </c>
      <c r="F33" s="874">
        <f>'REF. DE PREÇOS n editavel'!F33</f>
        <v>0</v>
      </c>
      <c r="G33" s="875">
        <f>'REF. DE PREÇOS n editavel'!G33</f>
        <v>0</v>
      </c>
      <c r="H33" s="876">
        <f>'REF. DE PREÇOS n editavel'!H33</f>
        <v>2.52</v>
      </c>
      <c r="I33" s="876">
        <f>'REF. DE PREÇOS n editavel'!I33</f>
        <v>2.52</v>
      </c>
      <c r="J33" s="877">
        <f>'REF. DE PREÇOS n editavel'!J33</f>
        <v>3.08</v>
      </c>
      <c r="K33" s="878" t="s">
        <v>13</v>
      </c>
      <c r="L33" s="1094"/>
      <c r="M33" s="1095">
        <f t="shared" si="3"/>
        <v>0</v>
      </c>
      <c r="N33" s="579">
        <f t="shared" si="5"/>
        <v>0</v>
      </c>
      <c r="O33" s="880"/>
      <c r="Q33" s="317" t="str">
        <f t="shared" si="0"/>
        <v/>
      </c>
      <c r="R33" s="317" t="str">
        <f t="shared" si="1"/>
        <v/>
      </c>
      <c r="S33" s="317" t="str">
        <f t="shared" si="2"/>
        <v/>
      </c>
      <c r="T33" s="317" t="str">
        <f>'REF. DE PREÇOS n editavel'!S33</f>
        <v/>
      </c>
      <c r="W33" s="577">
        <v>0</v>
      </c>
      <c r="X33" s="575"/>
      <c r="Y33" s="578">
        <f>IF('REF. DE PREÇOS n editavel'!W33=0,0,IF('REF. DE PREÇOS n editavel'!W33&gt;0,"c","b"))</f>
        <v>0</v>
      </c>
    </row>
    <row r="34" spans="1:25" ht="22.5">
      <c r="A34" s="317" t="s">
        <v>1507</v>
      </c>
      <c r="B34" s="870" t="str">
        <f>'REF. DE PREÇOS n editavel'!B34</f>
        <v>COMPOSIÇÃO 00051</v>
      </c>
      <c r="C34" s="871" t="str">
        <f>'REF. DE PREÇOS n editavel'!C34</f>
        <v>ORSE - jan/23</v>
      </c>
      <c r="D34" s="881" t="str">
        <f>'REF. DE PREÇOS n editavel'!D34</f>
        <v>PLACA DE OBRA 4,00 X 2,00 M, EM CHAPA DE ACO GALVANIZADO, INCLUSIVE ARMAÇÃO EM MADEIRA E PONTALETES</v>
      </c>
      <c r="E34" s="882">
        <f>'REF. DE PREÇOS n editavel'!E34</f>
        <v>0</v>
      </c>
      <c r="F34" s="883">
        <f>'REF. DE PREÇOS n editavel'!F34</f>
        <v>0</v>
      </c>
      <c r="G34" s="887">
        <f>'REF. DE PREÇOS n editavel'!G34</f>
        <v>0</v>
      </c>
      <c r="H34" s="876">
        <f>'REF. DE PREÇOS n editavel'!H34</f>
        <v>2990.88</v>
      </c>
      <c r="I34" s="876">
        <f>'REF. DE PREÇOS n editavel'!I34</f>
        <v>2990.88</v>
      </c>
      <c r="J34" s="877">
        <f>'REF. DE PREÇOS n editavel'!J34</f>
        <v>3655.45</v>
      </c>
      <c r="K34" s="878" t="s">
        <v>15</v>
      </c>
      <c r="L34" s="1094">
        <v>1</v>
      </c>
      <c r="M34" s="1095">
        <f t="shared" si="3"/>
        <v>3655.45</v>
      </c>
      <c r="N34" s="579">
        <f t="shared" si="5"/>
        <v>3655.45</v>
      </c>
      <c r="O34" s="880"/>
      <c r="P34" s="58"/>
      <c r="Q34" s="317" t="str">
        <f t="shared" si="0"/>
        <v>x</v>
      </c>
      <c r="R34" s="317" t="str">
        <f t="shared" si="1"/>
        <v>x</v>
      </c>
      <c r="S34" s="317" t="str">
        <f t="shared" si="2"/>
        <v>x</v>
      </c>
      <c r="T34" s="317" t="str">
        <f>'REF. DE PREÇOS n editavel'!S34</f>
        <v>x</v>
      </c>
      <c r="W34" s="577">
        <v>0</v>
      </c>
      <c r="X34" s="575"/>
      <c r="Y34" s="578">
        <f>IF('REF. DE PREÇOS n editavel'!W34=0,0,IF('REF. DE PREÇOS n editavel'!W34&gt;0,"c","b"))</f>
        <v>0</v>
      </c>
    </row>
    <row r="35" spans="1:25" ht="22.5">
      <c r="A35" s="317" t="s">
        <v>1509</v>
      </c>
      <c r="B35" s="870" t="str">
        <f>'REF. DE PREÇOS n editavel'!B35</f>
        <v>COMPOSIÇÃO 11398</v>
      </c>
      <c r="C35" s="871" t="str">
        <f>'REF. DE PREÇOS n editavel'!C35</f>
        <v>ORSE - jan/23</v>
      </c>
      <c r="D35" s="881" t="str">
        <f>'REF. DE PREÇOS n editavel'!D35</f>
        <v>PLACA DE OBRA TIPO BANNER, 4,00x2,00 M, EM QUADRO DE METALON 20x20 MM E LONA 360 GRS, COM IMPRESSÃO DIGITAL, FIXADA EM ESTRUTURA DE MADEIRA.</v>
      </c>
      <c r="E35" s="882">
        <f>'REF. DE PREÇOS n editavel'!E35</f>
        <v>0</v>
      </c>
      <c r="F35" s="883">
        <f>'REF. DE PREÇOS n editavel'!F35</f>
        <v>0</v>
      </c>
      <c r="G35" s="887">
        <f>'REF. DE PREÇOS n editavel'!G35</f>
        <v>0</v>
      </c>
      <c r="H35" s="876">
        <f>'REF. DE PREÇOS n editavel'!H35</f>
        <v>2542.7199999999998</v>
      </c>
      <c r="I35" s="876">
        <f>'REF. DE PREÇOS n editavel'!I35</f>
        <v>2542.7199999999998</v>
      </c>
      <c r="J35" s="877">
        <f>'REF. DE PREÇOS n editavel'!J35</f>
        <v>3107.71</v>
      </c>
      <c r="K35" s="878" t="s">
        <v>15</v>
      </c>
      <c r="L35" s="1094"/>
      <c r="M35" s="1095">
        <f t="shared" si="3"/>
        <v>0</v>
      </c>
      <c r="N35" s="579">
        <f t="shared" si="5"/>
        <v>0</v>
      </c>
      <c r="O35" s="880"/>
      <c r="P35" s="58"/>
      <c r="Q35" s="317" t="str">
        <f t="shared" si="0"/>
        <v/>
      </c>
      <c r="R35" s="317" t="str">
        <f t="shared" si="1"/>
        <v/>
      </c>
      <c r="S35" s="317" t="str">
        <f t="shared" si="2"/>
        <v/>
      </c>
      <c r="T35" s="317" t="str">
        <f>'REF. DE PREÇOS n editavel'!S35</f>
        <v/>
      </c>
      <c r="W35" s="577">
        <v>0</v>
      </c>
      <c r="X35" s="575"/>
      <c r="Y35" s="578">
        <f>IF('REF. DE PREÇOS n editavel'!W35=0,0,IF('REF. DE PREÇOS n editavel'!W35&gt;0,"c","b"))</f>
        <v>0</v>
      </c>
    </row>
    <row r="36" spans="1:25" ht="15" customHeight="1">
      <c r="A36" s="317" t="s">
        <v>1510</v>
      </c>
      <c r="B36" s="870" t="str">
        <f>'REF. DE PREÇOS n editavel'!B36</f>
        <v>COMPOSIÇÃO 02555</v>
      </c>
      <c r="C36" s="871" t="str">
        <f>'REF. DE PREÇOS n editavel'!C36</f>
        <v>ORSE - jan/23</v>
      </c>
      <c r="D36" s="881" t="str">
        <f>'REF. DE PREÇOS n editavel'!D36</f>
        <v>PLACA 20x35cm EM CHAPA ESMALTADA PARA IDENTIFICAÇÃO DE LOGRADOUROS</v>
      </c>
      <c r="E36" s="882">
        <f>'REF. DE PREÇOS n editavel'!E36</f>
        <v>0</v>
      </c>
      <c r="F36" s="883">
        <f>'REF. DE PREÇOS n editavel'!F36</f>
        <v>0</v>
      </c>
      <c r="G36" s="887">
        <f>'REF. DE PREÇOS n editavel'!G36</f>
        <v>0</v>
      </c>
      <c r="H36" s="876">
        <f>'REF. DE PREÇOS n editavel'!H36</f>
        <v>98.05</v>
      </c>
      <c r="I36" s="876">
        <f>'REF. DE PREÇOS n editavel'!I36</f>
        <v>98.05</v>
      </c>
      <c r="J36" s="877">
        <f>'REF. DE PREÇOS n editavel'!J36</f>
        <v>119.84</v>
      </c>
      <c r="K36" s="878" t="s">
        <v>15</v>
      </c>
      <c r="L36" s="1094"/>
      <c r="M36" s="1095">
        <f t="shared" si="3"/>
        <v>0</v>
      </c>
      <c r="N36" s="579">
        <f t="shared" si="5"/>
        <v>0</v>
      </c>
      <c r="O36" s="880"/>
      <c r="P36" s="58"/>
      <c r="Q36" s="317" t="str">
        <f t="shared" si="0"/>
        <v/>
      </c>
      <c r="R36" s="317" t="str">
        <f t="shared" si="1"/>
        <v/>
      </c>
      <c r="S36" s="317" t="str">
        <f t="shared" si="2"/>
        <v/>
      </c>
      <c r="T36" s="317" t="str">
        <f>'REF. DE PREÇOS n editavel'!S36</f>
        <v/>
      </c>
      <c r="W36" s="577">
        <v>0</v>
      </c>
      <c r="X36" s="575"/>
      <c r="Y36" s="578">
        <f>IF('REF. DE PREÇOS n editavel'!W36=0,0,IF('REF. DE PREÇOS n editavel'!W36&gt;0,"c","b"))</f>
        <v>0</v>
      </c>
    </row>
    <row r="37" spans="1:25" ht="15" customHeight="1">
      <c r="A37" s="317">
        <v>841000</v>
      </c>
      <c r="B37" s="870" t="str">
        <f>'REF. DE PREÇOS n editavel'!B37</f>
        <v>841000A</v>
      </c>
      <c r="C37" s="871" t="str">
        <f>'REF. DE PREÇOS n editavel'!C37</f>
        <v>DER</v>
      </c>
      <c r="D37" s="872" t="str">
        <f>'REF. DE PREÇOS n editavel'!D37</f>
        <v>Remoção de cercas</v>
      </c>
      <c r="E37" s="873">
        <f>'REF. DE PREÇOS n editavel'!E37</f>
        <v>0</v>
      </c>
      <c r="F37" s="874">
        <f>'REF. DE PREÇOS n editavel'!F37</f>
        <v>0</v>
      </c>
      <c r="G37" s="875">
        <f>'REF. DE PREÇOS n editavel'!G37</f>
        <v>0</v>
      </c>
      <c r="H37" s="876">
        <f>'REF. DE PREÇOS n editavel'!H37</f>
        <v>12.51</v>
      </c>
      <c r="I37" s="876">
        <f>'REF. DE PREÇOS n editavel'!I37</f>
        <v>12.51</v>
      </c>
      <c r="J37" s="877">
        <f>'REF. DE PREÇOS n editavel'!J37</f>
        <v>15.29</v>
      </c>
      <c r="K37" s="878" t="s">
        <v>13</v>
      </c>
      <c r="L37" s="1094"/>
      <c r="M37" s="1095">
        <f t="shared" si="3"/>
        <v>0</v>
      </c>
      <c r="N37" s="579">
        <f t="shared" si="5"/>
        <v>0</v>
      </c>
      <c r="O37" s="880"/>
      <c r="Q37" s="317" t="str">
        <f t="shared" si="0"/>
        <v/>
      </c>
      <c r="R37" s="317" t="str">
        <f t="shared" si="1"/>
        <v/>
      </c>
      <c r="S37" s="317" t="str">
        <f t="shared" si="2"/>
        <v/>
      </c>
      <c r="T37" s="317" t="str">
        <f>'REF. DE PREÇOS n editavel'!S37</f>
        <v/>
      </c>
      <c r="W37" s="577">
        <v>0</v>
      </c>
      <c r="X37" s="575"/>
      <c r="Y37" s="578">
        <f>IF('REF. DE PREÇOS n editavel'!W37=0,0,IF('REF. DE PREÇOS n editavel'!W37&gt;0,"c","b"))</f>
        <v>0</v>
      </c>
    </row>
    <row r="38" spans="1:25" ht="15" customHeight="1">
      <c r="A38" s="317">
        <v>840000</v>
      </c>
      <c r="B38" s="870" t="str">
        <f>'REF. DE PREÇOS n editavel'!B38</f>
        <v>840000A</v>
      </c>
      <c r="C38" s="871" t="str">
        <f>'REF. DE PREÇOS n editavel'!C38</f>
        <v>DER</v>
      </c>
      <c r="D38" s="872" t="str">
        <f>'REF. DE PREÇOS n editavel'!D38</f>
        <v>Remoção e recolocação de cercas de arame</v>
      </c>
      <c r="E38" s="873">
        <f>'REF. DE PREÇOS n editavel'!E38</f>
        <v>0</v>
      </c>
      <c r="F38" s="874">
        <f>'REF. DE PREÇOS n editavel'!F38</f>
        <v>0</v>
      </c>
      <c r="G38" s="875">
        <f>'REF. DE PREÇOS n editavel'!G38</f>
        <v>0</v>
      </c>
      <c r="H38" s="876">
        <f>'REF. DE PREÇOS n editavel'!H38</f>
        <v>34.53</v>
      </c>
      <c r="I38" s="876">
        <f>'REF. DE PREÇOS n editavel'!I38</f>
        <v>34.53</v>
      </c>
      <c r="J38" s="877">
        <f>'REF. DE PREÇOS n editavel'!J38</f>
        <v>42.2</v>
      </c>
      <c r="K38" s="878" t="s">
        <v>13</v>
      </c>
      <c r="L38" s="1094"/>
      <c r="M38" s="1095">
        <f t="shared" si="3"/>
        <v>0</v>
      </c>
      <c r="N38" s="579">
        <f t="shared" si="5"/>
        <v>0</v>
      </c>
      <c r="O38" s="880"/>
      <c r="Q38" s="317" t="str">
        <f t="shared" si="0"/>
        <v/>
      </c>
      <c r="R38" s="317" t="str">
        <f t="shared" si="1"/>
        <v/>
      </c>
      <c r="S38" s="317" t="str">
        <f t="shared" si="2"/>
        <v/>
      </c>
      <c r="T38" s="317" t="str">
        <f>'REF. DE PREÇOS n editavel'!S38</f>
        <v/>
      </c>
      <c r="W38" s="577">
        <v>0</v>
      </c>
      <c r="X38" s="575"/>
      <c r="Y38" s="578">
        <f>IF('REF. DE PREÇOS n editavel'!W38=0,0,IF('REF. DE PREÇOS n editavel'!W38&gt;0,"c","b"))</f>
        <v>0</v>
      </c>
    </row>
    <row r="39" spans="1:25" ht="15" customHeight="1">
      <c r="A39" s="317">
        <v>100981</v>
      </c>
      <c r="B39" s="870">
        <f>'REF. DE PREÇOS n editavel'!B39</f>
        <v>100981</v>
      </c>
      <c r="C39" s="871" t="str">
        <f>'REF. DE PREÇOS n editavel'!C39</f>
        <v>SINAPI</v>
      </c>
      <c r="D39" s="872" t="str">
        <f>'REF. DE PREÇOS n editavel'!D39</f>
        <v>Remoção manual de entulho</v>
      </c>
      <c r="E39" s="873">
        <f>'REF. DE PREÇOS n editavel'!E39</f>
        <v>0</v>
      </c>
      <c r="F39" s="874">
        <f>'REF. DE PREÇOS n editavel'!F39</f>
        <v>0</v>
      </c>
      <c r="G39" s="875">
        <f>'REF. DE PREÇOS n editavel'!G39</f>
        <v>0</v>
      </c>
      <c r="H39" s="876">
        <f>'REF. DE PREÇOS n editavel'!H39</f>
        <v>9.25</v>
      </c>
      <c r="I39" s="876">
        <f>'REF. DE PREÇOS n editavel'!I39</f>
        <v>9.25</v>
      </c>
      <c r="J39" s="877">
        <f>'REF. DE PREÇOS n editavel'!J39</f>
        <v>11.31</v>
      </c>
      <c r="K39" s="878" t="s">
        <v>10</v>
      </c>
      <c r="L39" s="1094"/>
      <c r="M39" s="1095">
        <f t="shared" si="3"/>
        <v>0</v>
      </c>
      <c r="N39" s="579">
        <f t="shared" si="5"/>
        <v>0</v>
      </c>
      <c r="O39" s="880"/>
      <c r="Q39" s="317" t="str">
        <f t="shared" si="0"/>
        <v/>
      </c>
      <c r="R39" s="317" t="str">
        <f t="shared" si="1"/>
        <v/>
      </c>
      <c r="S39" s="317" t="str">
        <f t="shared" si="2"/>
        <v/>
      </c>
      <c r="T39" s="317" t="str">
        <f>'REF. DE PREÇOS n editavel'!S39</f>
        <v/>
      </c>
      <c r="W39" s="577">
        <v>0</v>
      </c>
      <c r="X39" s="575"/>
      <c r="Y39" s="578">
        <f>IF('REF. DE PREÇOS n editavel'!W39=0,0,IF('REF. DE PREÇOS n editavel'!W39&gt;0,"c","b"))</f>
        <v>0</v>
      </c>
    </row>
    <row r="40" spans="1:25" ht="15" customHeight="1">
      <c r="A40" s="317">
        <v>97623</v>
      </c>
      <c r="B40" s="870" t="str">
        <f>'REF. DE PREÇOS n editavel'!B40</f>
        <v>97623A</v>
      </c>
      <c r="C40" s="871" t="str">
        <f>'REF. DE PREÇOS n editavel'!C40</f>
        <v>SINAPI</v>
      </c>
      <c r="D40" s="872" t="str">
        <f>'REF. DE PREÇOS n editavel'!D40</f>
        <v xml:space="preserve">DEMOLIÇÃO DE ALVENARIA DE TIJOLO  COM REAPROVEITAMENTO. </v>
      </c>
      <c r="E40" s="873">
        <f>'REF. DE PREÇOS n editavel'!E40</f>
        <v>0</v>
      </c>
      <c r="F40" s="874">
        <f>'REF. DE PREÇOS n editavel'!F40</f>
        <v>0</v>
      </c>
      <c r="G40" s="875">
        <f>'REF. DE PREÇOS n editavel'!G40</f>
        <v>0</v>
      </c>
      <c r="H40" s="876">
        <f>'REF. DE PREÇOS n editavel'!H40</f>
        <v>201.31</v>
      </c>
      <c r="I40" s="876">
        <f>'REF. DE PREÇOS n editavel'!I40</f>
        <v>201.31</v>
      </c>
      <c r="J40" s="877">
        <f>'REF. DE PREÇOS n editavel'!J40</f>
        <v>246.04</v>
      </c>
      <c r="K40" s="878" t="s">
        <v>10</v>
      </c>
      <c r="L40" s="1094"/>
      <c r="M40" s="1095">
        <f t="shared" si="3"/>
        <v>0</v>
      </c>
      <c r="N40" s="579">
        <f t="shared" si="5"/>
        <v>0</v>
      </c>
      <c r="O40" s="880"/>
      <c r="Q40" s="317" t="str">
        <f t="shared" si="0"/>
        <v/>
      </c>
      <c r="R40" s="317" t="str">
        <f t="shared" si="1"/>
        <v/>
      </c>
      <c r="S40" s="317" t="str">
        <f t="shared" si="2"/>
        <v/>
      </c>
      <c r="T40" s="317" t="str">
        <f>'REF. DE PREÇOS n editavel'!S40</f>
        <v/>
      </c>
      <c r="W40" s="577">
        <v>0</v>
      </c>
      <c r="X40" s="575"/>
      <c r="Y40" s="578">
        <f>IF('REF. DE PREÇOS n editavel'!W40=0,0,IF('REF. DE PREÇOS n editavel'!W40&gt;0,"c","b"))</f>
        <v>0</v>
      </c>
    </row>
    <row r="41" spans="1:25" ht="15" customHeight="1">
      <c r="A41" s="317">
        <v>97624</v>
      </c>
      <c r="B41" s="870" t="str">
        <f>'REF. DE PREÇOS n editavel'!B41</f>
        <v>97624A</v>
      </c>
      <c r="C41" s="871" t="str">
        <f>'REF. DE PREÇOS n editavel'!C41</f>
        <v>SINAPI</v>
      </c>
      <c r="D41" s="872" t="str">
        <f>'REF. DE PREÇOS n editavel'!D41</f>
        <v>DEMOLIÇÃO DE ALVENARIA DE TIJOLO SEM APROVEITAMENTO</v>
      </c>
      <c r="E41" s="873">
        <f>'REF. DE PREÇOS n editavel'!E41</f>
        <v>0</v>
      </c>
      <c r="F41" s="874">
        <f>'REF. DE PREÇOS n editavel'!F41</f>
        <v>0</v>
      </c>
      <c r="G41" s="875">
        <f>'REF. DE PREÇOS n editavel'!G41</f>
        <v>0</v>
      </c>
      <c r="H41" s="876">
        <f>'REF. DE PREÇOS n editavel'!H41</f>
        <v>123.54</v>
      </c>
      <c r="I41" s="876">
        <f>'REF. DE PREÇOS n editavel'!I41</f>
        <v>123.54</v>
      </c>
      <c r="J41" s="877">
        <f>'REF. DE PREÇOS n editavel'!J41</f>
        <v>150.99</v>
      </c>
      <c r="K41" s="878" t="s">
        <v>10</v>
      </c>
      <c r="L41" s="1094"/>
      <c r="M41" s="1095">
        <f t="shared" si="3"/>
        <v>0</v>
      </c>
      <c r="N41" s="579">
        <f t="shared" si="5"/>
        <v>0</v>
      </c>
      <c r="O41" s="880"/>
      <c r="Q41" s="317" t="str">
        <f t="shared" si="0"/>
        <v/>
      </c>
      <c r="R41" s="317" t="str">
        <f t="shared" si="1"/>
        <v/>
      </c>
      <c r="S41" s="317" t="str">
        <f t="shared" si="2"/>
        <v/>
      </c>
      <c r="T41" s="317" t="str">
        <f>'REF. DE PREÇOS n editavel'!S41</f>
        <v/>
      </c>
      <c r="W41" s="577">
        <v>0</v>
      </c>
      <c r="X41" s="575"/>
      <c r="Y41" s="578">
        <f>IF('REF. DE PREÇOS n editavel'!W41=0,0,IF('REF. DE PREÇOS n editavel'!W41&gt;0,"c","b"))</f>
        <v>0</v>
      </c>
    </row>
    <row r="42" spans="1:25" ht="15" customHeight="1">
      <c r="A42" s="317">
        <v>606500</v>
      </c>
      <c r="B42" s="870" t="str">
        <f>'REF. DE PREÇOS n editavel'!B42</f>
        <v>606500A</v>
      </c>
      <c r="C42" s="871" t="str">
        <f>'REF. DE PREÇOS n editavel'!C42</f>
        <v>DER</v>
      </c>
      <c r="D42" s="872" t="str">
        <f>'REF. DE PREÇOS n editavel'!D42</f>
        <v>Demolição de Alvenaria</v>
      </c>
      <c r="E42" s="873">
        <f>'REF. DE PREÇOS n editavel'!E42</f>
        <v>0</v>
      </c>
      <c r="F42" s="874">
        <f>'REF. DE PREÇOS n editavel'!F42</f>
        <v>0</v>
      </c>
      <c r="G42" s="875">
        <f>'REF. DE PREÇOS n editavel'!G42</f>
        <v>0</v>
      </c>
      <c r="H42" s="876">
        <f>'REF. DE PREÇOS n editavel'!H42</f>
        <v>182.46</v>
      </c>
      <c r="I42" s="876">
        <f>'REF. DE PREÇOS n editavel'!I42</f>
        <v>182.46</v>
      </c>
      <c r="J42" s="877">
        <f>'REF. DE PREÇOS n editavel'!J42</f>
        <v>223</v>
      </c>
      <c r="K42" s="878" t="s">
        <v>10</v>
      </c>
      <c r="L42" s="1094"/>
      <c r="M42" s="1095">
        <f t="shared" si="3"/>
        <v>0</v>
      </c>
      <c r="N42" s="579">
        <f t="shared" si="5"/>
        <v>0</v>
      </c>
      <c r="O42" s="880"/>
      <c r="Q42" s="317" t="str">
        <f t="shared" si="0"/>
        <v/>
      </c>
      <c r="R42" s="317" t="str">
        <f t="shared" si="1"/>
        <v/>
      </c>
      <c r="S42" s="317" t="str">
        <f t="shared" si="2"/>
        <v/>
      </c>
      <c r="T42" s="317" t="str">
        <f>'REF. DE PREÇOS n editavel'!S42</f>
        <v/>
      </c>
      <c r="W42" s="577">
        <v>0</v>
      </c>
      <c r="X42" s="575"/>
      <c r="Y42" s="578">
        <f>IF('REF. DE PREÇOS n editavel'!W42=0,0,IF('REF. DE PREÇOS n editavel'!W42&gt;0,"c","b"))</f>
        <v>0</v>
      </c>
    </row>
    <row r="43" spans="1:25" ht="15" customHeight="1">
      <c r="A43" s="634" t="s">
        <v>165</v>
      </c>
      <c r="B43" s="888" t="str">
        <f>'REF. DE PREÇOS n editavel'!B43</f>
        <v/>
      </c>
      <c r="C43" s="889">
        <f>'REF. DE PREÇOS n editavel'!C43</f>
        <v>0</v>
      </c>
      <c r="D43" s="890" t="str">
        <f>'REF. DE PREÇOS n editavel'!D43</f>
        <v>SERVIÇOS EXTRAS - SERVIÇOS PRELIMINARES</v>
      </c>
      <c r="E43" s="891"/>
      <c r="F43" s="1218">
        <f>'REF. DE PREÇOS n editavel'!F43</f>
        <v>0</v>
      </c>
      <c r="G43" s="893">
        <f>'REF. DE PREÇOS n editavel'!G43</f>
        <v>0</v>
      </c>
      <c r="H43" s="894">
        <f>'REF. DE PREÇOS n editavel'!H43</f>
        <v>0</v>
      </c>
      <c r="I43" s="894">
        <f>'REF. DE PREÇOS n editavel'!I43</f>
        <v>0</v>
      </c>
      <c r="J43" s="894">
        <f>'REF. DE PREÇOS n editavel'!J43</f>
        <v>0</v>
      </c>
      <c r="K43" s="895" t="s">
        <v>506</v>
      </c>
      <c r="L43" s="896"/>
      <c r="M43" s="897"/>
      <c r="N43" s="579">
        <f t="shared" si="5"/>
        <v>0</v>
      </c>
      <c r="O43" s="880"/>
      <c r="P43" s="58" t="str">
        <f>IF(OR(SUM(N44:N68)&gt;0,SUM(N44:N68)&gt;0),"y","")</f>
        <v/>
      </c>
      <c r="Q43" s="317" t="str">
        <f t="shared" si="0"/>
        <v/>
      </c>
      <c r="R43" s="317" t="str">
        <f t="shared" si="1"/>
        <v/>
      </c>
      <c r="S43" s="317" t="str">
        <f t="shared" si="2"/>
        <v/>
      </c>
      <c r="T43" s="317" t="str">
        <f>'REF. DE PREÇOS n editavel'!S43</f>
        <v/>
      </c>
      <c r="W43" s="577">
        <v>0</v>
      </c>
      <c r="X43" s="575"/>
      <c r="Y43" s="578">
        <f>IF('REF. DE PREÇOS n editavel'!W43=0,0,IF('REF. DE PREÇOS n editavel'!W43&gt;0,"c","b"))</f>
        <v>0</v>
      </c>
    </row>
    <row r="44" spans="1:25" ht="15" customHeight="1">
      <c r="A44" s="634" t="s">
        <v>165</v>
      </c>
      <c r="B44" s="1010">
        <f>'REF. DE PREÇOS n editavel'!B44</f>
        <v>0</v>
      </c>
      <c r="C44" s="1045">
        <f>'REF. DE PREÇOS n editavel'!C44</f>
        <v>0</v>
      </c>
      <c r="D44" s="1096">
        <f>'REF. DE PREÇOS n editavel'!D44</f>
        <v>0</v>
      </c>
      <c r="E44" s="882">
        <f>'REF. DE PREÇOS n editavel'!E44</f>
        <v>0</v>
      </c>
      <c r="F44" s="883">
        <f>'REF. DE PREÇOS n editavel'!F44</f>
        <v>0</v>
      </c>
      <c r="G44" s="887">
        <f>'REF. DE PREÇOS n editavel'!G44</f>
        <v>0</v>
      </c>
      <c r="H44" s="876">
        <f>'REF. DE PREÇOS n editavel'!H44</f>
        <v>0</v>
      </c>
      <c r="I44" s="876">
        <f>'REF. DE PREÇOS n editavel'!I44</f>
        <v>0</v>
      </c>
      <c r="J44" s="877">
        <f>'REF. DE PREÇOS n editavel'!J44</f>
        <v>0</v>
      </c>
      <c r="K44" s="878">
        <f>'REF. DE PREÇOS n editavel'!K44</f>
        <v>0</v>
      </c>
      <c r="L44" s="1092"/>
      <c r="M44" s="1095">
        <f t="shared" si="3"/>
        <v>0</v>
      </c>
      <c r="N44" s="579">
        <f t="shared" si="5"/>
        <v>0</v>
      </c>
      <c r="O44" s="880"/>
      <c r="Q44" s="317" t="str">
        <f t="shared" si="0"/>
        <v/>
      </c>
      <c r="R44" s="317" t="str">
        <f t="shared" si="1"/>
        <v/>
      </c>
      <c r="S44" s="317" t="str">
        <f t="shared" si="2"/>
        <v/>
      </c>
      <c r="T44" s="317" t="str">
        <f>'REF. DE PREÇOS n editavel'!S44</f>
        <v/>
      </c>
      <c r="W44" s="577">
        <v>0</v>
      </c>
      <c r="X44" s="575"/>
      <c r="Y44" s="578">
        <f>IF('REF. DE PREÇOS n editavel'!W44=0,0,IF('REF. DE PREÇOS n editavel'!W44&gt;0,"c","b"))</f>
        <v>0</v>
      </c>
    </row>
    <row r="45" spans="1:25" ht="15" customHeight="1">
      <c r="A45" s="634" t="s">
        <v>165</v>
      </c>
      <c r="B45" s="1010" t="str">
        <f>'REF. DE PREÇOS n editavel'!B45</f>
        <v/>
      </c>
      <c r="C45" s="1045" t="str">
        <f>'REF. DE PREÇOS n editavel'!C45</f>
        <v/>
      </c>
      <c r="D45" s="1096">
        <f>'REF. DE PREÇOS n editavel'!D45</f>
        <v>0</v>
      </c>
      <c r="E45" s="882">
        <f>'REF. DE PREÇOS n editavel'!E45</f>
        <v>0</v>
      </c>
      <c r="F45" s="883">
        <f>'REF. DE PREÇOS n editavel'!F45</f>
        <v>0</v>
      </c>
      <c r="G45" s="887">
        <f>'REF. DE PREÇOS n editavel'!G45</f>
        <v>0</v>
      </c>
      <c r="H45" s="876">
        <f>'REF. DE PREÇOS n editavel'!H45</f>
        <v>0</v>
      </c>
      <c r="I45" s="876">
        <f>'REF. DE PREÇOS n editavel'!I45</f>
        <v>0</v>
      </c>
      <c r="J45" s="865">
        <f>'REF. DE PREÇOS n editavel'!J45</f>
        <v>0</v>
      </c>
      <c r="K45" s="878" t="str">
        <f>'REF. DE PREÇOS n editavel'!K45</f>
        <v xml:space="preserve">     </v>
      </c>
      <c r="L45" s="1092"/>
      <c r="M45" s="1095">
        <f t="shared" si="3"/>
        <v>0</v>
      </c>
      <c r="N45" s="579">
        <f t="shared" si="5"/>
        <v>0</v>
      </c>
      <c r="O45" s="880"/>
      <c r="Q45" s="317" t="str">
        <f t="shared" si="0"/>
        <v/>
      </c>
      <c r="R45" s="317" t="str">
        <f t="shared" si="1"/>
        <v/>
      </c>
      <c r="S45" s="317" t="str">
        <f t="shared" si="2"/>
        <v/>
      </c>
      <c r="T45" s="317" t="str">
        <f>'REF. DE PREÇOS n editavel'!S45</f>
        <v/>
      </c>
      <c r="W45" s="577">
        <v>0</v>
      </c>
      <c r="X45" s="575"/>
      <c r="Y45" s="578">
        <f>IF('REF. DE PREÇOS n editavel'!W45=0,0,IF('REF. DE PREÇOS n editavel'!W45&gt;0,"c","b"))</f>
        <v>0</v>
      </c>
    </row>
    <row r="46" spans="1:25" ht="15" customHeight="1">
      <c r="A46" s="634" t="s">
        <v>165</v>
      </c>
      <c r="B46" s="1010" t="str">
        <f>'REF. DE PREÇOS n editavel'!B46</f>
        <v/>
      </c>
      <c r="C46" s="1045" t="str">
        <f>'REF. DE PREÇOS n editavel'!C46</f>
        <v/>
      </c>
      <c r="D46" s="1096">
        <f>'REF. DE PREÇOS n editavel'!D46</f>
        <v>0</v>
      </c>
      <c r="E46" s="882">
        <f>'REF. DE PREÇOS n editavel'!E46</f>
        <v>0</v>
      </c>
      <c r="F46" s="883">
        <f>'REF. DE PREÇOS n editavel'!F46</f>
        <v>0</v>
      </c>
      <c r="G46" s="887">
        <f>'REF. DE PREÇOS n editavel'!G46</f>
        <v>0</v>
      </c>
      <c r="H46" s="876">
        <f>'REF. DE PREÇOS n editavel'!H46</f>
        <v>0</v>
      </c>
      <c r="I46" s="876">
        <f>'REF. DE PREÇOS n editavel'!I46</f>
        <v>0</v>
      </c>
      <c r="J46" s="865">
        <f>'REF. DE PREÇOS n editavel'!J46</f>
        <v>0</v>
      </c>
      <c r="K46" s="878" t="str">
        <f>'REF. DE PREÇOS n editavel'!K46</f>
        <v xml:space="preserve">     </v>
      </c>
      <c r="L46" s="1092"/>
      <c r="M46" s="1095">
        <f t="shared" si="3"/>
        <v>0</v>
      </c>
      <c r="N46" s="579">
        <f t="shared" si="5"/>
        <v>0</v>
      </c>
      <c r="O46" s="880"/>
      <c r="Q46" s="317" t="str">
        <f t="shared" si="0"/>
        <v/>
      </c>
      <c r="R46" s="317" t="str">
        <f t="shared" si="1"/>
        <v/>
      </c>
      <c r="S46" s="317" t="str">
        <f t="shared" si="2"/>
        <v/>
      </c>
      <c r="T46" s="317" t="str">
        <f>'REF. DE PREÇOS n editavel'!S46</f>
        <v/>
      </c>
      <c r="W46" s="577">
        <v>0</v>
      </c>
      <c r="X46" s="575"/>
      <c r="Y46" s="578">
        <f>IF('REF. DE PREÇOS n editavel'!W46=0,0,IF('REF. DE PREÇOS n editavel'!W46&gt;0,"c","b"))</f>
        <v>0</v>
      </c>
    </row>
    <row r="47" spans="1:25" ht="15" customHeight="1">
      <c r="A47" s="634" t="s">
        <v>165</v>
      </c>
      <c r="B47" s="1010" t="str">
        <f>'REF. DE PREÇOS n editavel'!B47</f>
        <v/>
      </c>
      <c r="C47" s="1045" t="str">
        <f>'REF. DE PREÇOS n editavel'!C47</f>
        <v/>
      </c>
      <c r="D47" s="1096">
        <f>'REF. DE PREÇOS n editavel'!D47</f>
        <v>0</v>
      </c>
      <c r="E47" s="882">
        <f>'REF. DE PREÇOS n editavel'!E47</f>
        <v>0</v>
      </c>
      <c r="F47" s="883">
        <f>'REF. DE PREÇOS n editavel'!F47</f>
        <v>0</v>
      </c>
      <c r="G47" s="887">
        <f>'REF. DE PREÇOS n editavel'!G47</f>
        <v>0</v>
      </c>
      <c r="H47" s="876">
        <f>'REF. DE PREÇOS n editavel'!H47</f>
        <v>0</v>
      </c>
      <c r="I47" s="876">
        <f>'REF. DE PREÇOS n editavel'!I47</f>
        <v>0</v>
      </c>
      <c r="J47" s="865">
        <f>'REF. DE PREÇOS n editavel'!J47</f>
        <v>0</v>
      </c>
      <c r="K47" s="878" t="str">
        <f>'REF. DE PREÇOS n editavel'!K47</f>
        <v xml:space="preserve">     </v>
      </c>
      <c r="L47" s="1092"/>
      <c r="M47" s="1095">
        <f t="shared" si="3"/>
        <v>0</v>
      </c>
      <c r="N47" s="579">
        <f t="shared" si="5"/>
        <v>0</v>
      </c>
      <c r="O47" s="880"/>
      <c r="Q47" s="317" t="str">
        <f t="shared" si="0"/>
        <v/>
      </c>
      <c r="R47" s="317" t="str">
        <f t="shared" si="1"/>
        <v/>
      </c>
      <c r="S47" s="317" t="str">
        <f t="shared" si="2"/>
        <v/>
      </c>
      <c r="T47" s="317" t="str">
        <f>'REF. DE PREÇOS n editavel'!S47</f>
        <v/>
      </c>
      <c r="W47" s="577">
        <v>0</v>
      </c>
      <c r="X47" s="575"/>
      <c r="Y47" s="578">
        <f>IF('REF. DE PREÇOS n editavel'!W47=0,0,IF('REF. DE PREÇOS n editavel'!W47&gt;0,"c","b"))</f>
        <v>0</v>
      </c>
    </row>
    <row r="48" spans="1:25" ht="15" customHeight="1">
      <c r="A48" s="634" t="s">
        <v>165</v>
      </c>
      <c r="B48" s="1010" t="str">
        <f>'REF. DE PREÇOS n editavel'!B48</f>
        <v/>
      </c>
      <c r="C48" s="1045" t="str">
        <f>'REF. DE PREÇOS n editavel'!C48</f>
        <v/>
      </c>
      <c r="D48" s="1096">
        <f>'REF. DE PREÇOS n editavel'!D48</f>
        <v>0</v>
      </c>
      <c r="E48" s="882">
        <f>'REF. DE PREÇOS n editavel'!E48</f>
        <v>0</v>
      </c>
      <c r="F48" s="883">
        <f>'REF. DE PREÇOS n editavel'!F48</f>
        <v>0</v>
      </c>
      <c r="G48" s="887">
        <f>'REF. DE PREÇOS n editavel'!G48</f>
        <v>0</v>
      </c>
      <c r="H48" s="876">
        <f>'REF. DE PREÇOS n editavel'!H48</f>
        <v>0</v>
      </c>
      <c r="I48" s="876">
        <f>'REF. DE PREÇOS n editavel'!I48</f>
        <v>0</v>
      </c>
      <c r="J48" s="865">
        <f>'REF. DE PREÇOS n editavel'!J48</f>
        <v>0</v>
      </c>
      <c r="K48" s="878" t="str">
        <f>'REF. DE PREÇOS n editavel'!K48</f>
        <v xml:space="preserve">     </v>
      </c>
      <c r="L48" s="1092"/>
      <c r="M48" s="1095">
        <f t="shared" si="3"/>
        <v>0</v>
      </c>
      <c r="N48" s="579">
        <f t="shared" si="5"/>
        <v>0</v>
      </c>
      <c r="O48" s="880"/>
      <c r="Q48" s="317" t="str">
        <f t="shared" si="0"/>
        <v/>
      </c>
      <c r="R48" s="317" t="str">
        <f t="shared" si="1"/>
        <v/>
      </c>
      <c r="S48" s="317" t="str">
        <f t="shared" si="2"/>
        <v/>
      </c>
      <c r="T48" s="317" t="str">
        <f>'REF. DE PREÇOS n editavel'!S48</f>
        <v/>
      </c>
      <c r="W48" s="577">
        <v>0</v>
      </c>
      <c r="X48" s="575"/>
      <c r="Y48" s="578">
        <f>IF('REF. DE PREÇOS n editavel'!W48=0,0,IF('REF. DE PREÇOS n editavel'!W48&gt;0,"c","b"))</f>
        <v>0</v>
      </c>
    </row>
    <row r="49" spans="1:25" ht="15" customHeight="1">
      <c r="A49" s="634" t="s">
        <v>165</v>
      </c>
      <c r="B49" s="1010" t="str">
        <f>'REF. DE PREÇOS n editavel'!B49</f>
        <v/>
      </c>
      <c r="C49" s="1045" t="str">
        <f>'REF. DE PREÇOS n editavel'!C49</f>
        <v/>
      </c>
      <c r="D49" s="1096">
        <f>'REF. DE PREÇOS n editavel'!D49</f>
        <v>0</v>
      </c>
      <c r="E49" s="882">
        <f>'REF. DE PREÇOS n editavel'!E49</f>
        <v>0</v>
      </c>
      <c r="F49" s="883">
        <f>'REF. DE PREÇOS n editavel'!F49</f>
        <v>0</v>
      </c>
      <c r="G49" s="887">
        <f>'REF. DE PREÇOS n editavel'!G49</f>
        <v>0</v>
      </c>
      <c r="H49" s="876">
        <f>'REF. DE PREÇOS n editavel'!H49</f>
        <v>0</v>
      </c>
      <c r="I49" s="876">
        <f>'REF. DE PREÇOS n editavel'!I49</f>
        <v>0</v>
      </c>
      <c r="J49" s="865">
        <f>'REF. DE PREÇOS n editavel'!J49</f>
        <v>0</v>
      </c>
      <c r="K49" s="878" t="str">
        <f>'REF. DE PREÇOS n editavel'!K49</f>
        <v xml:space="preserve">     </v>
      </c>
      <c r="L49" s="1092"/>
      <c r="M49" s="1095">
        <f t="shared" si="3"/>
        <v>0</v>
      </c>
      <c r="N49" s="579">
        <f t="shared" si="5"/>
        <v>0</v>
      </c>
      <c r="O49" s="880"/>
      <c r="Q49" s="317" t="str">
        <f t="shared" si="0"/>
        <v/>
      </c>
      <c r="R49" s="317" t="str">
        <f t="shared" si="1"/>
        <v/>
      </c>
      <c r="S49" s="317" t="str">
        <f t="shared" si="2"/>
        <v/>
      </c>
      <c r="T49" s="317" t="str">
        <f>'REF. DE PREÇOS n editavel'!S49</f>
        <v/>
      </c>
      <c r="W49" s="577">
        <v>0</v>
      </c>
      <c r="X49" s="575"/>
      <c r="Y49" s="578">
        <f>IF('REF. DE PREÇOS n editavel'!W49=0,0,IF('REF. DE PREÇOS n editavel'!W49&gt;0,"c","b"))</f>
        <v>0</v>
      </c>
    </row>
    <row r="50" spans="1:25" ht="15" customHeight="1">
      <c r="A50" s="634" t="s">
        <v>165</v>
      </c>
      <c r="B50" s="1010" t="str">
        <f>'REF. DE PREÇOS n editavel'!B50</f>
        <v/>
      </c>
      <c r="C50" s="1045" t="str">
        <f>'REF. DE PREÇOS n editavel'!C50</f>
        <v/>
      </c>
      <c r="D50" s="1096">
        <f>'REF. DE PREÇOS n editavel'!D50</f>
        <v>0</v>
      </c>
      <c r="E50" s="882">
        <f>'REF. DE PREÇOS n editavel'!E50</f>
        <v>0</v>
      </c>
      <c r="F50" s="883">
        <f>'REF. DE PREÇOS n editavel'!F50</f>
        <v>0</v>
      </c>
      <c r="G50" s="887">
        <f>'REF. DE PREÇOS n editavel'!G50</f>
        <v>0</v>
      </c>
      <c r="H50" s="876">
        <f>'REF. DE PREÇOS n editavel'!H50</f>
        <v>0</v>
      </c>
      <c r="I50" s="876">
        <f>'REF. DE PREÇOS n editavel'!I50</f>
        <v>0</v>
      </c>
      <c r="J50" s="865">
        <f>'REF. DE PREÇOS n editavel'!J50</f>
        <v>0</v>
      </c>
      <c r="K50" s="878" t="str">
        <f>'REF. DE PREÇOS n editavel'!K50</f>
        <v xml:space="preserve">     </v>
      </c>
      <c r="L50" s="1092"/>
      <c r="M50" s="1095">
        <f t="shared" si="3"/>
        <v>0</v>
      </c>
      <c r="N50" s="579">
        <f t="shared" si="5"/>
        <v>0</v>
      </c>
      <c r="O50" s="880"/>
      <c r="Q50" s="317" t="str">
        <f t="shared" si="0"/>
        <v/>
      </c>
      <c r="R50" s="317" t="str">
        <f t="shared" si="1"/>
        <v/>
      </c>
      <c r="S50" s="317" t="str">
        <f t="shared" si="2"/>
        <v/>
      </c>
      <c r="T50" s="317" t="str">
        <f>'REF. DE PREÇOS n editavel'!S50</f>
        <v/>
      </c>
      <c r="W50" s="577">
        <v>0</v>
      </c>
      <c r="X50" s="575"/>
      <c r="Y50" s="578">
        <f>IF('REF. DE PREÇOS n editavel'!W50=0,0,IF('REF. DE PREÇOS n editavel'!W50&gt;0,"c","b"))</f>
        <v>0</v>
      </c>
    </row>
    <row r="51" spans="1:25" ht="15" customHeight="1">
      <c r="A51" s="634" t="s">
        <v>165</v>
      </c>
      <c r="B51" s="1010" t="str">
        <f>'REF. DE PREÇOS n editavel'!B51</f>
        <v/>
      </c>
      <c r="C51" s="1045" t="str">
        <f>'REF. DE PREÇOS n editavel'!C51</f>
        <v/>
      </c>
      <c r="D51" s="1096">
        <f>'REF. DE PREÇOS n editavel'!D51</f>
        <v>0</v>
      </c>
      <c r="E51" s="882">
        <f>'REF. DE PREÇOS n editavel'!E51</f>
        <v>0</v>
      </c>
      <c r="F51" s="883">
        <f>'REF. DE PREÇOS n editavel'!F51</f>
        <v>0</v>
      </c>
      <c r="G51" s="887">
        <f>'REF. DE PREÇOS n editavel'!G51</f>
        <v>0</v>
      </c>
      <c r="H51" s="876">
        <f>'REF. DE PREÇOS n editavel'!H51</f>
        <v>0</v>
      </c>
      <c r="I51" s="876">
        <f>'REF. DE PREÇOS n editavel'!I51</f>
        <v>0</v>
      </c>
      <c r="J51" s="865">
        <f>'REF. DE PREÇOS n editavel'!J51</f>
        <v>0</v>
      </c>
      <c r="K51" s="878" t="str">
        <f>'REF. DE PREÇOS n editavel'!K51</f>
        <v xml:space="preserve">     </v>
      </c>
      <c r="L51" s="1092"/>
      <c r="M51" s="1095">
        <f t="shared" si="3"/>
        <v>0</v>
      </c>
      <c r="N51" s="579">
        <f t="shared" si="5"/>
        <v>0</v>
      </c>
      <c r="O51" s="880"/>
      <c r="Q51" s="317" t="str">
        <f t="shared" si="0"/>
        <v/>
      </c>
      <c r="R51" s="317" t="str">
        <f t="shared" si="1"/>
        <v/>
      </c>
      <c r="S51" s="317" t="str">
        <f t="shared" si="2"/>
        <v/>
      </c>
      <c r="T51" s="317" t="str">
        <f>'REF. DE PREÇOS n editavel'!S51</f>
        <v/>
      </c>
      <c r="W51" s="577">
        <v>0</v>
      </c>
      <c r="X51" s="575"/>
      <c r="Y51" s="578">
        <f>IF('REF. DE PREÇOS n editavel'!W51=0,0,IF('REF. DE PREÇOS n editavel'!W51&gt;0,"c","b"))</f>
        <v>0</v>
      </c>
    </row>
    <row r="52" spans="1:25" ht="15" customHeight="1">
      <c r="A52" s="634" t="s">
        <v>165</v>
      </c>
      <c r="B52" s="1010" t="str">
        <f>'REF. DE PREÇOS n editavel'!B52</f>
        <v/>
      </c>
      <c r="C52" s="1045" t="str">
        <f>'REF. DE PREÇOS n editavel'!C52</f>
        <v/>
      </c>
      <c r="D52" s="1096">
        <f>'REF. DE PREÇOS n editavel'!D52</f>
        <v>0</v>
      </c>
      <c r="E52" s="882">
        <f>'REF. DE PREÇOS n editavel'!E52</f>
        <v>0</v>
      </c>
      <c r="F52" s="883">
        <f>'REF. DE PREÇOS n editavel'!F52</f>
        <v>0</v>
      </c>
      <c r="G52" s="887">
        <f>'REF. DE PREÇOS n editavel'!G52</f>
        <v>0</v>
      </c>
      <c r="H52" s="876">
        <f>'REF. DE PREÇOS n editavel'!H52</f>
        <v>0</v>
      </c>
      <c r="I52" s="876">
        <f>'REF. DE PREÇOS n editavel'!I52</f>
        <v>0</v>
      </c>
      <c r="J52" s="865">
        <f>'REF. DE PREÇOS n editavel'!J52</f>
        <v>0</v>
      </c>
      <c r="K52" s="878" t="str">
        <f>'REF. DE PREÇOS n editavel'!K52</f>
        <v xml:space="preserve">     </v>
      </c>
      <c r="L52" s="1092"/>
      <c r="M52" s="1095">
        <f t="shared" si="3"/>
        <v>0</v>
      </c>
      <c r="N52" s="579">
        <f t="shared" si="5"/>
        <v>0</v>
      </c>
      <c r="O52" s="880"/>
      <c r="Q52" s="317" t="str">
        <f t="shared" si="0"/>
        <v/>
      </c>
      <c r="R52" s="317" t="str">
        <f t="shared" si="1"/>
        <v/>
      </c>
      <c r="S52" s="317" t="str">
        <f t="shared" si="2"/>
        <v/>
      </c>
      <c r="T52" s="317" t="str">
        <f>'REF. DE PREÇOS n editavel'!S52</f>
        <v/>
      </c>
      <c r="W52" s="577">
        <v>0</v>
      </c>
      <c r="X52" s="575"/>
      <c r="Y52" s="578">
        <f>IF('REF. DE PREÇOS n editavel'!W52=0,0,IF('REF. DE PREÇOS n editavel'!W52&gt;0,"c","b"))</f>
        <v>0</v>
      </c>
    </row>
    <row r="53" spans="1:25" ht="15" customHeight="1">
      <c r="A53" s="634" t="s">
        <v>165</v>
      </c>
      <c r="B53" s="1010" t="str">
        <f>'REF. DE PREÇOS n editavel'!B53</f>
        <v/>
      </c>
      <c r="C53" s="1045" t="str">
        <f>'REF. DE PREÇOS n editavel'!C53</f>
        <v/>
      </c>
      <c r="D53" s="1096">
        <f>'REF. DE PREÇOS n editavel'!D53</f>
        <v>0</v>
      </c>
      <c r="E53" s="882">
        <f>'REF. DE PREÇOS n editavel'!E53</f>
        <v>0</v>
      </c>
      <c r="F53" s="883">
        <f>'REF. DE PREÇOS n editavel'!F53</f>
        <v>0</v>
      </c>
      <c r="G53" s="887">
        <f>'REF. DE PREÇOS n editavel'!G53</f>
        <v>0</v>
      </c>
      <c r="H53" s="876">
        <f>'REF. DE PREÇOS n editavel'!H53</f>
        <v>0</v>
      </c>
      <c r="I53" s="876">
        <f>'REF. DE PREÇOS n editavel'!I53</f>
        <v>0</v>
      </c>
      <c r="J53" s="865">
        <f>'REF. DE PREÇOS n editavel'!J53</f>
        <v>0</v>
      </c>
      <c r="K53" s="878" t="str">
        <f>'REF. DE PREÇOS n editavel'!K53</f>
        <v xml:space="preserve">     </v>
      </c>
      <c r="L53" s="1092"/>
      <c r="M53" s="1095">
        <f t="shared" si="3"/>
        <v>0</v>
      </c>
      <c r="N53" s="579">
        <f t="shared" si="5"/>
        <v>0</v>
      </c>
      <c r="O53" s="880"/>
      <c r="Q53" s="317" t="str">
        <f t="shared" si="0"/>
        <v/>
      </c>
      <c r="R53" s="317" t="str">
        <f t="shared" si="1"/>
        <v/>
      </c>
      <c r="S53" s="317" t="str">
        <f t="shared" si="2"/>
        <v/>
      </c>
      <c r="T53" s="317" t="str">
        <f>'REF. DE PREÇOS n editavel'!S53</f>
        <v/>
      </c>
      <c r="W53" s="577">
        <v>0</v>
      </c>
      <c r="X53" s="575"/>
      <c r="Y53" s="578">
        <f>IF('REF. DE PREÇOS n editavel'!W53=0,0,IF('REF. DE PREÇOS n editavel'!W53&gt;0,"c","b"))</f>
        <v>0</v>
      </c>
    </row>
    <row r="54" spans="1:25" ht="15" customHeight="1">
      <c r="A54" s="634" t="s">
        <v>165</v>
      </c>
      <c r="B54" s="1010" t="str">
        <f>'REF. DE PREÇOS n editavel'!B54</f>
        <v/>
      </c>
      <c r="C54" s="1045" t="str">
        <f>'REF. DE PREÇOS n editavel'!C54</f>
        <v/>
      </c>
      <c r="D54" s="1096">
        <f>'REF. DE PREÇOS n editavel'!D54</f>
        <v>0</v>
      </c>
      <c r="E54" s="882">
        <f>'REF. DE PREÇOS n editavel'!E54</f>
        <v>0</v>
      </c>
      <c r="F54" s="883">
        <f>'REF. DE PREÇOS n editavel'!F54</f>
        <v>0</v>
      </c>
      <c r="G54" s="887">
        <f>'REF. DE PREÇOS n editavel'!G54</f>
        <v>0</v>
      </c>
      <c r="H54" s="876">
        <f>'REF. DE PREÇOS n editavel'!H54</f>
        <v>0</v>
      </c>
      <c r="I54" s="876">
        <f>'REF. DE PREÇOS n editavel'!I54</f>
        <v>0</v>
      </c>
      <c r="J54" s="865">
        <f>'REF. DE PREÇOS n editavel'!J54</f>
        <v>0</v>
      </c>
      <c r="K54" s="878" t="str">
        <f>'REF. DE PREÇOS n editavel'!K54</f>
        <v xml:space="preserve">     </v>
      </c>
      <c r="L54" s="1092"/>
      <c r="M54" s="1095">
        <f t="shared" si="3"/>
        <v>0</v>
      </c>
      <c r="N54" s="579">
        <f t="shared" si="5"/>
        <v>0</v>
      </c>
      <c r="O54" s="880"/>
      <c r="Q54" s="317" t="str">
        <f t="shared" si="0"/>
        <v/>
      </c>
      <c r="R54" s="317" t="str">
        <f t="shared" si="1"/>
        <v/>
      </c>
      <c r="S54" s="317" t="str">
        <f t="shared" si="2"/>
        <v/>
      </c>
      <c r="T54" s="317" t="str">
        <f>'REF. DE PREÇOS n editavel'!S54</f>
        <v/>
      </c>
      <c r="W54" s="577">
        <v>0</v>
      </c>
      <c r="X54" s="575"/>
      <c r="Y54" s="578">
        <f>IF('REF. DE PREÇOS n editavel'!W54=0,0,IF('REF. DE PREÇOS n editavel'!W54&gt;0,"c","b"))</f>
        <v>0</v>
      </c>
    </row>
    <row r="55" spans="1:25" ht="15" customHeight="1">
      <c r="A55" s="634" t="s">
        <v>165</v>
      </c>
      <c r="B55" s="1010" t="str">
        <f>'REF. DE PREÇOS n editavel'!B55</f>
        <v/>
      </c>
      <c r="C55" s="1045" t="str">
        <f>'REF. DE PREÇOS n editavel'!C55</f>
        <v/>
      </c>
      <c r="D55" s="1096">
        <f>'REF. DE PREÇOS n editavel'!D55</f>
        <v>0</v>
      </c>
      <c r="E55" s="882">
        <f>'REF. DE PREÇOS n editavel'!E55</f>
        <v>0</v>
      </c>
      <c r="F55" s="883">
        <f>'REF. DE PREÇOS n editavel'!F55</f>
        <v>0</v>
      </c>
      <c r="G55" s="887">
        <f>'REF. DE PREÇOS n editavel'!G55</f>
        <v>0</v>
      </c>
      <c r="H55" s="876">
        <f>'REF. DE PREÇOS n editavel'!H55</f>
        <v>0</v>
      </c>
      <c r="I55" s="876">
        <f>'REF. DE PREÇOS n editavel'!I55</f>
        <v>0</v>
      </c>
      <c r="J55" s="865">
        <f>'REF. DE PREÇOS n editavel'!J55</f>
        <v>0</v>
      </c>
      <c r="K55" s="878" t="str">
        <f>'REF. DE PREÇOS n editavel'!K55</f>
        <v xml:space="preserve">     </v>
      </c>
      <c r="L55" s="1092"/>
      <c r="M55" s="1095">
        <f t="shared" si="3"/>
        <v>0</v>
      </c>
      <c r="N55" s="579">
        <f t="shared" si="5"/>
        <v>0</v>
      </c>
      <c r="O55" s="880"/>
      <c r="Q55" s="317" t="str">
        <f t="shared" si="0"/>
        <v/>
      </c>
      <c r="R55" s="317" t="str">
        <f t="shared" si="1"/>
        <v/>
      </c>
      <c r="S55" s="317" t="str">
        <f t="shared" si="2"/>
        <v/>
      </c>
      <c r="T55" s="317" t="str">
        <f>'REF. DE PREÇOS n editavel'!S55</f>
        <v/>
      </c>
      <c r="W55" s="577">
        <v>0</v>
      </c>
      <c r="X55" s="575"/>
      <c r="Y55" s="578">
        <f>IF('REF. DE PREÇOS n editavel'!W55=0,0,IF('REF. DE PREÇOS n editavel'!W55&gt;0,"c","b"))</f>
        <v>0</v>
      </c>
    </row>
    <row r="56" spans="1:25" ht="15" customHeight="1">
      <c r="A56" s="634" t="s">
        <v>165</v>
      </c>
      <c r="B56" s="1010" t="str">
        <f>'REF. DE PREÇOS n editavel'!B56</f>
        <v/>
      </c>
      <c r="C56" s="1045" t="str">
        <f>'REF. DE PREÇOS n editavel'!C56</f>
        <v/>
      </c>
      <c r="D56" s="1096">
        <f>'REF. DE PREÇOS n editavel'!D56</f>
        <v>0</v>
      </c>
      <c r="E56" s="882">
        <f>'REF. DE PREÇOS n editavel'!E56</f>
        <v>0</v>
      </c>
      <c r="F56" s="883">
        <f>'REF. DE PREÇOS n editavel'!F56</f>
        <v>0</v>
      </c>
      <c r="G56" s="887">
        <f>'REF. DE PREÇOS n editavel'!G56</f>
        <v>0</v>
      </c>
      <c r="H56" s="876">
        <f>'REF. DE PREÇOS n editavel'!H56</f>
        <v>0</v>
      </c>
      <c r="I56" s="876">
        <f>'REF. DE PREÇOS n editavel'!I56</f>
        <v>0</v>
      </c>
      <c r="J56" s="865">
        <f>'REF. DE PREÇOS n editavel'!J56</f>
        <v>0</v>
      </c>
      <c r="K56" s="878" t="str">
        <f>'REF. DE PREÇOS n editavel'!K56</f>
        <v xml:space="preserve">     </v>
      </c>
      <c r="L56" s="1092"/>
      <c r="M56" s="1095">
        <f t="shared" si="3"/>
        <v>0</v>
      </c>
      <c r="N56" s="579">
        <f t="shared" si="5"/>
        <v>0</v>
      </c>
      <c r="O56" s="880"/>
      <c r="Q56" s="317" t="str">
        <f t="shared" si="0"/>
        <v/>
      </c>
      <c r="R56" s="317" t="str">
        <f t="shared" si="1"/>
        <v/>
      </c>
      <c r="S56" s="317" t="str">
        <f t="shared" si="2"/>
        <v/>
      </c>
      <c r="T56" s="317" t="str">
        <f>'REF. DE PREÇOS n editavel'!S56</f>
        <v/>
      </c>
      <c r="W56" s="577">
        <v>0</v>
      </c>
      <c r="X56" s="575"/>
      <c r="Y56" s="578">
        <f>IF('REF. DE PREÇOS n editavel'!W56=0,0,IF('REF. DE PREÇOS n editavel'!W56&gt;0,"c","b"))</f>
        <v>0</v>
      </c>
    </row>
    <row r="57" spans="1:25" ht="15" customHeight="1">
      <c r="A57" s="634" t="s">
        <v>165</v>
      </c>
      <c r="B57" s="1010" t="str">
        <f>'REF. DE PREÇOS n editavel'!B57</f>
        <v/>
      </c>
      <c r="C57" s="1045" t="str">
        <f>'REF. DE PREÇOS n editavel'!C57</f>
        <v/>
      </c>
      <c r="D57" s="1096">
        <f>'REF. DE PREÇOS n editavel'!D57</f>
        <v>0</v>
      </c>
      <c r="E57" s="882">
        <f>'REF. DE PREÇOS n editavel'!E57</f>
        <v>0</v>
      </c>
      <c r="F57" s="883">
        <f>'REF. DE PREÇOS n editavel'!F57</f>
        <v>0</v>
      </c>
      <c r="G57" s="887">
        <f>'REF. DE PREÇOS n editavel'!G57</f>
        <v>0</v>
      </c>
      <c r="H57" s="876">
        <f>'REF. DE PREÇOS n editavel'!H57</f>
        <v>0</v>
      </c>
      <c r="I57" s="876">
        <f>'REF. DE PREÇOS n editavel'!I57</f>
        <v>0</v>
      </c>
      <c r="J57" s="865">
        <f>'REF. DE PREÇOS n editavel'!J57</f>
        <v>0</v>
      </c>
      <c r="K57" s="878" t="str">
        <f>'REF. DE PREÇOS n editavel'!K57</f>
        <v xml:space="preserve">     </v>
      </c>
      <c r="L57" s="1092"/>
      <c r="M57" s="1095">
        <f t="shared" si="3"/>
        <v>0</v>
      </c>
      <c r="N57" s="579">
        <f t="shared" si="5"/>
        <v>0</v>
      </c>
      <c r="O57" s="880"/>
      <c r="Q57" s="317" t="str">
        <f t="shared" si="0"/>
        <v/>
      </c>
      <c r="R57" s="317" t="str">
        <f t="shared" si="1"/>
        <v/>
      </c>
      <c r="S57" s="317" t="str">
        <f t="shared" si="2"/>
        <v/>
      </c>
      <c r="T57" s="317" t="str">
        <f>'REF. DE PREÇOS n editavel'!S57</f>
        <v/>
      </c>
      <c r="W57" s="577">
        <v>0</v>
      </c>
      <c r="X57" s="575"/>
      <c r="Y57" s="578">
        <f>IF('REF. DE PREÇOS n editavel'!W57=0,0,IF('REF. DE PREÇOS n editavel'!W57&gt;0,"c","b"))</f>
        <v>0</v>
      </c>
    </row>
    <row r="58" spans="1:25" ht="15" customHeight="1">
      <c r="A58" s="634" t="s">
        <v>165</v>
      </c>
      <c r="B58" s="1010" t="str">
        <f>'REF. DE PREÇOS n editavel'!B58</f>
        <v/>
      </c>
      <c r="C58" s="1045" t="str">
        <f>'REF. DE PREÇOS n editavel'!C58</f>
        <v/>
      </c>
      <c r="D58" s="1096">
        <f>'REF. DE PREÇOS n editavel'!D58</f>
        <v>0</v>
      </c>
      <c r="E58" s="882">
        <f>'REF. DE PREÇOS n editavel'!E58</f>
        <v>0</v>
      </c>
      <c r="F58" s="883">
        <f>'REF. DE PREÇOS n editavel'!F58</f>
        <v>0</v>
      </c>
      <c r="G58" s="887">
        <f>'REF. DE PREÇOS n editavel'!G58</f>
        <v>0</v>
      </c>
      <c r="H58" s="876">
        <f>'REF. DE PREÇOS n editavel'!H58</f>
        <v>0</v>
      </c>
      <c r="I58" s="876">
        <f>'REF. DE PREÇOS n editavel'!I58</f>
        <v>0</v>
      </c>
      <c r="J58" s="865">
        <f>'REF. DE PREÇOS n editavel'!J58</f>
        <v>0</v>
      </c>
      <c r="K58" s="878" t="str">
        <f>'REF. DE PREÇOS n editavel'!K58</f>
        <v xml:space="preserve">     </v>
      </c>
      <c r="L58" s="1092"/>
      <c r="M58" s="1095">
        <f t="shared" si="3"/>
        <v>0</v>
      </c>
      <c r="N58" s="579">
        <f t="shared" si="5"/>
        <v>0</v>
      </c>
      <c r="O58" s="880"/>
      <c r="Q58" s="317" t="str">
        <f t="shared" si="0"/>
        <v/>
      </c>
      <c r="R58" s="317" t="str">
        <f t="shared" si="1"/>
        <v/>
      </c>
      <c r="S58" s="317" t="str">
        <f t="shared" si="2"/>
        <v/>
      </c>
      <c r="T58" s="317" t="str">
        <f>'REF. DE PREÇOS n editavel'!S58</f>
        <v/>
      </c>
      <c r="W58" s="577">
        <v>0</v>
      </c>
      <c r="X58" s="575"/>
      <c r="Y58" s="578">
        <f>IF('REF. DE PREÇOS n editavel'!W58=0,0,IF('REF. DE PREÇOS n editavel'!W58&gt;0,"c","b"))</f>
        <v>0</v>
      </c>
    </row>
    <row r="59" spans="1:25" ht="15" customHeight="1">
      <c r="A59" s="634" t="s">
        <v>165</v>
      </c>
      <c r="B59" s="1010" t="str">
        <f>'REF. DE PREÇOS n editavel'!B59</f>
        <v/>
      </c>
      <c r="C59" s="1045" t="str">
        <f>'REF. DE PREÇOS n editavel'!C59</f>
        <v/>
      </c>
      <c r="D59" s="1096">
        <f>'REF. DE PREÇOS n editavel'!D59</f>
        <v>0</v>
      </c>
      <c r="E59" s="882">
        <f>'REF. DE PREÇOS n editavel'!E59</f>
        <v>0</v>
      </c>
      <c r="F59" s="883">
        <f>'REF. DE PREÇOS n editavel'!F59</f>
        <v>0</v>
      </c>
      <c r="G59" s="887">
        <f>'REF. DE PREÇOS n editavel'!G59</f>
        <v>0</v>
      </c>
      <c r="H59" s="876">
        <f>'REF. DE PREÇOS n editavel'!H59</f>
        <v>0</v>
      </c>
      <c r="I59" s="876">
        <f>'REF. DE PREÇOS n editavel'!I59</f>
        <v>0</v>
      </c>
      <c r="J59" s="865">
        <f>'REF. DE PREÇOS n editavel'!J59</f>
        <v>0</v>
      </c>
      <c r="K59" s="878" t="str">
        <f>'REF. DE PREÇOS n editavel'!K59</f>
        <v xml:space="preserve">     </v>
      </c>
      <c r="L59" s="1092"/>
      <c r="M59" s="1095">
        <f t="shared" si="3"/>
        <v>0</v>
      </c>
      <c r="N59" s="579">
        <f t="shared" si="5"/>
        <v>0</v>
      </c>
      <c r="O59" s="880"/>
      <c r="Q59" s="317" t="str">
        <f t="shared" si="0"/>
        <v/>
      </c>
      <c r="R59" s="317" t="str">
        <f t="shared" si="1"/>
        <v/>
      </c>
      <c r="S59" s="317" t="str">
        <f t="shared" si="2"/>
        <v/>
      </c>
      <c r="T59" s="317" t="str">
        <f>'REF. DE PREÇOS n editavel'!S59</f>
        <v/>
      </c>
      <c r="W59" s="577">
        <v>0</v>
      </c>
      <c r="X59" s="575"/>
      <c r="Y59" s="578">
        <f>IF('REF. DE PREÇOS n editavel'!W59=0,0,IF('REF. DE PREÇOS n editavel'!W59&gt;0,"c","b"))</f>
        <v>0</v>
      </c>
    </row>
    <row r="60" spans="1:25" ht="15" customHeight="1">
      <c r="A60" s="634" t="s">
        <v>165</v>
      </c>
      <c r="B60" s="1010" t="str">
        <f>'REF. DE PREÇOS n editavel'!B60</f>
        <v/>
      </c>
      <c r="C60" s="1045" t="str">
        <f>'REF. DE PREÇOS n editavel'!C60</f>
        <v/>
      </c>
      <c r="D60" s="1096">
        <f>'REF. DE PREÇOS n editavel'!D60</f>
        <v>0</v>
      </c>
      <c r="E60" s="882">
        <f>'REF. DE PREÇOS n editavel'!E60</f>
        <v>0</v>
      </c>
      <c r="F60" s="883">
        <f>'REF. DE PREÇOS n editavel'!F60</f>
        <v>0</v>
      </c>
      <c r="G60" s="887">
        <f>'REF. DE PREÇOS n editavel'!G60</f>
        <v>0</v>
      </c>
      <c r="H60" s="876">
        <f>'REF. DE PREÇOS n editavel'!H60</f>
        <v>0</v>
      </c>
      <c r="I60" s="876">
        <f>'REF. DE PREÇOS n editavel'!I60</f>
        <v>0</v>
      </c>
      <c r="J60" s="865">
        <f>'REF. DE PREÇOS n editavel'!J60</f>
        <v>0</v>
      </c>
      <c r="K60" s="878" t="str">
        <f>'REF. DE PREÇOS n editavel'!K60</f>
        <v xml:space="preserve">     </v>
      </c>
      <c r="L60" s="1092"/>
      <c r="M60" s="1095">
        <f t="shared" si="3"/>
        <v>0</v>
      </c>
      <c r="N60" s="579">
        <f t="shared" si="5"/>
        <v>0</v>
      </c>
      <c r="O60" s="880"/>
      <c r="Q60" s="317" t="str">
        <f t="shared" si="0"/>
        <v/>
      </c>
      <c r="R60" s="317" t="str">
        <f t="shared" si="1"/>
        <v/>
      </c>
      <c r="S60" s="317" t="str">
        <f t="shared" si="2"/>
        <v/>
      </c>
      <c r="T60" s="317" t="str">
        <f>'REF. DE PREÇOS n editavel'!S60</f>
        <v/>
      </c>
      <c r="W60" s="577">
        <v>0</v>
      </c>
      <c r="X60" s="575"/>
      <c r="Y60" s="578">
        <f>IF('REF. DE PREÇOS n editavel'!W60=0,0,IF('REF. DE PREÇOS n editavel'!W60&gt;0,"c","b"))</f>
        <v>0</v>
      </c>
    </row>
    <row r="61" spans="1:25" ht="15" customHeight="1">
      <c r="A61" s="634" t="s">
        <v>165</v>
      </c>
      <c r="B61" s="1010" t="str">
        <f>'REF. DE PREÇOS n editavel'!B61</f>
        <v/>
      </c>
      <c r="C61" s="1045" t="str">
        <f>'REF. DE PREÇOS n editavel'!C61</f>
        <v/>
      </c>
      <c r="D61" s="1096">
        <f>'REF. DE PREÇOS n editavel'!D61</f>
        <v>0</v>
      </c>
      <c r="E61" s="882">
        <f>'REF. DE PREÇOS n editavel'!E61</f>
        <v>0</v>
      </c>
      <c r="F61" s="883">
        <f>'REF. DE PREÇOS n editavel'!F61</f>
        <v>0</v>
      </c>
      <c r="G61" s="887">
        <f>'REF. DE PREÇOS n editavel'!G61</f>
        <v>0</v>
      </c>
      <c r="H61" s="876">
        <f>'REF. DE PREÇOS n editavel'!H61</f>
        <v>0</v>
      </c>
      <c r="I61" s="876">
        <f>'REF. DE PREÇOS n editavel'!I61</f>
        <v>0</v>
      </c>
      <c r="J61" s="865">
        <f>'REF. DE PREÇOS n editavel'!J61</f>
        <v>0</v>
      </c>
      <c r="K61" s="878" t="str">
        <f>'REF. DE PREÇOS n editavel'!K61</f>
        <v xml:space="preserve">     </v>
      </c>
      <c r="L61" s="1092"/>
      <c r="M61" s="1095">
        <f t="shared" si="3"/>
        <v>0</v>
      </c>
      <c r="N61" s="579">
        <f t="shared" si="5"/>
        <v>0</v>
      </c>
      <c r="O61" s="880"/>
      <c r="Q61" s="317" t="str">
        <f t="shared" si="0"/>
        <v/>
      </c>
      <c r="R61" s="317" t="str">
        <f t="shared" si="1"/>
        <v/>
      </c>
      <c r="S61" s="317" t="str">
        <f t="shared" si="2"/>
        <v/>
      </c>
      <c r="T61" s="317" t="str">
        <f>'REF. DE PREÇOS n editavel'!S61</f>
        <v/>
      </c>
      <c r="W61" s="577">
        <v>0</v>
      </c>
      <c r="X61" s="575"/>
      <c r="Y61" s="578">
        <f>IF('REF. DE PREÇOS n editavel'!W61=0,0,IF('REF. DE PREÇOS n editavel'!W61&gt;0,"c","b"))</f>
        <v>0</v>
      </c>
    </row>
    <row r="62" spans="1:25" ht="15" customHeight="1">
      <c r="A62" s="634" t="s">
        <v>165</v>
      </c>
      <c r="B62" s="1010" t="str">
        <f>'REF. DE PREÇOS n editavel'!B62</f>
        <v/>
      </c>
      <c r="C62" s="1045" t="str">
        <f>'REF. DE PREÇOS n editavel'!C62</f>
        <v/>
      </c>
      <c r="D62" s="1096">
        <f>'REF. DE PREÇOS n editavel'!D62</f>
        <v>0</v>
      </c>
      <c r="E62" s="882">
        <f>'REF. DE PREÇOS n editavel'!E62</f>
        <v>0</v>
      </c>
      <c r="F62" s="883">
        <f>'REF. DE PREÇOS n editavel'!F62</f>
        <v>0</v>
      </c>
      <c r="G62" s="887">
        <f>'REF. DE PREÇOS n editavel'!G62</f>
        <v>0</v>
      </c>
      <c r="H62" s="876">
        <f>'REF. DE PREÇOS n editavel'!H62</f>
        <v>0</v>
      </c>
      <c r="I62" s="876">
        <f>'REF. DE PREÇOS n editavel'!I62</f>
        <v>0</v>
      </c>
      <c r="J62" s="865">
        <f>'REF. DE PREÇOS n editavel'!J62</f>
        <v>0</v>
      </c>
      <c r="K62" s="878" t="str">
        <f>'REF. DE PREÇOS n editavel'!K62</f>
        <v xml:space="preserve">     </v>
      </c>
      <c r="L62" s="1092"/>
      <c r="M62" s="1095">
        <f t="shared" si="3"/>
        <v>0</v>
      </c>
      <c r="N62" s="579">
        <f t="shared" si="5"/>
        <v>0</v>
      </c>
      <c r="O62" s="880"/>
      <c r="Q62" s="317" t="str">
        <f t="shared" si="0"/>
        <v/>
      </c>
      <c r="R62" s="317" t="str">
        <f t="shared" si="1"/>
        <v/>
      </c>
      <c r="S62" s="317" t="str">
        <f t="shared" si="2"/>
        <v/>
      </c>
      <c r="T62" s="317" t="str">
        <f>'REF. DE PREÇOS n editavel'!S62</f>
        <v/>
      </c>
      <c r="W62" s="577">
        <v>0</v>
      </c>
      <c r="X62" s="575"/>
      <c r="Y62" s="578">
        <f>IF('REF. DE PREÇOS n editavel'!W62=0,0,IF('REF. DE PREÇOS n editavel'!W62&gt;0,"c","b"))</f>
        <v>0</v>
      </c>
    </row>
    <row r="63" spans="1:25" ht="15" customHeight="1">
      <c r="A63" s="634" t="s">
        <v>165</v>
      </c>
      <c r="B63" s="1010" t="str">
        <f>'REF. DE PREÇOS n editavel'!B63</f>
        <v/>
      </c>
      <c r="C63" s="1045" t="str">
        <f>'REF. DE PREÇOS n editavel'!C63</f>
        <v/>
      </c>
      <c r="D63" s="1096">
        <f>'REF. DE PREÇOS n editavel'!D63</f>
        <v>0</v>
      </c>
      <c r="E63" s="882">
        <f>'REF. DE PREÇOS n editavel'!E63</f>
        <v>0</v>
      </c>
      <c r="F63" s="883">
        <f>'REF. DE PREÇOS n editavel'!F63</f>
        <v>0</v>
      </c>
      <c r="G63" s="887">
        <f>'REF. DE PREÇOS n editavel'!G63</f>
        <v>0</v>
      </c>
      <c r="H63" s="876">
        <f>'REF. DE PREÇOS n editavel'!H63</f>
        <v>0</v>
      </c>
      <c r="I63" s="876">
        <f>'REF. DE PREÇOS n editavel'!I63</f>
        <v>0</v>
      </c>
      <c r="J63" s="865">
        <f>'REF. DE PREÇOS n editavel'!J63</f>
        <v>0</v>
      </c>
      <c r="K63" s="878" t="str">
        <f>'REF. DE PREÇOS n editavel'!K63</f>
        <v xml:space="preserve">     </v>
      </c>
      <c r="L63" s="1092"/>
      <c r="M63" s="1095">
        <f t="shared" si="3"/>
        <v>0</v>
      </c>
      <c r="N63" s="579">
        <f t="shared" si="5"/>
        <v>0</v>
      </c>
      <c r="O63" s="880"/>
      <c r="Q63" s="317" t="str">
        <f t="shared" si="0"/>
        <v/>
      </c>
      <c r="R63" s="317" t="str">
        <f t="shared" si="1"/>
        <v/>
      </c>
      <c r="S63" s="317" t="str">
        <f t="shared" si="2"/>
        <v/>
      </c>
      <c r="T63" s="317" t="str">
        <f>'REF. DE PREÇOS n editavel'!S63</f>
        <v/>
      </c>
      <c r="W63" s="577">
        <v>0</v>
      </c>
      <c r="X63" s="575"/>
      <c r="Y63" s="578">
        <f>IF('REF. DE PREÇOS n editavel'!W63=0,0,IF('REF. DE PREÇOS n editavel'!W63&gt;0,"c","b"))</f>
        <v>0</v>
      </c>
    </row>
    <row r="64" spans="1:25" ht="15" customHeight="1">
      <c r="A64" s="634" t="s">
        <v>165</v>
      </c>
      <c r="B64" s="1010" t="str">
        <f>'REF. DE PREÇOS n editavel'!B64</f>
        <v/>
      </c>
      <c r="C64" s="1045" t="str">
        <f>'REF. DE PREÇOS n editavel'!C64</f>
        <v/>
      </c>
      <c r="D64" s="1096">
        <f>'REF. DE PREÇOS n editavel'!D64</f>
        <v>0</v>
      </c>
      <c r="E64" s="882">
        <f>'REF. DE PREÇOS n editavel'!E64</f>
        <v>0</v>
      </c>
      <c r="F64" s="883">
        <f>'REF. DE PREÇOS n editavel'!F64</f>
        <v>0</v>
      </c>
      <c r="G64" s="887">
        <f>'REF. DE PREÇOS n editavel'!G64</f>
        <v>0</v>
      </c>
      <c r="H64" s="876">
        <f>'REF. DE PREÇOS n editavel'!H64</f>
        <v>0</v>
      </c>
      <c r="I64" s="876">
        <f>'REF. DE PREÇOS n editavel'!I64</f>
        <v>0</v>
      </c>
      <c r="J64" s="865">
        <f>'REF. DE PREÇOS n editavel'!J64</f>
        <v>0</v>
      </c>
      <c r="K64" s="878" t="str">
        <f>'REF. DE PREÇOS n editavel'!K64</f>
        <v xml:space="preserve">     </v>
      </c>
      <c r="L64" s="1092"/>
      <c r="M64" s="1095">
        <f t="shared" si="3"/>
        <v>0</v>
      </c>
      <c r="N64" s="579">
        <f t="shared" si="5"/>
        <v>0</v>
      </c>
      <c r="O64" s="880"/>
      <c r="Q64" s="317" t="str">
        <f t="shared" si="0"/>
        <v/>
      </c>
      <c r="R64" s="317" t="str">
        <f t="shared" si="1"/>
        <v/>
      </c>
      <c r="S64" s="317" t="str">
        <f t="shared" si="2"/>
        <v/>
      </c>
      <c r="T64" s="317" t="str">
        <f>'REF. DE PREÇOS n editavel'!S64</f>
        <v/>
      </c>
      <c r="W64" s="577">
        <v>0</v>
      </c>
      <c r="X64" s="575"/>
      <c r="Y64" s="578">
        <f>IF('REF. DE PREÇOS n editavel'!W64=0,0,IF('REF. DE PREÇOS n editavel'!W64&gt;0,"c","b"))</f>
        <v>0</v>
      </c>
    </row>
    <row r="65" spans="1:25" ht="15" customHeight="1">
      <c r="A65" s="634" t="s">
        <v>165</v>
      </c>
      <c r="B65" s="1010" t="str">
        <f>'REF. DE PREÇOS n editavel'!B65</f>
        <v/>
      </c>
      <c r="C65" s="1045" t="str">
        <f>'REF. DE PREÇOS n editavel'!C65</f>
        <v/>
      </c>
      <c r="D65" s="1096">
        <f>'REF. DE PREÇOS n editavel'!D65</f>
        <v>0</v>
      </c>
      <c r="E65" s="882">
        <f>'REF. DE PREÇOS n editavel'!E65</f>
        <v>0</v>
      </c>
      <c r="F65" s="883">
        <f>'REF. DE PREÇOS n editavel'!F65</f>
        <v>0</v>
      </c>
      <c r="G65" s="887">
        <f>'REF. DE PREÇOS n editavel'!G65</f>
        <v>0</v>
      </c>
      <c r="H65" s="876">
        <f>'REF. DE PREÇOS n editavel'!H65</f>
        <v>0</v>
      </c>
      <c r="I65" s="876">
        <f>'REF. DE PREÇOS n editavel'!I65</f>
        <v>0</v>
      </c>
      <c r="J65" s="865">
        <f>'REF. DE PREÇOS n editavel'!J65</f>
        <v>0</v>
      </c>
      <c r="K65" s="878" t="str">
        <f>'REF. DE PREÇOS n editavel'!K65</f>
        <v xml:space="preserve">     </v>
      </c>
      <c r="L65" s="1092"/>
      <c r="M65" s="1095">
        <f t="shared" si="3"/>
        <v>0</v>
      </c>
      <c r="N65" s="579">
        <f t="shared" si="5"/>
        <v>0</v>
      </c>
      <c r="O65" s="880"/>
      <c r="Q65" s="317" t="str">
        <f t="shared" si="0"/>
        <v/>
      </c>
      <c r="R65" s="317" t="str">
        <f t="shared" si="1"/>
        <v/>
      </c>
      <c r="S65" s="317" t="str">
        <f t="shared" si="2"/>
        <v/>
      </c>
      <c r="T65" s="317" t="str">
        <f>'REF. DE PREÇOS n editavel'!S65</f>
        <v/>
      </c>
      <c r="W65" s="577">
        <v>0</v>
      </c>
      <c r="X65" s="575"/>
      <c r="Y65" s="578">
        <f>IF('REF. DE PREÇOS n editavel'!W65=0,0,IF('REF. DE PREÇOS n editavel'!W65&gt;0,"c","b"))</f>
        <v>0</v>
      </c>
    </row>
    <row r="66" spans="1:25" ht="15" customHeight="1">
      <c r="A66" s="634" t="s">
        <v>165</v>
      </c>
      <c r="B66" s="1010" t="str">
        <f>'REF. DE PREÇOS n editavel'!B66</f>
        <v/>
      </c>
      <c r="C66" s="1045" t="str">
        <f>'REF. DE PREÇOS n editavel'!C66</f>
        <v/>
      </c>
      <c r="D66" s="1096">
        <f>'REF. DE PREÇOS n editavel'!D66</f>
        <v>0</v>
      </c>
      <c r="E66" s="882">
        <f>'REF. DE PREÇOS n editavel'!E66</f>
        <v>0</v>
      </c>
      <c r="F66" s="883">
        <f>'REF. DE PREÇOS n editavel'!F66</f>
        <v>0</v>
      </c>
      <c r="G66" s="887">
        <f>'REF. DE PREÇOS n editavel'!G66</f>
        <v>0</v>
      </c>
      <c r="H66" s="876">
        <f>'REF. DE PREÇOS n editavel'!H66</f>
        <v>0</v>
      </c>
      <c r="I66" s="876">
        <f>'REF. DE PREÇOS n editavel'!I66</f>
        <v>0</v>
      </c>
      <c r="J66" s="865">
        <f>'REF. DE PREÇOS n editavel'!J66</f>
        <v>0</v>
      </c>
      <c r="K66" s="878" t="str">
        <f>'REF. DE PREÇOS n editavel'!K66</f>
        <v xml:space="preserve">     </v>
      </c>
      <c r="L66" s="1092"/>
      <c r="M66" s="1095">
        <f t="shared" si="3"/>
        <v>0</v>
      </c>
      <c r="N66" s="579">
        <f t="shared" si="5"/>
        <v>0</v>
      </c>
      <c r="O66" s="880"/>
      <c r="Q66" s="317" t="str">
        <f t="shared" si="0"/>
        <v/>
      </c>
      <c r="R66" s="317" t="str">
        <f t="shared" si="1"/>
        <v/>
      </c>
      <c r="S66" s="317" t="str">
        <f t="shared" si="2"/>
        <v/>
      </c>
      <c r="T66" s="317" t="str">
        <f>'REF. DE PREÇOS n editavel'!S66</f>
        <v/>
      </c>
      <c r="W66" s="577">
        <v>0</v>
      </c>
      <c r="X66" s="575"/>
      <c r="Y66" s="578">
        <f>IF('REF. DE PREÇOS n editavel'!W66=0,0,IF('REF. DE PREÇOS n editavel'!W66&gt;0,"c","b"))</f>
        <v>0</v>
      </c>
    </row>
    <row r="67" spans="1:25" ht="15" customHeight="1">
      <c r="A67" s="634" t="s">
        <v>165</v>
      </c>
      <c r="B67" s="1010" t="str">
        <f>'REF. DE PREÇOS n editavel'!B67</f>
        <v/>
      </c>
      <c r="C67" s="1045" t="str">
        <f>'REF. DE PREÇOS n editavel'!C67</f>
        <v/>
      </c>
      <c r="D67" s="1096">
        <f>'REF. DE PREÇOS n editavel'!D67</f>
        <v>0</v>
      </c>
      <c r="E67" s="882">
        <f>'REF. DE PREÇOS n editavel'!E67</f>
        <v>0</v>
      </c>
      <c r="F67" s="883">
        <f>'REF. DE PREÇOS n editavel'!F67</f>
        <v>0</v>
      </c>
      <c r="G67" s="887">
        <f>'REF. DE PREÇOS n editavel'!G67</f>
        <v>0</v>
      </c>
      <c r="H67" s="876">
        <f>'REF. DE PREÇOS n editavel'!H67</f>
        <v>0</v>
      </c>
      <c r="I67" s="876">
        <f>'REF. DE PREÇOS n editavel'!I67</f>
        <v>0</v>
      </c>
      <c r="J67" s="865">
        <f>'REF. DE PREÇOS n editavel'!J67</f>
        <v>0</v>
      </c>
      <c r="K67" s="878" t="str">
        <f>'REF. DE PREÇOS n editavel'!K67</f>
        <v xml:space="preserve">     </v>
      </c>
      <c r="L67" s="1092"/>
      <c r="M67" s="1095">
        <f t="shared" si="3"/>
        <v>0</v>
      </c>
      <c r="N67" s="579">
        <f t="shared" si="5"/>
        <v>0</v>
      </c>
      <c r="O67" s="880"/>
      <c r="Q67" s="317" t="str">
        <f t="shared" si="0"/>
        <v/>
      </c>
      <c r="R67" s="317" t="str">
        <f t="shared" si="1"/>
        <v/>
      </c>
      <c r="S67" s="317" t="str">
        <f t="shared" si="2"/>
        <v/>
      </c>
      <c r="T67" s="317" t="str">
        <f>'REF. DE PREÇOS n editavel'!S67</f>
        <v/>
      </c>
      <c r="W67" s="577">
        <v>0</v>
      </c>
      <c r="X67" s="575"/>
      <c r="Y67" s="578">
        <f>IF('REF. DE PREÇOS n editavel'!W67=0,0,IF('REF. DE PREÇOS n editavel'!W67&gt;0,"c","b"))</f>
        <v>0</v>
      </c>
    </row>
    <row r="68" spans="1:25" ht="15" customHeight="1" thickBot="1">
      <c r="A68" s="634" t="s">
        <v>165</v>
      </c>
      <c r="B68" s="1097" t="str">
        <f>'REF. DE PREÇOS n editavel'!B68</f>
        <v/>
      </c>
      <c r="C68" s="1098" t="str">
        <f>'REF. DE PREÇOS n editavel'!C68</f>
        <v/>
      </c>
      <c r="D68" s="1099">
        <f>'REF. DE PREÇOS n editavel'!D68</f>
        <v>0</v>
      </c>
      <c r="E68" s="882">
        <f>'REF. DE PREÇOS n editavel'!E68</f>
        <v>0</v>
      </c>
      <c r="F68" s="883">
        <f>'REF. DE PREÇOS n editavel'!F68</f>
        <v>0</v>
      </c>
      <c r="G68" s="942">
        <f>'REF. DE PREÇOS n editavel'!G68</f>
        <v>0</v>
      </c>
      <c r="H68" s="914">
        <f>'REF. DE PREÇOS n editavel'!H68</f>
        <v>0</v>
      </c>
      <c r="I68" s="914">
        <f>'REF. DE PREÇOS n editavel'!I68</f>
        <v>0</v>
      </c>
      <c r="J68" s="915">
        <f>'REF. DE PREÇOS n editavel'!J68</f>
        <v>0</v>
      </c>
      <c r="K68" s="944" t="str">
        <f>'REF. DE PREÇOS n editavel'!K68</f>
        <v xml:space="preserve">     </v>
      </c>
      <c r="L68" s="1100"/>
      <c r="M68" s="1101">
        <f t="shared" si="3"/>
        <v>0</v>
      </c>
      <c r="N68" s="579">
        <f t="shared" si="5"/>
        <v>0</v>
      </c>
      <c r="O68" s="880"/>
      <c r="Q68" s="317" t="str">
        <f t="shared" si="0"/>
        <v/>
      </c>
      <c r="R68" s="317" t="str">
        <f t="shared" si="1"/>
        <v/>
      </c>
      <c r="S68" s="317" t="str">
        <f t="shared" si="2"/>
        <v/>
      </c>
      <c r="T68" s="317" t="str">
        <f>'REF. DE PREÇOS n editavel'!S68</f>
        <v/>
      </c>
      <c r="W68" s="577">
        <v>0</v>
      </c>
      <c r="X68" s="575"/>
      <c r="Y68" s="578">
        <f>IF('REF. DE PREÇOS n editavel'!W68=0,0,IF('REF. DE PREÇOS n editavel'!W68&gt;0,"c","b"))</f>
        <v>0</v>
      </c>
    </row>
    <row r="69" spans="1:25" ht="15" customHeight="1" thickBot="1">
      <c r="A69" s="317" t="s">
        <v>167</v>
      </c>
      <c r="B69" s="1102" t="s">
        <v>167</v>
      </c>
      <c r="C69" s="848"/>
      <c r="D69" s="926" t="s">
        <v>428</v>
      </c>
      <c r="E69" s="917"/>
      <c r="F69" s="1103">
        <f>'REF. DE PREÇOS n editavel'!F69</f>
        <v>0</v>
      </c>
      <c r="G69" s="918">
        <f>'REF. DE PREÇOS n editavel'!G69</f>
        <v>0</v>
      </c>
      <c r="H69" s="919">
        <f>'REF. DE PREÇOS n editavel'!H69</f>
        <v>0</v>
      </c>
      <c r="I69" s="919">
        <f>'REF. DE PREÇOS n editavel'!I69</f>
        <v>0</v>
      </c>
      <c r="J69" s="919">
        <f>'REF. DE PREÇOS n editavel'!J69</f>
        <v>0</v>
      </c>
      <c r="K69" s="853" t="s">
        <v>506</v>
      </c>
      <c r="L69" s="854"/>
      <c r="M69" s="1104">
        <f t="shared" si="3"/>
        <v>0</v>
      </c>
      <c r="N69" s="856">
        <f t="shared" si="5"/>
        <v>0</v>
      </c>
      <c r="O69" s="857">
        <f>SUM(N70:N116)</f>
        <v>516870.58</v>
      </c>
      <c r="P69" s="58" t="str">
        <f>IF(OR(O69&gt;0,O69&gt;0),"X","")</f>
        <v>X</v>
      </c>
      <c r="Q69" s="317" t="str">
        <f t="shared" si="0"/>
        <v>x</v>
      </c>
      <c r="R69" s="317" t="str">
        <f t="shared" si="1"/>
        <v>x</v>
      </c>
      <c r="S69" s="317" t="str">
        <f t="shared" si="2"/>
        <v>x</v>
      </c>
      <c r="T69" s="317" t="str">
        <f>'REF. DE PREÇOS n editavel'!S69</f>
        <v>x</v>
      </c>
      <c r="W69" s="577">
        <v>0</v>
      </c>
      <c r="X69" s="575"/>
      <c r="Y69" s="578">
        <f>IF('REF. DE PREÇOS n editavel'!W69=0,0,IF('REF. DE PREÇOS n editavel'!W69&gt;0,"c","b"))</f>
        <v>0</v>
      </c>
    </row>
    <row r="70" spans="1:25" ht="15" customHeight="1">
      <c r="A70" s="317">
        <v>400500</v>
      </c>
      <c r="B70" s="870" t="s">
        <v>1512</v>
      </c>
      <c r="C70" s="859" t="s">
        <v>184</v>
      </c>
      <c r="D70" s="920" t="s">
        <v>176</v>
      </c>
      <c r="E70" s="1005">
        <f>'REF. DE PREÇOS n editavel'!E70</f>
        <v>290</v>
      </c>
      <c r="F70" s="921">
        <f>'REF. DE PREÇOS n editavel'!F70</f>
        <v>1.73</v>
      </c>
      <c r="G70" s="922">
        <f>'REF. DE PREÇOS n editavel'!G70</f>
        <v>541.45540000000005</v>
      </c>
      <c r="H70" s="864">
        <f>'REF. DE PREÇOS n editavel'!H70</f>
        <v>83.83</v>
      </c>
      <c r="I70" s="864">
        <f>'REF. DE PREÇOS n editavel'!I70</f>
        <v>625.2854000000001</v>
      </c>
      <c r="J70" s="865">
        <f>'REF. DE PREÇOS n editavel'!J70</f>
        <v>764.22</v>
      </c>
      <c r="K70" s="866" t="s">
        <v>10</v>
      </c>
      <c r="L70" s="1092"/>
      <c r="M70" s="1093">
        <f t="shared" si="3"/>
        <v>0</v>
      </c>
      <c r="N70" s="907">
        <f t="shared" si="5"/>
        <v>0</v>
      </c>
      <c r="O70" s="880"/>
      <c r="Q70" s="317" t="str">
        <f t="shared" si="0"/>
        <v/>
      </c>
      <c r="R70" s="317" t="str">
        <f t="shared" si="1"/>
        <v/>
      </c>
      <c r="S70" s="317" t="str">
        <f t="shared" si="2"/>
        <v/>
      </c>
      <c r="T70" s="317" t="str">
        <f>'REF. DE PREÇOS n editavel'!S70</f>
        <v/>
      </c>
      <c r="W70" s="577">
        <v>0</v>
      </c>
      <c r="X70" s="575"/>
      <c r="Y70" s="578">
        <f>IF('REF. DE PREÇOS n editavel'!W70=0,0,IF('REF. DE PREÇOS n editavel'!W70&gt;0,"c","b"))</f>
        <v>0</v>
      </c>
    </row>
    <row r="71" spans="1:25" ht="15" customHeight="1">
      <c r="A71" s="317">
        <v>401200</v>
      </c>
      <c r="B71" s="870">
        <v>401200</v>
      </c>
      <c r="C71" s="871" t="s">
        <v>184</v>
      </c>
      <c r="D71" s="881" t="s">
        <v>173</v>
      </c>
      <c r="E71" s="882">
        <f>'REF. DE PREÇOS n editavel'!E71</f>
        <v>0</v>
      </c>
      <c r="F71" s="883">
        <f>'REF. DE PREÇOS n editavel'!F71</f>
        <v>0</v>
      </c>
      <c r="G71" s="884">
        <f>'REF. DE PREÇOS n editavel'!G71</f>
        <v>0</v>
      </c>
      <c r="H71" s="864">
        <f>'REF. DE PREÇOS n editavel'!H71</f>
        <v>1.55</v>
      </c>
      <c r="I71" s="876">
        <f>'REF. DE PREÇOS n editavel'!I71</f>
        <v>1.55</v>
      </c>
      <c r="J71" s="877">
        <f>'REF. DE PREÇOS n editavel'!J71</f>
        <v>1.89</v>
      </c>
      <c r="K71" s="878" t="s">
        <v>10</v>
      </c>
      <c r="L71" s="1092"/>
      <c r="M71" s="1093">
        <f t="shared" si="3"/>
        <v>0</v>
      </c>
      <c r="N71" s="868">
        <f t="shared" si="5"/>
        <v>0</v>
      </c>
      <c r="O71" s="880"/>
      <c r="Q71" s="317" t="str">
        <f t="shared" si="0"/>
        <v/>
      </c>
      <c r="R71" s="317" t="str">
        <f t="shared" si="1"/>
        <v/>
      </c>
      <c r="S71" s="317" t="str">
        <f t="shared" si="2"/>
        <v/>
      </c>
      <c r="T71" s="317" t="str">
        <f>'REF. DE PREÇOS n editavel'!S71</f>
        <v/>
      </c>
      <c r="W71" s="577">
        <v>0</v>
      </c>
      <c r="X71" s="575"/>
      <c r="Y71" s="578">
        <f>IF('REF. DE PREÇOS n editavel'!W71=0,0,IF('REF. DE PREÇOS n editavel'!W71&gt;0,"c","b"))</f>
        <v>0</v>
      </c>
    </row>
    <row r="72" spans="1:25" ht="15" customHeight="1">
      <c r="A72" s="317">
        <v>401000</v>
      </c>
      <c r="B72" s="870">
        <v>401000</v>
      </c>
      <c r="C72" s="871" t="s">
        <v>184</v>
      </c>
      <c r="D72" s="881" t="s">
        <v>175</v>
      </c>
      <c r="E72" s="882">
        <f>'REF. DE PREÇOS n editavel'!E72</f>
        <v>0</v>
      </c>
      <c r="F72" s="883">
        <f>'REF. DE PREÇOS n editavel'!F72</f>
        <v>0</v>
      </c>
      <c r="G72" s="884">
        <f>'REF. DE PREÇOS n editavel'!G72</f>
        <v>0</v>
      </c>
      <c r="H72" s="864">
        <f>'REF. DE PREÇOS n editavel'!H72</f>
        <v>6.67</v>
      </c>
      <c r="I72" s="876">
        <f>'REF. DE PREÇOS n editavel'!I72</f>
        <v>6.67</v>
      </c>
      <c r="J72" s="877">
        <f>'REF. DE PREÇOS n editavel'!J72</f>
        <v>8.15</v>
      </c>
      <c r="K72" s="878" t="s">
        <v>10</v>
      </c>
      <c r="L72" s="1092"/>
      <c r="M72" s="1093">
        <f t="shared" si="3"/>
        <v>0</v>
      </c>
      <c r="N72" s="868">
        <f t="shared" si="5"/>
        <v>0</v>
      </c>
      <c r="O72" s="880"/>
      <c r="Q72" s="317" t="str">
        <f t="shared" si="0"/>
        <v/>
      </c>
      <c r="R72" s="317" t="str">
        <f t="shared" si="1"/>
        <v/>
      </c>
      <c r="S72" s="317" t="str">
        <f t="shared" si="2"/>
        <v/>
      </c>
      <c r="T72" s="317" t="str">
        <f>'REF. DE PREÇOS n editavel'!S72</f>
        <v/>
      </c>
      <c r="W72" s="577">
        <v>0</v>
      </c>
      <c r="X72" s="575"/>
      <c r="Y72" s="578">
        <f>IF('REF. DE PREÇOS n editavel'!W72=0,0,IF('REF. DE PREÇOS n editavel'!W72&gt;0,"c","b"))</f>
        <v>0</v>
      </c>
    </row>
    <row r="73" spans="1:25" ht="15" customHeight="1">
      <c r="A73" s="317">
        <v>401950</v>
      </c>
      <c r="B73" s="870">
        <v>401950</v>
      </c>
      <c r="C73" s="871" t="s">
        <v>184</v>
      </c>
      <c r="D73" s="881" t="s">
        <v>174</v>
      </c>
      <c r="E73" s="882">
        <f>'REF. DE PREÇOS n editavel'!E73</f>
        <v>0</v>
      </c>
      <c r="F73" s="883">
        <f>'REF. DE PREÇOS n editavel'!F73</f>
        <v>0</v>
      </c>
      <c r="G73" s="884">
        <f>'REF. DE PREÇOS n editavel'!G73</f>
        <v>0</v>
      </c>
      <c r="H73" s="864">
        <f>'REF. DE PREÇOS n editavel'!H73</f>
        <v>5.54</v>
      </c>
      <c r="I73" s="876">
        <f>'REF. DE PREÇOS n editavel'!I73</f>
        <v>5.54</v>
      </c>
      <c r="J73" s="877">
        <f>'REF. DE PREÇOS n editavel'!J73</f>
        <v>6.77</v>
      </c>
      <c r="K73" s="878" t="s">
        <v>10</v>
      </c>
      <c r="L73" s="1092"/>
      <c r="M73" s="1093">
        <f t="shared" si="3"/>
        <v>0</v>
      </c>
      <c r="N73" s="868">
        <f t="shared" si="5"/>
        <v>0</v>
      </c>
      <c r="O73" s="880"/>
      <c r="Q73" s="317" t="str">
        <f t="shared" si="0"/>
        <v/>
      </c>
      <c r="R73" s="317" t="str">
        <f t="shared" si="1"/>
        <v/>
      </c>
      <c r="S73" s="317" t="str">
        <f t="shared" si="2"/>
        <v/>
      </c>
      <c r="T73" s="317" t="str">
        <f>'REF. DE PREÇOS n editavel'!S73</f>
        <v/>
      </c>
      <c r="W73" s="577">
        <v>0</v>
      </c>
      <c r="X73" s="575"/>
      <c r="Y73" s="578">
        <f>IF('REF. DE PREÇOS n editavel'!W73=0,0,IF('REF. DE PREÇOS n editavel'!W73&gt;0,"c","b"))</f>
        <v>0</v>
      </c>
    </row>
    <row r="74" spans="1:25" ht="15" customHeight="1">
      <c r="A74" s="317">
        <v>400000</v>
      </c>
      <c r="B74" s="870">
        <v>400000</v>
      </c>
      <c r="C74" s="871" t="s">
        <v>184</v>
      </c>
      <c r="D74" s="881" t="s">
        <v>169</v>
      </c>
      <c r="E74" s="882">
        <f>'REF. DE PREÇOS n editavel'!E74</f>
        <v>0</v>
      </c>
      <c r="F74" s="883">
        <f>'REF. DE PREÇOS n editavel'!F74</f>
        <v>0</v>
      </c>
      <c r="G74" s="884">
        <f>'REF. DE PREÇOS n editavel'!G74</f>
        <v>0</v>
      </c>
      <c r="H74" s="864">
        <f>'REF. DE PREÇOS n editavel'!H74</f>
        <v>1.1400000000000001</v>
      </c>
      <c r="I74" s="876">
        <f>'REF. DE PREÇOS n editavel'!I74</f>
        <v>1.1400000000000001</v>
      </c>
      <c r="J74" s="877">
        <f>'REF. DE PREÇOS n editavel'!J74</f>
        <v>1.39</v>
      </c>
      <c r="K74" s="878" t="s">
        <v>12</v>
      </c>
      <c r="L74" s="1092"/>
      <c r="M74" s="1093">
        <f t="shared" si="3"/>
        <v>0</v>
      </c>
      <c r="N74" s="868">
        <f t="shared" si="5"/>
        <v>0</v>
      </c>
      <c r="O74" s="880"/>
      <c r="P74" s="58"/>
      <c r="Q74" s="317" t="str">
        <f t="shared" si="0"/>
        <v/>
      </c>
      <c r="R74" s="317" t="str">
        <f t="shared" si="1"/>
        <v/>
      </c>
      <c r="S74" s="317" t="str">
        <f t="shared" si="2"/>
        <v/>
      </c>
      <c r="T74" s="317" t="str">
        <f>'REF. DE PREÇOS n editavel'!S74</f>
        <v/>
      </c>
      <c r="W74" s="577">
        <v>0</v>
      </c>
      <c r="X74" s="575"/>
      <c r="Y74" s="578">
        <f>IF('REF. DE PREÇOS n editavel'!W74=0,0,IF('REF. DE PREÇOS n editavel'!W74&gt;0,"c","b"))</f>
        <v>0</v>
      </c>
    </row>
    <row r="75" spans="1:25" ht="15" customHeight="1">
      <c r="A75" s="317">
        <v>400300</v>
      </c>
      <c r="B75" s="870">
        <v>400300</v>
      </c>
      <c r="C75" s="871" t="s">
        <v>184</v>
      </c>
      <c r="D75" s="881" t="s">
        <v>170</v>
      </c>
      <c r="E75" s="882">
        <f>'REF. DE PREÇOS n editavel'!E75</f>
        <v>0</v>
      </c>
      <c r="F75" s="883">
        <f>'REF. DE PREÇOS n editavel'!F75</f>
        <v>0</v>
      </c>
      <c r="G75" s="884">
        <f>'REF. DE PREÇOS n editavel'!G75</f>
        <v>0</v>
      </c>
      <c r="H75" s="864">
        <f>'REF. DE PREÇOS n editavel'!H75</f>
        <v>49.34</v>
      </c>
      <c r="I75" s="876">
        <f>'REF. DE PREÇOS n editavel'!I75</f>
        <v>49.34</v>
      </c>
      <c r="J75" s="877">
        <f>'REF. DE PREÇOS n editavel'!J75</f>
        <v>60.3</v>
      </c>
      <c r="K75" s="878" t="s">
        <v>15</v>
      </c>
      <c r="L75" s="1092"/>
      <c r="M75" s="1093">
        <f t="shared" si="3"/>
        <v>0</v>
      </c>
      <c r="N75" s="868">
        <f t="shared" si="5"/>
        <v>0</v>
      </c>
      <c r="O75" s="880"/>
      <c r="P75" s="58"/>
      <c r="Q75" s="317" t="str">
        <f t="shared" si="0"/>
        <v/>
      </c>
      <c r="R75" s="317" t="str">
        <f t="shared" si="1"/>
        <v/>
      </c>
      <c r="S75" s="317" t="str">
        <f t="shared" si="2"/>
        <v/>
      </c>
      <c r="T75" s="317" t="str">
        <f>'REF. DE PREÇOS n editavel'!S75</f>
        <v/>
      </c>
      <c r="W75" s="577">
        <v>0</v>
      </c>
      <c r="X75" s="575"/>
      <c r="Y75" s="578">
        <f>IF('REF. DE PREÇOS n editavel'!W75=0,0,IF('REF. DE PREÇOS n editavel'!W75&gt;0,"c","b"))</f>
        <v>0</v>
      </c>
    </row>
    <row r="76" spans="1:25" ht="15" customHeight="1">
      <c r="A76" s="317">
        <v>511130</v>
      </c>
      <c r="B76" s="870" t="s">
        <v>1528</v>
      </c>
      <c r="C76" s="871" t="s">
        <v>184</v>
      </c>
      <c r="D76" s="881" t="s">
        <v>447</v>
      </c>
      <c r="E76" s="882">
        <f>'REF. DE PREÇOS n editavel'!E76</f>
        <v>0</v>
      </c>
      <c r="F76" s="883">
        <f>'REF. DE PREÇOS n editavel'!F76</f>
        <v>0</v>
      </c>
      <c r="G76" s="884">
        <f>'REF. DE PREÇOS n editavel'!G76</f>
        <v>0</v>
      </c>
      <c r="H76" s="864">
        <f>'REF. DE PREÇOS n editavel'!H76</f>
        <v>1.23</v>
      </c>
      <c r="I76" s="876">
        <f>'REF. DE PREÇOS n editavel'!I76</f>
        <v>1.23</v>
      </c>
      <c r="J76" s="877">
        <f>'REF. DE PREÇOS n editavel'!J76</f>
        <v>1.5</v>
      </c>
      <c r="K76" s="878" t="s">
        <v>10</v>
      </c>
      <c r="L76" s="1092"/>
      <c r="M76" s="1093">
        <f t="shared" si="3"/>
        <v>0</v>
      </c>
      <c r="N76" s="868">
        <f t="shared" si="5"/>
        <v>0</v>
      </c>
      <c r="O76" s="880"/>
      <c r="P76" s="59"/>
      <c r="Q76" s="317" t="str">
        <f t="shared" si="0"/>
        <v/>
      </c>
      <c r="R76" s="317" t="str">
        <f t="shared" si="1"/>
        <v/>
      </c>
      <c r="S76" s="317" t="str">
        <f t="shared" si="2"/>
        <v/>
      </c>
      <c r="T76" s="317" t="str">
        <f>'REF. DE PREÇOS n editavel'!S76</f>
        <v/>
      </c>
      <c r="W76" s="577">
        <v>0</v>
      </c>
      <c r="X76" s="575"/>
      <c r="Y76" s="578">
        <f>IF('REF. DE PREÇOS n editavel'!W76=0,0,IF('REF. DE PREÇOS n editavel'!W76&gt;0,"c","b"))</f>
        <v>0</v>
      </c>
    </row>
    <row r="77" spans="1:25" ht="15" customHeight="1">
      <c r="A77" s="317">
        <v>501000</v>
      </c>
      <c r="B77" s="870">
        <v>501000</v>
      </c>
      <c r="C77" s="871" t="s">
        <v>184</v>
      </c>
      <c r="D77" s="881" t="s">
        <v>446</v>
      </c>
      <c r="E77" s="882">
        <f>'REF. DE PREÇOS n editavel'!E77</f>
        <v>2</v>
      </c>
      <c r="F77" s="883">
        <f>'REF. DE PREÇOS n editavel'!F77</f>
        <v>1.8</v>
      </c>
      <c r="G77" s="884">
        <f>'REF. DE PREÇOS n editavel'!G77</f>
        <v>8.6760000000000002</v>
      </c>
      <c r="H77" s="864">
        <f>'REF. DE PREÇOS n editavel'!H77</f>
        <v>6.04</v>
      </c>
      <c r="I77" s="876">
        <f>'REF. DE PREÇOS n editavel'!I77</f>
        <v>14.716000000000001</v>
      </c>
      <c r="J77" s="877">
        <f>'REF. DE PREÇOS n editavel'!J77</f>
        <v>17.989999999999998</v>
      </c>
      <c r="K77" s="878" t="s">
        <v>10</v>
      </c>
      <c r="L77" s="1092"/>
      <c r="M77" s="1093">
        <f t="shared" si="3"/>
        <v>0</v>
      </c>
      <c r="N77" s="868">
        <f t="shared" si="5"/>
        <v>0</v>
      </c>
      <c r="O77" s="880"/>
      <c r="P77" s="59"/>
      <c r="Q77" s="317" t="str">
        <f t="shared" si="0"/>
        <v/>
      </c>
      <c r="R77" s="317" t="str">
        <f t="shared" si="1"/>
        <v/>
      </c>
      <c r="S77" s="317" t="str">
        <f t="shared" si="2"/>
        <v/>
      </c>
      <c r="T77" s="317" t="str">
        <f>'REF. DE PREÇOS n editavel'!S77</f>
        <v/>
      </c>
      <c r="W77" s="577">
        <v>0</v>
      </c>
      <c r="X77" s="575"/>
      <c r="Y77" s="578">
        <f>IF('REF. DE PREÇOS n editavel'!W77=0,0,IF('REF. DE PREÇOS n editavel'!W77&gt;0,"c","b"))</f>
        <v>0</v>
      </c>
    </row>
    <row r="78" spans="1:25" ht="15" customHeight="1">
      <c r="A78" s="317">
        <v>101114</v>
      </c>
      <c r="B78" s="870">
        <v>101114</v>
      </c>
      <c r="C78" s="871" t="s">
        <v>590</v>
      </c>
      <c r="D78" s="881" t="s">
        <v>1890</v>
      </c>
      <c r="E78" s="882">
        <f>'REF. DE PREÇOS n editavel'!E78</f>
        <v>0</v>
      </c>
      <c r="F78" s="883">
        <f>'REF. DE PREÇOS n editavel'!F78</f>
        <v>0</v>
      </c>
      <c r="G78" s="884">
        <f>'REF. DE PREÇOS n editavel'!G78</f>
        <v>0</v>
      </c>
      <c r="H78" s="864">
        <f>'REF. DE PREÇOS n editavel'!H78</f>
        <v>4.37</v>
      </c>
      <c r="I78" s="876">
        <f>'REF. DE PREÇOS n editavel'!I78</f>
        <v>4.37</v>
      </c>
      <c r="J78" s="877">
        <f>'REF. DE PREÇOS n editavel'!J78</f>
        <v>5.34</v>
      </c>
      <c r="K78" s="878" t="s">
        <v>10</v>
      </c>
      <c r="L78" s="1092"/>
      <c r="M78" s="1093">
        <f t="shared" si="3"/>
        <v>0</v>
      </c>
      <c r="N78" s="868">
        <f t="shared" si="5"/>
        <v>0</v>
      </c>
      <c r="O78" s="880"/>
      <c r="Q78" s="317" t="str">
        <f t="shared" si="0"/>
        <v/>
      </c>
      <c r="R78" s="317" t="str">
        <f t="shared" si="1"/>
        <v/>
      </c>
      <c r="S78" s="317" t="str">
        <f t="shared" si="2"/>
        <v/>
      </c>
      <c r="T78" s="317" t="str">
        <f>'REF. DE PREÇOS n editavel'!S78</f>
        <v/>
      </c>
      <c r="W78" s="577">
        <v>0</v>
      </c>
      <c r="X78" s="575"/>
      <c r="Y78" s="578">
        <f>IF('REF. DE PREÇOS n editavel'!W78=0,0,IF('REF. DE PREÇOS n editavel'!W78&gt;0,"c","b"))</f>
        <v>0</v>
      </c>
    </row>
    <row r="79" spans="1:25" ht="15" customHeight="1">
      <c r="A79" s="317">
        <v>101119</v>
      </c>
      <c r="B79" s="870">
        <v>101119</v>
      </c>
      <c r="C79" s="871" t="s">
        <v>590</v>
      </c>
      <c r="D79" s="881" t="s">
        <v>1891</v>
      </c>
      <c r="E79" s="882">
        <f>'REF. DE PREÇOS n editavel'!E79</f>
        <v>0</v>
      </c>
      <c r="F79" s="883">
        <f>'REF. DE PREÇOS n editavel'!F79</f>
        <v>0</v>
      </c>
      <c r="G79" s="884">
        <f>'REF. DE PREÇOS n editavel'!G79</f>
        <v>0</v>
      </c>
      <c r="H79" s="864">
        <f>'REF. DE PREÇOS n editavel'!H79</f>
        <v>8.36</v>
      </c>
      <c r="I79" s="876">
        <f>'REF. DE PREÇOS n editavel'!I79</f>
        <v>8.36</v>
      </c>
      <c r="J79" s="877">
        <f>'REF. DE PREÇOS n editavel'!J79</f>
        <v>10.220000000000001</v>
      </c>
      <c r="K79" s="878" t="s">
        <v>10</v>
      </c>
      <c r="L79" s="1092"/>
      <c r="M79" s="1093">
        <f t="shared" si="3"/>
        <v>0</v>
      </c>
      <c r="N79" s="868">
        <f t="shared" si="5"/>
        <v>0</v>
      </c>
      <c r="O79" s="880"/>
      <c r="Q79" s="317" t="str">
        <f t="shared" si="0"/>
        <v/>
      </c>
      <c r="R79" s="317" t="str">
        <f t="shared" si="1"/>
        <v/>
      </c>
      <c r="S79" s="317" t="str">
        <f t="shared" si="2"/>
        <v/>
      </c>
      <c r="T79" s="317" t="str">
        <f>'REF. DE PREÇOS n editavel'!S79</f>
        <v/>
      </c>
      <c r="W79" s="577">
        <v>0</v>
      </c>
      <c r="X79" s="575"/>
      <c r="Y79" s="578">
        <f>IF('REF. DE PREÇOS n editavel'!W79=0,0,IF('REF. DE PREÇOS n editavel'!W79&gt;0,"c","b"))</f>
        <v>0</v>
      </c>
    </row>
    <row r="80" spans="1:25" ht="15" customHeight="1">
      <c r="A80" s="317">
        <v>430010</v>
      </c>
      <c r="B80" s="870">
        <v>430210</v>
      </c>
      <c r="C80" s="871" t="s">
        <v>184</v>
      </c>
      <c r="D80" s="881" t="s">
        <v>1892</v>
      </c>
      <c r="E80" s="882">
        <f>'REF. DE PREÇOS n editavel'!E80</f>
        <v>0</v>
      </c>
      <c r="F80" s="883">
        <f>'REF. DE PREÇOS n editavel'!F80</f>
        <v>0</v>
      </c>
      <c r="G80" s="884">
        <f>'REF. DE PREÇOS n editavel'!G80</f>
        <v>0</v>
      </c>
      <c r="H80" s="864">
        <f>'REF. DE PREÇOS n editavel'!H80</f>
        <v>40.54</v>
      </c>
      <c r="I80" s="876">
        <f>'REF. DE PREÇOS n editavel'!I80</f>
        <v>40.54</v>
      </c>
      <c r="J80" s="877">
        <f>'REF. DE PREÇOS n editavel'!J80</f>
        <v>49.55</v>
      </c>
      <c r="K80" s="878" t="s">
        <v>10</v>
      </c>
      <c r="L80" s="1092"/>
      <c r="M80" s="1093">
        <f t="shared" si="3"/>
        <v>0</v>
      </c>
      <c r="N80" s="868">
        <f t="shared" si="5"/>
        <v>0</v>
      </c>
      <c r="O80" s="880"/>
      <c r="Q80" s="317" t="str">
        <f t="shared" si="0"/>
        <v/>
      </c>
      <c r="R80" s="317" t="str">
        <f t="shared" si="1"/>
        <v/>
      </c>
      <c r="S80" s="317" t="str">
        <f t="shared" si="2"/>
        <v/>
      </c>
      <c r="T80" s="317" t="str">
        <f>'REF. DE PREÇOS n editavel'!S80</f>
        <v/>
      </c>
      <c r="W80" s="577">
        <v>0</v>
      </c>
      <c r="X80" s="575"/>
      <c r="Y80" s="578">
        <f>IF('REF. DE PREÇOS n editavel'!W80=0,0,IF('REF. DE PREÇOS n editavel'!W80&gt;0,"c","b"))</f>
        <v>0</v>
      </c>
    </row>
    <row r="81" spans="1:25" ht="15" customHeight="1">
      <c r="A81" s="317" t="s">
        <v>1885</v>
      </c>
      <c r="B81" s="870" t="str">
        <f>'REF. DE PREÇOS n editavel'!B81</f>
        <v>02.105.000040.SER</v>
      </c>
      <c r="C81" s="871" t="str">
        <f>'REF. DE PREÇOS n editavel'!C81</f>
        <v>PINI - fev/23</v>
      </c>
      <c r="D81" s="881" t="str">
        <f>'REF. DE PREÇOS n editavel'!D81</f>
        <v>Carga de mat. 1a. cat./sem transporte</v>
      </c>
      <c r="E81" s="882">
        <f>'REF. DE PREÇOS n editavel'!E81</f>
        <v>0</v>
      </c>
      <c r="F81" s="883">
        <f>'REF. DE PREÇOS n editavel'!F81</f>
        <v>0</v>
      </c>
      <c r="G81" s="884">
        <f>'REF. DE PREÇOS n editavel'!G81</f>
        <v>0</v>
      </c>
      <c r="H81" s="876">
        <f>'REF. DE PREÇOS n editavel'!H81</f>
        <v>1.01</v>
      </c>
      <c r="I81" s="876">
        <f>'REF. DE PREÇOS n editavel'!I81</f>
        <v>1.01</v>
      </c>
      <c r="J81" s="877">
        <f>'REF. DE PREÇOS n editavel'!J81</f>
        <v>1.23</v>
      </c>
      <c r="K81" s="878" t="s">
        <v>1500</v>
      </c>
      <c r="L81" s="1092"/>
      <c r="M81" s="1093">
        <f t="shared" si="3"/>
        <v>0</v>
      </c>
      <c r="N81" s="868">
        <f t="shared" si="5"/>
        <v>0</v>
      </c>
      <c r="O81" s="880"/>
      <c r="Q81" s="317" t="str">
        <f t="shared" si="0"/>
        <v/>
      </c>
      <c r="R81" s="317" t="str">
        <f t="shared" si="1"/>
        <v/>
      </c>
      <c r="S81" s="317" t="str">
        <f t="shared" si="2"/>
        <v/>
      </c>
      <c r="T81" s="317" t="str">
        <f>'REF. DE PREÇOS n editavel'!S81</f>
        <v/>
      </c>
      <c r="W81" s="577">
        <v>0</v>
      </c>
      <c r="X81" s="575"/>
      <c r="Y81" s="578">
        <f>IF('REF. DE PREÇOS n editavel'!W81=0,0,IF('REF. DE PREÇOS n editavel'!W81&gt;0,"c","b"))</f>
        <v>0</v>
      </c>
    </row>
    <row r="82" spans="1:25" ht="15" customHeight="1">
      <c r="A82" s="317">
        <v>520100</v>
      </c>
      <c r="B82" s="870" t="s">
        <v>1529</v>
      </c>
      <c r="C82" s="871" t="s">
        <v>184</v>
      </c>
      <c r="D82" s="881" t="s">
        <v>1887</v>
      </c>
      <c r="E82" s="882">
        <f>'REF. DE PREÇOS n editavel'!E82</f>
        <v>0</v>
      </c>
      <c r="F82" s="883">
        <f>'REF. DE PREÇOS n editavel'!F82</f>
        <v>0</v>
      </c>
      <c r="G82" s="884">
        <f>'REF. DE PREÇOS n editavel'!G82</f>
        <v>0</v>
      </c>
      <c r="H82" s="864">
        <f>'REF. DE PREÇOS n editavel'!H82</f>
        <v>5.45</v>
      </c>
      <c r="I82" s="876">
        <f>'REF. DE PREÇOS n editavel'!I82</f>
        <v>5.45</v>
      </c>
      <c r="J82" s="877">
        <f>'REF. DE PREÇOS n editavel'!J82</f>
        <v>6.66</v>
      </c>
      <c r="K82" s="878" t="s">
        <v>10</v>
      </c>
      <c r="L82" s="1092"/>
      <c r="M82" s="1093">
        <f t="shared" si="3"/>
        <v>0</v>
      </c>
      <c r="N82" s="868">
        <f t="shared" si="5"/>
        <v>0</v>
      </c>
      <c r="O82" s="880"/>
      <c r="Q82" s="317" t="str">
        <f t="shared" si="0"/>
        <v/>
      </c>
      <c r="R82" s="317" t="str">
        <f t="shared" si="1"/>
        <v/>
      </c>
      <c r="S82" s="317" t="str">
        <f t="shared" si="2"/>
        <v/>
      </c>
      <c r="T82" s="317" t="str">
        <f>'REF. DE PREÇOS n editavel'!S82</f>
        <v/>
      </c>
      <c r="W82" s="577">
        <v>0</v>
      </c>
      <c r="X82" s="575"/>
      <c r="Y82" s="578">
        <f>IF('REF. DE PREÇOS n editavel'!W82=0,0,IF('REF. DE PREÇOS n editavel'!W82&gt;0,"c","b"))</f>
        <v>0</v>
      </c>
    </row>
    <row r="83" spans="1:25" ht="15" customHeight="1">
      <c r="A83" s="317">
        <v>520200</v>
      </c>
      <c r="B83" s="870" t="s">
        <v>1530</v>
      </c>
      <c r="C83" s="871" t="s">
        <v>184</v>
      </c>
      <c r="D83" s="881" t="s">
        <v>1888</v>
      </c>
      <c r="E83" s="882">
        <f>'REF. DE PREÇOS n editavel'!E83</f>
        <v>0</v>
      </c>
      <c r="F83" s="883">
        <f>'REF. DE PREÇOS n editavel'!F83</f>
        <v>0</v>
      </c>
      <c r="G83" s="884">
        <f>'REF. DE PREÇOS n editavel'!G83</f>
        <v>0</v>
      </c>
      <c r="H83" s="864">
        <f>'REF. DE PREÇOS n editavel'!H83</f>
        <v>6.66</v>
      </c>
      <c r="I83" s="876">
        <f>'REF. DE PREÇOS n editavel'!I83</f>
        <v>6.66</v>
      </c>
      <c r="J83" s="877">
        <f>'REF. DE PREÇOS n editavel'!J83</f>
        <v>8.14</v>
      </c>
      <c r="K83" s="878" t="s">
        <v>10</v>
      </c>
      <c r="L83" s="1092"/>
      <c r="M83" s="1093">
        <f t="shared" si="3"/>
        <v>0</v>
      </c>
      <c r="N83" s="868">
        <f t="shared" si="5"/>
        <v>0</v>
      </c>
      <c r="O83" s="880"/>
      <c r="Q83" s="317" t="str">
        <f t="shared" ref="Q83:Q146" si="6">IF(P83="X","x",IF(P83="xx","x",IF(P83="xy","x",IF(P83="y","x",IF(OR(N83&gt;0,N83&gt;0),"x","")))))</f>
        <v/>
      </c>
      <c r="R83" s="317" t="str">
        <f t="shared" si="1"/>
        <v/>
      </c>
      <c r="S83" s="317" t="str">
        <f t="shared" si="2"/>
        <v/>
      </c>
      <c r="T83" s="317" t="str">
        <f>'REF. DE PREÇOS n editavel'!S83</f>
        <v/>
      </c>
      <c r="W83" s="577">
        <v>0</v>
      </c>
      <c r="X83" s="575"/>
      <c r="Y83" s="578">
        <f>IF('REF. DE PREÇOS n editavel'!W83=0,0,IF('REF. DE PREÇOS n editavel'!W83&gt;0,"c","b"))</f>
        <v>0</v>
      </c>
    </row>
    <row r="84" spans="1:25" ht="15" customHeight="1">
      <c r="A84" s="317">
        <v>431010</v>
      </c>
      <c r="B84" s="870">
        <v>431010</v>
      </c>
      <c r="C84" s="871" t="s">
        <v>184</v>
      </c>
      <c r="D84" s="881" t="s">
        <v>1889</v>
      </c>
      <c r="E84" s="882">
        <f>'REF. DE PREÇOS n editavel'!E84</f>
        <v>0</v>
      </c>
      <c r="F84" s="883">
        <f>'REF. DE PREÇOS n editavel'!F84</f>
        <v>0</v>
      </c>
      <c r="G84" s="884">
        <f>'REF. DE PREÇOS n editavel'!G84</f>
        <v>0</v>
      </c>
      <c r="H84" s="864">
        <f>'REF. DE PREÇOS n editavel'!H84</f>
        <v>44.4</v>
      </c>
      <c r="I84" s="876">
        <f>'REF. DE PREÇOS n editavel'!I84</f>
        <v>44.4</v>
      </c>
      <c r="J84" s="877">
        <f>'REF. DE PREÇOS n editavel'!J84</f>
        <v>54.27</v>
      </c>
      <c r="K84" s="878" t="s">
        <v>10</v>
      </c>
      <c r="L84" s="1092"/>
      <c r="M84" s="1093">
        <f t="shared" ref="M84:M147" si="7">IF(L84=0,0,ROUND(J84,2))</f>
        <v>0</v>
      </c>
      <c r="N84" s="868">
        <f t="shared" si="5"/>
        <v>0</v>
      </c>
      <c r="O84" s="880"/>
      <c r="Q84" s="317" t="str">
        <f t="shared" si="6"/>
        <v/>
      </c>
      <c r="R84" s="317" t="str">
        <f t="shared" si="1"/>
        <v/>
      </c>
      <c r="S84" s="317" t="str">
        <f t="shared" si="2"/>
        <v/>
      </c>
      <c r="T84" s="317" t="str">
        <f>'REF. DE PREÇOS n editavel'!S84</f>
        <v/>
      </c>
      <c r="W84" s="577">
        <v>0</v>
      </c>
      <c r="X84" s="575"/>
      <c r="Y84" s="578">
        <f>IF('REF. DE PREÇOS n editavel'!W84=0,0,IF('REF. DE PREÇOS n editavel'!W84&gt;0,"c","b"))</f>
        <v>0</v>
      </c>
    </row>
    <row r="85" spans="1:25" ht="15" customHeight="1">
      <c r="A85" s="317">
        <v>520100</v>
      </c>
      <c r="B85" s="870" t="s">
        <v>1531</v>
      </c>
      <c r="C85" s="871" t="s">
        <v>184</v>
      </c>
      <c r="D85" s="881" t="s">
        <v>1893</v>
      </c>
      <c r="E85" s="882">
        <f>'REF. DE PREÇOS n editavel'!E85</f>
        <v>2</v>
      </c>
      <c r="F85" s="883">
        <f>'REF. DE PREÇOS n editavel'!F85</f>
        <v>1.5</v>
      </c>
      <c r="G85" s="884">
        <f>'REF. DE PREÇOS n editavel'!G85</f>
        <v>7.23</v>
      </c>
      <c r="H85" s="864">
        <f>'REF. DE PREÇOS n editavel'!H85</f>
        <v>5.45</v>
      </c>
      <c r="I85" s="876">
        <f>'REF. DE PREÇOS n editavel'!I85</f>
        <v>12.68</v>
      </c>
      <c r="J85" s="877">
        <f>'REF. DE PREÇOS n editavel'!J85</f>
        <v>15.5</v>
      </c>
      <c r="K85" s="878" t="s">
        <v>10</v>
      </c>
      <c r="L85" s="1092">
        <v>19840</v>
      </c>
      <c r="M85" s="1093">
        <f t="shared" si="7"/>
        <v>15.5</v>
      </c>
      <c r="N85" s="868">
        <f t="shared" si="5"/>
        <v>307520</v>
      </c>
      <c r="O85" s="880"/>
      <c r="Q85" s="317" t="str">
        <f t="shared" si="6"/>
        <v>x</v>
      </c>
      <c r="R85" s="317" t="str">
        <f t="shared" ref="R85:R148" si="8">IF(P85="X","x",IF(P85="y","x",IF(P85="xx","x",IF(N85&gt;0,"x",""))))</f>
        <v>x</v>
      </c>
      <c r="S85" s="317" t="str">
        <f t="shared" ref="S85:S148" si="9">IF(P85="X","x",IF(N85&gt;0,"x",""))</f>
        <v>x</v>
      </c>
      <c r="T85" s="317" t="str">
        <f>'REF. DE PREÇOS n editavel'!S85</f>
        <v>x</v>
      </c>
      <c r="W85" s="577">
        <v>0</v>
      </c>
      <c r="X85" s="575"/>
      <c r="Y85" s="578">
        <f>IF('REF. DE PREÇOS n editavel'!W85=0,0,IF('REF. DE PREÇOS n editavel'!W85&gt;0,"c","b"))</f>
        <v>0</v>
      </c>
    </row>
    <row r="86" spans="1:25" ht="15" customHeight="1">
      <c r="A86" s="317">
        <v>520200</v>
      </c>
      <c r="B86" s="870" t="s">
        <v>1532</v>
      </c>
      <c r="C86" s="871" t="s">
        <v>184</v>
      </c>
      <c r="D86" s="881" t="s">
        <v>1894</v>
      </c>
      <c r="E86" s="882">
        <f>'REF. DE PREÇOS n editavel'!E86</f>
        <v>2</v>
      </c>
      <c r="F86" s="883">
        <f>'REF. DE PREÇOS n editavel'!F86</f>
        <v>1.5</v>
      </c>
      <c r="G86" s="884">
        <f>'REF. DE PREÇOS n editavel'!G86</f>
        <v>7.23</v>
      </c>
      <c r="H86" s="864">
        <f>'REF. DE PREÇOS n editavel'!H86</f>
        <v>6.66</v>
      </c>
      <c r="I86" s="876">
        <f>'REF. DE PREÇOS n editavel'!I86</f>
        <v>13.89</v>
      </c>
      <c r="J86" s="877">
        <f>'REF. DE PREÇOS n editavel'!J86</f>
        <v>16.98</v>
      </c>
      <c r="K86" s="878" t="s">
        <v>10</v>
      </c>
      <c r="L86" s="1092"/>
      <c r="M86" s="1093">
        <f t="shared" si="7"/>
        <v>0</v>
      </c>
      <c r="N86" s="868">
        <f t="shared" si="5"/>
        <v>0</v>
      </c>
      <c r="O86" s="880"/>
      <c r="Q86" s="317" t="str">
        <f t="shared" si="6"/>
        <v/>
      </c>
      <c r="R86" s="317" t="str">
        <f t="shared" si="8"/>
        <v/>
      </c>
      <c r="S86" s="317" t="str">
        <f t="shared" si="9"/>
        <v/>
      </c>
      <c r="T86" s="317" t="str">
        <f>'REF. DE PREÇOS n editavel'!S86</f>
        <v/>
      </c>
      <c r="W86" s="577">
        <v>0</v>
      </c>
      <c r="X86" s="575"/>
      <c r="Y86" s="578">
        <f>IF('REF. DE PREÇOS n editavel'!W86=0,0,IF('REF. DE PREÇOS n editavel'!W86&gt;0,"c","b"))</f>
        <v>0</v>
      </c>
    </row>
    <row r="87" spans="1:25" ht="15" customHeight="1">
      <c r="A87" s="317">
        <v>521300</v>
      </c>
      <c r="B87" s="870">
        <v>521300</v>
      </c>
      <c r="C87" s="871" t="s">
        <v>184</v>
      </c>
      <c r="D87" s="881" t="s">
        <v>1895</v>
      </c>
      <c r="E87" s="882">
        <f>'REF. DE PREÇOS n editavel'!E87</f>
        <v>2</v>
      </c>
      <c r="F87" s="883">
        <f>'REF. DE PREÇOS n editavel'!F87</f>
        <v>1.5</v>
      </c>
      <c r="G87" s="884">
        <f>'REF. DE PREÇOS n editavel'!G87</f>
        <v>7.23</v>
      </c>
      <c r="H87" s="864">
        <f>'REF. DE PREÇOS n editavel'!H87</f>
        <v>46.06</v>
      </c>
      <c r="I87" s="876">
        <f>'REF. DE PREÇOS n editavel'!I87</f>
        <v>53.290000000000006</v>
      </c>
      <c r="J87" s="877">
        <f>'REF. DE PREÇOS n editavel'!J87</f>
        <v>65.13</v>
      </c>
      <c r="K87" s="878" t="s">
        <v>10</v>
      </c>
      <c r="L87" s="1092"/>
      <c r="M87" s="1093">
        <f t="shared" si="7"/>
        <v>0</v>
      </c>
      <c r="N87" s="868">
        <f t="shared" si="5"/>
        <v>0</v>
      </c>
      <c r="O87" s="880"/>
      <c r="Q87" s="317" t="str">
        <f t="shared" si="6"/>
        <v/>
      </c>
      <c r="R87" s="317" t="str">
        <f t="shared" si="8"/>
        <v/>
      </c>
      <c r="S87" s="317" t="str">
        <f t="shared" si="9"/>
        <v/>
      </c>
      <c r="T87" s="317" t="str">
        <f>'REF. DE PREÇOS n editavel'!S87</f>
        <v/>
      </c>
      <c r="W87" s="577">
        <v>0</v>
      </c>
      <c r="X87" s="575"/>
      <c r="Y87" s="578">
        <f>IF('REF. DE PREÇOS n editavel'!W87=0,0,IF('REF. DE PREÇOS n editavel'!W87&gt;0,"c","b"))</f>
        <v>0</v>
      </c>
    </row>
    <row r="88" spans="1:25" ht="15" customHeight="1">
      <c r="A88" s="317">
        <v>411000</v>
      </c>
      <c r="B88" s="870">
        <v>411000</v>
      </c>
      <c r="C88" s="871" t="s">
        <v>184</v>
      </c>
      <c r="D88" s="881" t="s">
        <v>172</v>
      </c>
      <c r="E88" s="882">
        <f>'REF. DE PREÇOS n editavel'!E88</f>
        <v>0</v>
      </c>
      <c r="F88" s="883">
        <f>'REF. DE PREÇOS n editavel'!F88</f>
        <v>0</v>
      </c>
      <c r="G88" s="884">
        <f>'REF. DE PREÇOS n editavel'!G88</f>
        <v>0</v>
      </c>
      <c r="H88" s="864">
        <f>'REF. DE PREÇOS n editavel'!H88</f>
        <v>9.51</v>
      </c>
      <c r="I88" s="876">
        <f>'REF. DE PREÇOS n editavel'!I88</f>
        <v>9.51</v>
      </c>
      <c r="J88" s="877">
        <f>'REF. DE PREÇOS n editavel'!J88</f>
        <v>11.62</v>
      </c>
      <c r="K88" s="878" t="s">
        <v>10</v>
      </c>
      <c r="L88" s="1092"/>
      <c r="M88" s="1093">
        <f t="shared" si="7"/>
        <v>0</v>
      </c>
      <c r="N88" s="868">
        <f t="shared" si="5"/>
        <v>0</v>
      </c>
      <c r="O88" s="880"/>
      <c r="P88" s="59"/>
      <c r="Q88" s="317" t="str">
        <f t="shared" si="6"/>
        <v/>
      </c>
      <c r="R88" s="317" t="str">
        <f t="shared" si="8"/>
        <v/>
      </c>
      <c r="S88" s="317" t="str">
        <f t="shared" si="9"/>
        <v/>
      </c>
      <c r="T88" s="317" t="str">
        <f>'REF. DE PREÇOS n editavel'!S88</f>
        <v/>
      </c>
      <c r="W88" s="577">
        <v>0</v>
      </c>
      <c r="X88" s="575"/>
      <c r="Y88" s="578">
        <f>IF('REF. DE PREÇOS n editavel'!W88=0,0,IF('REF. DE PREÇOS n editavel'!W88&gt;0,"c","b"))</f>
        <v>0</v>
      </c>
    </row>
    <row r="89" spans="1:25" ht="15" customHeight="1">
      <c r="A89" s="317">
        <v>420200</v>
      </c>
      <c r="B89" s="870">
        <v>420200</v>
      </c>
      <c r="C89" s="871" t="s">
        <v>184</v>
      </c>
      <c r="D89" s="881" t="s">
        <v>483</v>
      </c>
      <c r="E89" s="882">
        <f>'REF. DE PREÇOS n editavel'!E89</f>
        <v>2</v>
      </c>
      <c r="F89" s="883">
        <f>'REF. DE PREÇOS n editavel'!F89</f>
        <v>0.5</v>
      </c>
      <c r="G89" s="884">
        <f>'REF. DE PREÇOS n editavel'!G89</f>
        <v>2.41</v>
      </c>
      <c r="H89" s="864">
        <f>'REF. DE PREÇOS n editavel'!H89</f>
        <v>11.51</v>
      </c>
      <c r="I89" s="876">
        <f>'REF. DE PREÇOS n editavel'!I89</f>
        <v>12.528</v>
      </c>
      <c r="J89" s="877">
        <f>'REF. DE PREÇOS n editavel'!J89</f>
        <v>15.31</v>
      </c>
      <c r="K89" s="878" t="s">
        <v>10</v>
      </c>
      <c r="L89" s="1092"/>
      <c r="M89" s="1093">
        <f t="shared" si="7"/>
        <v>0</v>
      </c>
      <c r="N89" s="868">
        <f t="shared" ref="N89:N152" si="10">IF(ISBLANK(L89),0,IF(W89=0,ROUND(L89*M89,2),IF(W89="b",ROUNDDOWN(L89*M89,2),ROUNDUP(L89*M89,2))))</f>
        <v>0</v>
      </c>
      <c r="O89" s="880"/>
      <c r="P89" s="59"/>
      <c r="Q89" s="317" t="str">
        <f t="shared" si="6"/>
        <v/>
      </c>
      <c r="R89" s="317" t="str">
        <f t="shared" si="8"/>
        <v/>
      </c>
      <c r="S89" s="317" t="str">
        <f t="shared" si="9"/>
        <v/>
      </c>
      <c r="T89" s="317" t="str">
        <f>'REF. DE PREÇOS n editavel'!S89</f>
        <v/>
      </c>
      <c r="W89" s="577">
        <v>0</v>
      </c>
      <c r="X89" s="575"/>
      <c r="Y89" s="578">
        <f>IF('REF. DE PREÇOS n editavel'!W89=0,0,IF('REF. DE PREÇOS n editavel'!W89&gt;0,"c","b"))</f>
        <v>0</v>
      </c>
    </row>
    <row r="90" spans="1:25" ht="15" customHeight="1">
      <c r="A90" s="317">
        <v>404000</v>
      </c>
      <c r="B90" s="870">
        <v>404000</v>
      </c>
      <c r="C90" s="871" t="s">
        <v>184</v>
      </c>
      <c r="D90" s="881" t="s">
        <v>171</v>
      </c>
      <c r="E90" s="882">
        <f>'REF. DE PREÇOS n editavel'!E90</f>
        <v>2</v>
      </c>
      <c r="F90" s="883">
        <f>'REF. DE PREÇOS n editavel'!F90</f>
        <v>1.5</v>
      </c>
      <c r="G90" s="884">
        <f>'REF. DE PREÇOS n editavel'!G90</f>
        <v>7.23</v>
      </c>
      <c r="H90" s="864">
        <f>'REF. DE PREÇOS n editavel'!H90</f>
        <v>11.43</v>
      </c>
      <c r="I90" s="876">
        <f>'REF. DE PREÇOS n editavel'!I90</f>
        <v>18.66</v>
      </c>
      <c r="J90" s="877">
        <f>'REF. DE PREÇOS n editavel'!J90</f>
        <v>22.81</v>
      </c>
      <c r="K90" s="878" t="s">
        <v>10</v>
      </c>
      <c r="L90" s="1092">
        <v>157.5</v>
      </c>
      <c r="M90" s="1093">
        <f t="shared" si="7"/>
        <v>22.81</v>
      </c>
      <c r="N90" s="868">
        <f t="shared" si="10"/>
        <v>3592.58</v>
      </c>
      <c r="O90" s="880"/>
      <c r="P90" s="59"/>
      <c r="Q90" s="317" t="str">
        <f t="shared" si="6"/>
        <v>x</v>
      </c>
      <c r="R90" s="317" t="str">
        <f t="shared" si="8"/>
        <v>x</v>
      </c>
      <c r="S90" s="317" t="str">
        <f t="shared" si="9"/>
        <v>x</v>
      </c>
      <c r="T90" s="317" t="str">
        <f>'REF. DE PREÇOS n editavel'!S90</f>
        <v>x</v>
      </c>
      <c r="W90" s="577">
        <v>0</v>
      </c>
      <c r="X90" s="575"/>
      <c r="Y90" s="578">
        <f>IF('REF. DE PREÇOS n editavel'!W90=0,0,IF('REF. DE PREÇOS n editavel'!W90&gt;0,"c","b"))</f>
        <v>0</v>
      </c>
    </row>
    <row r="91" spans="1:25" ht="15" customHeight="1">
      <c r="A91" s="634" t="s">
        <v>165</v>
      </c>
      <c r="B91" s="888" t="s">
        <v>165</v>
      </c>
      <c r="C91" s="889"/>
      <c r="D91" s="890" t="s">
        <v>164</v>
      </c>
      <c r="E91" s="891">
        <f>'REF. DE PREÇOS n editavel'!E91</f>
        <v>0</v>
      </c>
      <c r="F91" s="892">
        <f>'REF. DE PREÇOS n editavel'!F91</f>
        <v>0</v>
      </c>
      <c r="G91" s="923">
        <f>'REF. DE PREÇOS n editavel'!G91</f>
        <v>0</v>
      </c>
      <c r="H91" s="894">
        <f>'REF. DE PREÇOS n editavel'!H91</f>
        <v>0</v>
      </c>
      <c r="I91" s="894">
        <f>'REF. DE PREÇOS n editavel'!I91</f>
        <v>0</v>
      </c>
      <c r="J91" s="894">
        <f>'REF. DE PREÇOS n editavel'!J91</f>
        <v>0</v>
      </c>
      <c r="K91" s="895" t="s">
        <v>506</v>
      </c>
      <c r="L91" s="896"/>
      <c r="M91" s="1093">
        <f t="shared" si="7"/>
        <v>0</v>
      </c>
      <c r="N91" s="898">
        <f t="shared" si="10"/>
        <v>0</v>
      </c>
      <c r="O91" s="880"/>
      <c r="P91" s="58" t="str">
        <f>IF(OR(SUM(N92:N116)&gt;0,SUM(N92:N116)&gt;0),"y","")</f>
        <v>y</v>
      </c>
      <c r="Q91" s="317" t="str">
        <f t="shared" si="6"/>
        <v>x</v>
      </c>
      <c r="R91" s="317" t="str">
        <f t="shared" si="8"/>
        <v>x</v>
      </c>
      <c r="S91" s="317" t="str">
        <f t="shared" si="9"/>
        <v/>
      </c>
      <c r="T91" s="317" t="str">
        <f>'REF. DE PREÇOS n editavel'!S91</f>
        <v/>
      </c>
      <c r="W91" s="577">
        <v>0</v>
      </c>
      <c r="X91" s="575"/>
      <c r="Y91" s="578">
        <f>IF('REF. DE PREÇOS n editavel'!W91=0,0,IF('REF. DE PREÇOS n editavel'!W91&gt;0,"c","b"))</f>
        <v>0</v>
      </c>
    </row>
    <row r="92" spans="1:25" ht="15" customHeight="1">
      <c r="A92" s="634" t="s">
        <v>165</v>
      </c>
      <c r="B92" s="1010" t="str">
        <f>'REF. DE PREÇOS n editavel'!B92</f>
        <v>516100</v>
      </c>
      <c r="C92" s="1045" t="str">
        <f>'REF. DE PREÇOS n editavel'!C92</f>
        <v>DER</v>
      </c>
      <c r="D92" s="1096" t="str">
        <f>'REF. DE PREÇOS n editavel'!D92</f>
        <v>PRENCHIMENTO REIBAIXO C/ RACHÃO</v>
      </c>
      <c r="E92" s="882">
        <f>'REF. DE PREÇOS n editavel'!E92</f>
        <v>43.1</v>
      </c>
      <c r="F92" s="883">
        <f>'REF. DE PREÇOS n editavel'!F92</f>
        <v>1.35</v>
      </c>
      <c r="G92" s="887">
        <f>'REF. DE PREÇOS n editavel'!G92</f>
        <v>65.875950000000003</v>
      </c>
      <c r="H92" s="876">
        <f>'REF. DE PREÇOS n editavel'!H92</f>
        <v>94.46</v>
      </c>
      <c r="I92" s="876">
        <f>'REF. DE PREÇOS n editavel'!I92</f>
        <v>160.33595</v>
      </c>
      <c r="J92" s="877">
        <f>'REF. DE PREÇOS n editavel'!J92</f>
        <v>195.96</v>
      </c>
      <c r="K92" s="878" t="str">
        <f>'REF. DE PREÇOS n editavel'!K92</f>
        <v>m3</v>
      </c>
      <c r="L92" s="1092">
        <v>1050</v>
      </c>
      <c r="M92" s="1093">
        <f t="shared" si="7"/>
        <v>195.96</v>
      </c>
      <c r="N92" s="868">
        <f t="shared" si="10"/>
        <v>205758</v>
      </c>
      <c r="O92" s="880"/>
      <c r="Q92" s="317" t="str">
        <f t="shared" si="6"/>
        <v>x</v>
      </c>
      <c r="R92" s="317" t="str">
        <f t="shared" si="8"/>
        <v>x</v>
      </c>
      <c r="S92" s="317" t="str">
        <f t="shared" si="9"/>
        <v>x</v>
      </c>
      <c r="T92" s="317" t="str">
        <f>'REF. DE PREÇOS n editavel'!S92</f>
        <v>x</v>
      </c>
      <c r="W92" s="577">
        <v>0</v>
      </c>
      <c r="X92" s="575"/>
      <c r="Y92" s="578">
        <f>IF('REF. DE PREÇOS n editavel'!W92=0,0,IF('REF. DE PREÇOS n editavel'!W92&gt;0,"c","b"))</f>
        <v>0</v>
      </c>
    </row>
    <row r="93" spans="1:25" ht="15" customHeight="1">
      <c r="A93" s="634" t="s">
        <v>165</v>
      </c>
      <c r="B93" s="1010" t="str">
        <f>'REF. DE PREÇOS n editavel'!B93</f>
        <v/>
      </c>
      <c r="C93" s="1045" t="str">
        <f>'REF. DE PREÇOS n editavel'!C93</f>
        <v/>
      </c>
      <c r="D93" s="1096">
        <f>'REF. DE PREÇOS n editavel'!D93</f>
        <v>0</v>
      </c>
      <c r="E93" s="882">
        <f>'REF. DE PREÇOS n editavel'!E93</f>
        <v>0</v>
      </c>
      <c r="F93" s="883">
        <f>'REF. DE PREÇOS n editavel'!F93</f>
        <v>0</v>
      </c>
      <c r="G93" s="887">
        <f>'REF. DE PREÇOS n editavel'!G93</f>
        <v>0</v>
      </c>
      <c r="H93" s="876">
        <f>'REF. DE PREÇOS n editavel'!H93</f>
        <v>0</v>
      </c>
      <c r="I93" s="876">
        <f>'REF. DE PREÇOS n editavel'!I93</f>
        <v>0</v>
      </c>
      <c r="J93" s="865">
        <f>'REF. DE PREÇOS n editavel'!J93</f>
        <v>0</v>
      </c>
      <c r="K93" s="878" t="str">
        <f>'REF. DE PREÇOS n editavel'!K93</f>
        <v xml:space="preserve">     </v>
      </c>
      <c r="L93" s="1092"/>
      <c r="M93" s="1093">
        <f t="shared" si="7"/>
        <v>0</v>
      </c>
      <c r="N93" s="907">
        <f t="shared" si="10"/>
        <v>0</v>
      </c>
      <c r="O93" s="880"/>
      <c r="Q93" s="317" t="str">
        <f t="shared" si="6"/>
        <v/>
      </c>
      <c r="R93" s="317" t="str">
        <f t="shared" si="8"/>
        <v/>
      </c>
      <c r="S93" s="317" t="str">
        <f t="shared" si="9"/>
        <v/>
      </c>
      <c r="T93" s="317" t="str">
        <f>'REF. DE PREÇOS n editavel'!S93</f>
        <v/>
      </c>
      <c r="W93" s="577">
        <v>0</v>
      </c>
      <c r="X93" s="575"/>
      <c r="Y93" s="578">
        <f>IF('REF. DE PREÇOS n editavel'!W93=0,0,IF('REF. DE PREÇOS n editavel'!W93&gt;0,"c","b"))</f>
        <v>0</v>
      </c>
    </row>
    <row r="94" spans="1:25" ht="15" customHeight="1">
      <c r="A94" s="634" t="s">
        <v>165</v>
      </c>
      <c r="B94" s="1010" t="str">
        <f>'REF. DE PREÇOS n editavel'!B94</f>
        <v/>
      </c>
      <c r="C94" s="1045" t="str">
        <f>'REF. DE PREÇOS n editavel'!C94</f>
        <v/>
      </c>
      <c r="D94" s="1096">
        <f>'REF. DE PREÇOS n editavel'!D94</f>
        <v>0</v>
      </c>
      <c r="E94" s="882">
        <f>'REF. DE PREÇOS n editavel'!E94</f>
        <v>0</v>
      </c>
      <c r="F94" s="883">
        <f>'REF. DE PREÇOS n editavel'!F94</f>
        <v>0</v>
      </c>
      <c r="G94" s="887">
        <f>'REF. DE PREÇOS n editavel'!G94</f>
        <v>0</v>
      </c>
      <c r="H94" s="876">
        <f>'REF. DE PREÇOS n editavel'!H94</f>
        <v>0</v>
      </c>
      <c r="I94" s="876">
        <f>'REF. DE PREÇOS n editavel'!I94</f>
        <v>0</v>
      </c>
      <c r="J94" s="865">
        <f>'REF. DE PREÇOS n editavel'!J94</f>
        <v>0</v>
      </c>
      <c r="K94" s="878" t="str">
        <f>'REF. DE PREÇOS n editavel'!K94</f>
        <v xml:space="preserve">     </v>
      </c>
      <c r="L94" s="1092"/>
      <c r="M94" s="1093">
        <f t="shared" si="7"/>
        <v>0</v>
      </c>
      <c r="N94" s="868">
        <f t="shared" si="10"/>
        <v>0</v>
      </c>
      <c r="O94" s="880"/>
      <c r="Q94" s="317" t="str">
        <f t="shared" si="6"/>
        <v/>
      </c>
      <c r="R94" s="317" t="str">
        <f t="shared" si="8"/>
        <v/>
      </c>
      <c r="S94" s="317" t="str">
        <f t="shared" si="9"/>
        <v/>
      </c>
      <c r="T94" s="317" t="str">
        <f>'REF. DE PREÇOS n editavel'!S94</f>
        <v/>
      </c>
      <c r="W94" s="577">
        <v>0</v>
      </c>
      <c r="X94" s="575"/>
      <c r="Y94" s="578">
        <f>IF('REF. DE PREÇOS n editavel'!W94=0,0,IF('REF. DE PREÇOS n editavel'!W94&gt;0,"c","b"))</f>
        <v>0</v>
      </c>
    </row>
    <row r="95" spans="1:25" ht="15" customHeight="1">
      <c r="A95" s="634" t="s">
        <v>165</v>
      </c>
      <c r="B95" s="1010" t="str">
        <f>'REF. DE PREÇOS n editavel'!B95</f>
        <v/>
      </c>
      <c r="C95" s="1045" t="str">
        <f>'REF. DE PREÇOS n editavel'!C95</f>
        <v/>
      </c>
      <c r="D95" s="1096">
        <f>'REF. DE PREÇOS n editavel'!D95</f>
        <v>0</v>
      </c>
      <c r="E95" s="882">
        <f>'REF. DE PREÇOS n editavel'!E95</f>
        <v>0</v>
      </c>
      <c r="F95" s="883">
        <f>'REF. DE PREÇOS n editavel'!F95</f>
        <v>0</v>
      </c>
      <c r="G95" s="887">
        <f>'REF. DE PREÇOS n editavel'!G95</f>
        <v>0</v>
      </c>
      <c r="H95" s="876">
        <f>'REF. DE PREÇOS n editavel'!H95</f>
        <v>0</v>
      </c>
      <c r="I95" s="876">
        <f>'REF. DE PREÇOS n editavel'!I95</f>
        <v>0</v>
      </c>
      <c r="J95" s="865">
        <f>'REF. DE PREÇOS n editavel'!J95</f>
        <v>0</v>
      </c>
      <c r="K95" s="878" t="str">
        <f>'REF. DE PREÇOS n editavel'!K95</f>
        <v xml:space="preserve">     </v>
      </c>
      <c r="L95" s="1092"/>
      <c r="M95" s="1093">
        <f t="shared" si="7"/>
        <v>0</v>
      </c>
      <c r="N95" s="868">
        <f t="shared" si="10"/>
        <v>0</v>
      </c>
      <c r="O95" s="880"/>
      <c r="Q95" s="317" t="str">
        <f t="shared" si="6"/>
        <v/>
      </c>
      <c r="R95" s="317" t="str">
        <f t="shared" si="8"/>
        <v/>
      </c>
      <c r="S95" s="317" t="str">
        <f t="shared" si="9"/>
        <v/>
      </c>
      <c r="T95" s="317" t="str">
        <f>'REF. DE PREÇOS n editavel'!S95</f>
        <v/>
      </c>
      <c r="W95" s="577">
        <v>0</v>
      </c>
      <c r="X95" s="575"/>
      <c r="Y95" s="578">
        <f>IF('REF. DE PREÇOS n editavel'!W95=0,0,IF('REF. DE PREÇOS n editavel'!W95&gt;0,"c","b"))</f>
        <v>0</v>
      </c>
    </row>
    <row r="96" spans="1:25" ht="15" customHeight="1">
      <c r="A96" s="634" t="s">
        <v>165</v>
      </c>
      <c r="B96" s="1010" t="str">
        <f>'REF. DE PREÇOS n editavel'!B96</f>
        <v/>
      </c>
      <c r="C96" s="1045" t="str">
        <f>'REF. DE PREÇOS n editavel'!C96</f>
        <v/>
      </c>
      <c r="D96" s="1096">
        <f>'REF. DE PREÇOS n editavel'!D96</f>
        <v>0</v>
      </c>
      <c r="E96" s="882">
        <f>'REF. DE PREÇOS n editavel'!E96</f>
        <v>0</v>
      </c>
      <c r="F96" s="883">
        <f>'REF. DE PREÇOS n editavel'!F96</f>
        <v>0</v>
      </c>
      <c r="G96" s="887">
        <f>'REF. DE PREÇOS n editavel'!G96</f>
        <v>0</v>
      </c>
      <c r="H96" s="876">
        <f>'REF. DE PREÇOS n editavel'!H96</f>
        <v>0</v>
      </c>
      <c r="I96" s="876">
        <f>'REF. DE PREÇOS n editavel'!I96</f>
        <v>0</v>
      </c>
      <c r="J96" s="865">
        <f>'REF. DE PREÇOS n editavel'!J96</f>
        <v>0</v>
      </c>
      <c r="K96" s="878" t="str">
        <f>'REF. DE PREÇOS n editavel'!K96</f>
        <v xml:space="preserve">     </v>
      </c>
      <c r="L96" s="1092"/>
      <c r="M96" s="1093">
        <f t="shared" si="7"/>
        <v>0</v>
      </c>
      <c r="N96" s="868">
        <f t="shared" si="10"/>
        <v>0</v>
      </c>
      <c r="O96" s="880"/>
      <c r="Q96" s="317" t="str">
        <f t="shared" si="6"/>
        <v/>
      </c>
      <c r="R96" s="317" t="str">
        <f t="shared" si="8"/>
        <v/>
      </c>
      <c r="S96" s="317" t="str">
        <f t="shared" si="9"/>
        <v/>
      </c>
      <c r="T96" s="317" t="str">
        <f>'REF. DE PREÇOS n editavel'!S96</f>
        <v/>
      </c>
      <c r="W96" s="577">
        <v>0</v>
      </c>
      <c r="X96" s="575"/>
      <c r="Y96" s="578">
        <f>IF('REF. DE PREÇOS n editavel'!W96=0,0,IF('REF. DE PREÇOS n editavel'!W96&gt;0,"c","b"))</f>
        <v>0</v>
      </c>
    </row>
    <row r="97" spans="1:25" ht="15" customHeight="1">
      <c r="A97" s="634" t="s">
        <v>165</v>
      </c>
      <c r="B97" s="1010" t="str">
        <f>'REF. DE PREÇOS n editavel'!B97</f>
        <v/>
      </c>
      <c r="C97" s="1045" t="str">
        <f>'REF. DE PREÇOS n editavel'!C97</f>
        <v/>
      </c>
      <c r="D97" s="1096">
        <f>'REF. DE PREÇOS n editavel'!D97</f>
        <v>0</v>
      </c>
      <c r="E97" s="882">
        <f>'REF. DE PREÇOS n editavel'!E97</f>
        <v>0</v>
      </c>
      <c r="F97" s="883">
        <f>'REF. DE PREÇOS n editavel'!F97</f>
        <v>0</v>
      </c>
      <c r="G97" s="887">
        <f>'REF. DE PREÇOS n editavel'!G97</f>
        <v>0</v>
      </c>
      <c r="H97" s="876">
        <f>'REF. DE PREÇOS n editavel'!H97</f>
        <v>0</v>
      </c>
      <c r="I97" s="876">
        <f>'REF. DE PREÇOS n editavel'!I97</f>
        <v>0</v>
      </c>
      <c r="J97" s="865">
        <f>'REF. DE PREÇOS n editavel'!J97</f>
        <v>0</v>
      </c>
      <c r="K97" s="878" t="str">
        <f>'REF. DE PREÇOS n editavel'!K97</f>
        <v xml:space="preserve">     </v>
      </c>
      <c r="L97" s="1092"/>
      <c r="M97" s="1093">
        <f t="shared" si="7"/>
        <v>0</v>
      </c>
      <c r="N97" s="868">
        <f t="shared" si="10"/>
        <v>0</v>
      </c>
      <c r="O97" s="880"/>
      <c r="Q97" s="317" t="str">
        <f t="shared" si="6"/>
        <v/>
      </c>
      <c r="R97" s="317" t="str">
        <f t="shared" si="8"/>
        <v/>
      </c>
      <c r="S97" s="317" t="str">
        <f t="shared" si="9"/>
        <v/>
      </c>
      <c r="T97" s="317" t="str">
        <f>'REF. DE PREÇOS n editavel'!S97</f>
        <v/>
      </c>
      <c r="W97" s="577">
        <v>0</v>
      </c>
      <c r="X97" s="575"/>
      <c r="Y97" s="578">
        <f>IF('REF. DE PREÇOS n editavel'!W97=0,0,IF('REF. DE PREÇOS n editavel'!W97&gt;0,"c","b"))</f>
        <v>0</v>
      </c>
    </row>
    <row r="98" spans="1:25" ht="15" customHeight="1">
      <c r="A98" s="634" t="s">
        <v>165</v>
      </c>
      <c r="B98" s="1010" t="str">
        <f>'REF. DE PREÇOS n editavel'!B98</f>
        <v/>
      </c>
      <c r="C98" s="1045" t="str">
        <f>'REF. DE PREÇOS n editavel'!C98</f>
        <v/>
      </c>
      <c r="D98" s="1096">
        <f>'REF. DE PREÇOS n editavel'!D98</f>
        <v>0</v>
      </c>
      <c r="E98" s="882">
        <f>'REF. DE PREÇOS n editavel'!E98</f>
        <v>0</v>
      </c>
      <c r="F98" s="883">
        <f>'REF. DE PREÇOS n editavel'!F98</f>
        <v>0</v>
      </c>
      <c r="G98" s="887">
        <f>'REF. DE PREÇOS n editavel'!G98</f>
        <v>0</v>
      </c>
      <c r="H98" s="876">
        <f>'REF. DE PREÇOS n editavel'!H98</f>
        <v>0</v>
      </c>
      <c r="I98" s="876">
        <f>'REF. DE PREÇOS n editavel'!I98</f>
        <v>0</v>
      </c>
      <c r="J98" s="865">
        <f>'REF. DE PREÇOS n editavel'!J98</f>
        <v>0</v>
      </c>
      <c r="K98" s="878" t="str">
        <f>'REF. DE PREÇOS n editavel'!K98</f>
        <v xml:space="preserve">     </v>
      </c>
      <c r="L98" s="1092"/>
      <c r="M98" s="1093">
        <f t="shared" si="7"/>
        <v>0</v>
      </c>
      <c r="N98" s="868">
        <f t="shared" si="10"/>
        <v>0</v>
      </c>
      <c r="O98" s="880"/>
      <c r="Q98" s="317" t="str">
        <f t="shared" si="6"/>
        <v/>
      </c>
      <c r="R98" s="317" t="str">
        <f t="shared" si="8"/>
        <v/>
      </c>
      <c r="S98" s="317" t="str">
        <f t="shared" si="9"/>
        <v/>
      </c>
      <c r="T98" s="317" t="str">
        <f>'REF. DE PREÇOS n editavel'!S98</f>
        <v/>
      </c>
      <c r="W98" s="577">
        <v>0</v>
      </c>
      <c r="X98" s="575"/>
      <c r="Y98" s="578">
        <f>IF('REF. DE PREÇOS n editavel'!W98=0,0,IF('REF. DE PREÇOS n editavel'!W98&gt;0,"c","b"))</f>
        <v>0</v>
      </c>
    </row>
    <row r="99" spans="1:25" ht="15" customHeight="1">
      <c r="A99" s="634" t="s">
        <v>165</v>
      </c>
      <c r="B99" s="1010" t="str">
        <f>'REF. DE PREÇOS n editavel'!B99</f>
        <v/>
      </c>
      <c r="C99" s="1045" t="str">
        <f>'REF. DE PREÇOS n editavel'!C99</f>
        <v/>
      </c>
      <c r="D99" s="1096">
        <f>'REF. DE PREÇOS n editavel'!D99</f>
        <v>0</v>
      </c>
      <c r="E99" s="882">
        <f>'REF. DE PREÇOS n editavel'!E99</f>
        <v>0</v>
      </c>
      <c r="F99" s="883">
        <f>'REF. DE PREÇOS n editavel'!F99</f>
        <v>0</v>
      </c>
      <c r="G99" s="887">
        <f>'REF. DE PREÇOS n editavel'!G99</f>
        <v>0</v>
      </c>
      <c r="H99" s="876">
        <f>'REF. DE PREÇOS n editavel'!H99</f>
        <v>0</v>
      </c>
      <c r="I99" s="876">
        <f>'REF. DE PREÇOS n editavel'!I99</f>
        <v>0</v>
      </c>
      <c r="J99" s="865">
        <f>'REF. DE PREÇOS n editavel'!J99</f>
        <v>0</v>
      </c>
      <c r="K99" s="878" t="str">
        <f>'REF. DE PREÇOS n editavel'!K99</f>
        <v xml:space="preserve">     </v>
      </c>
      <c r="L99" s="1092"/>
      <c r="M99" s="1093">
        <f t="shared" si="7"/>
        <v>0</v>
      </c>
      <c r="N99" s="868">
        <f t="shared" si="10"/>
        <v>0</v>
      </c>
      <c r="O99" s="880"/>
      <c r="Q99" s="317" t="str">
        <f t="shared" si="6"/>
        <v/>
      </c>
      <c r="R99" s="317" t="str">
        <f t="shared" si="8"/>
        <v/>
      </c>
      <c r="S99" s="317" t="str">
        <f t="shared" si="9"/>
        <v/>
      </c>
      <c r="T99" s="317" t="str">
        <f>'REF. DE PREÇOS n editavel'!S99</f>
        <v/>
      </c>
      <c r="W99" s="577">
        <v>0</v>
      </c>
      <c r="X99" s="575"/>
      <c r="Y99" s="578">
        <f>IF('REF. DE PREÇOS n editavel'!W99=0,0,IF('REF. DE PREÇOS n editavel'!W99&gt;0,"c","b"))</f>
        <v>0</v>
      </c>
    </row>
    <row r="100" spans="1:25" ht="15" customHeight="1">
      <c r="A100" s="634" t="s">
        <v>165</v>
      </c>
      <c r="B100" s="1010" t="str">
        <f>'REF. DE PREÇOS n editavel'!B100</f>
        <v/>
      </c>
      <c r="C100" s="1045" t="str">
        <f>'REF. DE PREÇOS n editavel'!C100</f>
        <v/>
      </c>
      <c r="D100" s="1096">
        <f>'REF. DE PREÇOS n editavel'!D100</f>
        <v>0</v>
      </c>
      <c r="E100" s="882">
        <f>'REF. DE PREÇOS n editavel'!E100</f>
        <v>0</v>
      </c>
      <c r="F100" s="883">
        <f>'REF. DE PREÇOS n editavel'!F100</f>
        <v>0</v>
      </c>
      <c r="G100" s="887">
        <f>'REF. DE PREÇOS n editavel'!G100</f>
        <v>0</v>
      </c>
      <c r="H100" s="876">
        <f>'REF. DE PREÇOS n editavel'!H100</f>
        <v>0</v>
      </c>
      <c r="I100" s="876">
        <f>'REF. DE PREÇOS n editavel'!I100</f>
        <v>0</v>
      </c>
      <c r="J100" s="865">
        <f>'REF. DE PREÇOS n editavel'!J100</f>
        <v>0</v>
      </c>
      <c r="K100" s="878" t="str">
        <f>'REF. DE PREÇOS n editavel'!K100</f>
        <v xml:space="preserve">     </v>
      </c>
      <c r="L100" s="1092"/>
      <c r="M100" s="1093">
        <f t="shared" si="7"/>
        <v>0</v>
      </c>
      <c r="N100" s="868">
        <f t="shared" si="10"/>
        <v>0</v>
      </c>
      <c r="O100" s="880"/>
      <c r="Q100" s="317" t="str">
        <f t="shared" si="6"/>
        <v/>
      </c>
      <c r="R100" s="317" t="str">
        <f t="shared" si="8"/>
        <v/>
      </c>
      <c r="S100" s="317" t="str">
        <f t="shared" si="9"/>
        <v/>
      </c>
      <c r="T100" s="317" t="str">
        <f>'REF. DE PREÇOS n editavel'!S100</f>
        <v/>
      </c>
      <c r="W100" s="577">
        <v>0</v>
      </c>
      <c r="X100" s="575"/>
      <c r="Y100" s="578">
        <f>IF('REF. DE PREÇOS n editavel'!W100=0,0,IF('REF. DE PREÇOS n editavel'!W100&gt;0,"c","b"))</f>
        <v>0</v>
      </c>
    </row>
    <row r="101" spans="1:25" ht="15" customHeight="1">
      <c r="A101" s="634" t="s">
        <v>165</v>
      </c>
      <c r="B101" s="1010" t="str">
        <f>'REF. DE PREÇOS n editavel'!B101</f>
        <v/>
      </c>
      <c r="C101" s="1045" t="str">
        <f>'REF. DE PREÇOS n editavel'!C101</f>
        <v/>
      </c>
      <c r="D101" s="1096">
        <f>'REF. DE PREÇOS n editavel'!D101</f>
        <v>0</v>
      </c>
      <c r="E101" s="882">
        <f>'REF. DE PREÇOS n editavel'!E101</f>
        <v>0</v>
      </c>
      <c r="F101" s="883">
        <f>'REF. DE PREÇOS n editavel'!F101</f>
        <v>0</v>
      </c>
      <c r="G101" s="887">
        <f>'REF. DE PREÇOS n editavel'!G101</f>
        <v>0</v>
      </c>
      <c r="H101" s="876">
        <f>'REF. DE PREÇOS n editavel'!H101</f>
        <v>0</v>
      </c>
      <c r="I101" s="876">
        <f>'REF. DE PREÇOS n editavel'!I101</f>
        <v>0</v>
      </c>
      <c r="J101" s="865">
        <f>'REF. DE PREÇOS n editavel'!J101</f>
        <v>0</v>
      </c>
      <c r="K101" s="878" t="str">
        <f>'REF. DE PREÇOS n editavel'!K101</f>
        <v xml:space="preserve">     </v>
      </c>
      <c r="L101" s="1092"/>
      <c r="M101" s="1093">
        <f t="shared" si="7"/>
        <v>0</v>
      </c>
      <c r="N101" s="868">
        <f t="shared" si="10"/>
        <v>0</v>
      </c>
      <c r="O101" s="880"/>
      <c r="Q101" s="317" t="str">
        <f t="shared" si="6"/>
        <v/>
      </c>
      <c r="R101" s="317" t="str">
        <f t="shared" si="8"/>
        <v/>
      </c>
      <c r="S101" s="317" t="str">
        <f t="shared" si="9"/>
        <v/>
      </c>
      <c r="T101" s="317" t="str">
        <f>'REF. DE PREÇOS n editavel'!S101</f>
        <v/>
      </c>
      <c r="W101" s="577">
        <v>0</v>
      </c>
      <c r="X101" s="575"/>
      <c r="Y101" s="578">
        <f>IF('REF. DE PREÇOS n editavel'!W101=0,0,IF('REF. DE PREÇOS n editavel'!W101&gt;0,"c","b"))</f>
        <v>0</v>
      </c>
    </row>
    <row r="102" spans="1:25" ht="15" customHeight="1">
      <c r="A102" s="634" t="s">
        <v>165</v>
      </c>
      <c r="B102" s="1010" t="str">
        <f>'REF. DE PREÇOS n editavel'!B102</f>
        <v/>
      </c>
      <c r="C102" s="1045" t="str">
        <f>'REF. DE PREÇOS n editavel'!C102</f>
        <v/>
      </c>
      <c r="D102" s="1096">
        <f>'REF. DE PREÇOS n editavel'!D102</f>
        <v>0</v>
      </c>
      <c r="E102" s="882">
        <f>'REF. DE PREÇOS n editavel'!E102</f>
        <v>0</v>
      </c>
      <c r="F102" s="883">
        <f>'REF. DE PREÇOS n editavel'!F102</f>
        <v>0</v>
      </c>
      <c r="G102" s="887">
        <f>'REF. DE PREÇOS n editavel'!G102</f>
        <v>0</v>
      </c>
      <c r="H102" s="876">
        <f>'REF. DE PREÇOS n editavel'!H102</f>
        <v>0</v>
      </c>
      <c r="I102" s="876">
        <f>'REF. DE PREÇOS n editavel'!I102</f>
        <v>0</v>
      </c>
      <c r="J102" s="865">
        <f>'REF. DE PREÇOS n editavel'!J102</f>
        <v>0</v>
      </c>
      <c r="K102" s="878" t="str">
        <f>'REF. DE PREÇOS n editavel'!K102</f>
        <v xml:space="preserve">     </v>
      </c>
      <c r="L102" s="1092"/>
      <c r="M102" s="1093">
        <f t="shared" si="7"/>
        <v>0</v>
      </c>
      <c r="N102" s="868">
        <f t="shared" si="10"/>
        <v>0</v>
      </c>
      <c r="O102" s="880"/>
      <c r="Q102" s="317" t="str">
        <f t="shared" si="6"/>
        <v/>
      </c>
      <c r="R102" s="317" t="str">
        <f t="shared" si="8"/>
        <v/>
      </c>
      <c r="S102" s="317" t="str">
        <f t="shared" si="9"/>
        <v/>
      </c>
      <c r="T102" s="317" t="str">
        <f>'REF. DE PREÇOS n editavel'!S102</f>
        <v/>
      </c>
      <c r="W102" s="577">
        <v>0</v>
      </c>
      <c r="X102" s="575"/>
      <c r="Y102" s="578">
        <f>IF('REF. DE PREÇOS n editavel'!W102=0,0,IF('REF. DE PREÇOS n editavel'!W102&gt;0,"c","b"))</f>
        <v>0</v>
      </c>
    </row>
    <row r="103" spans="1:25" ht="15" customHeight="1">
      <c r="A103" s="634" t="s">
        <v>165</v>
      </c>
      <c r="B103" s="1010" t="str">
        <f>'REF. DE PREÇOS n editavel'!B103</f>
        <v/>
      </c>
      <c r="C103" s="1045" t="str">
        <f>'REF. DE PREÇOS n editavel'!C103</f>
        <v/>
      </c>
      <c r="D103" s="1096">
        <f>'REF. DE PREÇOS n editavel'!D103</f>
        <v>0</v>
      </c>
      <c r="E103" s="882">
        <f>'REF. DE PREÇOS n editavel'!E103</f>
        <v>0</v>
      </c>
      <c r="F103" s="883">
        <f>'REF. DE PREÇOS n editavel'!F103</f>
        <v>0</v>
      </c>
      <c r="G103" s="887">
        <f>'REF. DE PREÇOS n editavel'!G103</f>
        <v>0</v>
      </c>
      <c r="H103" s="876">
        <f>'REF. DE PREÇOS n editavel'!H103</f>
        <v>0</v>
      </c>
      <c r="I103" s="876">
        <f>'REF. DE PREÇOS n editavel'!I103</f>
        <v>0</v>
      </c>
      <c r="J103" s="865">
        <f>'REF. DE PREÇOS n editavel'!J103</f>
        <v>0</v>
      </c>
      <c r="K103" s="878" t="str">
        <f>'REF. DE PREÇOS n editavel'!K103</f>
        <v xml:space="preserve">     </v>
      </c>
      <c r="L103" s="1092"/>
      <c r="M103" s="1093">
        <f t="shared" si="7"/>
        <v>0</v>
      </c>
      <c r="N103" s="868">
        <f t="shared" si="10"/>
        <v>0</v>
      </c>
      <c r="O103" s="880"/>
      <c r="Q103" s="317" t="str">
        <f t="shared" si="6"/>
        <v/>
      </c>
      <c r="R103" s="317" t="str">
        <f t="shared" si="8"/>
        <v/>
      </c>
      <c r="S103" s="317" t="str">
        <f t="shared" si="9"/>
        <v/>
      </c>
      <c r="T103" s="317" t="str">
        <f>'REF. DE PREÇOS n editavel'!S103</f>
        <v/>
      </c>
      <c r="W103" s="577">
        <v>0</v>
      </c>
      <c r="X103" s="575"/>
      <c r="Y103" s="578">
        <f>IF('REF. DE PREÇOS n editavel'!W103=0,0,IF('REF. DE PREÇOS n editavel'!W103&gt;0,"c","b"))</f>
        <v>0</v>
      </c>
    </row>
    <row r="104" spans="1:25" ht="15" customHeight="1">
      <c r="A104" s="634" t="s">
        <v>165</v>
      </c>
      <c r="B104" s="1010" t="str">
        <f>'REF. DE PREÇOS n editavel'!B104</f>
        <v/>
      </c>
      <c r="C104" s="1045" t="str">
        <f>'REF. DE PREÇOS n editavel'!C104</f>
        <v/>
      </c>
      <c r="D104" s="1096">
        <f>'REF. DE PREÇOS n editavel'!D104</f>
        <v>0</v>
      </c>
      <c r="E104" s="882">
        <f>'REF. DE PREÇOS n editavel'!E104</f>
        <v>0</v>
      </c>
      <c r="F104" s="883">
        <f>'REF. DE PREÇOS n editavel'!F104</f>
        <v>0</v>
      </c>
      <c r="G104" s="887">
        <f>'REF. DE PREÇOS n editavel'!G104</f>
        <v>0</v>
      </c>
      <c r="H104" s="876">
        <f>'REF. DE PREÇOS n editavel'!H104</f>
        <v>0</v>
      </c>
      <c r="I104" s="876">
        <f>'REF. DE PREÇOS n editavel'!I104</f>
        <v>0</v>
      </c>
      <c r="J104" s="865">
        <f>'REF. DE PREÇOS n editavel'!J104</f>
        <v>0</v>
      </c>
      <c r="K104" s="878" t="str">
        <f>'REF. DE PREÇOS n editavel'!K104</f>
        <v xml:space="preserve">     </v>
      </c>
      <c r="L104" s="1092"/>
      <c r="M104" s="1093">
        <f t="shared" si="7"/>
        <v>0</v>
      </c>
      <c r="N104" s="868">
        <f t="shared" si="10"/>
        <v>0</v>
      </c>
      <c r="O104" s="880"/>
      <c r="Q104" s="317" t="str">
        <f t="shared" si="6"/>
        <v/>
      </c>
      <c r="R104" s="317" t="str">
        <f t="shared" si="8"/>
        <v/>
      </c>
      <c r="S104" s="317" t="str">
        <f t="shared" si="9"/>
        <v/>
      </c>
      <c r="T104" s="317" t="str">
        <f>'REF. DE PREÇOS n editavel'!S104</f>
        <v/>
      </c>
      <c r="W104" s="577">
        <v>0</v>
      </c>
      <c r="X104" s="575"/>
      <c r="Y104" s="578">
        <f>IF('REF. DE PREÇOS n editavel'!W104=0,0,IF('REF. DE PREÇOS n editavel'!W104&gt;0,"c","b"))</f>
        <v>0</v>
      </c>
    </row>
    <row r="105" spans="1:25" ht="15" customHeight="1">
      <c r="A105" s="634" t="s">
        <v>165</v>
      </c>
      <c r="B105" s="1010" t="str">
        <f>'REF. DE PREÇOS n editavel'!B105</f>
        <v/>
      </c>
      <c r="C105" s="1045" t="str">
        <f>'REF. DE PREÇOS n editavel'!C105</f>
        <v/>
      </c>
      <c r="D105" s="1096">
        <f>'REF. DE PREÇOS n editavel'!D105</f>
        <v>0</v>
      </c>
      <c r="E105" s="882">
        <f>'REF. DE PREÇOS n editavel'!E105</f>
        <v>0</v>
      </c>
      <c r="F105" s="883">
        <f>'REF. DE PREÇOS n editavel'!F105</f>
        <v>0</v>
      </c>
      <c r="G105" s="887">
        <f>'REF. DE PREÇOS n editavel'!G105</f>
        <v>0</v>
      </c>
      <c r="H105" s="876">
        <f>'REF. DE PREÇOS n editavel'!H105</f>
        <v>0</v>
      </c>
      <c r="I105" s="876">
        <f>'REF. DE PREÇOS n editavel'!I105</f>
        <v>0</v>
      </c>
      <c r="J105" s="865">
        <f>'REF. DE PREÇOS n editavel'!J105</f>
        <v>0</v>
      </c>
      <c r="K105" s="878" t="str">
        <f>'REF. DE PREÇOS n editavel'!K105</f>
        <v xml:space="preserve">     </v>
      </c>
      <c r="L105" s="1092"/>
      <c r="M105" s="1093">
        <f t="shared" si="7"/>
        <v>0</v>
      </c>
      <c r="N105" s="868">
        <f t="shared" si="10"/>
        <v>0</v>
      </c>
      <c r="O105" s="880"/>
      <c r="Q105" s="317" t="str">
        <f t="shared" si="6"/>
        <v/>
      </c>
      <c r="R105" s="317" t="str">
        <f t="shared" si="8"/>
        <v/>
      </c>
      <c r="S105" s="317" t="str">
        <f t="shared" si="9"/>
        <v/>
      </c>
      <c r="T105" s="317" t="str">
        <f>'REF. DE PREÇOS n editavel'!S105</f>
        <v/>
      </c>
      <c r="W105" s="577">
        <v>0</v>
      </c>
      <c r="X105" s="575"/>
      <c r="Y105" s="578">
        <f>IF('REF. DE PREÇOS n editavel'!W105=0,0,IF('REF. DE PREÇOS n editavel'!W105&gt;0,"c","b"))</f>
        <v>0</v>
      </c>
    </row>
    <row r="106" spans="1:25" ht="15" customHeight="1">
      <c r="A106" s="634" t="s">
        <v>165</v>
      </c>
      <c r="B106" s="1010" t="str">
        <f>'REF. DE PREÇOS n editavel'!B106</f>
        <v/>
      </c>
      <c r="C106" s="1045" t="str">
        <f>'REF. DE PREÇOS n editavel'!C106</f>
        <v/>
      </c>
      <c r="D106" s="1096">
        <f>'REF. DE PREÇOS n editavel'!D106</f>
        <v>0</v>
      </c>
      <c r="E106" s="882">
        <f>'REF. DE PREÇOS n editavel'!E106</f>
        <v>0</v>
      </c>
      <c r="F106" s="883">
        <f>'REF. DE PREÇOS n editavel'!F106</f>
        <v>0</v>
      </c>
      <c r="G106" s="887">
        <f>'REF. DE PREÇOS n editavel'!G106</f>
        <v>0</v>
      </c>
      <c r="H106" s="876">
        <f>'REF. DE PREÇOS n editavel'!H106</f>
        <v>0</v>
      </c>
      <c r="I106" s="876">
        <f>'REF. DE PREÇOS n editavel'!I106</f>
        <v>0</v>
      </c>
      <c r="J106" s="865">
        <f>'REF. DE PREÇOS n editavel'!J106</f>
        <v>0</v>
      </c>
      <c r="K106" s="878" t="str">
        <f>'REF. DE PREÇOS n editavel'!K106</f>
        <v xml:space="preserve">     </v>
      </c>
      <c r="L106" s="1092"/>
      <c r="M106" s="1093">
        <f t="shared" si="7"/>
        <v>0</v>
      </c>
      <c r="N106" s="868">
        <f t="shared" si="10"/>
        <v>0</v>
      </c>
      <c r="O106" s="880"/>
      <c r="Q106" s="317" t="str">
        <f t="shared" si="6"/>
        <v/>
      </c>
      <c r="R106" s="317" t="str">
        <f t="shared" si="8"/>
        <v/>
      </c>
      <c r="S106" s="317" t="str">
        <f t="shared" si="9"/>
        <v/>
      </c>
      <c r="T106" s="317" t="str">
        <f>'REF. DE PREÇOS n editavel'!S106</f>
        <v/>
      </c>
      <c r="W106" s="577">
        <v>0</v>
      </c>
      <c r="X106" s="575"/>
      <c r="Y106" s="578">
        <f>IF('REF. DE PREÇOS n editavel'!W106=0,0,IF('REF. DE PREÇOS n editavel'!W106&gt;0,"c","b"))</f>
        <v>0</v>
      </c>
    </row>
    <row r="107" spans="1:25" ht="15" customHeight="1">
      <c r="A107" s="634" t="s">
        <v>165</v>
      </c>
      <c r="B107" s="1010" t="str">
        <f>'REF. DE PREÇOS n editavel'!B107</f>
        <v/>
      </c>
      <c r="C107" s="1045" t="str">
        <f>'REF. DE PREÇOS n editavel'!C107</f>
        <v/>
      </c>
      <c r="D107" s="1096">
        <f>'REF. DE PREÇOS n editavel'!D107</f>
        <v>0</v>
      </c>
      <c r="E107" s="882">
        <f>'REF. DE PREÇOS n editavel'!E107</f>
        <v>0</v>
      </c>
      <c r="F107" s="883">
        <f>'REF. DE PREÇOS n editavel'!F107</f>
        <v>0</v>
      </c>
      <c r="G107" s="887">
        <f>'REF. DE PREÇOS n editavel'!G107</f>
        <v>0</v>
      </c>
      <c r="H107" s="876">
        <f>'REF. DE PREÇOS n editavel'!H107</f>
        <v>0</v>
      </c>
      <c r="I107" s="876">
        <f>'REF. DE PREÇOS n editavel'!I107</f>
        <v>0</v>
      </c>
      <c r="J107" s="865">
        <f>'REF. DE PREÇOS n editavel'!J107</f>
        <v>0</v>
      </c>
      <c r="K107" s="878" t="str">
        <f>'REF. DE PREÇOS n editavel'!K107</f>
        <v xml:space="preserve">     </v>
      </c>
      <c r="L107" s="1092"/>
      <c r="M107" s="1093">
        <f t="shared" si="7"/>
        <v>0</v>
      </c>
      <c r="N107" s="868">
        <f t="shared" si="10"/>
        <v>0</v>
      </c>
      <c r="O107" s="880"/>
      <c r="Q107" s="317" t="str">
        <f t="shared" si="6"/>
        <v/>
      </c>
      <c r="R107" s="317" t="str">
        <f t="shared" si="8"/>
        <v/>
      </c>
      <c r="S107" s="317" t="str">
        <f t="shared" si="9"/>
        <v/>
      </c>
      <c r="T107" s="317" t="str">
        <f>'REF. DE PREÇOS n editavel'!S107</f>
        <v/>
      </c>
      <c r="W107" s="577">
        <v>0</v>
      </c>
      <c r="X107" s="575"/>
      <c r="Y107" s="578">
        <f>IF('REF. DE PREÇOS n editavel'!W107=0,0,IF('REF. DE PREÇOS n editavel'!W107&gt;0,"c","b"))</f>
        <v>0</v>
      </c>
    </row>
    <row r="108" spans="1:25" ht="15" customHeight="1">
      <c r="A108" s="634" t="s">
        <v>165</v>
      </c>
      <c r="B108" s="1010" t="str">
        <f>'REF. DE PREÇOS n editavel'!B108</f>
        <v/>
      </c>
      <c r="C108" s="1045" t="str">
        <f>'REF. DE PREÇOS n editavel'!C108</f>
        <v/>
      </c>
      <c r="D108" s="1096">
        <f>'REF. DE PREÇOS n editavel'!D108</f>
        <v>0</v>
      </c>
      <c r="E108" s="882">
        <f>'REF. DE PREÇOS n editavel'!E108</f>
        <v>0</v>
      </c>
      <c r="F108" s="883">
        <f>'REF. DE PREÇOS n editavel'!F108</f>
        <v>0</v>
      </c>
      <c r="G108" s="887">
        <f>'REF. DE PREÇOS n editavel'!G108</f>
        <v>0</v>
      </c>
      <c r="H108" s="876">
        <f>'REF. DE PREÇOS n editavel'!H108</f>
        <v>0</v>
      </c>
      <c r="I108" s="876">
        <f>'REF. DE PREÇOS n editavel'!I108</f>
        <v>0</v>
      </c>
      <c r="J108" s="865">
        <f>'REF. DE PREÇOS n editavel'!J108</f>
        <v>0</v>
      </c>
      <c r="K108" s="878" t="str">
        <f>'REF. DE PREÇOS n editavel'!K108</f>
        <v xml:space="preserve">     </v>
      </c>
      <c r="L108" s="1092"/>
      <c r="M108" s="1093">
        <f t="shared" si="7"/>
        <v>0</v>
      </c>
      <c r="N108" s="868">
        <f t="shared" si="10"/>
        <v>0</v>
      </c>
      <c r="O108" s="880"/>
      <c r="Q108" s="317" t="str">
        <f t="shared" si="6"/>
        <v/>
      </c>
      <c r="R108" s="317" t="str">
        <f t="shared" si="8"/>
        <v/>
      </c>
      <c r="S108" s="317" t="str">
        <f t="shared" si="9"/>
        <v/>
      </c>
      <c r="T108" s="317" t="str">
        <f>'REF. DE PREÇOS n editavel'!S108</f>
        <v/>
      </c>
      <c r="W108" s="577">
        <v>0</v>
      </c>
      <c r="X108" s="575"/>
      <c r="Y108" s="578">
        <f>IF('REF. DE PREÇOS n editavel'!W108=0,0,IF('REF. DE PREÇOS n editavel'!W108&gt;0,"c","b"))</f>
        <v>0</v>
      </c>
    </row>
    <row r="109" spans="1:25" ht="15" customHeight="1">
      <c r="A109" s="634" t="s">
        <v>165</v>
      </c>
      <c r="B109" s="1010" t="str">
        <f>'REF. DE PREÇOS n editavel'!B109</f>
        <v/>
      </c>
      <c r="C109" s="1045" t="str">
        <f>'REF. DE PREÇOS n editavel'!C109</f>
        <v/>
      </c>
      <c r="D109" s="1096">
        <f>'REF. DE PREÇOS n editavel'!D109</f>
        <v>0</v>
      </c>
      <c r="E109" s="882">
        <f>'REF. DE PREÇOS n editavel'!E109</f>
        <v>0</v>
      </c>
      <c r="F109" s="883">
        <f>'REF. DE PREÇOS n editavel'!F109</f>
        <v>0</v>
      </c>
      <c r="G109" s="887">
        <f>'REF. DE PREÇOS n editavel'!G109</f>
        <v>0</v>
      </c>
      <c r="H109" s="876">
        <f>'REF. DE PREÇOS n editavel'!H109</f>
        <v>0</v>
      </c>
      <c r="I109" s="876">
        <f>'REF. DE PREÇOS n editavel'!I109</f>
        <v>0</v>
      </c>
      <c r="J109" s="865">
        <f>'REF. DE PREÇOS n editavel'!J109</f>
        <v>0</v>
      </c>
      <c r="K109" s="878" t="str">
        <f>'REF. DE PREÇOS n editavel'!K109</f>
        <v xml:space="preserve">     </v>
      </c>
      <c r="L109" s="1092"/>
      <c r="M109" s="1093">
        <f t="shared" si="7"/>
        <v>0</v>
      </c>
      <c r="N109" s="868">
        <f t="shared" si="10"/>
        <v>0</v>
      </c>
      <c r="O109" s="880"/>
      <c r="Q109" s="317" t="str">
        <f t="shared" si="6"/>
        <v/>
      </c>
      <c r="R109" s="317" t="str">
        <f t="shared" si="8"/>
        <v/>
      </c>
      <c r="S109" s="317" t="str">
        <f t="shared" si="9"/>
        <v/>
      </c>
      <c r="T109" s="317" t="str">
        <f>'REF. DE PREÇOS n editavel'!S109</f>
        <v/>
      </c>
      <c r="W109" s="577">
        <v>0</v>
      </c>
      <c r="X109" s="575"/>
      <c r="Y109" s="578">
        <f>IF('REF. DE PREÇOS n editavel'!W109=0,0,IF('REF. DE PREÇOS n editavel'!W109&gt;0,"c","b"))</f>
        <v>0</v>
      </c>
    </row>
    <row r="110" spans="1:25" ht="15" customHeight="1">
      <c r="A110" s="634" t="s">
        <v>165</v>
      </c>
      <c r="B110" s="1010" t="str">
        <f>'REF. DE PREÇOS n editavel'!B110</f>
        <v/>
      </c>
      <c r="C110" s="1045" t="str">
        <f>'REF. DE PREÇOS n editavel'!C110</f>
        <v/>
      </c>
      <c r="D110" s="1096">
        <f>'REF. DE PREÇOS n editavel'!D110</f>
        <v>0</v>
      </c>
      <c r="E110" s="882">
        <f>'REF. DE PREÇOS n editavel'!E110</f>
        <v>0</v>
      </c>
      <c r="F110" s="883">
        <f>'REF. DE PREÇOS n editavel'!F110</f>
        <v>0</v>
      </c>
      <c r="G110" s="887">
        <f>'REF. DE PREÇOS n editavel'!G110</f>
        <v>0</v>
      </c>
      <c r="H110" s="876">
        <f>'REF. DE PREÇOS n editavel'!H110</f>
        <v>0</v>
      </c>
      <c r="I110" s="876">
        <f>'REF. DE PREÇOS n editavel'!I110</f>
        <v>0</v>
      </c>
      <c r="J110" s="865">
        <f>'REF. DE PREÇOS n editavel'!J110</f>
        <v>0</v>
      </c>
      <c r="K110" s="878" t="str">
        <f>'REF. DE PREÇOS n editavel'!K110</f>
        <v xml:space="preserve">     </v>
      </c>
      <c r="L110" s="1092"/>
      <c r="M110" s="1093">
        <f t="shared" si="7"/>
        <v>0</v>
      </c>
      <c r="N110" s="868">
        <f t="shared" si="10"/>
        <v>0</v>
      </c>
      <c r="O110" s="880"/>
      <c r="Q110" s="317" t="str">
        <f t="shared" si="6"/>
        <v/>
      </c>
      <c r="R110" s="317" t="str">
        <f t="shared" si="8"/>
        <v/>
      </c>
      <c r="S110" s="317" t="str">
        <f t="shared" si="9"/>
        <v/>
      </c>
      <c r="T110" s="317" t="str">
        <f>'REF. DE PREÇOS n editavel'!S110</f>
        <v/>
      </c>
      <c r="W110" s="577">
        <v>0</v>
      </c>
      <c r="X110" s="575"/>
      <c r="Y110" s="578">
        <f>IF('REF. DE PREÇOS n editavel'!W110=0,0,IF('REF. DE PREÇOS n editavel'!W110&gt;0,"c","b"))</f>
        <v>0</v>
      </c>
    </row>
    <row r="111" spans="1:25" ht="15" customHeight="1">
      <c r="A111" s="634" t="s">
        <v>165</v>
      </c>
      <c r="B111" s="1010" t="str">
        <f>'REF. DE PREÇOS n editavel'!B111</f>
        <v/>
      </c>
      <c r="C111" s="1045" t="str">
        <f>'REF. DE PREÇOS n editavel'!C111</f>
        <v/>
      </c>
      <c r="D111" s="1096">
        <f>'REF. DE PREÇOS n editavel'!D111</f>
        <v>0</v>
      </c>
      <c r="E111" s="882">
        <f>'REF. DE PREÇOS n editavel'!E111</f>
        <v>0</v>
      </c>
      <c r="F111" s="883">
        <f>'REF. DE PREÇOS n editavel'!F111</f>
        <v>0</v>
      </c>
      <c r="G111" s="887">
        <f>'REF. DE PREÇOS n editavel'!G111</f>
        <v>0</v>
      </c>
      <c r="H111" s="876">
        <f>'REF. DE PREÇOS n editavel'!H111</f>
        <v>0</v>
      </c>
      <c r="I111" s="876">
        <f>'REF. DE PREÇOS n editavel'!I111</f>
        <v>0</v>
      </c>
      <c r="J111" s="865">
        <f>'REF. DE PREÇOS n editavel'!J111</f>
        <v>0</v>
      </c>
      <c r="K111" s="878" t="str">
        <f>'REF. DE PREÇOS n editavel'!K111</f>
        <v xml:space="preserve">     </v>
      </c>
      <c r="L111" s="1092"/>
      <c r="M111" s="1093">
        <f t="shared" si="7"/>
        <v>0</v>
      </c>
      <c r="N111" s="868">
        <f t="shared" si="10"/>
        <v>0</v>
      </c>
      <c r="O111" s="880"/>
      <c r="Q111" s="317" t="str">
        <f t="shared" si="6"/>
        <v/>
      </c>
      <c r="R111" s="317" t="str">
        <f t="shared" si="8"/>
        <v/>
      </c>
      <c r="S111" s="317" t="str">
        <f t="shared" si="9"/>
        <v/>
      </c>
      <c r="T111" s="317" t="str">
        <f>'REF. DE PREÇOS n editavel'!S111</f>
        <v/>
      </c>
      <c r="W111" s="577">
        <v>0</v>
      </c>
      <c r="X111" s="575"/>
      <c r="Y111" s="578">
        <f>IF('REF. DE PREÇOS n editavel'!W111=0,0,IF('REF. DE PREÇOS n editavel'!W111&gt;0,"c","b"))</f>
        <v>0</v>
      </c>
    </row>
    <row r="112" spans="1:25" ht="15" customHeight="1">
      <c r="A112" s="634" t="s">
        <v>165</v>
      </c>
      <c r="B112" s="1010" t="str">
        <f>'REF. DE PREÇOS n editavel'!B112</f>
        <v/>
      </c>
      <c r="C112" s="1045" t="str">
        <f>'REF. DE PREÇOS n editavel'!C112</f>
        <v/>
      </c>
      <c r="D112" s="1096">
        <f>'REF. DE PREÇOS n editavel'!D112</f>
        <v>0</v>
      </c>
      <c r="E112" s="882">
        <f>'REF. DE PREÇOS n editavel'!E112</f>
        <v>0</v>
      </c>
      <c r="F112" s="883">
        <f>'REF. DE PREÇOS n editavel'!F112</f>
        <v>0</v>
      </c>
      <c r="G112" s="887">
        <f>'REF. DE PREÇOS n editavel'!G112</f>
        <v>0</v>
      </c>
      <c r="H112" s="876">
        <f>'REF. DE PREÇOS n editavel'!H112</f>
        <v>0</v>
      </c>
      <c r="I112" s="876">
        <f>'REF. DE PREÇOS n editavel'!I112</f>
        <v>0</v>
      </c>
      <c r="J112" s="865">
        <f>'REF. DE PREÇOS n editavel'!J112</f>
        <v>0</v>
      </c>
      <c r="K112" s="878" t="str">
        <f>'REF. DE PREÇOS n editavel'!K112</f>
        <v xml:space="preserve">     </v>
      </c>
      <c r="L112" s="1092"/>
      <c r="M112" s="1093">
        <f t="shared" si="7"/>
        <v>0</v>
      </c>
      <c r="N112" s="868">
        <f t="shared" si="10"/>
        <v>0</v>
      </c>
      <c r="O112" s="880"/>
      <c r="Q112" s="317" t="str">
        <f t="shared" si="6"/>
        <v/>
      </c>
      <c r="R112" s="317" t="str">
        <f t="shared" si="8"/>
        <v/>
      </c>
      <c r="S112" s="317" t="str">
        <f t="shared" si="9"/>
        <v/>
      </c>
      <c r="T112" s="317" t="str">
        <f>'REF. DE PREÇOS n editavel'!S112</f>
        <v/>
      </c>
      <c r="W112" s="577">
        <v>0</v>
      </c>
      <c r="X112" s="575"/>
      <c r="Y112" s="578">
        <f>IF('REF. DE PREÇOS n editavel'!W112=0,0,IF('REF. DE PREÇOS n editavel'!W112&gt;0,"c","b"))</f>
        <v>0</v>
      </c>
    </row>
    <row r="113" spans="1:25" ht="15" customHeight="1">
      <c r="A113" s="634" t="s">
        <v>165</v>
      </c>
      <c r="B113" s="1010" t="str">
        <f>'REF. DE PREÇOS n editavel'!B113</f>
        <v/>
      </c>
      <c r="C113" s="1045" t="str">
        <f>'REF. DE PREÇOS n editavel'!C113</f>
        <v/>
      </c>
      <c r="D113" s="1096">
        <f>'REF. DE PREÇOS n editavel'!D113</f>
        <v>0</v>
      </c>
      <c r="E113" s="882">
        <f>'REF. DE PREÇOS n editavel'!E113</f>
        <v>0</v>
      </c>
      <c r="F113" s="883">
        <f>'REF. DE PREÇOS n editavel'!F113</f>
        <v>0</v>
      </c>
      <c r="G113" s="887">
        <f>'REF. DE PREÇOS n editavel'!G113</f>
        <v>0</v>
      </c>
      <c r="H113" s="876">
        <f>'REF. DE PREÇOS n editavel'!H113</f>
        <v>0</v>
      </c>
      <c r="I113" s="876">
        <f>'REF. DE PREÇOS n editavel'!I113</f>
        <v>0</v>
      </c>
      <c r="J113" s="865">
        <f>'REF. DE PREÇOS n editavel'!J113</f>
        <v>0</v>
      </c>
      <c r="K113" s="878" t="str">
        <f>'REF. DE PREÇOS n editavel'!K113</f>
        <v xml:space="preserve">     </v>
      </c>
      <c r="L113" s="1092"/>
      <c r="M113" s="1093">
        <f t="shared" si="7"/>
        <v>0</v>
      </c>
      <c r="N113" s="868">
        <f t="shared" si="10"/>
        <v>0</v>
      </c>
      <c r="O113" s="880"/>
      <c r="Q113" s="317" t="str">
        <f t="shared" si="6"/>
        <v/>
      </c>
      <c r="R113" s="317" t="str">
        <f t="shared" si="8"/>
        <v/>
      </c>
      <c r="S113" s="317" t="str">
        <f t="shared" si="9"/>
        <v/>
      </c>
      <c r="T113" s="317" t="str">
        <f>'REF. DE PREÇOS n editavel'!S113</f>
        <v/>
      </c>
      <c r="W113" s="577">
        <v>0</v>
      </c>
      <c r="X113" s="575"/>
      <c r="Y113" s="578">
        <f>IF('REF. DE PREÇOS n editavel'!W113=0,0,IF('REF. DE PREÇOS n editavel'!W113&gt;0,"c","b"))</f>
        <v>0</v>
      </c>
    </row>
    <row r="114" spans="1:25" ht="15" customHeight="1">
      <c r="A114" s="634" t="s">
        <v>165</v>
      </c>
      <c r="B114" s="1010" t="str">
        <f>'REF. DE PREÇOS n editavel'!B114</f>
        <v/>
      </c>
      <c r="C114" s="1045" t="str">
        <f>'REF. DE PREÇOS n editavel'!C114</f>
        <v/>
      </c>
      <c r="D114" s="1096">
        <f>'REF. DE PREÇOS n editavel'!D114</f>
        <v>0</v>
      </c>
      <c r="E114" s="882">
        <f>'REF. DE PREÇOS n editavel'!E114</f>
        <v>0</v>
      </c>
      <c r="F114" s="883">
        <f>'REF. DE PREÇOS n editavel'!F114</f>
        <v>0</v>
      </c>
      <c r="G114" s="887">
        <f>'REF. DE PREÇOS n editavel'!G114</f>
        <v>0</v>
      </c>
      <c r="H114" s="876">
        <f>'REF. DE PREÇOS n editavel'!H114</f>
        <v>0</v>
      </c>
      <c r="I114" s="876">
        <f>'REF. DE PREÇOS n editavel'!I114</f>
        <v>0</v>
      </c>
      <c r="J114" s="865">
        <f>'REF. DE PREÇOS n editavel'!J114</f>
        <v>0</v>
      </c>
      <c r="K114" s="878" t="str">
        <f>'REF. DE PREÇOS n editavel'!K114</f>
        <v xml:space="preserve">     </v>
      </c>
      <c r="L114" s="1092"/>
      <c r="M114" s="1093">
        <f t="shared" si="7"/>
        <v>0</v>
      </c>
      <c r="N114" s="868">
        <f t="shared" si="10"/>
        <v>0</v>
      </c>
      <c r="O114" s="880"/>
      <c r="Q114" s="317" t="str">
        <f t="shared" si="6"/>
        <v/>
      </c>
      <c r="R114" s="317" t="str">
        <f t="shared" si="8"/>
        <v/>
      </c>
      <c r="S114" s="317" t="str">
        <f t="shared" si="9"/>
        <v/>
      </c>
      <c r="T114" s="317" t="str">
        <f>'REF. DE PREÇOS n editavel'!S114</f>
        <v/>
      </c>
      <c r="W114" s="577">
        <v>0</v>
      </c>
      <c r="X114" s="575"/>
      <c r="Y114" s="578">
        <f>IF('REF. DE PREÇOS n editavel'!W114=0,0,IF('REF. DE PREÇOS n editavel'!W114&gt;0,"c","b"))</f>
        <v>0</v>
      </c>
    </row>
    <row r="115" spans="1:25" ht="15" customHeight="1">
      <c r="A115" s="634" t="s">
        <v>165</v>
      </c>
      <c r="B115" s="1010" t="str">
        <f>'REF. DE PREÇOS n editavel'!B115</f>
        <v/>
      </c>
      <c r="C115" s="1045" t="str">
        <f>'REF. DE PREÇOS n editavel'!C115</f>
        <v/>
      </c>
      <c r="D115" s="1096">
        <f>'REF. DE PREÇOS n editavel'!D115</f>
        <v>0</v>
      </c>
      <c r="E115" s="882">
        <f>'REF. DE PREÇOS n editavel'!E115</f>
        <v>0</v>
      </c>
      <c r="F115" s="883">
        <f>'REF. DE PREÇOS n editavel'!F115</f>
        <v>0</v>
      </c>
      <c r="G115" s="887">
        <f>'REF. DE PREÇOS n editavel'!G115</f>
        <v>0</v>
      </c>
      <c r="H115" s="876">
        <f>'REF. DE PREÇOS n editavel'!H115</f>
        <v>0</v>
      </c>
      <c r="I115" s="876">
        <f>'REF. DE PREÇOS n editavel'!I115</f>
        <v>0</v>
      </c>
      <c r="J115" s="865">
        <f>'REF. DE PREÇOS n editavel'!J115</f>
        <v>0</v>
      </c>
      <c r="K115" s="878" t="str">
        <f>'REF. DE PREÇOS n editavel'!K115</f>
        <v xml:space="preserve">     </v>
      </c>
      <c r="L115" s="1092"/>
      <c r="M115" s="1093">
        <f t="shared" si="7"/>
        <v>0</v>
      </c>
      <c r="N115" s="868">
        <f t="shared" si="10"/>
        <v>0</v>
      </c>
      <c r="O115" s="880"/>
      <c r="Q115" s="317" t="str">
        <f t="shared" si="6"/>
        <v/>
      </c>
      <c r="R115" s="317" t="str">
        <f t="shared" si="8"/>
        <v/>
      </c>
      <c r="S115" s="317" t="str">
        <f t="shared" si="9"/>
        <v/>
      </c>
      <c r="T115" s="317" t="str">
        <f>'REF. DE PREÇOS n editavel'!S115</f>
        <v/>
      </c>
      <c r="W115" s="577">
        <v>0</v>
      </c>
      <c r="X115" s="575"/>
      <c r="Y115" s="578">
        <f>IF('REF. DE PREÇOS n editavel'!W115=0,0,IF('REF. DE PREÇOS n editavel'!W115&gt;0,"c","b"))</f>
        <v>0</v>
      </c>
    </row>
    <row r="116" spans="1:25" ht="15" customHeight="1" thickBot="1">
      <c r="A116" s="634" t="s">
        <v>165</v>
      </c>
      <c r="B116" s="1010" t="str">
        <f>'REF. DE PREÇOS n editavel'!B116</f>
        <v/>
      </c>
      <c r="C116" s="1045" t="str">
        <f>'REF. DE PREÇOS n editavel'!C116</f>
        <v/>
      </c>
      <c r="D116" s="1096">
        <f>'REF. DE PREÇOS n editavel'!D116</f>
        <v>0</v>
      </c>
      <c r="E116" s="882">
        <f>'REF. DE PREÇOS n editavel'!E116</f>
        <v>0</v>
      </c>
      <c r="F116" s="883">
        <f>'REF. DE PREÇOS n editavel'!F116</f>
        <v>0</v>
      </c>
      <c r="G116" s="887">
        <f>'REF. DE PREÇOS n editavel'!G116</f>
        <v>0</v>
      </c>
      <c r="H116" s="876">
        <f>'REF. DE PREÇOS n editavel'!H116</f>
        <v>0</v>
      </c>
      <c r="I116" s="876">
        <f>'REF. DE PREÇOS n editavel'!I116</f>
        <v>0</v>
      </c>
      <c r="J116" s="865">
        <f>'REF. DE PREÇOS n editavel'!J116</f>
        <v>0</v>
      </c>
      <c r="K116" s="878" t="str">
        <f>'REF. DE PREÇOS n editavel'!K116</f>
        <v xml:space="preserve">     </v>
      </c>
      <c r="L116" s="1092"/>
      <c r="M116" s="1093">
        <f t="shared" si="7"/>
        <v>0</v>
      </c>
      <c r="N116" s="868">
        <f t="shared" si="10"/>
        <v>0</v>
      </c>
      <c r="O116" s="880"/>
      <c r="Q116" s="317" t="str">
        <f t="shared" si="6"/>
        <v/>
      </c>
      <c r="R116" s="317" t="str">
        <f t="shared" si="8"/>
        <v/>
      </c>
      <c r="S116" s="317" t="str">
        <f t="shared" si="9"/>
        <v/>
      </c>
      <c r="T116" s="317" t="str">
        <f>'REF. DE PREÇOS n editavel'!S116</f>
        <v/>
      </c>
      <c r="W116" s="577">
        <v>0</v>
      </c>
      <c r="X116" s="575"/>
      <c r="Y116" s="578">
        <f>IF('REF. DE PREÇOS n editavel'!W116=0,0,IF('REF. DE PREÇOS n editavel'!W116&gt;0,"c","b"))</f>
        <v>0</v>
      </c>
    </row>
    <row r="117" spans="1:25" ht="15" customHeight="1" thickBot="1">
      <c r="A117" s="317" t="s">
        <v>185</v>
      </c>
      <c r="B117" s="924" t="s">
        <v>185</v>
      </c>
      <c r="C117" s="925"/>
      <c r="D117" s="926" t="s">
        <v>434</v>
      </c>
      <c r="E117" s="917">
        <f>'REF. DE PREÇOS n editavel'!E117</f>
        <v>0</v>
      </c>
      <c r="F117" s="851"/>
      <c r="G117" s="919"/>
      <c r="H117" s="919">
        <f>'REF. DE PREÇOS n editavel'!H117</f>
        <v>0</v>
      </c>
      <c r="I117" s="919">
        <f>'REF. DE PREÇOS n editavel'!I117</f>
        <v>0</v>
      </c>
      <c r="J117" s="919">
        <f>'REF. DE PREÇOS n editavel'!J117</f>
        <v>0</v>
      </c>
      <c r="K117" s="853" t="s">
        <v>506</v>
      </c>
      <c r="L117" s="854"/>
      <c r="M117" s="855"/>
      <c r="N117" s="856">
        <f t="shared" si="10"/>
        <v>0</v>
      </c>
      <c r="O117" s="857">
        <f>SUM(N118:N227)</f>
        <v>1241242.72</v>
      </c>
      <c r="P117" s="58" t="str">
        <f>IF(OR(O117&gt;0,O117&gt;0),"X","")</f>
        <v>X</v>
      </c>
      <c r="Q117" s="317" t="str">
        <f t="shared" si="6"/>
        <v>x</v>
      </c>
      <c r="R117" s="317" t="str">
        <f t="shared" si="8"/>
        <v>x</v>
      </c>
      <c r="S117" s="317" t="str">
        <f t="shared" si="9"/>
        <v>x</v>
      </c>
      <c r="T117" s="317" t="str">
        <f>'REF. DE PREÇOS n editavel'!S117</f>
        <v>x</v>
      </c>
      <c r="W117" s="577">
        <v>0</v>
      </c>
      <c r="X117" s="575"/>
      <c r="Y117" s="578">
        <f>IF('REF. DE PREÇOS n editavel'!W117=0,0,IF('REF. DE PREÇOS n editavel'!W117&gt;0,"c","b"))</f>
        <v>0</v>
      </c>
    </row>
    <row r="118" spans="1:25">
      <c r="A118" s="317">
        <v>520100</v>
      </c>
      <c r="B118" s="870" t="s">
        <v>1542</v>
      </c>
      <c r="C118" s="871" t="s">
        <v>184</v>
      </c>
      <c r="D118" s="881" t="s">
        <v>270</v>
      </c>
      <c r="E118" s="873">
        <f>'REF. DE PREÇOS n editavel'!E118</f>
        <v>0.5</v>
      </c>
      <c r="F118" s="874">
        <f>'REF. DE PREÇOS n editavel'!F118</f>
        <v>2.0999999999999996</v>
      </c>
      <c r="G118" s="927">
        <f>'REF. DE PREÇOS n editavel'!G118</f>
        <v>6.7514999999999992</v>
      </c>
      <c r="H118" s="928">
        <f>'REF. DE PREÇOS n editavel'!H118</f>
        <v>5.45</v>
      </c>
      <c r="I118" s="876">
        <f>'REF. DE PREÇOS n editavel'!I118</f>
        <v>12.201499999999999</v>
      </c>
      <c r="J118" s="877">
        <f>'REF. DE PREÇOS n editavel'!J118</f>
        <v>14.91</v>
      </c>
      <c r="K118" s="878" t="s">
        <v>10</v>
      </c>
      <c r="L118" s="1092"/>
      <c r="M118" s="1105">
        <f t="shared" si="7"/>
        <v>0</v>
      </c>
      <c r="N118" s="868">
        <f t="shared" si="10"/>
        <v>0</v>
      </c>
      <c r="O118" s="880"/>
      <c r="Q118" s="317" t="str">
        <f t="shared" si="6"/>
        <v/>
      </c>
      <c r="R118" s="317" t="str">
        <f t="shared" si="8"/>
        <v/>
      </c>
      <c r="S118" s="317" t="str">
        <f t="shared" si="9"/>
        <v/>
      </c>
      <c r="T118" s="317" t="str">
        <f>'REF. DE PREÇOS n editavel'!S118</f>
        <v/>
      </c>
      <c r="W118" s="577">
        <v>0</v>
      </c>
      <c r="X118" s="575"/>
      <c r="Y118" s="578">
        <f>IF('REF. DE PREÇOS n editavel'!W118=0,0,IF('REF. DE PREÇOS n editavel'!W118&gt;0,"c","b"))</f>
        <v>0</v>
      </c>
    </row>
    <row r="119" spans="1:25">
      <c r="A119" s="317">
        <v>520100</v>
      </c>
      <c r="B119" s="870" t="s">
        <v>1543</v>
      </c>
      <c r="C119" s="871" t="s">
        <v>184</v>
      </c>
      <c r="D119" s="881" t="s">
        <v>271</v>
      </c>
      <c r="E119" s="873">
        <f>'REF. DE PREÇOS n editavel'!E119</f>
        <v>15</v>
      </c>
      <c r="F119" s="874">
        <f>'REF. DE PREÇOS n editavel'!F119</f>
        <v>2.0999999999999996</v>
      </c>
      <c r="G119" s="927">
        <f>'REF. DE PREÇOS n editavel'!G119</f>
        <v>39.332999999999991</v>
      </c>
      <c r="H119" s="928">
        <f>'REF. DE PREÇOS n editavel'!H119</f>
        <v>5.45</v>
      </c>
      <c r="I119" s="876">
        <f>'REF. DE PREÇOS n editavel'!I119</f>
        <v>44.782999999999994</v>
      </c>
      <c r="J119" s="877">
        <f>'REF. DE PREÇOS n editavel'!J119</f>
        <v>54.73</v>
      </c>
      <c r="K119" s="878" t="s">
        <v>10</v>
      </c>
      <c r="L119" s="1092"/>
      <c r="M119" s="1105">
        <f t="shared" si="7"/>
        <v>0</v>
      </c>
      <c r="N119" s="868">
        <f t="shared" si="10"/>
        <v>0</v>
      </c>
      <c r="O119" s="880"/>
      <c r="Q119" s="317" t="str">
        <f t="shared" si="6"/>
        <v/>
      </c>
      <c r="R119" s="317" t="str">
        <f t="shared" si="8"/>
        <v/>
      </c>
      <c r="S119" s="317" t="str">
        <f t="shared" si="9"/>
        <v/>
      </c>
      <c r="T119" s="317" t="str">
        <f>'REF. DE PREÇOS n editavel'!S119</f>
        <v/>
      </c>
      <c r="W119" s="577">
        <v>0</v>
      </c>
      <c r="X119" s="575"/>
      <c r="Y119" s="578">
        <f>IF('REF. DE PREÇOS n editavel'!W119=0,0,IF('REF. DE PREÇOS n editavel'!W119&gt;0,"c","b"))</f>
        <v>0</v>
      </c>
    </row>
    <row r="120" spans="1:25">
      <c r="A120" s="317">
        <v>532100</v>
      </c>
      <c r="B120" s="870">
        <v>532100</v>
      </c>
      <c r="C120" s="871" t="s">
        <v>184</v>
      </c>
      <c r="D120" s="881" t="s">
        <v>182</v>
      </c>
      <c r="E120" s="873">
        <f>'REF. DE PREÇOS n editavel'!E120</f>
        <v>20</v>
      </c>
      <c r="F120" s="883">
        <f>'REF. DE PREÇOS n editavel'!F120</f>
        <v>2.1</v>
      </c>
      <c r="G120" s="927">
        <f>'REF. DE PREÇOS n editavel'!G120</f>
        <v>50.568000000000005</v>
      </c>
      <c r="H120" s="876">
        <f>'REF. DE PREÇOS n editavel'!H120</f>
        <v>92.64</v>
      </c>
      <c r="I120" s="876">
        <f>'REF. DE PREÇOS n editavel'!I120</f>
        <v>143.208</v>
      </c>
      <c r="J120" s="877">
        <f>'REF. DE PREÇOS n editavel'!J120</f>
        <v>175.03</v>
      </c>
      <c r="K120" s="878" t="s">
        <v>10</v>
      </c>
      <c r="L120" s="1092"/>
      <c r="M120" s="1105">
        <f t="shared" si="7"/>
        <v>0</v>
      </c>
      <c r="N120" s="868">
        <f t="shared" si="10"/>
        <v>0</v>
      </c>
      <c r="O120" s="880"/>
      <c r="Q120" s="317" t="str">
        <f t="shared" si="6"/>
        <v/>
      </c>
      <c r="R120" s="317" t="str">
        <f t="shared" si="8"/>
        <v/>
      </c>
      <c r="S120" s="317" t="str">
        <f t="shared" si="9"/>
        <v/>
      </c>
      <c r="T120" s="317" t="str">
        <f>'REF. DE PREÇOS n editavel'!S120</f>
        <v/>
      </c>
      <c r="W120" s="577">
        <v>0</v>
      </c>
      <c r="X120" s="575"/>
      <c r="Y120" s="578">
        <f>IF('REF. DE PREÇOS n editavel'!W120=0,0,IF('REF. DE PREÇOS n editavel'!W120&gt;0,"c","b"))</f>
        <v>0</v>
      </c>
    </row>
    <row r="121" spans="1:25">
      <c r="A121" s="317">
        <v>452010</v>
      </c>
      <c r="B121" s="929">
        <v>452010</v>
      </c>
      <c r="C121" s="930" t="s">
        <v>184</v>
      </c>
      <c r="D121" s="881" t="s">
        <v>188</v>
      </c>
      <c r="E121" s="873">
        <f>'REF. DE PREÇOS n editavel'!E121</f>
        <v>20</v>
      </c>
      <c r="F121" s="874">
        <f>'REF. DE PREÇOS n editavel'!F121</f>
        <v>1.98</v>
      </c>
      <c r="G121" s="927">
        <f>'REF. DE PREÇOS n editavel'!G121</f>
        <v>47.678400000000003</v>
      </c>
      <c r="H121" s="876">
        <f>'REF. DE PREÇOS n editavel'!H121</f>
        <v>15.69</v>
      </c>
      <c r="I121" s="876">
        <f>'REF. DE PREÇOS n editavel'!I121</f>
        <v>63.368400000000001</v>
      </c>
      <c r="J121" s="877">
        <f>'REF. DE PREÇOS n editavel'!J121</f>
        <v>77.45</v>
      </c>
      <c r="K121" s="878" t="s">
        <v>10</v>
      </c>
      <c r="L121" s="1092"/>
      <c r="M121" s="1105">
        <f t="shared" si="7"/>
        <v>0</v>
      </c>
      <c r="N121" s="868">
        <f t="shared" si="10"/>
        <v>0</v>
      </c>
      <c r="O121" s="880"/>
      <c r="Q121" s="317" t="str">
        <f t="shared" si="6"/>
        <v/>
      </c>
      <c r="R121" s="317" t="str">
        <f t="shared" si="8"/>
        <v/>
      </c>
      <c r="S121" s="317" t="str">
        <f t="shared" si="9"/>
        <v/>
      </c>
      <c r="T121" s="317" t="str">
        <f>'REF. DE PREÇOS n editavel'!S121</f>
        <v/>
      </c>
      <c r="W121" s="577">
        <v>0</v>
      </c>
      <c r="X121" s="575"/>
      <c r="Y121" s="578">
        <f>IF('REF. DE PREÇOS n editavel'!W121=0,0,IF('REF. DE PREÇOS n editavel'!W121&gt;0,"c","b"))</f>
        <v>0</v>
      </c>
    </row>
    <row r="122" spans="1:25">
      <c r="A122" s="317">
        <v>532500</v>
      </c>
      <c r="B122" s="870" t="s">
        <v>1514</v>
      </c>
      <c r="C122" s="871" t="s">
        <v>184</v>
      </c>
      <c r="D122" s="931" t="s">
        <v>329</v>
      </c>
      <c r="E122" s="882">
        <f>'REF. DE PREÇOS n editavel'!E122</f>
        <v>290</v>
      </c>
      <c r="F122" s="883">
        <f>'REF. DE PREÇOS n editavel'!F122</f>
        <v>1.7250000000000001</v>
      </c>
      <c r="G122" s="927">
        <f>'REF. DE PREÇOS n editavel'!G122</f>
        <v>539.89050000000009</v>
      </c>
      <c r="H122" s="876">
        <f>'REF. DE PREÇOS n editavel'!H122</f>
        <v>102.38</v>
      </c>
      <c r="I122" s="876">
        <f>'REF. DE PREÇOS n editavel'!I122</f>
        <v>642.27050000000008</v>
      </c>
      <c r="J122" s="877">
        <f>'REF. DE PREÇOS n editavel'!J122</f>
        <v>784.98</v>
      </c>
      <c r="K122" s="878" t="s">
        <v>10</v>
      </c>
      <c r="L122" s="1092"/>
      <c r="M122" s="1105">
        <f t="shared" si="7"/>
        <v>0</v>
      </c>
      <c r="N122" s="868">
        <f t="shared" si="10"/>
        <v>0</v>
      </c>
      <c r="O122" s="880"/>
      <c r="Q122" s="317" t="str">
        <f t="shared" si="6"/>
        <v/>
      </c>
      <c r="R122" s="317" t="str">
        <f t="shared" si="8"/>
        <v/>
      </c>
      <c r="S122" s="317" t="str">
        <f t="shared" si="9"/>
        <v/>
      </c>
      <c r="T122" s="317" t="str">
        <f>'REF. DE PREÇOS n editavel'!S122</f>
        <v/>
      </c>
      <c r="W122" s="577">
        <v>0</v>
      </c>
      <c r="X122" s="575"/>
      <c r="Y122" s="578">
        <f>IF('REF. DE PREÇOS n editavel'!W122=0,0,IF('REF. DE PREÇOS n editavel'!W122&gt;0,"c","b"))</f>
        <v>0</v>
      </c>
    </row>
    <row r="123" spans="1:25" ht="14.45" customHeight="1">
      <c r="A123" s="317">
        <v>603900</v>
      </c>
      <c r="B123" s="870" t="s">
        <v>1724</v>
      </c>
      <c r="C123" s="871" t="s">
        <v>184</v>
      </c>
      <c r="D123" s="931" t="s">
        <v>330</v>
      </c>
      <c r="E123" s="882">
        <f>'REF. DE PREÇOS n editavel'!E123</f>
        <v>43.1</v>
      </c>
      <c r="F123" s="883">
        <f>'REF. DE PREÇOS n editavel'!F123</f>
        <v>1.5</v>
      </c>
      <c r="G123" s="927">
        <f>'REF. DE PREÇOS n editavel'!G123</f>
        <v>73.19550000000001</v>
      </c>
      <c r="H123" s="876">
        <f>'REF. DE PREÇOS n editavel'!H123</f>
        <v>131.84</v>
      </c>
      <c r="I123" s="876">
        <f>'REF. DE PREÇOS n editavel'!I123</f>
        <v>205.03550000000001</v>
      </c>
      <c r="J123" s="877">
        <f>'REF. DE PREÇOS n editavel'!J123</f>
        <v>250.59</v>
      </c>
      <c r="K123" s="878" t="s">
        <v>10</v>
      </c>
      <c r="L123" s="1092"/>
      <c r="M123" s="1105">
        <f t="shared" si="7"/>
        <v>0</v>
      </c>
      <c r="N123" s="868">
        <f t="shared" si="10"/>
        <v>0</v>
      </c>
      <c r="O123" s="880"/>
      <c r="Q123" s="317" t="str">
        <f t="shared" si="6"/>
        <v/>
      </c>
      <c r="R123" s="317" t="str">
        <f t="shared" si="8"/>
        <v/>
      </c>
      <c r="S123" s="317" t="str">
        <f t="shared" si="9"/>
        <v/>
      </c>
      <c r="T123" s="317" t="str">
        <f>'REF. DE PREÇOS n editavel'!S123</f>
        <v/>
      </c>
      <c r="W123" s="577">
        <v>0</v>
      </c>
      <c r="X123" s="575"/>
      <c r="Y123" s="578">
        <f>IF('REF. DE PREÇOS n editavel'!W123=0,0,IF('REF. DE PREÇOS n editavel'!W123&gt;0,"c","b"))</f>
        <v>0</v>
      </c>
    </row>
    <row r="124" spans="1:25">
      <c r="A124" s="317">
        <v>605000</v>
      </c>
      <c r="B124" s="870" t="s">
        <v>298</v>
      </c>
      <c r="C124" s="871" t="s">
        <v>184</v>
      </c>
      <c r="D124" s="881" t="s">
        <v>259</v>
      </c>
      <c r="E124" s="882">
        <f>'REF. DE PREÇOS n editavel'!E124</f>
        <v>0</v>
      </c>
      <c r="F124" s="883">
        <f>'REF. DE PREÇOS n editavel'!F124</f>
        <v>0</v>
      </c>
      <c r="G124" s="884">
        <f>'REF. DE PREÇOS n editavel'!G124</f>
        <v>449.80907000000002</v>
      </c>
      <c r="H124" s="876">
        <f>'REF. DE PREÇOS n editavel'!H124</f>
        <v>425.25</v>
      </c>
      <c r="I124" s="876">
        <f>'REF. DE PREÇOS n editavel'!I124</f>
        <v>875.05907000000002</v>
      </c>
      <c r="J124" s="877">
        <f>'REF. DE PREÇOS n editavel'!J124</f>
        <v>1069.5</v>
      </c>
      <c r="K124" s="878" t="s">
        <v>10</v>
      </c>
      <c r="L124" s="1092"/>
      <c r="M124" s="1105">
        <f t="shared" si="7"/>
        <v>0</v>
      </c>
      <c r="N124" s="868">
        <f t="shared" si="10"/>
        <v>0</v>
      </c>
      <c r="O124" s="880"/>
      <c r="Q124" s="317" t="str">
        <f t="shared" si="6"/>
        <v/>
      </c>
      <c r="R124" s="317" t="str">
        <f t="shared" si="8"/>
        <v/>
      </c>
      <c r="S124" s="317" t="str">
        <f t="shared" si="9"/>
        <v/>
      </c>
      <c r="T124" s="317" t="str">
        <f>'REF. DE PREÇOS n editavel'!S124</f>
        <v/>
      </c>
      <c r="W124" s="577">
        <v>0</v>
      </c>
      <c r="X124" s="575"/>
      <c r="Y124" s="578">
        <f>IF('REF. DE PREÇOS n editavel'!W124=0,0,IF('REF. DE PREÇOS n editavel'!W124&gt;0,"c","b"))</f>
        <v>0</v>
      </c>
    </row>
    <row r="125" spans="1:25">
      <c r="A125" s="317" t="s">
        <v>147</v>
      </c>
      <c r="B125" s="870" t="s">
        <v>147</v>
      </c>
      <c r="C125" s="871"/>
      <c r="D125" s="931" t="s">
        <v>190</v>
      </c>
      <c r="E125" s="882">
        <f>'REF. DE PREÇOS n editavel'!E125</f>
        <v>445</v>
      </c>
      <c r="F125" s="883">
        <f>'REF. DE PREÇOS n editavel'!F125</f>
        <v>0.18</v>
      </c>
      <c r="G125" s="884">
        <f>'REF. DE PREÇOS n editavel'!G125</f>
        <v>63.885600000000004</v>
      </c>
      <c r="H125" s="876">
        <f>'REF. DE PREÇOS n editavel'!H125</f>
        <v>0</v>
      </c>
      <c r="I125" s="876">
        <f>'REF. DE PREÇOS n editavel'!I125</f>
        <v>0</v>
      </c>
      <c r="J125" s="877">
        <f>'REF. DE PREÇOS n editavel'!J125</f>
        <v>0</v>
      </c>
      <c r="K125" s="932" t="s">
        <v>506</v>
      </c>
      <c r="L125" s="933"/>
      <c r="M125" s="1015">
        <f t="shared" si="7"/>
        <v>0</v>
      </c>
      <c r="N125" s="868">
        <f t="shared" si="10"/>
        <v>0</v>
      </c>
      <c r="O125" s="880"/>
      <c r="P125" s="58" t="str">
        <f>IF(N124&gt;0,"xx",IF(N124&gt;0,"xy",""))</f>
        <v/>
      </c>
      <c r="Q125" s="317" t="str">
        <f t="shared" si="6"/>
        <v/>
      </c>
      <c r="R125" s="317" t="str">
        <f t="shared" si="8"/>
        <v/>
      </c>
      <c r="S125" s="317" t="str">
        <f t="shared" si="9"/>
        <v/>
      </c>
      <c r="T125" s="317" t="str">
        <f>'REF. DE PREÇOS n editavel'!S125</f>
        <v/>
      </c>
      <c r="W125" s="577">
        <v>0</v>
      </c>
      <c r="X125" s="575"/>
      <c r="Y125" s="578">
        <f>IF('REF. DE PREÇOS n editavel'!W125=0,0,IF('REF. DE PREÇOS n editavel'!W125&gt;0,"c","b"))</f>
        <v>0</v>
      </c>
    </row>
    <row r="126" spans="1:25">
      <c r="A126" s="317" t="s">
        <v>147</v>
      </c>
      <c r="B126" s="870" t="s">
        <v>147</v>
      </c>
      <c r="C126" s="871"/>
      <c r="D126" s="931" t="s">
        <v>229</v>
      </c>
      <c r="E126" s="882">
        <f>'REF. DE PREÇOS n editavel'!E126</f>
        <v>290</v>
      </c>
      <c r="F126" s="883">
        <f>'REF. DE PREÇOS n editavel'!F126</f>
        <v>1.06</v>
      </c>
      <c r="G126" s="884">
        <f>'REF. DE PREÇOS n editavel'!G126</f>
        <v>331.75880000000001</v>
      </c>
      <c r="H126" s="876">
        <f>'REF. DE PREÇOS n editavel'!H126</f>
        <v>0</v>
      </c>
      <c r="I126" s="876">
        <f>'REF. DE PREÇOS n editavel'!I126</f>
        <v>0</v>
      </c>
      <c r="J126" s="877">
        <f>'REF. DE PREÇOS n editavel'!J126</f>
        <v>0</v>
      </c>
      <c r="K126" s="932" t="s">
        <v>506</v>
      </c>
      <c r="L126" s="933"/>
      <c r="M126" s="1015">
        <f t="shared" si="7"/>
        <v>0</v>
      </c>
      <c r="N126" s="868">
        <f t="shared" si="10"/>
        <v>0</v>
      </c>
      <c r="O126" s="880"/>
      <c r="P126" s="58" t="str">
        <f>IF(N124&gt;0,"xx",IF(N124&gt;0,"xy",""))</f>
        <v/>
      </c>
      <c r="Q126" s="317" t="str">
        <f t="shared" si="6"/>
        <v/>
      </c>
      <c r="R126" s="317" t="str">
        <f t="shared" si="8"/>
        <v/>
      </c>
      <c r="S126" s="317" t="str">
        <f t="shared" si="9"/>
        <v/>
      </c>
      <c r="T126" s="317" t="str">
        <f>'REF. DE PREÇOS n editavel'!S126</f>
        <v/>
      </c>
      <c r="W126" s="577">
        <v>0</v>
      </c>
      <c r="X126" s="575"/>
      <c r="Y126" s="578">
        <f>IF('REF. DE PREÇOS n editavel'!W126=0,0,IF('REF. DE PREÇOS n editavel'!W126&gt;0,"c","b"))</f>
        <v>0</v>
      </c>
    </row>
    <row r="127" spans="1:25">
      <c r="A127" s="317" t="s">
        <v>147</v>
      </c>
      <c r="B127" s="870" t="s">
        <v>147</v>
      </c>
      <c r="C127" s="871"/>
      <c r="D127" s="931" t="s">
        <v>233</v>
      </c>
      <c r="E127" s="882">
        <f>'REF. DE PREÇOS n editavel'!E127</f>
        <v>43.1</v>
      </c>
      <c r="F127" s="883">
        <f>'REF. DE PREÇOS n editavel'!F127</f>
        <v>1.1100000000000001</v>
      </c>
      <c r="G127" s="884">
        <f>'REF. DE PREÇOS n editavel'!G127</f>
        <v>54.164670000000008</v>
      </c>
      <c r="H127" s="876">
        <f>'REF. DE PREÇOS n editavel'!H127</f>
        <v>0</v>
      </c>
      <c r="I127" s="876">
        <f>'REF. DE PREÇOS n editavel'!I127</f>
        <v>0</v>
      </c>
      <c r="J127" s="877">
        <f>'REF. DE PREÇOS n editavel'!J127</f>
        <v>0</v>
      </c>
      <c r="K127" s="932" t="s">
        <v>506</v>
      </c>
      <c r="L127" s="933"/>
      <c r="M127" s="1015">
        <f t="shared" si="7"/>
        <v>0</v>
      </c>
      <c r="N127" s="868">
        <f t="shared" si="10"/>
        <v>0</v>
      </c>
      <c r="O127" s="880"/>
      <c r="P127" s="58" t="str">
        <f>IF(N124&gt;0,"xx",IF(N124&gt;0,"xy",""))</f>
        <v/>
      </c>
      <c r="Q127" s="317" t="str">
        <f t="shared" si="6"/>
        <v/>
      </c>
      <c r="R127" s="317" t="str">
        <f t="shared" si="8"/>
        <v/>
      </c>
      <c r="S127" s="317" t="str">
        <f t="shared" si="9"/>
        <v/>
      </c>
      <c r="T127" s="317" t="str">
        <f>'REF. DE PREÇOS n editavel'!S127</f>
        <v/>
      </c>
      <c r="W127" s="577">
        <v>0</v>
      </c>
      <c r="X127" s="575"/>
      <c r="Y127" s="578">
        <f>IF('REF. DE PREÇOS n editavel'!W127=0,0,IF('REF. DE PREÇOS n editavel'!W127&gt;0,"c","b"))</f>
        <v>0</v>
      </c>
    </row>
    <row r="128" spans="1:25">
      <c r="A128" s="317">
        <v>400500</v>
      </c>
      <c r="B128" s="870" t="s">
        <v>1513</v>
      </c>
      <c r="C128" s="871" t="s">
        <v>184</v>
      </c>
      <c r="D128" s="881" t="s">
        <v>1716</v>
      </c>
      <c r="E128" s="882">
        <f>'REF. DE PREÇOS n editavel'!E128</f>
        <v>290</v>
      </c>
      <c r="F128" s="883">
        <f>'REF. DE PREÇOS n editavel'!F128</f>
        <v>1.73</v>
      </c>
      <c r="G128" s="927">
        <f>'REF. DE PREÇOS n editavel'!G128</f>
        <v>541.45540000000005</v>
      </c>
      <c r="H128" s="876">
        <f>'REF. DE PREÇOS n editavel'!H128</f>
        <v>83.83</v>
      </c>
      <c r="I128" s="876">
        <f>'REF. DE PREÇOS n editavel'!I128</f>
        <v>625.2854000000001</v>
      </c>
      <c r="J128" s="877">
        <f>'REF. DE PREÇOS n editavel'!J128</f>
        <v>764.22</v>
      </c>
      <c r="K128" s="878" t="s">
        <v>10</v>
      </c>
      <c r="L128" s="1092"/>
      <c r="M128" s="1105">
        <f t="shared" si="7"/>
        <v>0</v>
      </c>
      <c r="N128" s="868">
        <f t="shared" si="10"/>
        <v>0</v>
      </c>
      <c r="O128" s="880"/>
      <c r="Q128" s="317" t="str">
        <f t="shared" si="6"/>
        <v/>
      </c>
      <c r="R128" s="317" t="str">
        <f t="shared" si="8"/>
        <v/>
      </c>
      <c r="S128" s="317" t="str">
        <f t="shared" si="9"/>
        <v/>
      </c>
      <c r="T128" s="317" t="str">
        <f>'REF. DE PREÇOS n editavel'!S128</f>
        <v/>
      </c>
      <c r="W128" s="577">
        <v>0</v>
      </c>
      <c r="X128" s="575"/>
      <c r="Y128" s="578">
        <f>IF('REF. DE PREÇOS n editavel'!W128=0,0,IF('REF. DE PREÇOS n editavel'!W128&gt;0,"c","b"))</f>
        <v>0</v>
      </c>
    </row>
    <row r="129" spans="1:25">
      <c r="A129" s="317">
        <v>532500</v>
      </c>
      <c r="B129" s="870" t="s">
        <v>1515</v>
      </c>
      <c r="C129" s="871" t="s">
        <v>184</v>
      </c>
      <c r="D129" s="881" t="s">
        <v>1719</v>
      </c>
      <c r="E129" s="882">
        <f>'REF. DE PREÇOS n editavel'!E129</f>
        <v>290</v>
      </c>
      <c r="F129" s="883">
        <f>'REF. DE PREÇOS n editavel'!F129</f>
        <v>1.7250000000000001</v>
      </c>
      <c r="G129" s="927">
        <f>'REF. DE PREÇOS n editavel'!G129</f>
        <v>539.89050000000009</v>
      </c>
      <c r="H129" s="876">
        <f>'REF. DE PREÇOS n editavel'!H129</f>
        <v>102.38</v>
      </c>
      <c r="I129" s="876">
        <f>'REF. DE PREÇOS n editavel'!I129</f>
        <v>642.27050000000008</v>
      </c>
      <c r="J129" s="877">
        <f>'REF. DE PREÇOS n editavel'!J129</f>
        <v>784.98</v>
      </c>
      <c r="K129" s="878" t="s">
        <v>10</v>
      </c>
      <c r="L129" s="1092"/>
      <c r="M129" s="1105">
        <f t="shared" si="7"/>
        <v>0</v>
      </c>
      <c r="N129" s="868">
        <f t="shared" si="10"/>
        <v>0</v>
      </c>
      <c r="O129" s="880"/>
      <c r="Q129" s="317" t="str">
        <f t="shared" si="6"/>
        <v/>
      </c>
      <c r="R129" s="317" t="str">
        <f t="shared" si="8"/>
        <v/>
      </c>
      <c r="S129" s="317" t="str">
        <f t="shared" si="9"/>
        <v/>
      </c>
      <c r="T129" s="317" t="str">
        <f>'REF. DE PREÇOS n editavel'!S129</f>
        <v/>
      </c>
      <c r="W129" s="577">
        <v>0</v>
      </c>
      <c r="X129" s="575"/>
      <c r="Y129" s="578">
        <f>IF('REF. DE PREÇOS n editavel'!W129=0,0,IF('REF. DE PREÇOS n editavel'!W129&gt;0,"c","b"))</f>
        <v>0</v>
      </c>
    </row>
    <row r="130" spans="1:25">
      <c r="A130" s="317">
        <v>532600</v>
      </c>
      <c r="B130" s="870" t="s">
        <v>1548</v>
      </c>
      <c r="C130" s="871" t="s">
        <v>184</v>
      </c>
      <c r="D130" s="881" t="s">
        <v>1717</v>
      </c>
      <c r="E130" s="873">
        <f>'REF. DE PREÇOS n editavel'!E130</f>
        <v>43.1</v>
      </c>
      <c r="F130" s="883">
        <f>'REF. DE PREÇOS n editavel'!F130</f>
        <v>2.25</v>
      </c>
      <c r="G130" s="927">
        <f>'REF. DE PREÇOS n editavel'!G130</f>
        <v>109.79325000000001</v>
      </c>
      <c r="H130" s="876">
        <f>'REF. DE PREÇOS n editavel'!H130</f>
        <v>16.07</v>
      </c>
      <c r="I130" s="876">
        <f>'REF. DE PREÇOS n editavel'!I130</f>
        <v>125.86325000000002</v>
      </c>
      <c r="J130" s="877">
        <f>'REF. DE PREÇOS n editavel'!J130</f>
        <v>153.83000000000001</v>
      </c>
      <c r="K130" s="878" t="s">
        <v>10</v>
      </c>
      <c r="L130" s="1092"/>
      <c r="M130" s="1105">
        <f t="shared" si="7"/>
        <v>0</v>
      </c>
      <c r="N130" s="868">
        <f t="shared" si="10"/>
        <v>0</v>
      </c>
      <c r="O130" s="880"/>
      <c r="Q130" s="317" t="str">
        <f t="shared" si="6"/>
        <v/>
      </c>
      <c r="R130" s="317" t="str">
        <f t="shared" si="8"/>
        <v/>
      </c>
      <c r="S130" s="317" t="str">
        <f t="shared" si="9"/>
        <v/>
      </c>
      <c r="T130" s="317" t="str">
        <f>'REF. DE PREÇOS n editavel'!S130</f>
        <v/>
      </c>
      <c r="W130" s="577">
        <v>0</v>
      </c>
      <c r="X130" s="575"/>
      <c r="Y130" s="578">
        <f>IF('REF. DE PREÇOS n editavel'!W130=0,0,IF('REF. DE PREÇOS n editavel'!W130&gt;0,"c","b"))</f>
        <v>0</v>
      </c>
    </row>
    <row r="131" spans="1:25">
      <c r="A131" s="317">
        <v>603900</v>
      </c>
      <c r="B131" s="870" t="s">
        <v>1714</v>
      </c>
      <c r="C131" s="871" t="s">
        <v>184</v>
      </c>
      <c r="D131" s="881" t="s">
        <v>1718</v>
      </c>
      <c r="E131" s="882">
        <f>'REF. DE PREÇOS n editavel'!E131</f>
        <v>10</v>
      </c>
      <c r="F131" s="883">
        <f>'REF. DE PREÇOS n editavel'!F131</f>
        <v>1.5</v>
      </c>
      <c r="G131" s="927">
        <f>'REF. DE PREÇOS n editavel'!G131</f>
        <v>20.07</v>
      </c>
      <c r="H131" s="876">
        <f>'REF. DE PREÇOS n editavel'!H131</f>
        <v>131.84</v>
      </c>
      <c r="I131" s="876">
        <f>'REF. DE PREÇOS n editavel'!I131</f>
        <v>151.91</v>
      </c>
      <c r="J131" s="877">
        <f>'REF. DE PREÇOS n editavel'!J131</f>
        <v>185.66</v>
      </c>
      <c r="K131" s="878" t="s">
        <v>10</v>
      </c>
      <c r="L131" s="1092"/>
      <c r="M131" s="1105">
        <f t="shared" si="7"/>
        <v>0</v>
      </c>
      <c r="N131" s="868">
        <f t="shared" si="10"/>
        <v>0</v>
      </c>
      <c r="O131" s="880"/>
      <c r="Q131" s="317" t="str">
        <f t="shared" si="6"/>
        <v/>
      </c>
      <c r="R131" s="317" t="str">
        <f t="shared" si="8"/>
        <v/>
      </c>
      <c r="S131" s="317" t="str">
        <f t="shared" si="9"/>
        <v/>
      </c>
      <c r="T131" s="317" t="str">
        <f>'REF. DE PREÇOS n editavel'!S131</f>
        <v/>
      </c>
      <c r="W131" s="577">
        <v>0</v>
      </c>
      <c r="X131" s="575"/>
      <c r="Y131" s="578">
        <f>IF('REF. DE PREÇOS n editavel'!W131=0,0,IF('REF. DE PREÇOS n editavel'!W131&gt;0,"c","b"))</f>
        <v>0</v>
      </c>
    </row>
    <row r="132" spans="1:25">
      <c r="A132" s="317">
        <v>511130</v>
      </c>
      <c r="B132" s="870" t="s">
        <v>1533</v>
      </c>
      <c r="C132" s="871" t="s">
        <v>184</v>
      </c>
      <c r="D132" s="881" t="s">
        <v>448</v>
      </c>
      <c r="E132" s="882">
        <f>'REF. DE PREÇOS n editavel'!E132</f>
        <v>0</v>
      </c>
      <c r="F132" s="883">
        <f>'REF. DE PREÇOS n editavel'!F132</f>
        <v>0</v>
      </c>
      <c r="G132" s="884">
        <f>'REF. DE PREÇOS n editavel'!G132</f>
        <v>0</v>
      </c>
      <c r="H132" s="928">
        <f>'REF. DE PREÇOS n editavel'!H132</f>
        <v>1.23</v>
      </c>
      <c r="I132" s="876">
        <f>'REF. DE PREÇOS n editavel'!I132</f>
        <v>1.23</v>
      </c>
      <c r="J132" s="877">
        <f>'REF. DE PREÇOS n editavel'!J132</f>
        <v>1.5</v>
      </c>
      <c r="K132" s="878" t="s">
        <v>10</v>
      </c>
      <c r="L132" s="1092"/>
      <c r="M132" s="1105">
        <f t="shared" si="7"/>
        <v>0</v>
      </c>
      <c r="N132" s="868">
        <f t="shared" si="10"/>
        <v>0</v>
      </c>
      <c r="O132" s="880"/>
      <c r="P132" s="59"/>
      <c r="Q132" s="317" t="str">
        <f t="shared" si="6"/>
        <v/>
      </c>
      <c r="R132" s="317" t="str">
        <f t="shared" si="8"/>
        <v/>
      </c>
      <c r="S132" s="317" t="str">
        <f t="shared" si="9"/>
        <v/>
      </c>
      <c r="T132" s="317" t="str">
        <f>'REF. DE PREÇOS n editavel'!S132</f>
        <v/>
      </c>
      <c r="W132" s="577">
        <v>0</v>
      </c>
      <c r="X132" s="575"/>
      <c r="Y132" s="578">
        <f>IF('REF. DE PREÇOS n editavel'!W132=0,0,IF('REF. DE PREÇOS n editavel'!W132&gt;0,"c","b"))</f>
        <v>0</v>
      </c>
    </row>
    <row r="133" spans="1:25">
      <c r="A133" s="317">
        <v>533500</v>
      </c>
      <c r="B133" s="870" t="s">
        <v>1534</v>
      </c>
      <c r="C133" s="871" t="s">
        <v>184</v>
      </c>
      <c r="D133" s="881" t="s">
        <v>449</v>
      </c>
      <c r="E133" s="873">
        <f>'REF. DE PREÇOS n editavel'!E133</f>
        <v>17</v>
      </c>
      <c r="F133" s="874">
        <f>'REF. DE PREÇOS n editavel'!F133</f>
        <v>1.95</v>
      </c>
      <c r="G133" s="927">
        <f>'REF. DE PREÇOS n editavel'!G133</f>
        <v>40.6965</v>
      </c>
      <c r="H133" s="876">
        <f>'REF. DE PREÇOS n editavel'!H133</f>
        <v>25.79</v>
      </c>
      <c r="I133" s="876">
        <f>'REF. DE PREÇOS n editavel'!I133</f>
        <v>66.486500000000007</v>
      </c>
      <c r="J133" s="877">
        <f>'REF. DE PREÇOS n editavel'!J133</f>
        <v>81.260000000000005</v>
      </c>
      <c r="K133" s="878" t="s">
        <v>10</v>
      </c>
      <c r="L133" s="1092"/>
      <c r="M133" s="1105">
        <f t="shared" si="7"/>
        <v>0</v>
      </c>
      <c r="N133" s="868">
        <f t="shared" si="10"/>
        <v>0</v>
      </c>
      <c r="O133" s="880"/>
      <c r="Q133" s="317" t="str">
        <f t="shared" si="6"/>
        <v/>
      </c>
      <c r="R133" s="317" t="str">
        <f t="shared" si="8"/>
        <v/>
      </c>
      <c r="S133" s="317" t="str">
        <f t="shared" si="9"/>
        <v/>
      </c>
      <c r="T133" s="317" t="str">
        <f>'REF. DE PREÇOS n editavel'!S133</f>
        <v/>
      </c>
      <c r="W133" s="577">
        <v>0</v>
      </c>
      <c r="X133" s="575"/>
      <c r="Y133" s="578">
        <f>IF('REF. DE PREÇOS n editavel'!W133=0,0,IF('REF. DE PREÇOS n editavel'!W133&gt;0,"c","b"))</f>
        <v>0</v>
      </c>
    </row>
    <row r="134" spans="1:25">
      <c r="A134" s="317">
        <v>533100</v>
      </c>
      <c r="B134" s="870" t="s">
        <v>1536</v>
      </c>
      <c r="C134" s="871" t="s">
        <v>184</v>
      </c>
      <c r="D134" s="881" t="s">
        <v>450</v>
      </c>
      <c r="E134" s="873">
        <f>'REF. DE PREÇOS n editavel'!E134</f>
        <v>43.1</v>
      </c>
      <c r="F134" s="874">
        <f>'REF. DE PREÇOS n editavel'!F134</f>
        <v>1.98</v>
      </c>
      <c r="G134" s="927">
        <f>'REF. DE PREÇOS n editavel'!G134</f>
        <v>96.618060000000014</v>
      </c>
      <c r="H134" s="876">
        <f>'REF. DE PREÇOS n editavel'!H134</f>
        <v>30.58</v>
      </c>
      <c r="I134" s="876">
        <f>'REF. DE PREÇOS n editavel'!I134</f>
        <v>127.19806000000001</v>
      </c>
      <c r="J134" s="877">
        <f>'REF. DE PREÇOS n editavel'!J134</f>
        <v>155.46</v>
      </c>
      <c r="K134" s="878" t="s">
        <v>10</v>
      </c>
      <c r="L134" s="1092"/>
      <c r="M134" s="1105">
        <f t="shared" si="7"/>
        <v>0</v>
      </c>
      <c r="N134" s="868">
        <f t="shared" si="10"/>
        <v>0</v>
      </c>
      <c r="O134" s="880"/>
      <c r="Q134" s="317" t="str">
        <f t="shared" si="6"/>
        <v/>
      </c>
      <c r="R134" s="317" t="str">
        <f t="shared" si="8"/>
        <v/>
      </c>
      <c r="S134" s="317" t="str">
        <f t="shared" si="9"/>
        <v/>
      </c>
      <c r="T134" s="317" t="str">
        <f>'REF. DE PREÇOS n editavel'!S134</f>
        <v/>
      </c>
      <c r="W134" s="577">
        <v>0</v>
      </c>
      <c r="X134" s="575"/>
      <c r="Y134" s="578">
        <f>IF('REF. DE PREÇOS n editavel'!W134=0,0,IF('REF. DE PREÇOS n editavel'!W134&gt;0,"c","b"))</f>
        <v>0</v>
      </c>
    </row>
    <row r="135" spans="1:25">
      <c r="A135" s="317">
        <v>511100</v>
      </c>
      <c r="B135" s="870" t="s">
        <v>1552</v>
      </c>
      <c r="C135" s="871" t="s">
        <v>184</v>
      </c>
      <c r="D135" s="881" t="s">
        <v>181</v>
      </c>
      <c r="E135" s="873">
        <f>'REF. DE PREÇOS n editavel'!E135</f>
        <v>0</v>
      </c>
      <c r="F135" s="883">
        <f>'REF. DE PREÇOS n editavel'!F135</f>
        <v>0</v>
      </c>
      <c r="G135" s="927">
        <f>'REF. DE PREÇOS n editavel'!G135</f>
        <v>0</v>
      </c>
      <c r="H135" s="876">
        <f>'REF. DE PREÇOS n editavel'!H135</f>
        <v>4.25</v>
      </c>
      <c r="I135" s="876">
        <f>'REF. DE PREÇOS n editavel'!I135</f>
        <v>4.25</v>
      </c>
      <c r="J135" s="877">
        <f>'REF. DE PREÇOS n editavel'!J135</f>
        <v>5.19</v>
      </c>
      <c r="K135" s="878" t="s">
        <v>12</v>
      </c>
      <c r="L135" s="1092">
        <v>15339.5</v>
      </c>
      <c r="M135" s="1105">
        <f t="shared" si="7"/>
        <v>5.19</v>
      </c>
      <c r="N135" s="868">
        <f t="shared" si="10"/>
        <v>79612.009999999995</v>
      </c>
      <c r="O135" s="880"/>
      <c r="Q135" s="317" t="str">
        <f t="shared" si="6"/>
        <v>x</v>
      </c>
      <c r="R135" s="317" t="str">
        <f t="shared" si="8"/>
        <v>x</v>
      </c>
      <c r="S135" s="317" t="str">
        <f t="shared" si="9"/>
        <v>x</v>
      </c>
      <c r="T135" s="317" t="str">
        <f>'REF. DE PREÇOS n editavel'!S135</f>
        <v>x</v>
      </c>
      <c r="W135" s="577">
        <v>0</v>
      </c>
      <c r="X135" s="575"/>
      <c r="Y135" s="578">
        <f>IF('REF. DE PREÇOS n editavel'!W135=0,0,IF('REF. DE PREÇOS n editavel'!W135&gt;0,"c","b"))</f>
        <v>0</v>
      </c>
    </row>
    <row r="136" spans="1:25">
      <c r="A136" s="317">
        <v>511000</v>
      </c>
      <c r="B136" s="870" t="s">
        <v>1540</v>
      </c>
      <c r="C136" s="871" t="s">
        <v>184</v>
      </c>
      <c r="D136" s="881" t="s">
        <v>168</v>
      </c>
      <c r="E136" s="873">
        <f>'REF. DE PREÇOS n editavel'!E136</f>
        <v>0</v>
      </c>
      <c r="F136" s="883">
        <f>'REF. DE PREÇOS n editavel'!F136</f>
        <v>0</v>
      </c>
      <c r="G136" s="927">
        <f>'REF. DE PREÇOS n editavel'!G136</f>
        <v>0</v>
      </c>
      <c r="H136" s="876">
        <f>'REF. DE PREÇOS n editavel'!H136</f>
        <v>4.91</v>
      </c>
      <c r="I136" s="876">
        <f>'REF. DE PREÇOS n editavel'!I136</f>
        <v>4.91</v>
      </c>
      <c r="J136" s="877">
        <f>'REF. DE PREÇOS n editavel'!J136</f>
        <v>6</v>
      </c>
      <c r="K136" s="878" t="s">
        <v>12</v>
      </c>
      <c r="L136" s="1092"/>
      <c r="M136" s="1105">
        <f t="shared" si="7"/>
        <v>0</v>
      </c>
      <c r="N136" s="868">
        <f t="shared" si="10"/>
        <v>0</v>
      </c>
      <c r="O136" s="880"/>
      <c r="Q136" s="317" t="str">
        <f t="shared" si="6"/>
        <v/>
      </c>
      <c r="R136" s="317" t="str">
        <f t="shared" si="8"/>
        <v/>
      </c>
      <c r="S136" s="317" t="str">
        <f t="shared" si="9"/>
        <v/>
      </c>
      <c r="T136" s="317" t="str">
        <f>'REF. DE PREÇOS n editavel'!S136</f>
        <v/>
      </c>
      <c r="W136" s="577">
        <v>0</v>
      </c>
      <c r="X136" s="575"/>
      <c r="Y136" s="578">
        <f>IF('REF. DE PREÇOS n editavel'!W136=0,0,IF('REF. DE PREÇOS n editavel'!W136&gt;0,"c","b"))</f>
        <v>0</v>
      </c>
    </row>
    <row r="137" spans="1:25">
      <c r="A137" s="317">
        <v>511300</v>
      </c>
      <c r="B137" s="870" t="s">
        <v>1554</v>
      </c>
      <c r="C137" s="871" t="s">
        <v>184</v>
      </c>
      <c r="D137" s="881" t="s">
        <v>180</v>
      </c>
      <c r="E137" s="873">
        <f>'REF. DE PREÇOS n editavel'!E137</f>
        <v>0</v>
      </c>
      <c r="F137" s="883">
        <f>'REF. DE PREÇOS n editavel'!F137</f>
        <v>0</v>
      </c>
      <c r="G137" s="927">
        <f>'REF. DE PREÇOS n editavel'!G137</f>
        <v>0</v>
      </c>
      <c r="H137" s="876">
        <f>'REF. DE PREÇOS n editavel'!H137</f>
        <v>0.28999999999999998</v>
      </c>
      <c r="I137" s="876">
        <f>'REF. DE PREÇOS n editavel'!I137</f>
        <v>0.28999999999999998</v>
      </c>
      <c r="J137" s="877">
        <f>'REF. DE PREÇOS n editavel'!J137</f>
        <v>0.35</v>
      </c>
      <c r="K137" s="878" t="s">
        <v>12</v>
      </c>
      <c r="L137" s="1092"/>
      <c r="M137" s="1105">
        <f t="shared" si="7"/>
        <v>0</v>
      </c>
      <c r="N137" s="868">
        <f t="shared" si="10"/>
        <v>0</v>
      </c>
      <c r="O137" s="880"/>
      <c r="Q137" s="317" t="str">
        <f t="shared" si="6"/>
        <v/>
      </c>
      <c r="R137" s="317" t="str">
        <f t="shared" si="8"/>
        <v/>
      </c>
      <c r="S137" s="317" t="str">
        <f t="shared" si="9"/>
        <v/>
      </c>
      <c r="T137" s="317" t="str">
        <f>'REF. DE PREÇOS n editavel'!S137</f>
        <v/>
      </c>
      <c r="W137" s="577">
        <v>0</v>
      </c>
      <c r="X137" s="575"/>
      <c r="Y137" s="578">
        <f>IF('REF. DE PREÇOS n editavel'!W137=0,0,IF('REF. DE PREÇOS n editavel'!W137&gt;0,"c","b"))</f>
        <v>0</v>
      </c>
    </row>
    <row r="138" spans="1:25">
      <c r="A138" s="317">
        <v>100576</v>
      </c>
      <c r="B138" s="870" t="s">
        <v>1728</v>
      </c>
      <c r="C138" s="871" t="s">
        <v>590</v>
      </c>
      <c r="D138" s="881" t="s">
        <v>183</v>
      </c>
      <c r="E138" s="873">
        <f>'REF. DE PREÇOS n editavel'!E138</f>
        <v>0</v>
      </c>
      <c r="F138" s="883">
        <f>'REF. DE PREÇOS n editavel'!F138</f>
        <v>0</v>
      </c>
      <c r="G138" s="927">
        <f>'REF. DE PREÇOS n editavel'!G138</f>
        <v>0</v>
      </c>
      <c r="H138" s="876">
        <f>'REF. DE PREÇOS n editavel'!H138</f>
        <v>2.6</v>
      </c>
      <c r="I138" s="876">
        <f>'REF. DE PREÇOS n editavel'!I138</f>
        <v>2.6</v>
      </c>
      <c r="J138" s="877">
        <f>'REF. DE PREÇOS n editavel'!J138</f>
        <v>3.18</v>
      </c>
      <c r="K138" s="878" t="s">
        <v>12</v>
      </c>
      <c r="L138" s="1092"/>
      <c r="M138" s="1105">
        <f t="shared" si="7"/>
        <v>0</v>
      </c>
      <c r="N138" s="868">
        <f t="shared" si="10"/>
        <v>0</v>
      </c>
      <c r="O138" s="880"/>
      <c r="Q138" s="317" t="str">
        <f t="shared" si="6"/>
        <v/>
      </c>
      <c r="R138" s="317" t="str">
        <f t="shared" si="8"/>
        <v/>
      </c>
      <c r="S138" s="317" t="str">
        <f t="shared" si="9"/>
        <v/>
      </c>
      <c r="T138" s="317" t="str">
        <f>'REF. DE PREÇOS n editavel'!S138</f>
        <v/>
      </c>
      <c r="W138" s="577">
        <v>0</v>
      </c>
      <c r="X138" s="575"/>
      <c r="Y138" s="578">
        <f>IF('REF. DE PREÇOS n editavel'!W138=0,0,IF('REF. DE PREÇOS n editavel'!W138&gt;0,"c","b"))</f>
        <v>0</v>
      </c>
    </row>
    <row r="139" spans="1:25">
      <c r="A139" s="317">
        <v>450000</v>
      </c>
      <c r="B139" s="929">
        <v>450000</v>
      </c>
      <c r="C139" s="930" t="s">
        <v>184</v>
      </c>
      <c r="D139" s="881" t="s">
        <v>187</v>
      </c>
      <c r="E139" s="873">
        <f>'REF. DE PREÇOS n editavel'!E139</f>
        <v>15</v>
      </c>
      <c r="F139" s="874">
        <f>'REF. DE PREÇOS n editavel'!F139</f>
        <v>1.98</v>
      </c>
      <c r="G139" s="884">
        <f>'REF. DE PREÇOS n editavel'!G139</f>
        <v>37.0854</v>
      </c>
      <c r="H139" s="876">
        <f>'REF. DE PREÇOS n editavel'!H139</f>
        <v>15.69</v>
      </c>
      <c r="I139" s="876">
        <f>'REF. DE PREÇOS n editavel'!I139</f>
        <v>52.775399999999998</v>
      </c>
      <c r="J139" s="877">
        <f>'REF. DE PREÇOS n editavel'!J139</f>
        <v>64.5</v>
      </c>
      <c r="K139" s="878" t="s">
        <v>10</v>
      </c>
      <c r="L139" s="1092"/>
      <c r="M139" s="1105">
        <f t="shared" si="7"/>
        <v>0</v>
      </c>
      <c r="N139" s="868">
        <f t="shared" si="10"/>
        <v>0</v>
      </c>
      <c r="O139" s="880"/>
      <c r="Q139" s="317" t="str">
        <f t="shared" si="6"/>
        <v/>
      </c>
      <c r="R139" s="317" t="str">
        <f t="shared" si="8"/>
        <v/>
      </c>
      <c r="S139" s="317" t="str">
        <f t="shared" si="9"/>
        <v/>
      </c>
      <c r="T139" s="317" t="str">
        <f>'REF. DE PREÇOS n editavel'!S139</f>
        <v/>
      </c>
      <c r="W139" s="577">
        <v>0</v>
      </c>
      <c r="X139" s="575"/>
      <c r="Y139" s="578">
        <f>IF('REF. DE PREÇOS n editavel'!W139=0,0,IF('REF. DE PREÇOS n editavel'!W139&gt;0,"c","b"))</f>
        <v>0</v>
      </c>
    </row>
    <row r="140" spans="1:25">
      <c r="A140" s="317">
        <v>541000</v>
      </c>
      <c r="B140" s="870">
        <v>541000</v>
      </c>
      <c r="C140" s="871" t="s">
        <v>184</v>
      </c>
      <c r="D140" s="881" t="s">
        <v>189</v>
      </c>
      <c r="E140" s="882">
        <f>'REF. DE PREÇOS n editavel'!E140</f>
        <v>15</v>
      </c>
      <c r="F140" s="883">
        <f>'REF. DE PREÇOS n editavel'!F140</f>
        <v>2.02</v>
      </c>
      <c r="G140" s="884">
        <f>'REF. DE PREÇOS n editavel'!G140</f>
        <v>37.834600000000002</v>
      </c>
      <c r="H140" s="876">
        <f>'REF. DE PREÇOS n editavel'!H140</f>
        <v>28.94</v>
      </c>
      <c r="I140" s="876">
        <f>'REF. DE PREÇOS n editavel'!I140</f>
        <v>66.774600000000007</v>
      </c>
      <c r="J140" s="877">
        <f>'REF. DE PREÇOS n editavel'!J140</f>
        <v>81.61</v>
      </c>
      <c r="K140" s="878" t="s">
        <v>10</v>
      </c>
      <c r="L140" s="1092"/>
      <c r="M140" s="1105">
        <f t="shared" si="7"/>
        <v>0</v>
      </c>
      <c r="N140" s="868">
        <f t="shared" si="10"/>
        <v>0</v>
      </c>
      <c r="O140" s="880"/>
      <c r="Q140" s="317" t="str">
        <f t="shared" si="6"/>
        <v/>
      </c>
      <c r="R140" s="317" t="str">
        <f t="shared" si="8"/>
        <v/>
      </c>
      <c r="S140" s="317" t="str">
        <f t="shared" si="9"/>
        <v/>
      </c>
      <c r="T140" s="317" t="str">
        <f>'REF. DE PREÇOS n editavel'!S140</f>
        <v/>
      </c>
      <c r="W140" s="577">
        <v>0</v>
      </c>
      <c r="X140" s="575"/>
      <c r="Y140" s="578">
        <f>IF('REF. DE PREÇOS n editavel'!W140=0,0,IF('REF. DE PREÇOS n editavel'!W140&gt;0,"c","b"))</f>
        <v>0</v>
      </c>
    </row>
    <row r="141" spans="1:25">
      <c r="A141" s="317">
        <v>533100</v>
      </c>
      <c r="B141" s="870" t="s">
        <v>1537</v>
      </c>
      <c r="C141" s="871" t="s">
        <v>184</v>
      </c>
      <c r="D141" s="881" t="s">
        <v>186</v>
      </c>
      <c r="E141" s="873">
        <f>'REF. DE PREÇOS n editavel'!E141</f>
        <v>15</v>
      </c>
      <c r="F141" s="874">
        <f>'REF. DE PREÇOS n editavel'!F141</f>
        <v>2.1</v>
      </c>
      <c r="G141" s="884">
        <f>'REF. DE PREÇOS n editavel'!G141</f>
        <v>39.333000000000006</v>
      </c>
      <c r="H141" s="876">
        <f>'REF. DE PREÇOS n editavel'!H141</f>
        <v>30.58</v>
      </c>
      <c r="I141" s="876">
        <f>'REF. DE PREÇOS n editavel'!I141</f>
        <v>69.913000000000011</v>
      </c>
      <c r="J141" s="877">
        <f>'REF. DE PREÇOS n editavel'!J141</f>
        <v>85.45</v>
      </c>
      <c r="K141" s="878" t="s">
        <v>10</v>
      </c>
      <c r="L141" s="1092"/>
      <c r="M141" s="1105">
        <f t="shared" si="7"/>
        <v>0</v>
      </c>
      <c r="N141" s="868">
        <f t="shared" si="10"/>
        <v>0</v>
      </c>
      <c r="O141" s="880"/>
      <c r="Q141" s="317" t="str">
        <f t="shared" si="6"/>
        <v/>
      </c>
      <c r="R141" s="317" t="str">
        <f t="shared" si="8"/>
        <v/>
      </c>
      <c r="S141" s="317" t="str">
        <f t="shared" si="9"/>
        <v/>
      </c>
      <c r="T141" s="317" t="str">
        <f>'REF. DE PREÇOS n editavel'!S141</f>
        <v/>
      </c>
      <c r="W141" s="577">
        <v>0</v>
      </c>
      <c r="X141" s="575"/>
      <c r="Y141" s="578">
        <f>IF('REF. DE PREÇOS n editavel'!W141=0,0,IF('REF. DE PREÇOS n editavel'!W141&gt;0,"c","b"))</f>
        <v>0</v>
      </c>
    </row>
    <row r="142" spans="1:25">
      <c r="A142" s="317">
        <v>542000</v>
      </c>
      <c r="B142" s="870">
        <v>542000</v>
      </c>
      <c r="C142" s="871" t="s">
        <v>184</v>
      </c>
      <c r="D142" s="881" t="s">
        <v>2169</v>
      </c>
      <c r="E142" s="873">
        <f>'REF. DE PREÇOS n editavel'!E142</f>
        <v>0</v>
      </c>
      <c r="F142" s="883">
        <f>'REF. DE PREÇOS n editavel'!F142</f>
        <v>0</v>
      </c>
      <c r="G142" s="927">
        <f>'REF. DE PREÇOS n editavel'!G142</f>
        <v>46.032619999999994</v>
      </c>
      <c r="H142" s="876">
        <f>'REF. DE PREÇOS n editavel'!H142</f>
        <v>58.55</v>
      </c>
      <c r="I142" s="876">
        <f>'REF. DE PREÇOS n editavel'!I142</f>
        <v>104.58261999999999</v>
      </c>
      <c r="J142" s="877">
        <f>'REF. DE PREÇOS n editavel'!J142</f>
        <v>127.82</v>
      </c>
      <c r="K142" s="878" t="s">
        <v>10</v>
      </c>
      <c r="L142" s="1092"/>
      <c r="M142" s="1105">
        <f t="shared" si="7"/>
        <v>0</v>
      </c>
      <c r="N142" s="868">
        <f t="shared" si="10"/>
        <v>0</v>
      </c>
      <c r="O142" s="880"/>
      <c r="Q142" s="317" t="str">
        <f t="shared" si="6"/>
        <v/>
      </c>
      <c r="R142" s="317" t="str">
        <f t="shared" si="8"/>
        <v/>
      </c>
      <c r="S142" s="317" t="str">
        <f t="shared" si="9"/>
        <v/>
      </c>
      <c r="T142" s="317" t="str">
        <f>'REF. DE PREÇOS n editavel'!S142</f>
        <v/>
      </c>
      <c r="W142" s="577">
        <v>0</v>
      </c>
      <c r="X142" s="575"/>
      <c r="Y142" s="578">
        <f>IF('REF. DE PREÇOS n editavel'!W142=0,0,IF('REF. DE PREÇOS n editavel'!W142&gt;0,"c","b"))</f>
        <v>0</v>
      </c>
    </row>
    <row r="143" spans="1:25">
      <c r="A143" s="317" t="s">
        <v>147</v>
      </c>
      <c r="B143" s="870" t="s">
        <v>147</v>
      </c>
      <c r="C143" s="871"/>
      <c r="D143" s="931" t="s">
        <v>190</v>
      </c>
      <c r="E143" s="882">
        <f>'REF. DE PREÇOS n editavel'!E143</f>
        <v>445</v>
      </c>
      <c r="F143" s="883">
        <f>'REF. DE PREÇOS n editavel'!F143</f>
        <v>3.6999999999999998E-2</v>
      </c>
      <c r="G143" s="884">
        <f>'REF. DE PREÇOS n editavel'!G143</f>
        <v>13.13204</v>
      </c>
      <c r="H143" s="876">
        <f>'REF. DE PREÇOS n editavel'!H143</f>
        <v>0</v>
      </c>
      <c r="I143" s="876">
        <f>'REF. DE PREÇOS n editavel'!I143</f>
        <v>0</v>
      </c>
      <c r="J143" s="877">
        <f>'REF. DE PREÇOS n editavel'!J143</f>
        <v>0</v>
      </c>
      <c r="K143" s="878" t="s">
        <v>506</v>
      </c>
      <c r="L143" s="933"/>
      <c r="M143" s="1015">
        <f t="shared" si="7"/>
        <v>0</v>
      </c>
      <c r="N143" s="868">
        <f t="shared" si="10"/>
        <v>0</v>
      </c>
      <c r="O143" s="880"/>
      <c r="P143" s="58" t="str">
        <f>IF(N142&gt;0,"xx",IF(N142&gt;0,"xy",""))</f>
        <v/>
      </c>
      <c r="Q143" s="317" t="str">
        <f t="shared" si="6"/>
        <v/>
      </c>
      <c r="R143" s="317" t="str">
        <f t="shared" si="8"/>
        <v/>
      </c>
      <c r="S143" s="317" t="str">
        <f t="shared" si="9"/>
        <v/>
      </c>
      <c r="T143" s="317" t="str">
        <f>'REF. DE PREÇOS n editavel'!S143</f>
        <v/>
      </c>
      <c r="W143" s="577">
        <v>0</v>
      </c>
      <c r="X143" s="575"/>
      <c r="Y143" s="578">
        <f>IF('REF. DE PREÇOS n editavel'!W143=0,0,IF('REF. DE PREÇOS n editavel'!W143&gt;0,"c","b"))</f>
        <v>0</v>
      </c>
    </row>
    <row r="144" spans="1:25">
      <c r="A144" s="317" t="s">
        <v>147</v>
      </c>
      <c r="B144" s="870" t="s">
        <v>147</v>
      </c>
      <c r="C144" s="871"/>
      <c r="D144" s="931" t="s">
        <v>191</v>
      </c>
      <c r="E144" s="873">
        <f>'REF. DE PREÇOS n editavel'!E144</f>
        <v>14</v>
      </c>
      <c r="F144" s="883">
        <f>'REF. DE PREÇOS n editavel'!F144</f>
        <v>1.863</v>
      </c>
      <c r="G144" s="884">
        <f>'REF. DE PREÇOS n editavel'!G144</f>
        <v>32.900579999999998</v>
      </c>
      <c r="H144" s="876">
        <f>'REF. DE PREÇOS n editavel'!H144</f>
        <v>0</v>
      </c>
      <c r="I144" s="876">
        <f>'REF. DE PREÇOS n editavel'!I144</f>
        <v>0</v>
      </c>
      <c r="J144" s="877">
        <f>'REF. DE PREÇOS n editavel'!J144</f>
        <v>0</v>
      </c>
      <c r="K144" s="878" t="s">
        <v>506</v>
      </c>
      <c r="L144" s="933"/>
      <c r="M144" s="1015">
        <f t="shared" si="7"/>
        <v>0</v>
      </c>
      <c r="N144" s="868">
        <f t="shared" si="10"/>
        <v>0</v>
      </c>
      <c r="O144" s="880"/>
      <c r="P144" s="58" t="str">
        <f>IF(N142&gt;0,"xx",IF(N142&gt;0,"xy",""))</f>
        <v/>
      </c>
      <c r="Q144" s="317" t="str">
        <f t="shared" si="6"/>
        <v/>
      </c>
      <c r="R144" s="317" t="str">
        <f t="shared" si="8"/>
        <v/>
      </c>
      <c r="S144" s="317" t="str">
        <f t="shared" si="9"/>
        <v/>
      </c>
      <c r="T144" s="317" t="str">
        <f>'REF. DE PREÇOS n editavel'!S144</f>
        <v/>
      </c>
      <c r="W144" s="577">
        <v>0</v>
      </c>
      <c r="X144" s="575"/>
      <c r="Y144" s="578">
        <f>IF('REF. DE PREÇOS n editavel'!W144=0,0,IF('REF. DE PREÇOS n editavel'!W144&gt;0,"c","b"))</f>
        <v>0</v>
      </c>
    </row>
    <row r="145" spans="1:25">
      <c r="A145" s="317">
        <v>543000</v>
      </c>
      <c r="B145" s="870">
        <v>543000</v>
      </c>
      <c r="C145" s="871" t="s">
        <v>184</v>
      </c>
      <c r="D145" s="881" t="s">
        <v>2170</v>
      </c>
      <c r="E145" s="873">
        <f>'REF. DE PREÇOS n editavel'!E145</f>
        <v>0</v>
      </c>
      <c r="F145" s="883">
        <f>'REF. DE PREÇOS n editavel'!F145</f>
        <v>0</v>
      </c>
      <c r="G145" s="927">
        <f>'REF. DE PREÇOS n editavel'!G145</f>
        <v>52.103300000000004</v>
      </c>
      <c r="H145" s="876">
        <f>'REF. DE PREÇOS n editavel'!H145</f>
        <v>72.05</v>
      </c>
      <c r="I145" s="876">
        <f>'REF. DE PREÇOS n editavel'!I145</f>
        <v>124.1533</v>
      </c>
      <c r="J145" s="877">
        <f>'REF. DE PREÇOS n editavel'!J145</f>
        <v>151.74</v>
      </c>
      <c r="K145" s="878" t="s">
        <v>10</v>
      </c>
      <c r="L145" s="1092"/>
      <c r="M145" s="1105">
        <f t="shared" si="7"/>
        <v>0</v>
      </c>
      <c r="N145" s="868">
        <f t="shared" si="10"/>
        <v>0</v>
      </c>
      <c r="O145" s="880"/>
      <c r="Q145" s="317" t="str">
        <f t="shared" si="6"/>
        <v/>
      </c>
      <c r="R145" s="317" t="str">
        <f t="shared" si="8"/>
        <v/>
      </c>
      <c r="S145" s="317" t="str">
        <f t="shared" si="9"/>
        <v/>
      </c>
      <c r="T145" s="317" t="str">
        <f>'REF. DE PREÇOS n editavel'!S145</f>
        <v/>
      </c>
      <c r="W145" s="577">
        <v>0</v>
      </c>
      <c r="X145" s="575"/>
      <c r="Y145" s="578">
        <f>IF('REF. DE PREÇOS n editavel'!W145=0,0,IF('REF. DE PREÇOS n editavel'!W145&gt;0,"c","b"))</f>
        <v>0</v>
      </c>
    </row>
    <row r="146" spans="1:25">
      <c r="A146" s="317" t="s">
        <v>147</v>
      </c>
      <c r="B146" s="870" t="s">
        <v>147</v>
      </c>
      <c r="C146" s="871"/>
      <c r="D146" s="931" t="s">
        <v>190</v>
      </c>
      <c r="E146" s="882">
        <f>'REF. DE PREÇOS n editavel'!E146</f>
        <v>445</v>
      </c>
      <c r="F146" s="883">
        <f>'REF. DE PREÇOS n editavel'!F146</f>
        <v>5.5E-2</v>
      </c>
      <c r="G146" s="884">
        <f>'REF. DE PREÇOS n editavel'!G146</f>
        <v>19.520600000000002</v>
      </c>
      <c r="H146" s="876">
        <f>'REF. DE PREÇOS n editavel'!H146</f>
        <v>0</v>
      </c>
      <c r="I146" s="876">
        <f>'REF. DE PREÇOS n editavel'!I146</f>
        <v>0</v>
      </c>
      <c r="J146" s="877">
        <f>'REF. DE PREÇOS n editavel'!J146</f>
        <v>0</v>
      </c>
      <c r="K146" s="878" t="s">
        <v>506</v>
      </c>
      <c r="L146" s="933"/>
      <c r="M146" s="1015">
        <f t="shared" si="7"/>
        <v>0</v>
      </c>
      <c r="N146" s="868">
        <f t="shared" si="10"/>
        <v>0</v>
      </c>
      <c r="O146" s="880"/>
      <c r="P146" s="58" t="str">
        <f>IF(N145&gt;0,"xx",IF(N145&gt;0,"xy",""))</f>
        <v/>
      </c>
      <c r="Q146" s="317" t="str">
        <f t="shared" si="6"/>
        <v/>
      </c>
      <c r="R146" s="317" t="str">
        <f t="shared" si="8"/>
        <v/>
      </c>
      <c r="S146" s="317" t="str">
        <f t="shared" si="9"/>
        <v/>
      </c>
      <c r="T146" s="317" t="str">
        <f>'REF. DE PREÇOS n editavel'!S146</f>
        <v/>
      </c>
      <c r="W146" s="577">
        <v>0</v>
      </c>
      <c r="X146" s="575"/>
      <c r="Y146" s="578">
        <f>IF('REF. DE PREÇOS n editavel'!W146=0,0,IF('REF. DE PREÇOS n editavel'!W146&gt;0,"c","b"))</f>
        <v>0</v>
      </c>
    </row>
    <row r="147" spans="1:25">
      <c r="A147" s="317" t="s">
        <v>147</v>
      </c>
      <c r="B147" s="870" t="s">
        <v>147</v>
      </c>
      <c r="C147" s="871"/>
      <c r="D147" s="931" t="s">
        <v>191</v>
      </c>
      <c r="E147" s="873">
        <f>'REF. DE PREÇOS n editavel'!E147</f>
        <v>14</v>
      </c>
      <c r="F147" s="883">
        <f>'REF. DE PREÇOS n editavel'!F147</f>
        <v>1.845</v>
      </c>
      <c r="G147" s="884">
        <f>'REF. DE PREÇOS n editavel'!G147</f>
        <v>32.582700000000003</v>
      </c>
      <c r="H147" s="876">
        <f>'REF. DE PREÇOS n editavel'!H147</f>
        <v>0</v>
      </c>
      <c r="I147" s="876">
        <f>'REF. DE PREÇOS n editavel'!I147</f>
        <v>0</v>
      </c>
      <c r="J147" s="877">
        <f>'REF. DE PREÇOS n editavel'!J147</f>
        <v>0</v>
      </c>
      <c r="K147" s="878" t="s">
        <v>506</v>
      </c>
      <c r="L147" s="933"/>
      <c r="M147" s="1015">
        <f t="shared" si="7"/>
        <v>0</v>
      </c>
      <c r="N147" s="868">
        <f t="shared" si="10"/>
        <v>0</v>
      </c>
      <c r="O147" s="880"/>
      <c r="P147" s="58" t="str">
        <f>IF(N145&gt;0,"xx",IF(N145&gt;0,"xy",""))</f>
        <v/>
      </c>
      <c r="Q147" s="317" t="str">
        <f t="shared" ref="Q147:Q210" si="11">IF(P147="X","x",IF(P147="xx","x",IF(P147="xy","x",IF(P147="y","x",IF(OR(N147&gt;0,N147&gt;0),"x","")))))</f>
        <v/>
      </c>
      <c r="R147" s="317" t="str">
        <f t="shared" si="8"/>
        <v/>
      </c>
      <c r="S147" s="317" t="str">
        <f t="shared" si="9"/>
        <v/>
      </c>
      <c r="T147" s="317" t="str">
        <f>'REF. DE PREÇOS n editavel'!S147</f>
        <v/>
      </c>
      <c r="W147" s="577">
        <v>0</v>
      </c>
      <c r="X147" s="575"/>
      <c r="Y147" s="578">
        <f>IF('REF. DE PREÇOS n editavel'!W147=0,0,IF('REF. DE PREÇOS n editavel'!W147&gt;0,"c","b"))</f>
        <v>0</v>
      </c>
    </row>
    <row r="148" spans="1:25">
      <c r="A148" s="317">
        <v>544000</v>
      </c>
      <c r="B148" s="870">
        <v>544000</v>
      </c>
      <c r="C148" s="871" t="s">
        <v>184</v>
      </c>
      <c r="D148" s="881" t="s">
        <v>2171</v>
      </c>
      <c r="E148" s="873">
        <f>'REF. DE PREÇOS n editavel'!E148</f>
        <v>0</v>
      </c>
      <c r="F148" s="883">
        <f>'REF. DE PREÇOS n editavel'!F148</f>
        <v>0</v>
      </c>
      <c r="G148" s="927">
        <f>'REF. DE PREÇOS n editavel'!G148</f>
        <v>56.616460000000004</v>
      </c>
      <c r="H148" s="876">
        <f>'REF. DE PREÇOS n editavel'!H148</f>
        <v>76.39</v>
      </c>
      <c r="I148" s="876">
        <f>'REF. DE PREÇOS n editavel'!I148</f>
        <v>133.00646</v>
      </c>
      <c r="J148" s="877">
        <f>'REF. DE PREÇOS n editavel'!J148</f>
        <v>162.56</v>
      </c>
      <c r="K148" s="878" t="s">
        <v>10</v>
      </c>
      <c r="L148" s="1092"/>
      <c r="M148" s="1105">
        <f t="shared" ref="M148:M211" si="12">IF(L148=0,0,ROUND(J148,2))</f>
        <v>0</v>
      </c>
      <c r="N148" s="868">
        <f t="shared" si="10"/>
        <v>0</v>
      </c>
      <c r="O148" s="880"/>
      <c r="Q148" s="317" t="str">
        <f t="shared" si="11"/>
        <v/>
      </c>
      <c r="R148" s="317" t="str">
        <f t="shared" si="8"/>
        <v/>
      </c>
      <c r="S148" s="317" t="str">
        <f t="shared" si="9"/>
        <v/>
      </c>
      <c r="T148" s="317" t="str">
        <f>'REF. DE PREÇOS n editavel'!S148</f>
        <v/>
      </c>
      <c r="W148" s="577">
        <v>0</v>
      </c>
      <c r="X148" s="575"/>
      <c r="Y148" s="578">
        <f>IF('REF. DE PREÇOS n editavel'!W148=0,0,IF('REF. DE PREÇOS n editavel'!W148&gt;0,"c","b"))</f>
        <v>0</v>
      </c>
    </row>
    <row r="149" spans="1:25">
      <c r="A149" s="317" t="s">
        <v>147</v>
      </c>
      <c r="B149" s="870" t="s">
        <v>147</v>
      </c>
      <c r="C149" s="871"/>
      <c r="D149" s="931" t="s">
        <v>190</v>
      </c>
      <c r="E149" s="882">
        <f>'REF. DE PREÇOS n editavel'!E149</f>
        <v>445</v>
      </c>
      <c r="F149" s="883">
        <f>'REF. DE PREÇOS n editavel'!F149</f>
        <v>7.0999999999999994E-2</v>
      </c>
      <c r="G149" s="884">
        <f>'REF. DE PREÇOS n editavel'!G149</f>
        <v>25.19932</v>
      </c>
      <c r="H149" s="876">
        <f>'REF. DE PREÇOS n editavel'!H149</f>
        <v>0</v>
      </c>
      <c r="I149" s="876">
        <f>'REF. DE PREÇOS n editavel'!I149</f>
        <v>0</v>
      </c>
      <c r="J149" s="877">
        <f>'REF. DE PREÇOS n editavel'!J149</f>
        <v>0</v>
      </c>
      <c r="K149" s="878" t="s">
        <v>506</v>
      </c>
      <c r="L149" s="933"/>
      <c r="M149" s="1015">
        <f t="shared" si="12"/>
        <v>0</v>
      </c>
      <c r="N149" s="868">
        <f t="shared" si="10"/>
        <v>0</v>
      </c>
      <c r="O149" s="880"/>
      <c r="P149" s="58" t="str">
        <f>IF(N148&gt;0,"xx",IF(N148&gt;0,"xy",""))</f>
        <v/>
      </c>
      <c r="Q149" s="317" t="str">
        <f t="shared" si="11"/>
        <v/>
      </c>
      <c r="R149" s="317" t="str">
        <f t="shared" ref="R149:R212" si="13">IF(P149="X","x",IF(P149="y","x",IF(P149="xx","x",IF(N149&gt;0,"x",""))))</f>
        <v/>
      </c>
      <c r="S149" s="317" t="str">
        <f t="shared" ref="S149:S212" si="14">IF(P149="X","x",IF(N149&gt;0,"x",""))</f>
        <v/>
      </c>
      <c r="T149" s="317" t="str">
        <f>'REF. DE PREÇOS n editavel'!S149</f>
        <v/>
      </c>
      <c r="W149" s="577">
        <v>0</v>
      </c>
      <c r="X149" s="575"/>
      <c r="Y149" s="578">
        <f>IF('REF. DE PREÇOS n editavel'!W149=0,0,IF('REF. DE PREÇOS n editavel'!W149&gt;0,"c","b"))</f>
        <v>0</v>
      </c>
    </row>
    <row r="150" spans="1:25">
      <c r="A150" s="317" t="s">
        <v>147</v>
      </c>
      <c r="B150" s="870" t="s">
        <v>147</v>
      </c>
      <c r="C150" s="871"/>
      <c r="D150" s="931" t="s">
        <v>191</v>
      </c>
      <c r="E150" s="873">
        <f>'REF. DE PREÇOS n editavel'!E150</f>
        <v>14</v>
      </c>
      <c r="F150" s="883">
        <f>'REF. DE PREÇOS n editavel'!F150</f>
        <v>1.7789999999999999</v>
      </c>
      <c r="G150" s="884">
        <f>'REF. DE PREÇOS n editavel'!G150</f>
        <v>31.41714</v>
      </c>
      <c r="H150" s="876">
        <f>'REF. DE PREÇOS n editavel'!H150</f>
        <v>0</v>
      </c>
      <c r="I150" s="876">
        <f>'REF. DE PREÇOS n editavel'!I150</f>
        <v>0</v>
      </c>
      <c r="J150" s="877">
        <f>'REF. DE PREÇOS n editavel'!J150</f>
        <v>0</v>
      </c>
      <c r="K150" s="878" t="s">
        <v>506</v>
      </c>
      <c r="L150" s="933"/>
      <c r="M150" s="1015">
        <f t="shared" si="12"/>
        <v>0</v>
      </c>
      <c r="N150" s="868">
        <f t="shared" si="10"/>
        <v>0</v>
      </c>
      <c r="O150" s="880"/>
      <c r="P150" s="58" t="str">
        <f>IF(N148&gt;0,"xx",IF(N148&gt;0,"xy",""))</f>
        <v/>
      </c>
      <c r="Q150" s="317" t="str">
        <f t="shared" si="11"/>
        <v/>
      </c>
      <c r="R150" s="317" t="str">
        <f t="shared" si="13"/>
        <v/>
      </c>
      <c r="S150" s="317" t="str">
        <f t="shared" si="14"/>
        <v/>
      </c>
      <c r="T150" s="317" t="str">
        <f>'REF. DE PREÇOS n editavel'!S150</f>
        <v/>
      </c>
      <c r="W150" s="577">
        <v>0</v>
      </c>
      <c r="X150" s="575"/>
      <c r="Y150" s="578">
        <f>IF('REF. DE PREÇOS n editavel'!W150=0,0,IF('REF. DE PREÇOS n editavel'!W150&gt;0,"c","b"))</f>
        <v>0</v>
      </c>
    </row>
    <row r="151" spans="1:25">
      <c r="A151" s="317">
        <v>545000</v>
      </c>
      <c r="B151" s="870">
        <v>545000</v>
      </c>
      <c r="C151" s="871" t="s">
        <v>184</v>
      </c>
      <c r="D151" s="881" t="s">
        <v>2172</v>
      </c>
      <c r="E151" s="873">
        <f>'REF. DE PREÇOS n editavel'!E151</f>
        <v>0</v>
      </c>
      <c r="F151" s="883">
        <f>'REF. DE PREÇOS n editavel'!F151</f>
        <v>0</v>
      </c>
      <c r="G151" s="927">
        <f>'REF. DE PREÇOS n editavel'!G151</f>
        <v>62.349879999999999</v>
      </c>
      <c r="H151" s="876">
        <f>'REF. DE PREÇOS n editavel'!H151</f>
        <v>88.51</v>
      </c>
      <c r="I151" s="876">
        <f>'REF. DE PREÇOS n editavel'!I151</f>
        <v>150.85988</v>
      </c>
      <c r="J151" s="877">
        <f>'REF. DE PREÇOS n editavel'!J151</f>
        <v>184.38</v>
      </c>
      <c r="K151" s="878" t="s">
        <v>10</v>
      </c>
      <c r="L151" s="1092"/>
      <c r="M151" s="1105">
        <f t="shared" si="12"/>
        <v>0</v>
      </c>
      <c r="N151" s="868">
        <f t="shared" si="10"/>
        <v>0</v>
      </c>
      <c r="O151" s="880"/>
      <c r="Q151" s="317" t="str">
        <f t="shared" si="11"/>
        <v/>
      </c>
      <c r="R151" s="317" t="str">
        <f t="shared" si="13"/>
        <v/>
      </c>
      <c r="S151" s="317" t="str">
        <f t="shared" si="14"/>
        <v/>
      </c>
      <c r="T151" s="317" t="str">
        <f>'REF. DE PREÇOS n editavel'!S151</f>
        <v/>
      </c>
      <c r="W151" s="577">
        <v>0</v>
      </c>
      <c r="X151" s="575"/>
      <c r="Y151" s="578">
        <f>IF('REF. DE PREÇOS n editavel'!W151=0,0,IF('REF. DE PREÇOS n editavel'!W151&gt;0,"c","b"))</f>
        <v>0</v>
      </c>
    </row>
    <row r="152" spans="1:25">
      <c r="A152" s="317" t="s">
        <v>147</v>
      </c>
      <c r="B152" s="870" t="s">
        <v>147</v>
      </c>
      <c r="C152" s="871"/>
      <c r="D152" s="931" t="s">
        <v>190</v>
      </c>
      <c r="E152" s="882">
        <f>'REF. DE PREÇOS n editavel'!E152</f>
        <v>445</v>
      </c>
      <c r="F152" s="883">
        <f>'REF. DE PREÇOS n editavel'!F152</f>
        <v>8.7999999999999995E-2</v>
      </c>
      <c r="G152" s="884">
        <f>'REF. DE PREÇOS n editavel'!G152</f>
        <v>31.232959999999999</v>
      </c>
      <c r="H152" s="876">
        <f>'REF. DE PREÇOS n editavel'!H152</f>
        <v>0</v>
      </c>
      <c r="I152" s="876">
        <f>'REF. DE PREÇOS n editavel'!I152</f>
        <v>0</v>
      </c>
      <c r="J152" s="877">
        <f>'REF. DE PREÇOS n editavel'!J152</f>
        <v>0</v>
      </c>
      <c r="K152" s="878" t="s">
        <v>506</v>
      </c>
      <c r="L152" s="933"/>
      <c r="M152" s="1015">
        <f t="shared" si="12"/>
        <v>0</v>
      </c>
      <c r="N152" s="868">
        <f t="shared" si="10"/>
        <v>0</v>
      </c>
      <c r="O152" s="880"/>
      <c r="P152" s="58" t="str">
        <f>IF(N151&gt;0,"xx",IF(N151&gt;0,"xy",""))</f>
        <v/>
      </c>
      <c r="Q152" s="317" t="str">
        <f t="shared" si="11"/>
        <v/>
      </c>
      <c r="R152" s="317" t="str">
        <f t="shared" si="13"/>
        <v/>
      </c>
      <c r="S152" s="317" t="str">
        <f t="shared" si="14"/>
        <v/>
      </c>
      <c r="T152" s="317" t="str">
        <f>'REF. DE PREÇOS n editavel'!S152</f>
        <v/>
      </c>
      <c r="W152" s="577">
        <v>0</v>
      </c>
      <c r="X152" s="575"/>
      <c r="Y152" s="578">
        <f>IF('REF. DE PREÇOS n editavel'!W152=0,0,IF('REF. DE PREÇOS n editavel'!W152&gt;0,"c","b"))</f>
        <v>0</v>
      </c>
    </row>
    <row r="153" spans="1:25">
      <c r="A153" s="317" t="s">
        <v>147</v>
      </c>
      <c r="B153" s="870" t="s">
        <v>147</v>
      </c>
      <c r="C153" s="871"/>
      <c r="D153" s="931" t="s">
        <v>191</v>
      </c>
      <c r="E153" s="873">
        <f>'REF. DE PREÇOS n editavel'!E153</f>
        <v>14</v>
      </c>
      <c r="F153" s="883">
        <f>'REF. DE PREÇOS n editavel'!F153</f>
        <v>1.762</v>
      </c>
      <c r="G153" s="884">
        <f>'REF. DE PREÇOS n editavel'!G153</f>
        <v>31.11692</v>
      </c>
      <c r="H153" s="876">
        <f>'REF. DE PREÇOS n editavel'!H153</f>
        <v>0</v>
      </c>
      <c r="I153" s="876">
        <f>'REF. DE PREÇOS n editavel'!I153</f>
        <v>0</v>
      </c>
      <c r="J153" s="877">
        <f>'REF. DE PREÇOS n editavel'!J153</f>
        <v>0</v>
      </c>
      <c r="K153" s="878" t="s">
        <v>506</v>
      </c>
      <c r="L153" s="933"/>
      <c r="M153" s="1015">
        <f t="shared" si="12"/>
        <v>0</v>
      </c>
      <c r="N153" s="868">
        <f t="shared" ref="N153:N216" si="15">IF(ISBLANK(L153),0,IF(W153=0,ROUND(L153*M153,2),IF(W153="b",ROUNDDOWN(L153*M153,2),ROUNDUP(L153*M153,2))))</f>
        <v>0</v>
      </c>
      <c r="O153" s="880"/>
      <c r="P153" s="58" t="str">
        <f>IF(N151&gt;0,"xx",IF(N151&gt;0,"xy",""))</f>
        <v/>
      </c>
      <c r="Q153" s="317" t="str">
        <f t="shared" si="11"/>
        <v/>
      </c>
      <c r="R153" s="317" t="str">
        <f t="shared" si="13"/>
        <v/>
      </c>
      <c r="S153" s="317" t="str">
        <f t="shared" si="14"/>
        <v/>
      </c>
      <c r="T153" s="317" t="str">
        <f>'REF. DE PREÇOS n editavel'!S153</f>
        <v/>
      </c>
      <c r="W153" s="577">
        <v>0</v>
      </c>
      <c r="X153" s="575"/>
      <c r="Y153" s="578">
        <f>IF('REF. DE PREÇOS n editavel'!W153=0,0,IF('REF. DE PREÇOS n editavel'!W153&gt;0,"c","b"))</f>
        <v>0</v>
      </c>
    </row>
    <row r="154" spans="1:25">
      <c r="A154" s="317">
        <v>546000</v>
      </c>
      <c r="B154" s="870">
        <v>546000</v>
      </c>
      <c r="C154" s="871" t="s">
        <v>184</v>
      </c>
      <c r="D154" s="881" t="s">
        <v>2173</v>
      </c>
      <c r="E154" s="873">
        <f>'REF. DE PREÇOS n editavel'!E154</f>
        <v>0</v>
      </c>
      <c r="F154" s="883">
        <f>'REF. DE PREÇOS n editavel'!F154</f>
        <v>0</v>
      </c>
      <c r="G154" s="927">
        <f>'REF. DE PREÇOS n editavel'!G154</f>
        <v>68.083299999999994</v>
      </c>
      <c r="H154" s="876">
        <f>'REF. DE PREÇOS n editavel'!H154</f>
        <v>100.63</v>
      </c>
      <c r="I154" s="876">
        <f>'REF. DE PREÇOS n editavel'!I154</f>
        <v>168.7133</v>
      </c>
      <c r="J154" s="877">
        <f>'REF. DE PREÇOS n editavel'!J154</f>
        <v>206.2</v>
      </c>
      <c r="K154" s="878" t="s">
        <v>10</v>
      </c>
      <c r="L154" s="1092"/>
      <c r="M154" s="1105">
        <f t="shared" si="12"/>
        <v>0</v>
      </c>
      <c r="N154" s="868">
        <f t="shared" si="15"/>
        <v>0</v>
      </c>
      <c r="O154" s="880"/>
      <c r="Q154" s="317" t="str">
        <f t="shared" si="11"/>
        <v/>
      </c>
      <c r="R154" s="317" t="str">
        <f t="shared" si="13"/>
        <v/>
      </c>
      <c r="S154" s="317" t="str">
        <f t="shared" si="14"/>
        <v/>
      </c>
      <c r="T154" s="317" t="str">
        <f>'REF. DE PREÇOS n editavel'!S154</f>
        <v/>
      </c>
      <c r="W154" s="577">
        <v>0</v>
      </c>
      <c r="X154" s="575"/>
      <c r="Y154" s="578">
        <f>IF('REF. DE PREÇOS n editavel'!W154=0,0,IF('REF. DE PREÇOS n editavel'!W154&gt;0,"c","b"))</f>
        <v>0</v>
      </c>
    </row>
    <row r="155" spans="1:25">
      <c r="A155" s="317" t="s">
        <v>147</v>
      </c>
      <c r="B155" s="870" t="s">
        <v>147</v>
      </c>
      <c r="C155" s="871"/>
      <c r="D155" s="931" t="s">
        <v>190</v>
      </c>
      <c r="E155" s="882">
        <f>'REF. DE PREÇOS n editavel'!E155</f>
        <v>445</v>
      </c>
      <c r="F155" s="883">
        <f>'REF. DE PREÇOS n editavel'!F155</f>
        <v>0.105</v>
      </c>
      <c r="G155" s="884">
        <f>'REF. DE PREÇOS n editavel'!G155</f>
        <v>37.266599999999997</v>
      </c>
      <c r="H155" s="876">
        <f>'REF. DE PREÇOS n editavel'!H155</f>
        <v>0</v>
      </c>
      <c r="I155" s="876">
        <f>'REF. DE PREÇOS n editavel'!I155</f>
        <v>0</v>
      </c>
      <c r="J155" s="877">
        <f>'REF. DE PREÇOS n editavel'!J155</f>
        <v>0</v>
      </c>
      <c r="K155" s="878" t="s">
        <v>506</v>
      </c>
      <c r="L155" s="933"/>
      <c r="M155" s="1015">
        <f t="shared" si="12"/>
        <v>0</v>
      </c>
      <c r="N155" s="868">
        <f t="shared" si="15"/>
        <v>0</v>
      </c>
      <c r="O155" s="880"/>
      <c r="P155" s="58" t="str">
        <f>IF(N154&gt;0,"xx",IF(N154&gt;0,"xy",""))</f>
        <v/>
      </c>
      <c r="Q155" s="317" t="str">
        <f t="shared" si="11"/>
        <v/>
      </c>
      <c r="R155" s="317" t="str">
        <f t="shared" si="13"/>
        <v/>
      </c>
      <c r="S155" s="317" t="str">
        <f t="shared" si="14"/>
        <v/>
      </c>
      <c r="T155" s="317" t="str">
        <f>'REF. DE PREÇOS n editavel'!S155</f>
        <v/>
      </c>
      <c r="W155" s="577">
        <v>0</v>
      </c>
      <c r="X155" s="575"/>
      <c r="Y155" s="578">
        <f>IF('REF. DE PREÇOS n editavel'!W155=0,0,IF('REF. DE PREÇOS n editavel'!W155&gt;0,"c","b"))</f>
        <v>0</v>
      </c>
    </row>
    <row r="156" spans="1:25">
      <c r="A156" s="317" t="s">
        <v>147</v>
      </c>
      <c r="B156" s="870" t="s">
        <v>147</v>
      </c>
      <c r="C156" s="871"/>
      <c r="D156" s="931" t="s">
        <v>191</v>
      </c>
      <c r="E156" s="873">
        <f>'REF. DE PREÇOS n editavel'!E156</f>
        <v>14</v>
      </c>
      <c r="F156" s="883">
        <f>'REF. DE PREÇOS n editavel'!F156</f>
        <v>1.7450000000000001</v>
      </c>
      <c r="G156" s="884">
        <f>'REF. DE PREÇOS n editavel'!G156</f>
        <v>30.816700000000001</v>
      </c>
      <c r="H156" s="876">
        <f>'REF. DE PREÇOS n editavel'!H156</f>
        <v>0</v>
      </c>
      <c r="I156" s="876">
        <f>'REF. DE PREÇOS n editavel'!I156</f>
        <v>0</v>
      </c>
      <c r="J156" s="877">
        <f>'REF. DE PREÇOS n editavel'!J156</f>
        <v>0</v>
      </c>
      <c r="K156" s="878" t="s">
        <v>506</v>
      </c>
      <c r="L156" s="933"/>
      <c r="M156" s="1015">
        <f t="shared" si="12"/>
        <v>0</v>
      </c>
      <c r="N156" s="868">
        <f t="shared" si="15"/>
        <v>0</v>
      </c>
      <c r="O156" s="880"/>
      <c r="P156" s="58" t="str">
        <f>IF(N154&gt;0,"xx",IF(N154&gt;0,"xy",""))</f>
        <v/>
      </c>
      <c r="Q156" s="317" t="str">
        <f t="shared" si="11"/>
        <v/>
      </c>
      <c r="R156" s="317" t="str">
        <f t="shared" si="13"/>
        <v/>
      </c>
      <c r="S156" s="317" t="str">
        <f t="shared" si="14"/>
        <v/>
      </c>
      <c r="T156" s="317" t="str">
        <f>'REF. DE PREÇOS n editavel'!S156</f>
        <v/>
      </c>
      <c r="W156" s="577">
        <v>0</v>
      </c>
      <c r="X156" s="575"/>
      <c r="Y156" s="578">
        <f>IF('REF. DE PREÇOS n editavel'!W156=0,0,IF('REF. DE PREÇOS n editavel'!W156&gt;0,"c","b"))</f>
        <v>0</v>
      </c>
    </row>
    <row r="157" spans="1:25">
      <c r="A157" s="317">
        <v>547000</v>
      </c>
      <c r="B157" s="870">
        <v>547000</v>
      </c>
      <c r="C157" s="871" t="s">
        <v>184</v>
      </c>
      <c r="D157" s="881" t="s">
        <v>2174</v>
      </c>
      <c r="E157" s="873">
        <f>'REF. DE PREÇOS n editavel'!E157</f>
        <v>0</v>
      </c>
      <c r="F157" s="883">
        <f>'REF. DE PREÇOS n editavel'!F157</f>
        <v>0</v>
      </c>
      <c r="G157" s="927">
        <f>'REF. DE PREÇOS n editavel'!G157</f>
        <v>73.461800000000011</v>
      </c>
      <c r="H157" s="876">
        <f>'REF. DE PREÇOS n editavel'!H157</f>
        <v>113.68</v>
      </c>
      <c r="I157" s="876">
        <f>'REF. DE PREÇOS n editavel'!I157</f>
        <v>187.14180000000002</v>
      </c>
      <c r="J157" s="877">
        <f>'REF. DE PREÇOS n editavel'!J157</f>
        <v>228.72</v>
      </c>
      <c r="K157" s="878" t="s">
        <v>10</v>
      </c>
      <c r="L157" s="1092"/>
      <c r="M157" s="1105">
        <f t="shared" si="12"/>
        <v>0</v>
      </c>
      <c r="N157" s="868">
        <f t="shared" si="15"/>
        <v>0</v>
      </c>
      <c r="O157" s="880"/>
      <c r="Q157" s="317" t="str">
        <f t="shared" si="11"/>
        <v/>
      </c>
      <c r="R157" s="317" t="str">
        <f t="shared" si="13"/>
        <v/>
      </c>
      <c r="S157" s="317" t="str">
        <f t="shared" si="14"/>
        <v/>
      </c>
      <c r="T157" s="317" t="str">
        <f>'REF. DE PREÇOS n editavel'!S157</f>
        <v/>
      </c>
      <c r="W157" s="577">
        <v>0</v>
      </c>
      <c r="X157" s="575"/>
      <c r="Y157" s="578">
        <f>IF('REF. DE PREÇOS n editavel'!W157=0,0,IF('REF. DE PREÇOS n editavel'!W157&gt;0,"c","b"))</f>
        <v>0</v>
      </c>
    </row>
    <row r="158" spans="1:25">
      <c r="A158" s="317" t="s">
        <v>147</v>
      </c>
      <c r="B158" s="870" t="s">
        <v>147</v>
      </c>
      <c r="C158" s="871"/>
      <c r="D158" s="931" t="s">
        <v>190</v>
      </c>
      <c r="E158" s="882">
        <f>'REF. DE PREÇOS n editavel'!E158</f>
        <v>445</v>
      </c>
      <c r="F158" s="883">
        <f>'REF. DE PREÇOS n editavel'!F158</f>
        <v>0.121</v>
      </c>
      <c r="G158" s="884">
        <f>'REF. DE PREÇOS n editavel'!G158</f>
        <v>42.945320000000002</v>
      </c>
      <c r="H158" s="876">
        <f>'REF. DE PREÇOS n editavel'!H158</f>
        <v>0</v>
      </c>
      <c r="I158" s="876">
        <f>'REF. DE PREÇOS n editavel'!I158</f>
        <v>0</v>
      </c>
      <c r="J158" s="877">
        <f>'REF. DE PREÇOS n editavel'!J158</f>
        <v>0</v>
      </c>
      <c r="K158" s="878" t="s">
        <v>506</v>
      </c>
      <c r="L158" s="933"/>
      <c r="M158" s="1015">
        <f t="shared" si="12"/>
        <v>0</v>
      </c>
      <c r="N158" s="868">
        <f t="shared" si="15"/>
        <v>0</v>
      </c>
      <c r="O158" s="880"/>
      <c r="P158" s="58" t="str">
        <f>IF(N157&gt;0,"xx",IF(N157&gt;0,"xy",""))</f>
        <v/>
      </c>
      <c r="Q158" s="317" t="str">
        <f t="shared" si="11"/>
        <v/>
      </c>
      <c r="R158" s="317" t="str">
        <f t="shared" si="13"/>
        <v/>
      </c>
      <c r="S158" s="317" t="str">
        <f t="shared" si="14"/>
        <v/>
      </c>
      <c r="T158" s="317" t="str">
        <f>'REF. DE PREÇOS n editavel'!S158</f>
        <v/>
      </c>
      <c r="W158" s="577">
        <v>0</v>
      </c>
      <c r="X158" s="575"/>
      <c r="Y158" s="578">
        <f>IF('REF. DE PREÇOS n editavel'!W158=0,0,IF('REF. DE PREÇOS n editavel'!W158&gt;0,"c","b"))</f>
        <v>0</v>
      </c>
    </row>
    <row r="159" spans="1:25">
      <c r="A159" s="317" t="s">
        <v>147</v>
      </c>
      <c r="B159" s="870" t="s">
        <v>147</v>
      </c>
      <c r="C159" s="871"/>
      <c r="D159" s="931" t="s">
        <v>191</v>
      </c>
      <c r="E159" s="873">
        <f>'REF. DE PREÇOS n editavel'!E159</f>
        <v>14</v>
      </c>
      <c r="F159" s="883">
        <f>'REF. DE PREÇOS n editavel'!F159</f>
        <v>1.728</v>
      </c>
      <c r="G159" s="884">
        <f>'REF. DE PREÇOS n editavel'!G159</f>
        <v>30.516480000000001</v>
      </c>
      <c r="H159" s="876">
        <f>'REF. DE PREÇOS n editavel'!H159</f>
        <v>0</v>
      </c>
      <c r="I159" s="876">
        <f>'REF. DE PREÇOS n editavel'!I159</f>
        <v>0</v>
      </c>
      <c r="J159" s="877">
        <f>'REF. DE PREÇOS n editavel'!J159</f>
        <v>0</v>
      </c>
      <c r="K159" s="878" t="s">
        <v>506</v>
      </c>
      <c r="L159" s="933"/>
      <c r="M159" s="1015">
        <f t="shared" si="12"/>
        <v>0</v>
      </c>
      <c r="N159" s="868">
        <f t="shared" si="15"/>
        <v>0</v>
      </c>
      <c r="O159" s="880"/>
      <c r="P159" s="58" t="str">
        <f>IF(N157&gt;0,"xx",IF(N157&gt;0,"xy",""))</f>
        <v/>
      </c>
      <c r="Q159" s="317" t="str">
        <f t="shared" si="11"/>
        <v/>
      </c>
      <c r="R159" s="317" t="str">
        <f t="shared" si="13"/>
        <v/>
      </c>
      <c r="S159" s="317" t="str">
        <f t="shared" si="14"/>
        <v/>
      </c>
      <c r="T159" s="317" t="str">
        <f>'REF. DE PREÇOS n editavel'!S159</f>
        <v/>
      </c>
      <c r="W159" s="577">
        <v>0</v>
      </c>
      <c r="X159" s="575"/>
      <c r="Y159" s="578">
        <f>IF('REF. DE PREÇOS n editavel'!W159=0,0,IF('REF. DE PREÇOS n editavel'!W159&gt;0,"c","b"))</f>
        <v>0</v>
      </c>
    </row>
    <row r="160" spans="1:25">
      <c r="A160" s="317">
        <v>542100</v>
      </c>
      <c r="B160" s="870">
        <v>542100</v>
      </c>
      <c r="C160" s="871" t="s">
        <v>184</v>
      </c>
      <c r="D160" s="881" t="s">
        <v>2175</v>
      </c>
      <c r="E160" s="873">
        <f>'REF. DE PREÇOS n editavel'!E160</f>
        <v>0</v>
      </c>
      <c r="F160" s="883">
        <f>'REF. DE PREÇOS n editavel'!F160</f>
        <v>0</v>
      </c>
      <c r="G160" s="927">
        <f>'REF. DE PREÇOS n editavel'!G160</f>
        <v>103.50754000000001</v>
      </c>
      <c r="H160" s="876">
        <f>'REF. DE PREÇOS n editavel'!H160</f>
        <v>59.6</v>
      </c>
      <c r="I160" s="876">
        <f>'REF. DE PREÇOS n editavel'!I160</f>
        <v>163.10754</v>
      </c>
      <c r="J160" s="877">
        <f>'REF. DE PREÇOS n editavel'!J160</f>
        <v>199.35</v>
      </c>
      <c r="K160" s="878" t="s">
        <v>10</v>
      </c>
      <c r="L160" s="1092"/>
      <c r="M160" s="1105">
        <f t="shared" si="12"/>
        <v>0</v>
      </c>
      <c r="N160" s="868">
        <f t="shared" si="15"/>
        <v>0</v>
      </c>
      <c r="O160" s="880"/>
      <c r="Q160" s="317" t="str">
        <f t="shared" si="11"/>
        <v/>
      </c>
      <c r="R160" s="317" t="str">
        <f t="shared" si="13"/>
        <v/>
      </c>
      <c r="S160" s="317" t="str">
        <f t="shared" si="14"/>
        <v/>
      </c>
      <c r="T160" s="317" t="str">
        <f>'REF. DE PREÇOS n editavel'!S160</f>
        <v/>
      </c>
      <c r="W160" s="577">
        <v>0</v>
      </c>
      <c r="X160" s="575"/>
      <c r="Y160" s="578">
        <f>IF('REF. DE PREÇOS n editavel'!W160=0,0,IF('REF. DE PREÇOS n editavel'!W160&gt;0,"c","b"))</f>
        <v>0</v>
      </c>
    </row>
    <row r="161" spans="1:25">
      <c r="A161" s="317" t="s">
        <v>147</v>
      </c>
      <c r="B161" s="870" t="s">
        <v>147</v>
      </c>
      <c r="C161" s="871"/>
      <c r="D161" s="931" t="s">
        <v>190</v>
      </c>
      <c r="E161" s="882">
        <f>'REF. DE PREÇOS n editavel'!E161</f>
        <v>445</v>
      </c>
      <c r="F161" s="883">
        <f>'REF. DE PREÇOS n editavel'!F161</f>
        <v>3.6999999999999998E-2</v>
      </c>
      <c r="G161" s="884">
        <f>'REF. DE PREÇOS n editavel'!G161</f>
        <v>13.13204</v>
      </c>
      <c r="H161" s="876">
        <f>'REF. DE PREÇOS n editavel'!H161</f>
        <v>0</v>
      </c>
      <c r="I161" s="876">
        <f>'REF. DE PREÇOS n editavel'!I161</f>
        <v>0</v>
      </c>
      <c r="J161" s="877">
        <f>'REF. DE PREÇOS n editavel'!J161</f>
        <v>0</v>
      </c>
      <c r="K161" s="878" t="s">
        <v>506</v>
      </c>
      <c r="L161" s="933"/>
      <c r="M161" s="1015">
        <f t="shared" si="12"/>
        <v>0</v>
      </c>
      <c r="N161" s="868">
        <f t="shared" si="15"/>
        <v>0</v>
      </c>
      <c r="O161" s="880"/>
      <c r="P161" s="58" t="str">
        <f>IF(N160&gt;0,"xx",IF(N160&gt;0,"xy",""))</f>
        <v/>
      </c>
      <c r="Q161" s="317" t="str">
        <f t="shared" si="11"/>
        <v/>
      </c>
      <c r="R161" s="317" t="str">
        <f t="shared" si="13"/>
        <v/>
      </c>
      <c r="S161" s="317" t="str">
        <f t="shared" si="14"/>
        <v/>
      </c>
      <c r="T161" s="317" t="str">
        <f>'REF. DE PREÇOS n editavel'!S161</f>
        <v/>
      </c>
      <c r="W161" s="577">
        <v>0</v>
      </c>
      <c r="X161" s="575"/>
      <c r="Y161" s="578">
        <f>IF('REF. DE PREÇOS n editavel'!W161=0,0,IF('REF. DE PREÇOS n editavel'!W161&gt;0,"c","b"))</f>
        <v>0</v>
      </c>
    </row>
    <row r="162" spans="1:25">
      <c r="A162" s="317" t="s">
        <v>147</v>
      </c>
      <c r="B162" s="870" t="s">
        <v>147</v>
      </c>
      <c r="C162" s="871"/>
      <c r="D162" s="931" t="s">
        <v>191</v>
      </c>
      <c r="E162" s="873">
        <f>'REF. DE PREÇOS n editavel'!E162</f>
        <v>14</v>
      </c>
      <c r="F162" s="883">
        <f>'REF. DE PREÇOS n editavel'!F162</f>
        <v>1.9</v>
      </c>
      <c r="G162" s="884">
        <f>'REF. DE PREÇOS n editavel'!G162</f>
        <v>33.554000000000002</v>
      </c>
      <c r="H162" s="876">
        <f>'REF. DE PREÇOS n editavel'!H162</f>
        <v>0</v>
      </c>
      <c r="I162" s="876">
        <f>'REF. DE PREÇOS n editavel'!I162</f>
        <v>0</v>
      </c>
      <c r="J162" s="877">
        <f>'REF. DE PREÇOS n editavel'!J162</f>
        <v>0</v>
      </c>
      <c r="K162" s="878" t="s">
        <v>506</v>
      </c>
      <c r="L162" s="933"/>
      <c r="M162" s="1015">
        <f t="shared" si="12"/>
        <v>0</v>
      </c>
      <c r="N162" s="868">
        <f t="shared" si="15"/>
        <v>0</v>
      </c>
      <c r="O162" s="880"/>
      <c r="P162" s="58" t="str">
        <f>IF(N160&gt;0,"xx",IF(N160&gt;0,"xy",""))</f>
        <v/>
      </c>
      <c r="Q162" s="317" t="str">
        <f t="shared" si="11"/>
        <v/>
      </c>
      <c r="R162" s="317" t="str">
        <f t="shared" si="13"/>
        <v/>
      </c>
      <c r="S162" s="317" t="str">
        <f t="shared" si="14"/>
        <v/>
      </c>
      <c r="T162" s="317" t="str">
        <f>'REF. DE PREÇOS n editavel'!S162</f>
        <v/>
      </c>
      <c r="W162" s="577">
        <v>0</v>
      </c>
      <c r="X162" s="575"/>
      <c r="Y162" s="578">
        <f>IF('REF. DE PREÇOS n editavel'!W162=0,0,IF('REF. DE PREÇOS n editavel'!W162&gt;0,"c","b"))</f>
        <v>0</v>
      </c>
    </row>
    <row r="163" spans="1:25">
      <c r="A163" s="317" t="s">
        <v>147</v>
      </c>
      <c r="B163" s="870" t="s">
        <v>147</v>
      </c>
      <c r="C163" s="871"/>
      <c r="D163" s="931" t="s">
        <v>192</v>
      </c>
      <c r="E163" s="873">
        <f>'REF. DE PREÇOS n editavel'!E163</f>
        <v>26</v>
      </c>
      <c r="F163" s="883">
        <f>'REF. DE PREÇOS n editavel'!F163</f>
        <v>1.863</v>
      </c>
      <c r="G163" s="884">
        <f>'REF. DE PREÇOS n editavel'!G163</f>
        <v>56.8215</v>
      </c>
      <c r="H163" s="876">
        <f>'REF. DE PREÇOS n editavel'!H163</f>
        <v>0</v>
      </c>
      <c r="I163" s="876">
        <f>'REF. DE PREÇOS n editavel'!I163</f>
        <v>0</v>
      </c>
      <c r="J163" s="877">
        <f>'REF. DE PREÇOS n editavel'!J163</f>
        <v>0</v>
      </c>
      <c r="K163" s="878" t="s">
        <v>506</v>
      </c>
      <c r="L163" s="933"/>
      <c r="M163" s="1015">
        <f t="shared" si="12"/>
        <v>0</v>
      </c>
      <c r="N163" s="868">
        <f t="shared" si="15"/>
        <v>0</v>
      </c>
      <c r="O163" s="880"/>
      <c r="P163" s="58" t="str">
        <f>IF($N$142&gt;0,"xx",IF($N$142&gt;0,"xy",""))</f>
        <v/>
      </c>
      <c r="Q163" s="317" t="str">
        <f t="shared" si="11"/>
        <v/>
      </c>
      <c r="R163" s="317" t="str">
        <f t="shared" si="13"/>
        <v/>
      </c>
      <c r="S163" s="317" t="str">
        <f t="shared" si="14"/>
        <v/>
      </c>
      <c r="T163" s="317" t="str">
        <f>'REF. DE PREÇOS n editavel'!S163</f>
        <v/>
      </c>
      <c r="W163" s="577">
        <v>0</v>
      </c>
      <c r="X163" s="575"/>
      <c r="Y163" s="578">
        <f>IF('REF. DE PREÇOS n editavel'!W163=0,0,IF('REF. DE PREÇOS n editavel'!W163&gt;0,"c","b"))</f>
        <v>0</v>
      </c>
    </row>
    <row r="164" spans="1:25">
      <c r="A164" s="317">
        <v>543100</v>
      </c>
      <c r="B164" s="870">
        <v>543100</v>
      </c>
      <c r="C164" s="871" t="s">
        <v>184</v>
      </c>
      <c r="D164" s="881" t="s">
        <v>2176</v>
      </c>
      <c r="E164" s="873">
        <f>'REF. DE PREÇOS n editavel'!E164</f>
        <v>0</v>
      </c>
      <c r="F164" s="883">
        <f>'REF. DE PREÇOS n editavel'!F164</f>
        <v>0</v>
      </c>
      <c r="G164" s="927">
        <f>'REF. DE PREÇOS n editavel'!G164</f>
        <v>109.34710000000001</v>
      </c>
      <c r="H164" s="876">
        <f>'REF. DE PREÇOS n editavel'!H164</f>
        <v>70.010000000000005</v>
      </c>
      <c r="I164" s="876">
        <f>'REF. DE PREÇOS n editavel'!I164</f>
        <v>179.3571</v>
      </c>
      <c r="J164" s="877">
        <f>'REF. DE PREÇOS n editavel'!J164</f>
        <v>219.21</v>
      </c>
      <c r="K164" s="878" t="s">
        <v>10</v>
      </c>
      <c r="L164" s="1092"/>
      <c r="M164" s="1105">
        <f t="shared" si="12"/>
        <v>0</v>
      </c>
      <c r="N164" s="868">
        <f t="shared" si="15"/>
        <v>0</v>
      </c>
      <c r="O164" s="880"/>
      <c r="Q164" s="317" t="str">
        <f t="shared" si="11"/>
        <v/>
      </c>
      <c r="R164" s="317" t="str">
        <f t="shared" si="13"/>
        <v/>
      </c>
      <c r="S164" s="317" t="str">
        <f t="shared" si="14"/>
        <v/>
      </c>
      <c r="T164" s="317" t="str">
        <f>'REF. DE PREÇOS n editavel'!S164</f>
        <v/>
      </c>
      <c r="W164" s="577">
        <v>0</v>
      </c>
      <c r="X164" s="575"/>
      <c r="Y164" s="578">
        <f>IF('REF. DE PREÇOS n editavel'!W164=0,0,IF('REF. DE PREÇOS n editavel'!W164&gt;0,"c","b"))</f>
        <v>0</v>
      </c>
    </row>
    <row r="165" spans="1:25">
      <c r="A165" s="317" t="s">
        <v>147</v>
      </c>
      <c r="B165" s="870" t="s">
        <v>147</v>
      </c>
      <c r="C165" s="871"/>
      <c r="D165" s="931" t="s">
        <v>190</v>
      </c>
      <c r="E165" s="882">
        <f>'REF. DE PREÇOS n editavel'!E165</f>
        <v>445</v>
      </c>
      <c r="F165" s="883">
        <f>'REF. DE PREÇOS n editavel'!F165</f>
        <v>5.5E-2</v>
      </c>
      <c r="G165" s="884">
        <f>'REF. DE PREÇOS n editavel'!G165</f>
        <v>19.520600000000002</v>
      </c>
      <c r="H165" s="876">
        <f>'REF. DE PREÇOS n editavel'!H165</f>
        <v>0</v>
      </c>
      <c r="I165" s="876">
        <f>'REF. DE PREÇOS n editavel'!I165</f>
        <v>0</v>
      </c>
      <c r="J165" s="877">
        <f>'REF. DE PREÇOS n editavel'!J165</f>
        <v>0</v>
      </c>
      <c r="K165" s="878" t="s">
        <v>506</v>
      </c>
      <c r="L165" s="933"/>
      <c r="M165" s="1015">
        <f t="shared" si="12"/>
        <v>0</v>
      </c>
      <c r="N165" s="868">
        <f t="shared" si="15"/>
        <v>0</v>
      </c>
      <c r="O165" s="880"/>
      <c r="P165" s="58" t="str">
        <f>IF(N164&gt;0,"xx",IF(N164&gt;0,"xy",""))</f>
        <v/>
      </c>
      <c r="Q165" s="317" t="str">
        <f t="shared" si="11"/>
        <v/>
      </c>
      <c r="R165" s="317" t="str">
        <f t="shared" si="13"/>
        <v/>
      </c>
      <c r="S165" s="317" t="str">
        <f t="shared" si="14"/>
        <v/>
      </c>
      <c r="T165" s="317" t="str">
        <f>'REF. DE PREÇOS n editavel'!S165</f>
        <v/>
      </c>
      <c r="W165" s="577">
        <v>0</v>
      </c>
      <c r="X165" s="575"/>
      <c r="Y165" s="578">
        <f>IF('REF. DE PREÇOS n editavel'!W165=0,0,IF('REF. DE PREÇOS n editavel'!W165&gt;0,"c","b"))</f>
        <v>0</v>
      </c>
    </row>
    <row r="166" spans="1:25">
      <c r="A166" s="317" t="s">
        <v>147</v>
      </c>
      <c r="B166" s="870" t="s">
        <v>147</v>
      </c>
      <c r="C166" s="871"/>
      <c r="D166" s="931" t="s">
        <v>191</v>
      </c>
      <c r="E166" s="873">
        <f>'REF. DE PREÇOS n editavel'!E166</f>
        <v>14</v>
      </c>
      <c r="F166" s="883">
        <f>'REF. DE PREÇOS n editavel'!F166</f>
        <v>1.9</v>
      </c>
      <c r="G166" s="884">
        <f>'REF. DE PREÇOS n editavel'!G166</f>
        <v>33.554000000000002</v>
      </c>
      <c r="H166" s="876">
        <f>'REF. DE PREÇOS n editavel'!H166</f>
        <v>0</v>
      </c>
      <c r="I166" s="876">
        <f>'REF. DE PREÇOS n editavel'!I166</f>
        <v>0</v>
      </c>
      <c r="J166" s="877">
        <f>'REF. DE PREÇOS n editavel'!J166</f>
        <v>0</v>
      </c>
      <c r="K166" s="878" t="s">
        <v>506</v>
      </c>
      <c r="L166" s="933"/>
      <c r="M166" s="1015">
        <f t="shared" si="12"/>
        <v>0</v>
      </c>
      <c r="N166" s="868">
        <f t="shared" si="15"/>
        <v>0</v>
      </c>
      <c r="O166" s="880"/>
      <c r="P166" s="58" t="str">
        <f>IF(N164&gt;0,"xx",IF(N164&gt;0,"xy",""))</f>
        <v/>
      </c>
      <c r="Q166" s="317" t="str">
        <f t="shared" si="11"/>
        <v/>
      </c>
      <c r="R166" s="317" t="str">
        <f t="shared" si="13"/>
        <v/>
      </c>
      <c r="S166" s="317" t="str">
        <f t="shared" si="14"/>
        <v/>
      </c>
      <c r="T166" s="317" t="str">
        <f>'REF. DE PREÇOS n editavel'!S166</f>
        <v/>
      </c>
      <c r="W166" s="577">
        <v>0</v>
      </c>
      <c r="X166" s="575"/>
      <c r="Y166" s="578">
        <f>IF('REF. DE PREÇOS n editavel'!W166=0,0,IF('REF. DE PREÇOS n editavel'!W166&gt;0,"c","b"))</f>
        <v>0</v>
      </c>
    </row>
    <row r="167" spans="1:25">
      <c r="A167" s="317" t="s">
        <v>147</v>
      </c>
      <c r="B167" s="870" t="s">
        <v>147</v>
      </c>
      <c r="C167" s="871"/>
      <c r="D167" s="931" t="s">
        <v>192</v>
      </c>
      <c r="E167" s="873">
        <f>'REF. DE PREÇOS n editavel'!E167</f>
        <v>26</v>
      </c>
      <c r="F167" s="883">
        <f>'REF. DE PREÇOS n editavel'!F167</f>
        <v>1.845</v>
      </c>
      <c r="G167" s="884">
        <f>'REF. DE PREÇOS n editavel'!G167</f>
        <v>56.272500000000001</v>
      </c>
      <c r="H167" s="876">
        <f>'REF. DE PREÇOS n editavel'!H167</f>
        <v>0</v>
      </c>
      <c r="I167" s="876">
        <f>'REF. DE PREÇOS n editavel'!I167</f>
        <v>0</v>
      </c>
      <c r="J167" s="877">
        <f>'REF. DE PREÇOS n editavel'!J167</f>
        <v>0</v>
      </c>
      <c r="K167" s="878" t="s">
        <v>506</v>
      </c>
      <c r="L167" s="933"/>
      <c r="M167" s="1015">
        <f t="shared" si="12"/>
        <v>0</v>
      </c>
      <c r="N167" s="868">
        <f t="shared" si="15"/>
        <v>0</v>
      </c>
      <c r="O167" s="880"/>
      <c r="P167" s="58" t="str">
        <f>IF($N$142&gt;0,"xx",IF($N$142&gt;0,"xy",""))</f>
        <v/>
      </c>
      <c r="Q167" s="317" t="str">
        <f t="shared" si="11"/>
        <v/>
      </c>
      <c r="R167" s="317" t="str">
        <f t="shared" si="13"/>
        <v/>
      </c>
      <c r="S167" s="317" t="str">
        <f t="shared" si="14"/>
        <v/>
      </c>
      <c r="T167" s="317" t="str">
        <f>'REF. DE PREÇOS n editavel'!S167</f>
        <v/>
      </c>
      <c r="W167" s="577">
        <v>0</v>
      </c>
      <c r="X167" s="575"/>
      <c r="Y167" s="578">
        <f>IF('REF. DE PREÇOS n editavel'!W167=0,0,IF('REF. DE PREÇOS n editavel'!W167&gt;0,"c","b"))</f>
        <v>0</v>
      </c>
    </row>
    <row r="168" spans="1:25">
      <c r="A168" s="317">
        <v>544100</v>
      </c>
      <c r="B168" s="870">
        <v>544100</v>
      </c>
      <c r="C168" s="871" t="s">
        <v>184</v>
      </c>
      <c r="D168" s="881" t="s">
        <v>2177</v>
      </c>
      <c r="E168" s="873">
        <f>'REF. DE PREÇOS n editavel'!E168</f>
        <v>0</v>
      </c>
      <c r="F168" s="883">
        <f>'REF. DE PREÇOS n editavel'!F168</f>
        <v>0</v>
      </c>
      <c r="G168" s="927">
        <f>'REF. DE PREÇOS n editavel'!G168</f>
        <v>112.12982</v>
      </c>
      <c r="H168" s="876">
        <f>'REF. DE PREÇOS n editavel'!H168</f>
        <v>72.23</v>
      </c>
      <c r="I168" s="876">
        <f>'REF. DE PREÇOS n editavel'!I168</f>
        <v>184.35982000000001</v>
      </c>
      <c r="J168" s="877">
        <f>'REF. DE PREÇOS n editavel'!J168</f>
        <v>225.32</v>
      </c>
      <c r="K168" s="878" t="s">
        <v>10</v>
      </c>
      <c r="L168" s="1092"/>
      <c r="M168" s="1105">
        <f t="shared" si="12"/>
        <v>0</v>
      </c>
      <c r="N168" s="868">
        <f t="shared" si="15"/>
        <v>0</v>
      </c>
      <c r="O168" s="880"/>
      <c r="Q168" s="317" t="str">
        <f t="shared" si="11"/>
        <v/>
      </c>
      <c r="R168" s="317" t="str">
        <f t="shared" si="13"/>
        <v/>
      </c>
      <c r="S168" s="317" t="str">
        <f t="shared" si="14"/>
        <v/>
      </c>
      <c r="T168" s="317" t="str">
        <f>'REF. DE PREÇOS n editavel'!S168</f>
        <v/>
      </c>
      <c r="W168" s="577">
        <v>0</v>
      </c>
      <c r="X168" s="575"/>
      <c r="Y168" s="578">
        <f>IF('REF. DE PREÇOS n editavel'!W168=0,0,IF('REF. DE PREÇOS n editavel'!W168&gt;0,"c","b"))</f>
        <v>0</v>
      </c>
    </row>
    <row r="169" spans="1:25">
      <c r="A169" s="317" t="s">
        <v>147</v>
      </c>
      <c r="B169" s="870" t="s">
        <v>147</v>
      </c>
      <c r="C169" s="871"/>
      <c r="D169" s="931" t="s">
        <v>190</v>
      </c>
      <c r="E169" s="882">
        <f>'REF. DE PREÇOS n editavel'!E169</f>
        <v>445</v>
      </c>
      <c r="F169" s="883">
        <f>'REF. DE PREÇOS n editavel'!F169</f>
        <v>7.0999999999999994E-2</v>
      </c>
      <c r="G169" s="884">
        <f>'REF. DE PREÇOS n editavel'!G169</f>
        <v>25.19932</v>
      </c>
      <c r="H169" s="876">
        <f>'REF. DE PREÇOS n editavel'!H169</f>
        <v>0</v>
      </c>
      <c r="I169" s="876">
        <f>'REF. DE PREÇOS n editavel'!I169</f>
        <v>0</v>
      </c>
      <c r="J169" s="877">
        <f>'REF. DE PREÇOS n editavel'!J169</f>
        <v>0</v>
      </c>
      <c r="K169" s="878" t="s">
        <v>506</v>
      </c>
      <c r="L169" s="933"/>
      <c r="M169" s="1015">
        <f t="shared" si="12"/>
        <v>0</v>
      </c>
      <c r="N169" s="868">
        <f t="shared" si="15"/>
        <v>0</v>
      </c>
      <c r="O169" s="880"/>
      <c r="P169" s="58" t="str">
        <f>IF(N168&gt;0,"xx",IF(N168&gt;0,"xy",""))</f>
        <v/>
      </c>
      <c r="Q169" s="317" t="str">
        <f t="shared" si="11"/>
        <v/>
      </c>
      <c r="R169" s="317" t="str">
        <f t="shared" si="13"/>
        <v/>
      </c>
      <c r="S169" s="317" t="str">
        <f t="shared" si="14"/>
        <v/>
      </c>
      <c r="T169" s="317" t="str">
        <f>'REF. DE PREÇOS n editavel'!S169</f>
        <v/>
      </c>
      <c r="W169" s="577">
        <v>0</v>
      </c>
      <c r="X169" s="575"/>
      <c r="Y169" s="578">
        <f>IF('REF. DE PREÇOS n editavel'!W169=0,0,IF('REF. DE PREÇOS n editavel'!W169&gt;0,"c","b"))</f>
        <v>0</v>
      </c>
    </row>
    <row r="170" spans="1:25">
      <c r="A170" s="317" t="s">
        <v>147</v>
      </c>
      <c r="B170" s="870" t="s">
        <v>147</v>
      </c>
      <c r="C170" s="871"/>
      <c r="D170" s="931" t="s">
        <v>191</v>
      </c>
      <c r="E170" s="873">
        <f>'REF. DE PREÇOS n editavel'!E170</f>
        <v>14</v>
      </c>
      <c r="F170" s="883">
        <f>'REF. DE PREÇOS n editavel'!F170</f>
        <v>1.85</v>
      </c>
      <c r="G170" s="884">
        <f>'REF. DE PREÇOS n editavel'!G170</f>
        <v>32.670999999999999</v>
      </c>
      <c r="H170" s="876">
        <f>'REF. DE PREÇOS n editavel'!H170</f>
        <v>0</v>
      </c>
      <c r="I170" s="876">
        <f>'REF. DE PREÇOS n editavel'!I170</f>
        <v>0</v>
      </c>
      <c r="J170" s="877">
        <f>'REF. DE PREÇOS n editavel'!J170</f>
        <v>0</v>
      </c>
      <c r="K170" s="878" t="s">
        <v>506</v>
      </c>
      <c r="L170" s="933"/>
      <c r="M170" s="1015">
        <f t="shared" si="12"/>
        <v>0</v>
      </c>
      <c r="N170" s="868">
        <f t="shared" si="15"/>
        <v>0</v>
      </c>
      <c r="O170" s="880"/>
      <c r="P170" s="58" t="str">
        <f>IF(N168&gt;0,"xx",IF(N168&gt;0,"xy",""))</f>
        <v/>
      </c>
      <c r="Q170" s="317" t="str">
        <f t="shared" si="11"/>
        <v/>
      </c>
      <c r="R170" s="317" t="str">
        <f t="shared" si="13"/>
        <v/>
      </c>
      <c r="S170" s="317" t="str">
        <f t="shared" si="14"/>
        <v/>
      </c>
      <c r="T170" s="317" t="str">
        <f>'REF. DE PREÇOS n editavel'!S170</f>
        <v/>
      </c>
      <c r="W170" s="577">
        <v>0</v>
      </c>
      <c r="X170" s="575"/>
      <c r="Y170" s="578">
        <f>IF('REF. DE PREÇOS n editavel'!W170=0,0,IF('REF. DE PREÇOS n editavel'!W170&gt;0,"c","b"))</f>
        <v>0</v>
      </c>
    </row>
    <row r="171" spans="1:25">
      <c r="A171" s="317" t="s">
        <v>147</v>
      </c>
      <c r="B171" s="870" t="s">
        <v>147</v>
      </c>
      <c r="C171" s="871"/>
      <c r="D171" s="931" t="s">
        <v>192</v>
      </c>
      <c r="E171" s="873">
        <f>'REF. DE PREÇOS n editavel'!E171</f>
        <v>26</v>
      </c>
      <c r="F171" s="883">
        <f>'REF. DE PREÇOS n editavel'!F171</f>
        <v>1.7789999999999999</v>
      </c>
      <c r="G171" s="884">
        <f>'REF. DE PREÇOS n editavel'!G171</f>
        <v>54.259499999999996</v>
      </c>
      <c r="H171" s="876">
        <f>'REF. DE PREÇOS n editavel'!H171</f>
        <v>0</v>
      </c>
      <c r="I171" s="876">
        <f>'REF. DE PREÇOS n editavel'!I171</f>
        <v>0</v>
      </c>
      <c r="J171" s="877">
        <f>'REF. DE PREÇOS n editavel'!J171</f>
        <v>0</v>
      </c>
      <c r="K171" s="878" t="s">
        <v>506</v>
      </c>
      <c r="L171" s="933"/>
      <c r="M171" s="1015">
        <f t="shared" si="12"/>
        <v>0</v>
      </c>
      <c r="N171" s="868">
        <f t="shared" si="15"/>
        <v>0</v>
      </c>
      <c r="O171" s="880"/>
      <c r="P171" s="58" t="str">
        <f>IF($N$142&gt;0,"xx",IF($N$142&gt;0,"xy",""))</f>
        <v/>
      </c>
      <c r="Q171" s="317" t="str">
        <f t="shared" si="11"/>
        <v/>
      </c>
      <c r="R171" s="317" t="str">
        <f t="shared" si="13"/>
        <v/>
      </c>
      <c r="S171" s="317" t="str">
        <f t="shared" si="14"/>
        <v/>
      </c>
      <c r="T171" s="317" t="str">
        <f>'REF. DE PREÇOS n editavel'!S171</f>
        <v/>
      </c>
      <c r="W171" s="577">
        <v>0</v>
      </c>
      <c r="X171" s="575"/>
      <c r="Y171" s="578">
        <f>IF('REF. DE PREÇOS n editavel'!W171=0,0,IF('REF. DE PREÇOS n editavel'!W171&gt;0,"c","b"))</f>
        <v>0</v>
      </c>
    </row>
    <row r="172" spans="1:25">
      <c r="A172" s="317">
        <v>545100</v>
      </c>
      <c r="B172" s="870">
        <v>545100</v>
      </c>
      <c r="C172" s="871" t="s">
        <v>184</v>
      </c>
      <c r="D172" s="881" t="s">
        <v>2178</v>
      </c>
      <c r="E172" s="873">
        <f>'REF. DE PREÇOS n editavel'!E172</f>
        <v>0</v>
      </c>
      <c r="F172" s="883">
        <f>'REF. DE PREÇOS n editavel'!F172</f>
        <v>0</v>
      </c>
      <c r="G172" s="927">
        <f>'REF. DE PREÇOS n editavel'!G172</f>
        <v>117.64496</v>
      </c>
      <c r="H172" s="876">
        <f>'REF. DE PREÇOS n editavel'!H172</f>
        <v>82.05</v>
      </c>
      <c r="I172" s="876">
        <f>'REF. DE PREÇOS n editavel'!I172</f>
        <v>199.69495999999998</v>
      </c>
      <c r="J172" s="877">
        <f>'REF. DE PREÇOS n editavel'!J172</f>
        <v>244.07</v>
      </c>
      <c r="K172" s="878" t="s">
        <v>10</v>
      </c>
      <c r="L172" s="1092"/>
      <c r="M172" s="1105">
        <f t="shared" si="12"/>
        <v>0</v>
      </c>
      <c r="N172" s="868">
        <f t="shared" si="15"/>
        <v>0</v>
      </c>
      <c r="O172" s="880"/>
      <c r="Q172" s="317" t="str">
        <f t="shared" si="11"/>
        <v/>
      </c>
      <c r="R172" s="317" t="str">
        <f t="shared" si="13"/>
        <v/>
      </c>
      <c r="S172" s="317" t="str">
        <f t="shared" si="14"/>
        <v/>
      </c>
      <c r="T172" s="317" t="str">
        <f>'REF. DE PREÇOS n editavel'!S172</f>
        <v/>
      </c>
      <c r="W172" s="577">
        <v>0</v>
      </c>
      <c r="X172" s="575"/>
      <c r="Y172" s="578">
        <f>IF('REF. DE PREÇOS n editavel'!W172=0,0,IF('REF. DE PREÇOS n editavel'!W172&gt;0,"c","b"))</f>
        <v>0</v>
      </c>
    </row>
    <row r="173" spans="1:25">
      <c r="A173" s="317" t="s">
        <v>147</v>
      </c>
      <c r="B173" s="870" t="s">
        <v>147</v>
      </c>
      <c r="C173" s="871"/>
      <c r="D173" s="931" t="s">
        <v>190</v>
      </c>
      <c r="E173" s="882">
        <f>'REF. DE PREÇOS n editavel'!E173</f>
        <v>445</v>
      </c>
      <c r="F173" s="883">
        <f>'REF. DE PREÇOS n editavel'!F173</f>
        <v>8.7999999999999995E-2</v>
      </c>
      <c r="G173" s="884">
        <f>'REF. DE PREÇOS n editavel'!G173</f>
        <v>31.232959999999999</v>
      </c>
      <c r="H173" s="876">
        <f>'REF. DE PREÇOS n editavel'!H173</f>
        <v>0</v>
      </c>
      <c r="I173" s="876">
        <f>'REF. DE PREÇOS n editavel'!I173</f>
        <v>0</v>
      </c>
      <c r="J173" s="877">
        <f>'REF. DE PREÇOS n editavel'!J173</f>
        <v>0</v>
      </c>
      <c r="K173" s="878" t="s">
        <v>506</v>
      </c>
      <c r="L173" s="933"/>
      <c r="M173" s="1015">
        <f t="shared" si="12"/>
        <v>0</v>
      </c>
      <c r="N173" s="868">
        <f t="shared" si="15"/>
        <v>0</v>
      </c>
      <c r="O173" s="880"/>
      <c r="P173" s="58" t="str">
        <f>IF(N172&gt;0,"xx",IF(N172&gt;0,"xy",""))</f>
        <v/>
      </c>
      <c r="Q173" s="317" t="str">
        <f t="shared" si="11"/>
        <v/>
      </c>
      <c r="R173" s="317" t="str">
        <f t="shared" si="13"/>
        <v/>
      </c>
      <c r="S173" s="317" t="str">
        <f t="shared" si="14"/>
        <v/>
      </c>
      <c r="T173" s="317" t="str">
        <f>'REF. DE PREÇOS n editavel'!S173</f>
        <v/>
      </c>
      <c r="W173" s="577">
        <v>0</v>
      </c>
      <c r="X173" s="575"/>
      <c r="Y173" s="578">
        <f>IF('REF. DE PREÇOS n editavel'!W173=0,0,IF('REF. DE PREÇOS n editavel'!W173&gt;0,"c","b"))</f>
        <v>0</v>
      </c>
    </row>
    <row r="174" spans="1:25">
      <c r="A174" s="317" t="s">
        <v>147</v>
      </c>
      <c r="B174" s="870" t="s">
        <v>147</v>
      </c>
      <c r="C174" s="871"/>
      <c r="D174" s="931" t="s">
        <v>191</v>
      </c>
      <c r="E174" s="873">
        <f>'REF. DE PREÇOS n editavel'!E174</f>
        <v>14</v>
      </c>
      <c r="F174" s="883">
        <f>'REF. DE PREÇOS n editavel'!F174</f>
        <v>1.85</v>
      </c>
      <c r="G174" s="884">
        <f>'REF. DE PREÇOS n editavel'!G174</f>
        <v>32.670999999999999</v>
      </c>
      <c r="H174" s="876">
        <f>'REF. DE PREÇOS n editavel'!H174</f>
        <v>0</v>
      </c>
      <c r="I174" s="876">
        <f>'REF. DE PREÇOS n editavel'!I174</f>
        <v>0</v>
      </c>
      <c r="J174" s="877">
        <f>'REF. DE PREÇOS n editavel'!J174</f>
        <v>0</v>
      </c>
      <c r="K174" s="878" t="s">
        <v>506</v>
      </c>
      <c r="L174" s="933"/>
      <c r="M174" s="1015">
        <f t="shared" si="12"/>
        <v>0</v>
      </c>
      <c r="N174" s="868">
        <f t="shared" si="15"/>
        <v>0</v>
      </c>
      <c r="O174" s="880"/>
      <c r="P174" s="58" t="str">
        <f>IF(N172&gt;0,"xx",IF(N172&gt;0,"xy",""))</f>
        <v/>
      </c>
      <c r="Q174" s="317" t="str">
        <f t="shared" si="11"/>
        <v/>
      </c>
      <c r="R174" s="317" t="str">
        <f t="shared" si="13"/>
        <v/>
      </c>
      <c r="S174" s="317" t="str">
        <f t="shared" si="14"/>
        <v/>
      </c>
      <c r="T174" s="317" t="str">
        <f>'REF. DE PREÇOS n editavel'!S174</f>
        <v/>
      </c>
      <c r="W174" s="577">
        <v>0</v>
      </c>
      <c r="X174" s="575"/>
      <c r="Y174" s="578">
        <f>IF('REF. DE PREÇOS n editavel'!W174=0,0,IF('REF. DE PREÇOS n editavel'!W174&gt;0,"c","b"))</f>
        <v>0</v>
      </c>
    </row>
    <row r="175" spans="1:25">
      <c r="A175" s="317" t="s">
        <v>147</v>
      </c>
      <c r="B175" s="870" t="s">
        <v>147</v>
      </c>
      <c r="C175" s="871"/>
      <c r="D175" s="931" t="s">
        <v>192</v>
      </c>
      <c r="E175" s="873">
        <f>'REF. DE PREÇOS n editavel'!E175</f>
        <v>26</v>
      </c>
      <c r="F175" s="883">
        <f>'REF. DE PREÇOS n editavel'!F175</f>
        <v>1.762</v>
      </c>
      <c r="G175" s="884">
        <f>'REF. DE PREÇOS n editavel'!G175</f>
        <v>53.741</v>
      </c>
      <c r="H175" s="876">
        <f>'REF. DE PREÇOS n editavel'!H175</f>
        <v>0</v>
      </c>
      <c r="I175" s="876">
        <f>'REF. DE PREÇOS n editavel'!I175</f>
        <v>0</v>
      </c>
      <c r="J175" s="877">
        <f>'REF. DE PREÇOS n editavel'!J175</f>
        <v>0</v>
      </c>
      <c r="K175" s="878" t="s">
        <v>506</v>
      </c>
      <c r="L175" s="933"/>
      <c r="M175" s="1015">
        <f t="shared" si="12"/>
        <v>0</v>
      </c>
      <c r="N175" s="868">
        <f t="shared" si="15"/>
        <v>0</v>
      </c>
      <c r="O175" s="880"/>
      <c r="P175" s="58" t="str">
        <f>IF($N$142&gt;0,"xx",IF($N$142&gt;0,"xy",""))</f>
        <v/>
      </c>
      <c r="Q175" s="317" t="str">
        <f t="shared" si="11"/>
        <v/>
      </c>
      <c r="R175" s="317" t="str">
        <f t="shared" si="13"/>
        <v/>
      </c>
      <c r="S175" s="317" t="str">
        <f t="shared" si="14"/>
        <v/>
      </c>
      <c r="T175" s="317" t="str">
        <f>'REF. DE PREÇOS n editavel'!S175</f>
        <v/>
      </c>
      <c r="W175" s="577">
        <v>0</v>
      </c>
      <c r="X175" s="575"/>
      <c r="Y175" s="578">
        <f>IF('REF. DE PREÇOS n editavel'!W175=0,0,IF('REF. DE PREÇOS n editavel'!W175&gt;0,"c","b"))</f>
        <v>0</v>
      </c>
    </row>
    <row r="176" spans="1:25">
      <c r="A176" s="317">
        <v>546100</v>
      </c>
      <c r="B176" s="870">
        <v>546100</v>
      </c>
      <c r="C176" s="871" t="s">
        <v>184</v>
      </c>
      <c r="D176" s="881" t="s">
        <v>2179</v>
      </c>
      <c r="E176" s="873">
        <f>'REF. DE PREÇOS n editavel'!E176</f>
        <v>0</v>
      </c>
      <c r="F176" s="883">
        <f>'REF. DE PREÇOS n editavel'!F176</f>
        <v>0</v>
      </c>
      <c r="G176" s="927">
        <f>'REF. DE PREÇOS n editavel'!G176</f>
        <v>123.1601</v>
      </c>
      <c r="H176" s="876">
        <f>'REF. DE PREÇOS n editavel'!H176</f>
        <v>91.87</v>
      </c>
      <c r="I176" s="876">
        <f>'REF. DE PREÇOS n editavel'!I176</f>
        <v>215.0301</v>
      </c>
      <c r="J176" s="877">
        <f>'REF. DE PREÇOS n editavel'!J176</f>
        <v>262.81</v>
      </c>
      <c r="K176" s="878" t="s">
        <v>10</v>
      </c>
      <c r="L176" s="1092"/>
      <c r="M176" s="1105">
        <f t="shared" si="12"/>
        <v>0</v>
      </c>
      <c r="N176" s="868">
        <f t="shared" si="15"/>
        <v>0</v>
      </c>
      <c r="O176" s="880"/>
      <c r="Q176" s="317" t="str">
        <f t="shared" si="11"/>
        <v/>
      </c>
      <c r="R176" s="317" t="str">
        <f t="shared" si="13"/>
        <v/>
      </c>
      <c r="S176" s="317" t="str">
        <f t="shared" si="14"/>
        <v/>
      </c>
      <c r="T176" s="317" t="str">
        <f>'REF. DE PREÇOS n editavel'!S176</f>
        <v/>
      </c>
      <c r="W176" s="577">
        <v>0</v>
      </c>
      <c r="X176" s="575"/>
      <c r="Y176" s="578">
        <f>IF('REF. DE PREÇOS n editavel'!W176=0,0,IF('REF. DE PREÇOS n editavel'!W176&gt;0,"c","b"))</f>
        <v>0</v>
      </c>
    </row>
    <row r="177" spans="1:25">
      <c r="A177" s="317" t="s">
        <v>147</v>
      </c>
      <c r="B177" s="870" t="s">
        <v>147</v>
      </c>
      <c r="C177" s="871"/>
      <c r="D177" s="931" t="s">
        <v>190</v>
      </c>
      <c r="E177" s="882">
        <f>'REF. DE PREÇOS n editavel'!E177</f>
        <v>445</v>
      </c>
      <c r="F177" s="883">
        <f>'REF. DE PREÇOS n editavel'!F177</f>
        <v>0.105</v>
      </c>
      <c r="G177" s="884">
        <f>'REF. DE PREÇOS n editavel'!G177</f>
        <v>37.266599999999997</v>
      </c>
      <c r="H177" s="876">
        <f>'REF. DE PREÇOS n editavel'!H177</f>
        <v>0</v>
      </c>
      <c r="I177" s="876">
        <f>'REF. DE PREÇOS n editavel'!I177</f>
        <v>0</v>
      </c>
      <c r="J177" s="877">
        <f>'REF. DE PREÇOS n editavel'!J177</f>
        <v>0</v>
      </c>
      <c r="K177" s="878" t="s">
        <v>506</v>
      </c>
      <c r="L177" s="933"/>
      <c r="M177" s="1015">
        <f t="shared" si="12"/>
        <v>0</v>
      </c>
      <c r="N177" s="868">
        <f t="shared" si="15"/>
        <v>0</v>
      </c>
      <c r="O177" s="880"/>
      <c r="P177" s="58" t="str">
        <f>IF(N176&gt;0,"xx",IF(N176&gt;0,"xy",""))</f>
        <v/>
      </c>
      <c r="Q177" s="317" t="str">
        <f t="shared" si="11"/>
        <v/>
      </c>
      <c r="R177" s="317" t="str">
        <f t="shared" si="13"/>
        <v/>
      </c>
      <c r="S177" s="317" t="str">
        <f t="shared" si="14"/>
        <v/>
      </c>
      <c r="T177" s="317" t="str">
        <f>'REF. DE PREÇOS n editavel'!S177</f>
        <v/>
      </c>
      <c r="W177" s="577">
        <v>0</v>
      </c>
      <c r="X177" s="575"/>
      <c r="Y177" s="578">
        <f>IF('REF. DE PREÇOS n editavel'!W177=0,0,IF('REF. DE PREÇOS n editavel'!W177&gt;0,"c","b"))</f>
        <v>0</v>
      </c>
    </row>
    <row r="178" spans="1:25">
      <c r="A178" s="317" t="s">
        <v>147</v>
      </c>
      <c r="B178" s="870" t="s">
        <v>147</v>
      </c>
      <c r="C178" s="871"/>
      <c r="D178" s="931" t="s">
        <v>191</v>
      </c>
      <c r="E178" s="873">
        <f>'REF. DE PREÇOS n editavel'!E178</f>
        <v>14</v>
      </c>
      <c r="F178" s="883">
        <f>'REF. DE PREÇOS n editavel'!F178</f>
        <v>1.85</v>
      </c>
      <c r="G178" s="884">
        <f>'REF. DE PREÇOS n editavel'!G178</f>
        <v>32.670999999999999</v>
      </c>
      <c r="H178" s="876">
        <f>'REF. DE PREÇOS n editavel'!H178</f>
        <v>0</v>
      </c>
      <c r="I178" s="876">
        <f>'REF. DE PREÇOS n editavel'!I178</f>
        <v>0</v>
      </c>
      <c r="J178" s="877">
        <f>'REF. DE PREÇOS n editavel'!J178</f>
        <v>0</v>
      </c>
      <c r="K178" s="878" t="s">
        <v>506</v>
      </c>
      <c r="L178" s="933"/>
      <c r="M178" s="1015">
        <f t="shared" si="12"/>
        <v>0</v>
      </c>
      <c r="N178" s="868">
        <f t="shared" si="15"/>
        <v>0</v>
      </c>
      <c r="O178" s="880"/>
      <c r="P178" s="58" t="str">
        <f>IF(N176&gt;0,"xx",IF(N176&gt;0,"xy",""))</f>
        <v/>
      </c>
      <c r="Q178" s="317" t="str">
        <f t="shared" si="11"/>
        <v/>
      </c>
      <c r="R178" s="317" t="str">
        <f t="shared" si="13"/>
        <v/>
      </c>
      <c r="S178" s="317" t="str">
        <f t="shared" si="14"/>
        <v/>
      </c>
      <c r="T178" s="317" t="str">
        <f>'REF. DE PREÇOS n editavel'!S178</f>
        <v/>
      </c>
      <c r="W178" s="577">
        <v>0</v>
      </c>
      <c r="X178" s="575"/>
      <c r="Y178" s="578">
        <f>IF('REF. DE PREÇOS n editavel'!W178=0,0,IF('REF. DE PREÇOS n editavel'!W178&gt;0,"c","b"))</f>
        <v>0</v>
      </c>
    </row>
    <row r="179" spans="1:25">
      <c r="A179" s="317" t="s">
        <v>147</v>
      </c>
      <c r="B179" s="870" t="s">
        <v>147</v>
      </c>
      <c r="C179" s="871"/>
      <c r="D179" s="931" t="s">
        <v>192</v>
      </c>
      <c r="E179" s="873">
        <f>'REF. DE PREÇOS n editavel'!E179</f>
        <v>26</v>
      </c>
      <c r="F179" s="883">
        <f>'REF. DE PREÇOS n editavel'!F179</f>
        <v>1.7450000000000001</v>
      </c>
      <c r="G179" s="884">
        <f>'REF. DE PREÇOS n editavel'!G179</f>
        <v>53.222500000000004</v>
      </c>
      <c r="H179" s="876">
        <f>'REF. DE PREÇOS n editavel'!H179</f>
        <v>0</v>
      </c>
      <c r="I179" s="876">
        <f>'REF. DE PREÇOS n editavel'!I179</f>
        <v>0</v>
      </c>
      <c r="J179" s="877">
        <f>'REF. DE PREÇOS n editavel'!J179</f>
        <v>0</v>
      </c>
      <c r="K179" s="878" t="s">
        <v>506</v>
      </c>
      <c r="L179" s="933"/>
      <c r="M179" s="1015">
        <f t="shared" si="12"/>
        <v>0</v>
      </c>
      <c r="N179" s="868">
        <f t="shared" si="15"/>
        <v>0</v>
      </c>
      <c r="O179" s="880"/>
      <c r="P179" s="58" t="str">
        <f>IF($N$142&gt;0,"xx",IF($N$142&gt;0,"xy",""))</f>
        <v/>
      </c>
      <c r="Q179" s="317" t="str">
        <f t="shared" si="11"/>
        <v/>
      </c>
      <c r="R179" s="317" t="str">
        <f t="shared" si="13"/>
        <v/>
      </c>
      <c r="S179" s="317" t="str">
        <f t="shared" si="14"/>
        <v/>
      </c>
      <c r="T179" s="317" t="str">
        <f>'REF. DE PREÇOS n editavel'!S179</f>
        <v/>
      </c>
      <c r="W179" s="577">
        <v>0</v>
      </c>
      <c r="X179" s="575"/>
      <c r="Y179" s="578">
        <f>IF('REF. DE PREÇOS n editavel'!W179=0,0,IF('REF. DE PREÇOS n editavel'!W179&gt;0,"c","b"))</f>
        <v>0</v>
      </c>
    </row>
    <row r="180" spans="1:25">
      <c r="A180" s="317">
        <v>547100</v>
      </c>
      <c r="B180" s="870">
        <v>547100</v>
      </c>
      <c r="C180" s="871" t="s">
        <v>184</v>
      </c>
      <c r="D180" s="881" t="s">
        <v>2180</v>
      </c>
      <c r="E180" s="873">
        <f>'REF. DE PREÇOS n editavel'!E180</f>
        <v>0</v>
      </c>
      <c r="F180" s="883">
        <f>'REF. DE PREÇOS n editavel'!F180</f>
        <v>0</v>
      </c>
      <c r="G180" s="927">
        <f>'REF. DE PREÇOS n editavel'!G180</f>
        <v>128.32032000000001</v>
      </c>
      <c r="H180" s="876">
        <f>'REF. DE PREÇOS n editavel'!H180</f>
        <v>101.11</v>
      </c>
      <c r="I180" s="876">
        <f>'REF. DE PREÇOS n editavel'!I180</f>
        <v>229.43031999999999</v>
      </c>
      <c r="J180" s="877">
        <f>'REF. DE PREÇOS n editavel'!J180</f>
        <v>280.41000000000003</v>
      </c>
      <c r="K180" s="878" t="s">
        <v>10</v>
      </c>
      <c r="L180" s="1092"/>
      <c r="M180" s="1105">
        <f t="shared" si="12"/>
        <v>0</v>
      </c>
      <c r="N180" s="868">
        <f t="shared" si="15"/>
        <v>0</v>
      </c>
      <c r="O180" s="880"/>
      <c r="Q180" s="317" t="str">
        <f t="shared" si="11"/>
        <v/>
      </c>
      <c r="R180" s="317" t="str">
        <f t="shared" si="13"/>
        <v/>
      </c>
      <c r="S180" s="317" t="str">
        <f t="shared" si="14"/>
        <v/>
      </c>
      <c r="T180" s="317" t="str">
        <f>'REF. DE PREÇOS n editavel'!S180</f>
        <v/>
      </c>
      <c r="W180" s="577">
        <v>0</v>
      </c>
      <c r="X180" s="575"/>
      <c r="Y180" s="578">
        <f>IF('REF. DE PREÇOS n editavel'!W180=0,0,IF('REF. DE PREÇOS n editavel'!W180&gt;0,"c","b"))</f>
        <v>0</v>
      </c>
    </row>
    <row r="181" spans="1:25">
      <c r="A181" s="317" t="s">
        <v>147</v>
      </c>
      <c r="B181" s="870" t="s">
        <v>147</v>
      </c>
      <c r="C181" s="871"/>
      <c r="D181" s="931" t="s">
        <v>190</v>
      </c>
      <c r="E181" s="882">
        <f>'REF. DE PREÇOS n editavel'!E181</f>
        <v>445</v>
      </c>
      <c r="F181" s="883">
        <f>'REF. DE PREÇOS n editavel'!F181</f>
        <v>0.121</v>
      </c>
      <c r="G181" s="884">
        <f>'REF. DE PREÇOS n editavel'!G181</f>
        <v>42.945320000000002</v>
      </c>
      <c r="H181" s="876">
        <f>'REF. DE PREÇOS n editavel'!H181</f>
        <v>0</v>
      </c>
      <c r="I181" s="876">
        <f>'REF. DE PREÇOS n editavel'!I181</f>
        <v>0</v>
      </c>
      <c r="J181" s="877">
        <f>'REF. DE PREÇOS n editavel'!J181</f>
        <v>0</v>
      </c>
      <c r="K181" s="878" t="s">
        <v>506</v>
      </c>
      <c r="L181" s="933"/>
      <c r="M181" s="1015">
        <f t="shared" si="12"/>
        <v>0</v>
      </c>
      <c r="N181" s="868">
        <f t="shared" si="15"/>
        <v>0</v>
      </c>
      <c r="O181" s="880"/>
      <c r="P181" s="58" t="str">
        <f>IF(N180&gt;0,"xx",IF(N180&gt;0,"xy",""))</f>
        <v/>
      </c>
      <c r="Q181" s="317" t="str">
        <f t="shared" si="11"/>
        <v/>
      </c>
      <c r="R181" s="317" t="str">
        <f t="shared" si="13"/>
        <v/>
      </c>
      <c r="S181" s="317" t="str">
        <f t="shared" si="14"/>
        <v/>
      </c>
      <c r="T181" s="317" t="str">
        <f>'REF. DE PREÇOS n editavel'!S181</f>
        <v/>
      </c>
      <c r="W181" s="577">
        <v>0</v>
      </c>
      <c r="X181" s="575"/>
      <c r="Y181" s="578">
        <f>IF('REF. DE PREÇOS n editavel'!W181=0,0,IF('REF. DE PREÇOS n editavel'!W181&gt;0,"c","b"))</f>
        <v>0</v>
      </c>
    </row>
    <row r="182" spans="1:25">
      <c r="A182" s="317" t="s">
        <v>147</v>
      </c>
      <c r="B182" s="870" t="s">
        <v>147</v>
      </c>
      <c r="C182" s="871"/>
      <c r="D182" s="931" t="s">
        <v>191</v>
      </c>
      <c r="E182" s="873">
        <f>'REF. DE PREÇOS n editavel'!E182</f>
        <v>14</v>
      </c>
      <c r="F182" s="883">
        <f>'REF. DE PREÇOS n editavel'!F182</f>
        <v>1.85</v>
      </c>
      <c r="G182" s="884">
        <f>'REF. DE PREÇOS n editavel'!G182</f>
        <v>32.670999999999999</v>
      </c>
      <c r="H182" s="876">
        <f>'REF. DE PREÇOS n editavel'!H182</f>
        <v>0</v>
      </c>
      <c r="I182" s="876">
        <f>'REF. DE PREÇOS n editavel'!I182</f>
        <v>0</v>
      </c>
      <c r="J182" s="877">
        <f>'REF. DE PREÇOS n editavel'!J182</f>
        <v>0</v>
      </c>
      <c r="K182" s="878" t="s">
        <v>506</v>
      </c>
      <c r="L182" s="933"/>
      <c r="M182" s="1015">
        <f t="shared" si="12"/>
        <v>0</v>
      </c>
      <c r="N182" s="868">
        <f t="shared" si="15"/>
        <v>0</v>
      </c>
      <c r="O182" s="880"/>
      <c r="P182" s="58" t="str">
        <f>IF(N180&gt;0,"xx",IF(N180&gt;0,"xy",""))</f>
        <v/>
      </c>
      <c r="Q182" s="317" t="str">
        <f t="shared" si="11"/>
        <v/>
      </c>
      <c r="R182" s="317" t="str">
        <f t="shared" si="13"/>
        <v/>
      </c>
      <c r="S182" s="317" t="str">
        <f t="shared" si="14"/>
        <v/>
      </c>
      <c r="T182" s="317" t="str">
        <f>'REF. DE PREÇOS n editavel'!S182</f>
        <v/>
      </c>
      <c r="W182" s="577">
        <v>0</v>
      </c>
      <c r="X182" s="575"/>
      <c r="Y182" s="578">
        <f>IF('REF. DE PREÇOS n editavel'!W182=0,0,IF('REF. DE PREÇOS n editavel'!W182&gt;0,"c","b"))</f>
        <v>0</v>
      </c>
    </row>
    <row r="183" spans="1:25">
      <c r="A183" s="317" t="s">
        <v>147</v>
      </c>
      <c r="B183" s="870" t="s">
        <v>147</v>
      </c>
      <c r="C183" s="871"/>
      <c r="D183" s="931" t="s">
        <v>192</v>
      </c>
      <c r="E183" s="873">
        <f>'REF. DE PREÇOS n editavel'!E183</f>
        <v>26</v>
      </c>
      <c r="F183" s="883">
        <f>'REF. DE PREÇOS n editavel'!F183</f>
        <v>1.728</v>
      </c>
      <c r="G183" s="884">
        <f>'REF. DE PREÇOS n editavel'!G183</f>
        <v>52.704000000000001</v>
      </c>
      <c r="H183" s="876">
        <f>'REF. DE PREÇOS n editavel'!H183</f>
        <v>0</v>
      </c>
      <c r="I183" s="876">
        <f>'REF. DE PREÇOS n editavel'!I183</f>
        <v>0</v>
      </c>
      <c r="J183" s="877">
        <f>'REF. DE PREÇOS n editavel'!J183</f>
        <v>0</v>
      </c>
      <c r="K183" s="878" t="s">
        <v>506</v>
      </c>
      <c r="L183" s="933"/>
      <c r="M183" s="1015">
        <f t="shared" si="12"/>
        <v>0</v>
      </c>
      <c r="N183" s="868">
        <f t="shared" si="15"/>
        <v>0</v>
      </c>
      <c r="O183" s="880"/>
      <c r="P183" s="58" t="str">
        <f>IF($N$142&gt;0,"xx",IF($N$142&gt;0,"xy",""))</f>
        <v/>
      </c>
      <c r="Q183" s="317" t="str">
        <f t="shared" si="11"/>
        <v/>
      </c>
      <c r="R183" s="317" t="str">
        <f t="shared" si="13"/>
        <v/>
      </c>
      <c r="S183" s="317" t="str">
        <f t="shared" si="14"/>
        <v/>
      </c>
      <c r="T183" s="317" t="str">
        <f>'REF. DE PREÇOS n editavel'!S183</f>
        <v/>
      </c>
      <c r="W183" s="577">
        <v>0</v>
      </c>
      <c r="X183" s="575"/>
      <c r="Y183" s="578">
        <f>IF('REF. DE PREÇOS n editavel'!W183=0,0,IF('REF. DE PREÇOS n editavel'!W183&gt;0,"c","b"))</f>
        <v>0</v>
      </c>
    </row>
    <row r="184" spans="1:25">
      <c r="A184" s="317">
        <v>530200</v>
      </c>
      <c r="B184" s="870" t="s">
        <v>1556</v>
      </c>
      <c r="C184" s="871" t="s">
        <v>184</v>
      </c>
      <c r="D184" s="881" t="s">
        <v>193</v>
      </c>
      <c r="E184" s="873">
        <f>'REF. DE PREÇOS n editavel'!E184</f>
        <v>43.1</v>
      </c>
      <c r="F184" s="874">
        <f>'REF. DE PREÇOS n editavel'!F184</f>
        <v>2.2000000000000002</v>
      </c>
      <c r="G184" s="884">
        <f>'REF. DE PREÇOS n editavel'!G184</f>
        <v>107.35340000000002</v>
      </c>
      <c r="H184" s="876">
        <f>'REF. DE PREÇOS n editavel'!H184</f>
        <v>98.29</v>
      </c>
      <c r="I184" s="876">
        <f>'REF. DE PREÇOS n editavel'!I184</f>
        <v>205.64340000000004</v>
      </c>
      <c r="J184" s="877">
        <f>'REF. DE PREÇOS n editavel'!J184</f>
        <v>251.34</v>
      </c>
      <c r="K184" s="878" t="s">
        <v>10</v>
      </c>
      <c r="L184" s="1092"/>
      <c r="M184" s="1105">
        <f t="shared" si="12"/>
        <v>0</v>
      </c>
      <c r="N184" s="868">
        <f t="shared" si="15"/>
        <v>0</v>
      </c>
      <c r="O184" s="880"/>
      <c r="Q184" s="317" t="str">
        <f t="shared" si="11"/>
        <v/>
      </c>
      <c r="R184" s="317" t="str">
        <f t="shared" si="13"/>
        <v/>
      </c>
      <c r="S184" s="317" t="str">
        <f t="shared" si="14"/>
        <v/>
      </c>
      <c r="T184" s="317" t="str">
        <f>'REF. DE PREÇOS n editavel'!S184</f>
        <v/>
      </c>
      <c r="W184" s="577">
        <v>0</v>
      </c>
      <c r="X184" s="575"/>
      <c r="Y184" s="578">
        <f>IF('REF. DE PREÇOS n editavel'!W184=0,0,IF('REF. DE PREÇOS n editavel'!W184&gt;0,"c","b"))</f>
        <v>0</v>
      </c>
    </row>
    <row r="185" spans="1:25">
      <c r="A185" s="317" t="s">
        <v>814</v>
      </c>
      <c r="B185" s="870" t="str">
        <f>'REF. DE PREÇOS n editavel'!B185</f>
        <v>PAV-003A</v>
      </c>
      <c r="C185" s="871" t="str">
        <f>'REF. DE PREÇOS n editavel'!C185</f>
        <v>PM Curitiba-abr/22</v>
      </c>
      <c r="D185" s="881" t="str">
        <f>'REF. DE PREÇOS n editavel'!D185</f>
        <v>Saibro Compactado CBR&gt;=20 (Base ou Sub-Base)</v>
      </c>
      <c r="E185" s="873">
        <f>'REF. DE PREÇOS n editavel'!E185</f>
        <v>43.1</v>
      </c>
      <c r="F185" s="874">
        <f>'REF. DE PREÇOS n editavel'!F185</f>
        <v>1.95</v>
      </c>
      <c r="G185" s="884">
        <f>'REF. DE PREÇOS n editavel'!G185</f>
        <v>95.154150000000001</v>
      </c>
      <c r="H185" s="876">
        <f>'REF. DE PREÇOS n editavel'!H185</f>
        <v>67.75</v>
      </c>
      <c r="I185" s="876">
        <f>'REF. DE PREÇOS n editavel'!I185</f>
        <v>162.90415000000002</v>
      </c>
      <c r="J185" s="877">
        <f>'REF. DE PREÇOS n editavel'!J185</f>
        <v>199.1</v>
      </c>
      <c r="K185" s="878" t="s">
        <v>10</v>
      </c>
      <c r="L185" s="1092"/>
      <c r="M185" s="1105">
        <f t="shared" si="12"/>
        <v>0</v>
      </c>
      <c r="N185" s="868">
        <f t="shared" si="15"/>
        <v>0</v>
      </c>
      <c r="O185" s="880"/>
      <c r="Q185" s="317" t="str">
        <f t="shared" si="11"/>
        <v/>
      </c>
      <c r="R185" s="317" t="str">
        <f t="shared" si="13"/>
        <v/>
      </c>
      <c r="S185" s="317" t="str">
        <f t="shared" si="14"/>
        <v/>
      </c>
      <c r="T185" s="317" t="str">
        <f>'REF. DE PREÇOS n editavel'!S185</f>
        <v/>
      </c>
      <c r="W185" s="577">
        <v>0</v>
      </c>
      <c r="X185" s="575"/>
      <c r="Y185" s="578">
        <f>IF('REF. DE PREÇOS n editavel'!W185=0,0,IF('REF. DE PREÇOS n editavel'!W185&gt;0,"c","b"))</f>
        <v>0</v>
      </c>
    </row>
    <row r="186" spans="1:25">
      <c r="A186" s="317" t="s">
        <v>815</v>
      </c>
      <c r="B186" s="870" t="str">
        <f>'REF. DE PREÇOS n editavel'!B186</f>
        <v>PAV-005A</v>
      </c>
      <c r="C186" s="871" t="str">
        <f>'REF. DE PREÇOS n editavel'!C186</f>
        <v>PM Curitiba-abr/22</v>
      </c>
      <c r="D186" s="881" t="str">
        <f>'REF. DE PREÇOS n editavel'!D186</f>
        <v>Moledo Compactado CBR&gt;=20 (Base ou Sub-Base)</v>
      </c>
      <c r="E186" s="873">
        <f>'REF. DE PREÇOS n editavel'!E186</f>
        <v>43.1</v>
      </c>
      <c r="F186" s="874">
        <f>'REF. DE PREÇOS n editavel'!F186</f>
        <v>2.1</v>
      </c>
      <c r="G186" s="884">
        <f>'REF. DE PREÇOS n editavel'!G186</f>
        <v>102.47370000000001</v>
      </c>
      <c r="H186" s="876">
        <f>'REF. DE PREÇOS n editavel'!H186</f>
        <v>31.47</v>
      </c>
      <c r="I186" s="876">
        <f>'REF. DE PREÇOS n editavel'!I186</f>
        <v>133.94370000000001</v>
      </c>
      <c r="J186" s="877">
        <f>'REF. DE PREÇOS n editavel'!J186</f>
        <v>163.71</v>
      </c>
      <c r="K186" s="878" t="s">
        <v>10</v>
      </c>
      <c r="L186" s="1092"/>
      <c r="M186" s="1105">
        <f t="shared" si="12"/>
        <v>0</v>
      </c>
      <c r="N186" s="868">
        <f t="shared" si="15"/>
        <v>0</v>
      </c>
      <c r="O186" s="880"/>
      <c r="Q186" s="317" t="str">
        <f t="shared" si="11"/>
        <v/>
      </c>
      <c r="R186" s="317" t="str">
        <f t="shared" si="13"/>
        <v/>
      </c>
      <c r="S186" s="317" t="str">
        <f t="shared" si="14"/>
        <v/>
      </c>
      <c r="T186" s="317" t="str">
        <f>'REF. DE PREÇOS n editavel'!S186</f>
        <v/>
      </c>
      <c r="W186" s="577">
        <v>0</v>
      </c>
      <c r="X186" s="575"/>
      <c r="Y186" s="578">
        <f>IF('REF. DE PREÇOS n editavel'!W186=0,0,IF('REF. DE PREÇOS n editavel'!W186&gt;0,"c","b"))</f>
        <v>0</v>
      </c>
    </row>
    <row r="187" spans="1:25">
      <c r="A187" s="317">
        <v>530200</v>
      </c>
      <c r="B187" s="870" t="s">
        <v>1730</v>
      </c>
      <c r="C187" s="871" t="s">
        <v>184</v>
      </c>
      <c r="D187" s="881" t="s">
        <v>452</v>
      </c>
      <c r="E187" s="873">
        <f>'REF. DE PREÇOS n editavel'!E187</f>
        <v>43.1</v>
      </c>
      <c r="F187" s="874">
        <f>'REF. DE PREÇOS n editavel'!F187</f>
        <v>2.2000000000000002</v>
      </c>
      <c r="G187" s="884">
        <f>'REF. DE PREÇOS n editavel'!G187</f>
        <v>107.35340000000002</v>
      </c>
      <c r="H187" s="876">
        <f>'REF. DE PREÇOS n editavel'!H187</f>
        <v>98.29</v>
      </c>
      <c r="I187" s="876">
        <f>'REF. DE PREÇOS n editavel'!I187</f>
        <v>205.64340000000004</v>
      </c>
      <c r="J187" s="877">
        <f>'REF. DE PREÇOS n editavel'!J187</f>
        <v>251.34</v>
      </c>
      <c r="K187" s="878" t="s">
        <v>10</v>
      </c>
      <c r="L187" s="1092"/>
      <c r="M187" s="1105">
        <f t="shared" si="12"/>
        <v>0</v>
      </c>
      <c r="N187" s="868">
        <f t="shared" si="15"/>
        <v>0</v>
      </c>
      <c r="O187" s="880"/>
      <c r="Q187" s="317" t="str">
        <f t="shared" si="11"/>
        <v/>
      </c>
      <c r="R187" s="317" t="str">
        <f t="shared" si="13"/>
        <v/>
      </c>
      <c r="S187" s="317" t="str">
        <f t="shared" si="14"/>
        <v/>
      </c>
      <c r="T187" s="317" t="str">
        <f>'REF. DE PREÇOS n editavel'!S187</f>
        <v/>
      </c>
      <c r="W187" s="577">
        <v>0</v>
      </c>
      <c r="X187" s="575"/>
      <c r="Y187" s="578">
        <f>IF('REF. DE PREÇOS n editavel'!W187=0,0,IF('REF. DE PREÇOS n editavel'!W187&gt;0,"c","b"))</f>
        <v>0</v>
      </c>
    </row>
    <row r="188" spans="1:25">
      <c r="A188" s="317">
        <v>516200</v>
      </c>
      <c r="B188" s="870">
        <v>516200</v>
      </c>
      <c r="C188" s="871" t="s">
        <v>184</v>
      </c>
      <c r="D188" s="881" t="s">
        <v>206</v>
      </c>
      <c r="E188" s="873">
        <f>'REF. DE PREÇOS n editavel'!E188</f>
        <v>43.1</v>
      </c>
      <c r="F188" s="874">
        <f>'REF. DE PREÇOS n editavel'!F188</f>
        <v>1.95</v>
      </c>
      <c r="G188" s="884">
        <f>'REF. DE PREÇOS n editavel'!G188</f>
        <v>95.154150000000001</v>
      </c>
      <c r="H188" s="876">
        <f>'REF. DE PREÇOS n editavel'!H188</f>
        <v>104.14</v>
      </c>
      <c r="I188" s="876">
        <f>'REF. DE PREÇOS n editavel'!I188</f>
        <v>169.40002749999999</v>
      </c>
      <c r="J188" s="877">
        <f>'REF. DE PREÇOS n editavel'!J188</f>
        <v>207.04</v>
      </c>
      <c r="K188" s="878" t="s">
        <v>10</v>
      </c>
      <c r="L188" s="1092"/>
      <c r="M188" s="1105">
        <f t="shared" si="12"/>
        <v>0</v>
      </c>
      <c r="N188" s="868">
        <f t="shared" si="15"/>
        <v>0</v>
      </c>
      <c r="O188" s="880"/>
      <c r="Q188" s="317" t="str">
        <f t="shared" si="11"/>
        <v/>
      </c>
      <c r="R188" s="317" t="str">
        <f t="shared" si="13"/>
        <v/>
      </c>
      <c r="S188" s="317" t="str">
        <f t="shared" si="14"/>
        <v/>
      </c>
      <c r="T188" s="317" t="str">
        <f>'REF. DE PREÇOS n editavel'!S188</f>
        <v/>
      </c>
      <c r="W188" s="577">
        <v>0</v>
      </c>
      <c r="X188" s="575"/>
      <c r="Y188" s="578">
        <f>IF('REF. DE PREÇOS n editavel'!W188=0,0,IF('REF. DE PREÇOS n editavel'!W188&gt;0,"c","b"))</f>
        <v>0</v>
      </c>
    </row>
    <row r="189" spans="1:25">
      <c r="A189" s="317">
        <v>531000</v>
      </c>
      <c r="B189" s="870" t="s">
        <v>1770</v>
      </c>
      <c r="C189" s="871" t="s">
        <v>184</v>
      </c>
      <c r="D189" s="881" t="s">
        <v>194</v>
      </c>
      <c r="E189" s="873">
        <f>'REF. DE PREÇOS n editavel'!E189</f>
        <v>43.1</v>
      </c>
      <c r="F189" s="883">
        <f>'REF. DE PREÇOS n editavel'!F189</f>
        <v>2.4</v>
      </c>
      <c r="G189" s="884">
        <f>'REF. DE PREÇOS n editavel'!G189</f>
        <v>117.11280000000001</v>
      </c>
      <c r="H189" s="876">
        <f>'REF. DE PREÇOS n editavel'!H189</f>
        <v>132.22999999999999</v>
      </c>
      <c r="I189" s="876">
        <f>'REF. DE PREÇOS n editavel'!I189</f>
        <v>249.34280000000001</v>
      </c>
      <c r="J189" s="877">
        <f>'REF. DE PREÇOS n editavel'!J189</f>
        <v>304.75</v>
      </c>
      <c r="K189" s="878" t="s">
        <v>10</v>
      </c>
      <c r="L189" s="1092">
        <v>1840.74</v>
      </c>
      <c r="M189" s="1105">
        <f t="shared" si="12"/>
        <v>304.75</v>
      </c>
      <c r="N189" s="868">
        <f t="shared" si="15"/>
        <v>560965.52</v>
      </c>
      <c r="O189" s="880"/>
      <c r="Q189" s="317" t="str">
        <f t="shared" si="11"/>
        <v>x</v>
      </c>
      <c r="R189" s="317" t="str">
        <f t="shared" si="13"/>
        <v>x</v>
      </c>
      <c r="S189" s="317" t="str">
        <f t="shared" si="14"/>
        <v>x</v>
      </c>
      <c r="T189" s="317" t="str">
        <f>'REF. DE PREÇOS n editavel'!S189</f>
        <v>x</v>
      </c>
      <c r="W189" s="577">
        <v>0</v>
      </c>
      <c r="X189" s="575"/>
      <c r="Y189" s="578">
        <f>IF('REF. DE PREÇOS n editavel'!W189=0,0,IF('REF. DE PREÇOS n editavel'!W189&gt;0,"c","b"))</f>
        <v>0</v>
      </c>
    </row>
    <row r="190" spans="1:25">
      <c r="A190" s="317">
        <v>531120</v>
      </c>
      <c r="B190" s="870">
        <v>531120</v>
      </c>
      <c r="C190" s="871" t="s">
        <v>184</v>
      </c>
      <c r="D190" s="881" t="s">
        <v>200</v>
      </c>
      <c r="E190" s="873">
        <f>'REF. DE PREÇOS n editavel'!E190</f>
        <v>0</v>
      </c>
      <c r="F190" s="883">
        <f>'REF. DE PREÇOS n editavel'!F190</f>
        <v>0</v>
      </c>
      <c r="G190" s="927">
        <f>'REF. DE PREÇOS n editavel'!G190</f>
        <v>106.00032000000002</v>
      </c>
      <c r="H190" s="876">
        <f>'REF. DE PREÇOS n editavel'!H190</f>
        <v>186.24</v>
      </c>
      <c r="I190" s="876">
        <f>'REF. DE PREÇOS n editavel'!I190</f>
        <v>263.01628800000003</v>
      </c>
      <c r="J190" s="877">
        <f>'REF. DE PREÇOS n editavel'!J190</f>
        <v>321.45999999999998</v>
      </c>
      <c r="K190" s="878" t="s">
        <v>10</v>
      </c>
      <c r="L190" s="1092"/>
      <c r="M190" s="1105">
        <f t="shared" si="12"/>
        <v>0</v>
      </c>
      <c r="N190" s="868">
        <f t="shared" si="15"/>
        <v>0</v>
      </c>
      <c r="O190" s="880"/>
      <c r="Q190" s="317" t="str">
        <f t="shared" si="11"/>
        <v/>
      </c>
      <c r="R190" s="317" t="str">
        <f t="shared" si="13"/>
        <v/>
      </c>
      <c r="S190" s="317" t="str">
        <f t="shared" si="14"/>
        <v/>
      </c>
      <c r="T190" s="317" t="str">
        <f>'REF. DE PREÇOS n editavel'!S190</f>
        <v/>
      </c>
      <c r="W190" s="577">
        <v>0</v>
      </c>
      <c r="X190" s="575"/>
      <c r="Y190" s="578">
        <f>IF('REF. DE PREÇOS n editavel'!W190=0,0,IF('REF. DE PREÇOS n editavel'!W190&gt;0,"c","b"))</f>
        <v>0</v>
      </c>
    </row>
    <row r="191" spans="1:25">
      <c r="A191" s="317" t="s">
        <v>147</v>
      </c>
      <c r="B191" s="870" t="s">
        <v>147</v>
      </c>
      <c r="C191" s="871"/>
      <c r="D191" s="931" t="s">
        <v>190</v>
      </c>
      <c r="E191" s="882">
        <f>'REF. DE PREÇOS n editavel'!E191</f>
        <v>445</v>
      </c>
      <c r="F191" s="883">
        <f>'REF. DE PREÇOS n editavel'!F191</f>
        <v>9.6000000000000002E-2</v>
      </c>
      <c r="G191" s="884">
        <f>'REF. DE PREÇOS n editavel'!G191</f>
        <v>34.072320000000005</v>
      </c>
      <c r="H191" s="876">
        <f>'REF. DE PREÇOS n editavel'!H191</f>
        <v>0</v>
      </c>
      <c r="I191" s="876">
        <f>'REF. DE PREÇOS n editavel'!I191</f>
        <v>0</v>
      </c>
      <c r="J191" s="877">
        <f>'REF. DE PREÇOS n editavel'!J191</f>
        <v>0</v>
      </c>
      <c r="K191" s="878" t="s">
        <v>506</v>
      </c>
      <c r="L191" s="933"/>
      <c r="M191" s="1015">
        <f t="shared" si="12"/>
        <v>0</v>
      </c>
      <c r="N191" s="868">
        <f t="shared" si="15"/>
        <v>0</v>
      </c>
      <c r="O191" s="880"/>
      <c r="P191" s="58" t="str">
        <f>IF(N190&gt;0,"xx",IF(N190&gt;0,"xy",""))</f>
        <v/>
      </c>
      <c r="Q191" s="317" t="str">
        <f t="shared" si="11"/>
        <v/>
      </c>
      <c r="R191" s="317" t="str">
        <f t="shared" si="13"/>
        <v/>
      </c>
      <c r="S191" s="317" t="str">
        <f t="shared" si="14"/>
        <v/>
      </c>
      <c r="T191" s="317" t="str">
        <f>'REF. DE PREÇOS n editavel'!S191</f>
        <v/>
      </c>
      <c r="W191" s="577">
        <v>0</v>
      </c>
      <c r="X191" s="575"/>
      <c r="Y191" s="578">
        <f>IF('REF. DE PREÇOS n editavel'!W191=0,0,IF('REF. DE PREÇOS n editavel'!W191&gt;0,"c","b"))</f>
        <v>0</v>
      </c>
    </row>
    <row r="192" spans="1:25">
      <c r="A192" s="317" t="s">
        <v>147</v>
      </c>
      <c r="B192" s="870" t="s">
        <v>147</v>
      </c>
      <c r="C192" s="871"/>
      <c r="D192" s="931" t="s">
        <v>201</v>
      </c>
      <c r="E192" s="873">
        <f>'REF. DE PREÇOS n editavel'!E192</f>
        <v>0</v>
      </c>
      <c r="F192" s="883">
        <f>'REF. DE PREÇOS n editavel'!F192</f>
        <v>2.4</v>
      </c>
      <c r="G192" s="884">
        <f>'REF. DE PREÇOS n editavel'!G192</f>
        <v>6.4320000000000004</v>
      </c>
      <c r="H192" s="876">
        <f>'REF. DE PREÇOS n editavel'!H192</f>
        <v>0</v>
      </c>
      <c r="I192" s="876">
        <f>'REF. DE PREÇOS n editavel'!I192</f>
        <v>0</v>
      </c>
      <c r="J192" s="877">
        <f>'REF. DE PREÇOS n editavel'!J192</f>
        <v>0</v>
      </c>
      <c r="K192" s="878" t="s">
        <v>506</v>
      </c>
      <c r="L192" s="933"/>
      <c r="M192" s="1015">
        <f t="shared" si="12"/>
        <v>0</v>
      </c>
      <c r="N192" s="868">
        <f t="shared" si="15"/>
        <v>0</v>
      </c>
      <c r="O192" s="880"/>
      <c r="P192" s="58" t="str">
        <f>IF(N190&gt;0,"xx",IF(N190&gt;0,"xy",""))</f>
        <v/>
      </c>
      <c r="Q192" s="317" t="str">
        <f t="shared" si="11"/>
        <v/>
      </c>
      <c r="R192" s="317" t="str">
        <f t="shared" si="13"/>
        <v/>
      </c>
      <c r="S192" s="317" t="str">
        <f t="shared" si="14"/>
        <v/>
      </c>
      <c r="T192" s="317" t="str">
        <f>'REF. DE PREÇOS n editavel'!S192</f>
        <v/>
      </c>
      <c r="W192" s="577">
        <v>0</v>
      </c>
      <c r="X192" s="575"/>
      <c r="Y192" s="578">
        <f>IF('REF. DE PREÇOS n editavel'!W192=0,0,IF('REF. DE PREÇOS n editavel'!W192&gt;0,"c","b"))</f>
        <v>0</v>
      </c>
    </row>
    <row r="193" spans="1:25">
      <c r="A193" s="317" t="s">
        <v>147</v>
      </c>
      <c r="B193" s="870" t="s">
        <v>147</v>
      </c>
      <c r="C193" s="871"/>
      <c r="D193" s="931" t="s">
        <v>202</v>
      </c>
      <c r="E193" s="873">
        <f>'REF. DE PREÇOS n editavel'!E193</f>
        <v>23</v>
      </c>
      <c r="F193" s="883">
        <f>'REF. DE PREÇOS n editavel'!F193</f>
        <v>2.4</v>
      </c>
      <c r="G193" s="884">
        <f>'REF. DE PREÇOS n editavel'!G193</f>
        <v>65.496000000000009</v>
      </c>
      <c r="H193" s="876">
        <f>'REF. DE PREÇOS n editavel'!H193</f>
        <v>0</v>
      </c>
      <c r="I193" s="876">
        <f>'REF. DE PREÇOS n editavel'!I193</f>
        <v>0</v>
      </c>
      <c r="J193" s="877">
        <f>'REF. DE PREÇOS n editavel'!J193</f>
        <v>0</v>
      </c>
      <c r="K193" s="878" t="s">
        <v>506</v>
      </c>
      <c r="L193" s="933"/>
      <c r="M193" s="1015">
        <f t="shared" si="12"/>
        <v>0</v>
      </c>
      <c r="N193" s="868">
        <f t="shared" si="15"/>
        <v>0</v>
      </c>
      <c r="O193" s="880"/>
      <c r="P193" s="58" t="str">
        <f>IF($N$142&gt;0,"xx",IF($N$142&gt;0,"xy",""))</f>
        <v/>
      </c>
      <c r="Q193" s="317" t="str">
        <f t="shared" si="11"/>
        <v/>
      </c>
      <c r="R193" s="317" t="str">
        <f t="shared" si="13"/>
        <v/>
      </c>
      <c r="S193" s="317" t="str">
        <f t="shared" si="14"/>
        <v/>
      </c>
      <c r="T193" s="317" t="str">
        <f>'REF. DE PREÇOS n editavel'!S193</f>
        <v/>
      </c>
      <c r="W193" s="577">
        <v>0</v>
      </c>
      <c r="X193" s="575"/>
      <c r="Y193" s="578">
        <f>IF('REF. DE PREÇOS n editavel'!W193=0,0,IF('REF. DE PREÇOS n editavel'!W193&gt;0,"c","b"))</f>
        <v>0</v>
      </c>
    </row>
    <row r="194" spans="1:25">
      <c r="A194" s="317">
        <v>531350</v>
      </c>
      <c r="B194" s="870">
        <v>531350</v>
      </c>
      <c r="C194" s="871" t="s">
        <v>184</v>
      </c>
      <c r="D194" s="881" t="s">
        <v>195</v>
      </c>
      <c r="E194" s="873">
        <f>'REF. DE PREÇOS n editavel'!E194</f>
        <v>0</v>
      </c>
      <c r="F194" s="874">
        <f>'REF. DE PREÇOS n editavel'!F194</f>
        <v>0</v>
      </c>
      <c r="G194" s="927">
        <f>'REF. DE PREÇOS n editavel'!G194</f>
        <v>99.057910000000007</v>
      </c>
      <c r="H194" s="876">
        <f>'REF. DE PREÇOS n editavel'!H194</f>
        <v>105.23</v>
      </c>
      <c r="I194" s="876">
        <f>'REF. DE PREÇOS n editavel'!I194</f>
        <v>204.28791000000001</v>
      </c>
      <c r="J194" s="877">
        <f>'REF. DE PREÇOS n editavel'!J194</f>
        <v>249.68</v>
      </c>
      <c r="K194" s="878" t="s">
        <v>10</v>
      </c>
      <c r="L194" s="1092"/>
      <c r="M194" s="1105">
        <f t="shared" si="12"/>
        <v>0</v>
      </c>
      <c r="N194" s="868">
        <f t="shared" si="15"/>
        <v>0</v>
      </c>
      <c r="O194" s="880"/>
      <c r="Q194" s="317" t="str">
        <f t="shared" si="11"/>
        <v/>
      </c>
      <c r="R194" s="317" t="str">
        <f t="shared" si="13"/>
        <v/>
      </c>
      <c r="S194" s="317" t="str">
        <f t="shared" si="14"/>
        <v/>
      </c>
      <c r="T194" s="317" t="str">
        <f>'REF. DE PREÇOS n editavel'!S194</f>
        <v/>
      </c>
      <c r="W194" s="577">
        <v>0</v>
      </c>
      <c r="X194" s="575"/>
      <c r="Y194" s="578">
        <f>IF('REF. DE PREÇOS n editavel'!W194=0,0,IF('REF. DE PREÇOS n editavel'!W194&gt;0,"c","b"))</f>
        <v>0</v>
      </c>
    </row>
    <row r="195" spans="1:25">
      <c r="A195" s="317" t="s">
        <v>147</v>
      </c>
      <c r="B195" s="870" t="s">
        <v>147</v>
      </c>
      <c r="C195" s="871"/>
      <c r="D195" s="931" t="s">
        <v>196</v>
      </c>
      <c r="E195" s="873">
        <f>'REF. DE PREÇOS n editavel'!E195</f>
        <v>43.1</v>
      </c>
      <c r="F195" s="874">
        <f>'REF. DE PREÇOS n editavel'!F195</f>
        <v>1.35</v>
      </c>
      <c r="G195" s="884">
        <f>'REF. DE PREÇOS n editavel'!G195</f>
        <v>65.875950000000003</v>
      </c>
      <c r="H195" s="876">
        <f>'REF. DE PREÇOS n editavel'!H195</f>
        <v>0</v>
      </c>
      <c r="I195" s="876">
        <f>'REF. DE PREÇOS n editavel'!I195</f>
        <v>0</v>
      </c>
      <c r="J195" s="877">
        <f>'REF. DE PREÇOS n editavel'!J195</f>
        <v>0</v>
      </c>
      <c r="K195" s="878" t="s">
        <v>506</v>
      </c>
      <c r="L195" s="933"/>
      <c r="M195" s="1015">
        <f t="shared" si="12"/>
        <v>0</v>
      </c>
      <c r="N195" s="868">
        <f t="shared" si="15"/>
        <v>0</v>
      </c>
      <c r="O195" s="880"/>
      <c r="P195" s="58" t="str">
        <f>IF(N194&gt;0,"xx",IF(N194&gt;0,"xy",""))</f>
        <v/>
      </c>
      <c r="Q195" s="317" t="str">
        <f t="shared" si="11"/>
        <v/>
      </c>
      <c r="R195" s="317" t="str">
        <f t="shared" si="13"/>
        <v/>
      </c>
      <c r="S195" s="317" t="str">
        <f t="shared" si="14"/>
        <v/>
      </c>
      <c r="T195" s="317" t="str">
        <f>'REF. DE PREÇOS n editavel'!S195</f>
        <v/>
      </c>
      <c r="W195" s="577">
        <v>0</v>
      </c>
      <c r="X195" s="575"/>
      <c r="Y195" s="578">
        <f>IF('REF. DE PREÇOS n editavel'!W195=0,0,IF('REF. DE PREÇOS n editavel'!W195&gt;0,"c","b"))</f>
        <v>0</v>
      </c>
    </row>
    <row r="196" spans="1:25">
      <c r="A196" s="317" t="s">
        <v>147</v>
      </c>
      <c r="B196" s="870" t="s">
        <v>147</v>
      </c>
      <c r="C196" s="871"/>
      <c r="D196" s="931" t="s">
        <v>197</v>
      </c>
      <c r="E196" s="873">
        <f>'REF. DE PREÇOS n editavel'!E196</f>
        <v>43.1</v>
      </c>
      <c r="F196" s="874">
        <f>'REF. DE PREÇOS n editavel'!F196</f>
        <v>0.68</v>
      </c>
      <c r="G196" s="884">
        <f>'REF. DE PREÇOS n editavel'!G196</f>
        <v>33.181960000000004</v>
      </c>
      <c r="H196" s="876">
        <f>'REF. DE PREÇOS n editavel'!H196</f>
        <v>0</v>
      </c>
      <c r="I196" s="876">
        <f>'REF. DE PREÇOS n editavel'!I196</f>
        <v>0</v>
      </c>
      <c r="J196" s="877">
        <f>'REF. DE PREÇOS n editavel'!J196</f>
        <v>0</v>
      </c>
      <c r="K196" s="878" t="s">
        <v>506</v>
      </c>
      <c r="L196" s="933"/>
      <c r="M196" s="1015">
        <f t="shared" si="12"/>
        <v>0</v>
      </c>
      <c r="N196" s="868">
        <f t="shared" si="15"/>
        <v>0</v>
      </c>
      <c r="O196" s="880"/>
      <c r="P196" s="58" t="str">
        <f>IF(N194&gt;0,"xx",IF(N194&gt;0,"xy",""))</f>
        <v/>
      </c>
      <c r="Q196" s="317" t="str">
        <f t="shared" si="11"/>
        <v/>
      </c>
      <c r="R196" s="317" t="str">
        <f t="shared" si="13"/>
        <v/>
      </c>
      <c r="S196" s="317" t="str">
        <f t="shared" si="14"/>
        <v/>
      </c>
      <c r="T196" s="317" t="str">
        <f>'REF. DE PREÇOS n editavel'!S196</f>
        <v/>
      </c>
      <c r="W196" s="577">
        <v>0</v>
      </c>
      <c r="X196" s="575"/>
      <c r="Y196" s="578">
        <f>IF('REF. DE PREÇOS n editavel'!W196=0,0,IF('REF. DE PREÇOS n editavel'!W196&gt;0,"c","b"))</f>
        <v>0</v>
      </c>
    </row>
    <row r="197" spans="1:25">
      <c r="A197" s="317">
        <v>531300</v>
      </c>
      <c r="B197" s="870">
        <v>531300</v>
      </c>
      <c r="C197" s="871" t="s">
        <v>184</v>
      </c>
      <c r="D197" s="881" t="s">
        <v>198</v>
      </c>
      <c r="E197" s="873">
        <f>'REF. DE PREÇOS n editavel'!E197</f>
        <v>0</v>
      </c>
      <c r="F197" s="874">
        <f>'REF. DE PREÇOS n editavel'!F197</f>
        <v>0</v>
      </c>
      <c r="G197" s="927">
        <f>'REF. DE PREÇOS n editavel'!G197</f>
        <v>99.057910000000007</v>
      </c>
      <c r="H197" s="876">
        <f>'REF. DE PREÇOS n editavel'!H197</f>
        <v>108.49</v>
      </c>
      <c r="I197" s="876">
        <f>'REF. DE PREÇOS n editavel'!I197</f>
        <v>207.54791</v>
      </c>
      <c r="J197" s="877">
        <f>'REF. DE PREÇOS n editavel'!J197</f>
        <v>253.67</v>
      </c>
      <c r="K197" s="878" t="s">
        <v>10</v>
      </c>
      <c r="L197" s="1092">
        <v>2367.9</v>
      </c>
      <c r="M197" s="1105">
        <f t="shared" si="12"/>
        <v>253.67</v>
      </c>
      <c r="N197" s="868">
        <f t="shared" si="15"/>
        <v>600665.18999999994</v>
      </c>
      <c r="O197" s="880"/>
      <c r="Q197" s="317" t="str">
        <f t="shared" si="11"/>
        <v>x</v>
      </c>
      <c r="R197" s="317" t="str">
        <f t="shared" si="13"/>
        <v>x</v>
      </c>
      <c r="S197" s="317" t="str">
        <f t="shared" si="14"/>
        <v>x</v>
      </c>
      <c r="T197" s="317" t="str">
        <f>'REF. DE PREÇOS n editavel'!S197</f>
        <v>x</v>
      </c>
      <c r="W197" s="577">
        <v>0</v>
      </c>
      <c r="X197" s="575"/>
      <c r="Y197" s="578">
        <f>IF('REF. DE PREÇOS n editavel'!W197=0,0,IF('REF. DE PREÇOS n editavel'!W197&gt;0,"c","b"))</f>
        <v>0</v>
      </c>
    </row>
    <row r="198" spans="1:25">
      <c r="A198" s="317" t="s">
        <v>147</v>
      </c>
      <c r="B198" s="870" t="s">
        <v>147</v>
      </c>
      <c r="C198" s="871"/>
      <c r="D198" s="931" t="s">
        <v>196</v>
      </c>
      <c r="E198" s="873">
        <f>'REF. DE PREÇOS n editavel'!E198</f>
        <v>43.1</v>
      </c>
      <c r="F198" s="874">
        <f>'REF. DE PREÇOS n editavel'!F198</f>
        <v>1.35</v>
      </c>
      <c r="G198" s="884">
        <f>'REF. DE PREÇOS n editavel'!G198</f>
        <v>65.875950000000003</v>
      </c>
      <c r="H198" s="876">
        <f>'REF. DE PREÇOS n editavel'!H198</f>
        <v>0</v>
      </c>
      <c r="I198" s="876">
        <f>'REF. DE PREÇOS n editavel'!I198</f>
        <v>0</v>
      </c>
      <c r="J198" s="877">
        <f>'REF. DE PREÇOS n editavel'!J198</f>
        <v>0</v>
      </c>
      <c r="K198" s="878" t="s">
        <v>506</v>
      </c>
      <c r="L198" s="933"/>
      <c r="M198" s="1015">
        <f t="shared" si="12"/>
        <v>0</v>
      </c>
      <c r="N198" s="868">
        <f t="shared" si="15"/>
        <v>0</v>
      </c>
      <c r="O198" s="880"/>
      <c r="P198" s="58" t="str">
        <f>IF(N197&gt;0,"xx",IF(N197&gt;0,"xy",""))</f>
        <v>xx</v>
      </c>
      <c r="Q198" s="317" t="str">
        <f t="shared" si="11"/>
        <v>x</v>
      </c>
      <c r="R198" s="317" t="str">
        <f t="shared" si="13"/>
        <v>x</v>
      </c>
      <c r="S198" s="317" t="str">
        <f t="shared" si="14"/>
        <v/>
      </c>
      <c r="T198" s="317" t="str">
        <f>'REF. DE PREÇOS n editavel'!S198</f>
        <v/>
      </c>
      <c r="W198" s="577">
        <v>0</v>
      </c>
      <c r="X198" s="575"/>
      <c r="Y198" s="578">
        <f>IF('REF. DE PREÇOS n editavel'!W198=0,0,IF('REF. DE PREÇOS n editavel'!W198&gt;0,"c","b"))</f>
        <v>0</v>
      </c>
    </row>
    <row r="199" spans="1:25">
      <c r="A199" s="317" t="s">
        <v>147</v>
      </c>
      <c r="B199" s="870" t="s">
        <v>147</v>
      </c>
      <c r="C199" s="871"/>
      <c r="D199" s="931" t="s">
        <v>197</v>
      </c>
      <c r="E199" s="873">
        <f>'REF. DE PREÇOS n editavel'!E199</f>
        <v>43.1</v>
      </c>
      <c r="F199" s="874">
        <f>'REF. DE PREÇOS n editavel'!F199</f>
        <v>0.68</v>
      </c>
      <c r="G199" s="884">
        <f>'REF. DE PREÇOS n editavel'!G199</f>
        <v>33.181960000000004</v>
      </c>
      <c r="H199" s="876">
        <f>'REF. DE PREÇOS n editavel'!H199</f>
        <v>0</v>
      </c>
      <c r="I199" s="876">
        <f>'REF. DE PREÇOS n editavel'!I199</f>
        <v>0</v>
      </c>
      <c r="J199" s="877">
        <f>'REF. DE PREÇOS n editavel'!J199</f>
        <v>0</v>
      </c>
      <c r="K199" s="878" t="s">
        <v>506</v>
      </c>
      <c r="L199" s="933"/>
      <c r="M199" s="1015">
        <f t="shared" si="12"/>
        <v>0</v>
      </c>
      <c r="N199" s="868">
        <f t="shared" si="15"/>
        <v>0</v>
      </c>
      <c r="O199" s="880"/>
      <c r="P199" s="58" t="str">
        <f>IF(N197&gt;0,"xx",IF(N197&gt;0,"xy",""))</f>
        <v>xx</v>
      </c>
      <c r="Q199" s="317" t="str">
        <f t="shared" si="11"/>
        <v>x</v>
      </c>
      <c r="R199" s="317" t="str">
        <f t="shared" si="13"/>
        <v>x</v>
      </c>
      <c r="S199" s="317" t="str">
        <f t="shared" si="14"/>
        <v/>
      </c>
      <c r="T199" s="317" t="str">
        <f>'REF. DE PREÇOS n editavel'!S199</f>
        <v/>
      </c>
      <c r="W199" s="577">
        <v>0</v>
      </c>
      <c r="X199" s="575"/>
      <c r="Y199" s="578">
        <f>IF('REF. DE PREÇOS n editavel'!W199=0,0,IF('REF. DE PREÇOS n editavel'!W199&gt;0,"c","b"))</f>
        <v>0</v>
      </c>
    </row>
    <row r="200" spans="1:25">
      <c r="A200" s="317">
        <v>532000</v>
      </c>
      <c r="B200" s="870">
        <v>532000</v>
      </c>
      <c r="C200" s="871"/>
      <c r="D200" s="881" t="s">
        <v>199</v>
      </c>
      <c r="E200" s="882">
        <f>'REF. DE PREÇOS n editavel'!E200</f>
        <v>43.1</v>
      </c>
      <c r="F200" s="883">
        <f>'REF. DE PREÇOS n editavel'!F200</f>
        <v>2.2000000000000002</v>
      </c>
      <c r="G200" s="884">
        <f>'REF. DE PREÇOS n editavel'!G200</f>
        <v>107.35340000000002</v>
      </c>
      <c r="H200" s="876">
        <f>'REF. DE PREÇOS n editavel'!H200</f>
        <v>121.99</v>
      </c>
      <c r="I200" s="876">
        <f>'REF. DE PREÇOS n editavel'!I200</f>
        <v>229.34340000000003</v>
      </c>
      <c r="J200" s="877">
        <f>'REF. DE PREÇOS n editavel'!J200</f>
        <v>280.3</v>
      </c>
      <c r="K200" s="878" t="s">
        <v>10</v>
      </c>
      <c r="L200" s="1094"/>
      <c r="M200" s="1106">
        <f t="shared" si="12"/>
        <v>0</v>
      </c>
      <c r="N200" s="868">
        <f t="shared" si="15"/>
        <v>0</v>
      </c>
      <c r="O200" s="880"/>
      <c r="Q200" s="317" t="str">
        <f t="shared" si="11"/>
        <v/>
      </c>
      <c r="R200" s="317" t="str">
        <f t="shared" si="13"/>
        <v/>
      </c>
      <c r="S200" s="317" t="str">
        <f t="shared" si="14"/>
        <v/>
      </c>
      <c r="T200" s="317" t="str">
        <f>'REF. DE PREÇOS n editavel'!S200</f>
        <v/>
      </c>
      <c r="W200" s="577">
        <v>0</v>
      </c>
      <c r="X200" s="575"/>
      <c r="Y200" s="578">
        <f>IF('REF. DE PREÇOS n editavel'!W200=0,0,IF('REF. DE PREÇOS n editavel'!W200&gt;0,"c","b"))</f>
        <v>0</v>
      </c>
    </row>
    <row r="201" spans="1:25" ht="33.75">
      <c r="A201" s="317">
        <v>96398</v>
      </c>
      <c r="B201" s="870">
        <v>96398</v>
      </c>
      <c r="C201" s="871" t="s">
        <v>590</v>
      </c>
      <c r="D201" s="881" t="s">
        <v>1898</v>
      </c>
      <c r="E201" s="882">
        <f>'REF. DE PREÇOS n editavel'!E201</f>
        <v>43.1</v>
      </c>
      <c r="F201" s="883">
        <f>'REF. DE PREÇOS n editavel'!F201</f>
        <v>2.4</v>
      </c>
      <c r="G201" s="884">
        <f>'REF. DE PREÇOS n editavel'!G201</f>
        <v>117.11280000000001</v>
      </c>
      <c r="H201" s="876">
        <f>'REF. DE PREÇOS n editavel'!H201</f>
        <v>246.41</v>
      </c>
      <c r="I201" s="876">
        <f>'REF. DE PREÇOS n editavel'!I201</f>
        <v>363.52280000000002</v>
      </c>
      <c r="J201" s="877">
        <f>'REF. DE PREÇOS n editavel'!J201</f>
        <v>444.3</v>
      </c>
      <c r="K201" s="878" t="s">
        <v>10</v>
      </c>
      <c r="L201" s="1094"/>
      <c r="M201" s="1106">
        <f t="shared" si="12"/>
        <v>0</v>
      </c>
      <c r="N201" s="868">
        <f t="shared" si="15"/>
        <v>0</v>
      </c>
      <c r="O201" s="880"/>
      <c r="Q201" s="317" t="str">
        <f t="shared" si="11"/>
        <v/>
      </c>
      <c r="R201" s="317" t="str">
        <f t="shared" si="13"/>
        <v/>
      </c>
      <c r="S201" s="317" t="str">
        <f t="shared" si="14"/>
        <v/>
      </c>
      <c r="T201" s="317" t="str">
        <f>'REF. DE PREÇOS n editavel'!S201</f>
        <v/>
      </c>
      <c r="W201" s="577">
        <v>0</v>
      </c>
      <c r="X201" s="575"/>
      <c r="Y201" s="578">
        <f>IF('REF. DE PREÇOS n editavel'!W201=0,0,IF('REF. DE PREÇOS n editavel'!W201&gt;0,"c","b"))</f>
        <v>0</v>
      </c>
    </row>
    <row r="202" spans="1:25" ht="15" customHeight="1">
      <c r="A202" s="634" t="s">
        <v>165</v>
      </c>
      <c r="B202" s="888" t="s">
        <v>165</v>
      </c>
      <c r="C202" s="889"/>
      <c r="D202" s="890" t="s">
        <v>435</v>
      </c>
      <c r="E202" s="891">
        <f>'REF. DE PREÇOS n editavel'!E202</f>
        <v>0</v>
      </c>
      <c r="F202" s="892">
        <f>'REF. DE PREÇOS n editavel'!F202</f>
        <v>0</v>
      </c>
      <c r="G202" s="891">
        <f>'REF. DE PREÇOS n editavel'!G202</f>
        <v>0</v>
      </c>
      <c r="H202" s="894">
        <f>'REF. DE PREÇOS n editavel'!H202</f>
        <v>0</v>
      </c>
      <c r="I202" s="894">
        <f>'REF. DE PREÇOS n editavel'!I202</f>
        <v>0</v>
      </c>
      <c r="J202" s="894">
        <f>'REF. DE PREÇOS n editavel'!J202</f>
        <v>0</v>
      </c>
      <c r="K202" s="936" t="s">
        <v>506</v>
      </c>
      <c r="L202" s="896"/>
      <c r="M202" s="897"/>
      <c r="N202" s="898">
        <f t="shared" si="15"/>
        <v>0</v>
      </c>
      <c r="O202" s="880"/>
      <c r="P202" s="58" t="str">
        <f>IF(OR(SUM(N203:N227)&gt;0,SUM(N203:N227)&gt;0),"y","")</f>
        <v/>
      </c>
      <c r="Q202" s="317" t="str">
        <f t="shared" si="11"/>
        <v/>
      </c>
      <c r="R202" s="317" t="str">
        <f t="shared" si="13"/>
        <v/>
      </c>
      <c r="S202" s="317" t="str">
        <f t="shared" si="14"/>
        <v/>
      </c>
      <c r="T202" s="317" t="str">
        <f>'REF. DE PREÇOS n editavel'!S202</f>
        <v/>
      </c>
      <c r="W202" s="577">
        <v>0</v>
      </c>
      <c r="X202" s="575"/>
      <c r="Y202" s="578">
        <f>IF('REF. DE PREÇOS n editavel'!W202=0,0,IF('REF. DE PREÇOS n editavel'!W202&gt;0,"c","b"))</f>
        <v>0</v>
      </c>
    </row>
    <row r="203" spans="1:25" ht="15" customHeight="1">
      <c r="A203" s="634" t="s">
        <v>165</v>
      </c>
      <c r="B203" s="1010" t="str">
        <f>'REF. DE PREÇOS n editavel'!B203</f>
        <v/>
      </c>
      <c r="C203" s="1045" t="str">
        <f>'REF. DE PREÇOS n editavel'!C203</f>
        <v/>
      </c>
      <c r="D203" s="1096">
        <f>'REF. DE PREÇOS n editavel'!D203</f>
        <v>0</v>
      </c>
      <c r="E203" s="882">
        <f>'REF. DE PREÇOS n editavel'!E203</f>
        <v>0</v>
      </c>
      <c r="F203" s="883">
        <f>'REF. DE PREÇOS n editavel'!F203</f>
        <v>0</v>
      </c>
      <c r="G203" s="887">
        <f>'REF. DE PREÇOS n editavel'!G203</f>
        <v>0</v>
      </c>
      <c r="H203" s="876">
        <f>'REF. DE PREÇOS n editavel'!H203</f>
        <v>0</v>
      </c>
      <c r="I203" s="876">
        <f>'REF. DE PREÇOS n editavel'!I203</f>
        <v>0</v>
      </c>
      <c r="J203" s="877">
        <f>'REF. DE PREÇOS n editavel'!J203</f>
        <v>0</v>
      </c>
      <c r="K203" s="878" t="str">
        <f>'REF. DE PREÇOS n editavel'!K203</f>
        <v xml:space="preserve">     </v>
      </c>
      <c r="L203" s="1092"/>
      <c r="M203" s="1106">
        <f t="shared" si="12"/>
        <v>0</v>
      </c>
      <c r="N203" s="868">
        <f t="shared" si="15"/>
        <v>0</v>
      </c>
      <c r="O203" s="880"/>
      <c r="Q203" s="317" t="str">
        <f t="shared" si="11"/>
        <v/>
      </c>
      <c r="R203" s="317" t="str">
        <f t="shared" si="13"/>
        <v/>
      </c>
      <c r="S203" s="317" t="str">
        <f t="shared" si="14"/>
        <v/>
      </c>
      <c r="T203" s="317" t="str">
        <f>'REF. DE PREÇOS n editavel'!S203</f>
        <v/>
      </c>
      <c r="W203" s="577">
        <v>0</v>
      </c>
      <c r="X203" s="575"/>
      <c r="Y203" s="578">
        <f>IF('REF. DE PREÇOS n editavel'!W203=0,0,IF('REF. DE PREÇOS n editavel'!W203&gt;0,"c","b"))</f>
        <v>0</v>
      </c>
    </row>
    <row r="204" spans="1:25" ht="15" customHeight="1">
      <c r="A204" s="634" t="s">
        <v>165</v>
      </c>
      <c r="B204" s="1010" t="str">
        <f>'REF. DE PREÇOS n editavel'!B204</f>
        <v/>
      </c>
      <c r="C204" s="1045" t="str">
        <f>'REF. DE PREÇOS n editavel'!C204</f>
        <v/>
      </c>
      <c r="D204" s="1096">
        <f>'REF. DE PREÇOS n editavel'!D204</f>
        <v>0</v>
      </c>
      <c r="E204" s="882">
        <f>'REF. DE PREÇOS n editavel'!E204</f>
        <v>0</v>
      </c>
      <c r="F204" s="883">
        <f>'REF. DE PREÇOS n editavel'!F204</f>
        <v>0</v>
      </c>
      <c r="G204" s="887">
        <f>'REF. DE PREÇOS n editavel'!G204</f>
        <v>0</v>
      </c>
      <c r="H204" s="876">
        <f>'REF. DE PREÇOS n editavel'!H204</f>
        <v>0</v>
      </c>
      <c r="I204" s="876">
        <f>'REF. DE PREÇOS n editavel'!I204</f>
        <v>0</v>
      </c>
      <c r="J204" s="865">
        <f>'REF. DE PREÇOS n editavel'!J204</f>
        <v>0</v>
      </c>
      <c r="K204" s="878" t="str">
        <f>'REF. DE PREÇOS n editavel'!K204</f>
        <v xml:space="preserve">     </v>
      </c>
      <c r="L204" s="1092"/>
      <c r="M204" s="1106">
        <f t="shared" si="12"/>
        <v>0</v>
      </c>
      <c r="N204" s="907">
        <f t="shared" si="15"/>
        <v>0</v>
      </c>
      <c r="O204" s="880"/>
      <c r="Q204" s="317" t="str">
        <f t="shared" si="11"/>
        <v/>
      </c>
      <c r="R204" s="317" t="str">
        <f t="shared" si="13"/>
        <v/>
      </c>
      <c r="S204" s="317" t="str">
        <f t="shared" si="14"/>
        <v/>
      </c>
      <c r="T204" s="317" t="str">
        <f>'REF. DE PREÇOS n editavel'!S204</f>
        <v/>
      </c>
      <c r="W204" s="577">
        <v>0</v>
      </c>
      <c r="X204" s="575"/>
      <c r="Y204" s="578">
        <f>IF('REF. DE PREÇOS n editavel'!W204=0,0,IF('REF. DE PREÇOS n editavel'!W204&gt;0,"c","b"))</f>
        <v>0</v>
      </c>
    </row>
    <row r="205" spans="1:25" ht="15" customHeight="1">
      <c r="A205" s="634" t="s">
        <v>165</v>
      </c>
      <c r="B205" s="1010" t="str">
        <f>'REF. DE PREÇOS n editavel'!B205</f>
        <v/>
      </c>
      <c r="C205" s="1045" t="str">
        <f>'REF. DE PREÇOS n editavel'!C205</f>
        <v/>
      </c>
      <c r="D205" s="1096">
        <f>'REF. DE PREÇOS n editavel'!D205</f>
        <v>0</v>
      </c>
      <c r="E205" s="882">
        <f>'REF. DE PREÇOS n editavel'!E205</f>
        <v>0</v>
      </c>
      <c r="F205" s="883">
        <f>'REF. DE PREÇOS n editavel'!F205</f>
        <v>0</v>
      </c>
      <c r="G205" s="887">
        <f>'REF. DE PREÇOS n editavel'!G205</f>
        <v>0</v>
      </c>
      <c r="H205" s="876">
        <f>'REF. DE PREÇOS n editavel'!H205</f>
        <v>0</v>
      </c>
      <c r="I205" s="876">
        <f>'REF. DE PREÇOS n editavel'!I205</f>
        <v>0</v>
      </c>
      <c r="J205" s="865">
        <f>'REF. DE PREÇOS n editavel'!J205</f>
        <v>0</v>
      </c>
      <c r="K205" s="878" t="str">
        <f>'REF. DE PREÇOS n editavel'!K205</f>
        <v xml:space="preserve">     </v>
      </c>
      <c r="L205" s="1092"/>
      <c r="M205" s="1106">
        <f t="shared" si="12"/>
        <v>0</v>
      </c>
      <c r="N205" s="907">
        <f t="shared" si="15"/>
        <v>0</v>
      </c>
      <c r="O205" s="880"/>
      <c r="Q205" s="317" t="str">
        <f t="shared" si="11"/>
        <v/>
      </c>
      <c r="R205" s="317" t="str">
        <f t="shared" si="13"/>
        <v/>
      </c>
      <c r="S205" s="317" t="str">
        <f t="shared" si="14"/>
        <v/>
      </c>
      <c r="T205" s="317" t="str">
        <f>'REF. DE PREÇOS n editavel'!S205</f>
        <v/>
      </c>
      <c r="W205" s="577">
        <v>0</v>
      </c>
      <c r="X205" s="575"/>
      <c r="Y205" s="578">
        <f>IF('REF. DE PREÇOS n editavel'!W205=0,0,IF('REF. DE PREÇOS n editavel'!W205&gt;0,"c","b"))</f>
        <v>0</v>
      </c>
    </row>
    <row r="206" spans="1:25" ht="15" customHeight="1">
      <c r="A206" s="634" t="s">
        <v>165</v>
      </c>
      <c r="B206" s="1010" t="str">
        <f>'REF. DE PREÇOS n editavel'!B206</f>
        <v/>
      </c>
      <c r="C206" s="1045" t="str">
        <f>'REF. DE PREÇOS n editavel'!C206</f>
        <v/>
      </c>
      <c r="D206" s="1096">
        <f>'REF. DE PREÇOS n editavel'!D206</f>
        <v>0</v>
      </c>
      <c r="E206" s="882">
        <f>'REF. DE PREÇOS n editavel'!E206</f>
        <v>0</v>
      </c>
      <c r="F206" s="883">
        <f>'REF. DE PREÇOS n editavel'!F206</f>
        <v>0</v>
      </c>
      <c r="G206" s="887">
        <f>'REF. DE PREÇOS n editavel'!G206</f>
        <v>0</v>
      </c>
      <c r="H206" s="876">
        <f>'REF. DE PREÇOS n editavel'!H206</f>
        <v>0</v>
      </c>
      <c r="I206" s="876">
        <f>'REF. DE PREÇOS n editavel'!I206</f>
        <v>0</v>
      </c>
      <c r="J206" s="865">
        <f>'REF. DE PREÇOS n editavel'!J206</f>
        <v>0</v>
      </c>
      <c r="K206" s="878" t="str">
        <f>'REF. DE PREÇOS n editavel'!K206</f>
        <v xml:space="preserve">     </v>
      </c>
      <c r="L206" s="1092"/>
      <c r="M206" s="1106">
        <f t="shared" si="12"/>
        <v>0</v>
      </c>
      <c r="N206" s="907">
        <f t="shared" si="15"/>
        <v>0</v>
      </c>
      <c r="O206" s="880"/>
      <c r="Q206" s="317" t="str">
        <f t="shared" si="11"/>
        <v/>
      </c>
      <c r="R206" s="317" t="str">
        <f t="shared" si="13"/>
        <v/>
      </c>
      <c r="S206" s="317" t="str">
        <f t="shared" si="14"/>
        <v/>
      </c>
      <c r="T206" s="317" t="str">
        <f>'REF. DE PREÇOS n editavel'!S206</f>
        <v/>
      </c>
      <c r="W206" s="577">
        <v>0</v>
      </c>
      <c r="X206" s="575"/>
      <c r="Y206" s="578">
        <f>IF('REF. DE PREÇOS n editavel'!W206=0,0,IF('REF. DE PREÇOS n editavel'!W206&gt;0,"c","b"))</f>
        <v>0</v>
      </c>
    </row>
    <row r="207" spans="1:25" ht="15" customHeight="1">
      <c r="A207" s="634" t="s">
        <v>165</v>
      </c>
      <c r="B207" s="1010" t="str">
        <f>'REF. DE PREÇOS n editavel'!B207</f>
        <v/>
      </c>
      <c r="C207" s="1045" t="str">
        <f>'REF. DE PREÇOS n editavel'!C207</f>
        <v/>
      </c>
      <c r="D207" s="1096">
        <f>'REF. DE PREÇOS n editavel'!D207</f>
        <v>0</v>
      </c>
      <c r="E207" s="882">
        <f>'REF. DE PREÇOS n editavel'!E207</f>
        <v>0</v>
      </c>
      <c r="F207" s="883">
        <f>'REF. DE PREÇOS n editavel'!F207</f>
        <v>0</v>
      </c>
      <c r="G207" s="887">
        <f>'REF. DE PREÇOS n editavel'!G207</f>
        <v>0</v>
      </c>
      <c r="H207" s="876">
        <f>'REF. DE PREÇOS n editavel'!H207</f>
        <v>0</v>
      </c>
      <c r="I207" s="876">
        <f>'REF. DE PREÇOS n editavel'!I207</f>
        <v>0</v>
      </c>
      <c r="J207" s="865">
        <f>'REF. DE PREÇOS n editavel'!J207</f>
        <v>0</v>
      </c>
      <c r="K207" s="878" t="str">
        <f>'REF. DE PREÇOS n editavel'!K207</f>
        <v xml:space="preserve">     </v>
      </c>
      <c r="L207" s="1092"/>
      <c r="M207" s="1106">
        <f t="shared" si="12"/>
        <v>0</v>
      </c>
      <c r="N207" s="907">
        <f t="shared" si="15"/>
        <v>0</v>
      </c>
      <c r="O207" s="880"/>
      <c r="Q207" s="317" t="str">
        <f t="shared" si="11"/>
        <v/>
      </c>
      <c r="R207" s="317" t="str">
        <f t="shared" si="13"/>
        <v/>
      </c>
      <c r="S207" s="317" t="str">
        <f t="shared" si="14"/>
        <v/>
      </c>
      <c r="T207" s="317" t="str">
        <f>'REF. DE PREÇOS n editavel'!S207</f>
        <v/>
      </c>
      <c r="W207" s="577">
        <v>0</v>
      </c>
      <c r="X207" s="575"/>
      <c r="Y207" s="578">
        <f>IF('REF. DE PREÇOS n editavel'!W207=0,0,IF('REF. DE PREÇOS n editavel'!W207&gt;0,"c","b"))</f>
        <v>0</v>
      </c>
    </row>
    <row r="208" spans="1:25" ht="15" customHeight="1">
      <c r="A208" s="634" t="s">
        <v>165</v>
      </c>
      <c r="B208" s="1010" t="str">
        <f>'REF. DE PREÇOS n editavel'!B208</f>
        <v/>
      </c>
      <c r="C208" s="1045" t="str">
        <f>'REF. DE PREÇOS n editavel'!C208</f>
        <v/>
      </c>
      <c r="D208" s="1096">
        <f>'REF. DE PREÇOS n editavel'!D208</f>
        <v>0</v>
      </c>
      <c r="E208" s="882">
        <f>'REF. DE PREÇOS n editavel'!E208</f>
        <v>0</v>
      </c>
      <c r="F208" s="883">
        <f>'REF. DE PREÇOS n editavel'!F208</f>
        <v>0</v>
      </c>
      <c r="G208" s="887">
        <f>'REF. DE PREÇOS n editavel'!G208</f>
        <v>0</v>
      </c>
      <c r="H208" s="876">
        <f>'REF. DE PREÇOS n editavel'!H208</f>
        <v>0</v>
      </c>
      <c r="I208" s="876">
        <f>'REF. DE PREÇOS n editavel'!I208</f>
        <v>0</v>
      </c>
      <c r="J208" s="865">
        <f>'REF. DE PREÇOS n editavel'!J208</f>
        <v>0</v>
      </c>
      <c r="K208" s="878" t="str">
        <f>'REF. DE PREÇOS n editavel'!K208</f>
        <v xml:space="preserve">     </v>
      </c>
      <c r="L208" s="1092"/>
      <c r="M208" s="1106">
        <f t="shared" si="12"/>
        <v>0</v>
      </c>
      <c r="N208" s="907">
        <f t="shared" si="15"/>
        <v>0</v>
      </c>
      <c r="O208" s="880"/>
      <c r="Q208" s="317" t="str">
        <f t="shared" si="11"/>
        <v/>
      </c>
      <c r="R208" s="317" t="str">
        <f t="shared" si="13"/>
        <v/>
      </c>
      <c r="S208" s="317" t="str">
        <f t="shared" si="14"/>
        <v/>
      </c>
      <c r="T208" s="317" t="str">
        <f>'REF. DE PREÇOS n editavel'!S208</f>
        <v/>
      </c>
      <c r="W208" s="577">
        <v>0</v>
      </c>
      <c r="X208" s="575"/>
      <c r="Y208" s="578">
        <f>IF('REF. DE PREÇOS n editavel'!W208=0,0,IF('REF. DE PREÇOS n editavel'!W208&gt;0,"c","b"))</f>
        <v>0</v>
      </c>
    </row>
    <row r="209" spans="1:25" ht="15" customHeight="1">
      <c r="A209" s="634" t="s">
        <v>165</v>
      </c>
      <c r="B209" s="1010" t="str">
        <f>'REF. DE PREÇOS n editavel'!B209</f>
        <v/>
      </c>
      <c r="C209" s="1045" t="str">
        <f>'REF. DE PREÇOS n editavel'!C209</f>
        <v/>
      </c>
      <c r="D209" s="1096">
        <f>'REF. DE PREÇOS n editavel'!D209</f>
        <v>0</v>
      </c>
      <c r="E209" s="882">
        <f>'REF. DE PREÇOS n editavel'!E209</f>
        <v>0</v>
      </c>
      <c r="F209" s="883">
        <f>'REF. DE PREÇOS n editavel'!F209</f>
        <v>0</v>
      </c>
      <c r="G209" s="887">
        <f>'REF. DE PREÇOS n editavel'!G209</f>
        <v>0</v>
      </c>
      <c r="H209" s="876">
        <f>'REF. DE PREÇOS n editavel'!H209</f>
        <v>0</v>
      </c>
      <c r="I209" s="876">
        <f>'REF. DE PREÇOS n editavel'!I209</f>
        <v>0</v>
      </c>
      <c r="J209" s="865">
        <f>'REF. DE PREÇOS n editavel'!J209</f>
        <v>0</v>
      </c>
      <c r="K209" s="878" t="str">
        <f>'REF. DE PREÇOS n editavel'!K209</f>
        <v xml:space="preserve">     </v>
      </c>
      <c r="L209" s="1092"/>
      <c r="M209" s="1106">
        <f t="shared" si="12"/>
        <v>0</v>
      </c>
      <c r="N209" s="907">
        <f t="shared" si="15"/>
        <v>0</v>
      </c>
      <c r="O209" s="880"/>
      <c r="Q209" s="317" t="str">
        <f t="shared" si="11"/>
        <v/>
      </c>
      <c r="R209" s="317" t="str">
        <f t="shared" si="13"/>
        <v/>
      </c>
      <c r="S209" s="317" t="str">
        <f t="shared" si="14"/>
        <v/>
      </c>
      <c r="T209" s="317" t="str">
        <f>'REF. DE PREÇOS n editavel'!S209</f>
        <v/>
      </c>
      <c r="W209" s="577">
        <v>0</v>
      </c>
      <c r="X209" s="575"/>
      <c r="Y209" s="578">
        <f>IF('REF. DE PREÇOS n editavel'!W209=0,0,IF('REF. DE PREÇOS n editavel'!W209&gt;0,"c","b"))</f>
        <v>0</v>
      </c>
    </row>
    <row r="210" spans="1:25" ht="15" customHeight="1">
      <c r="A210" s="634" t="s">
        <v>165</v>
      </c>
      <c r="B210" s="1010" t="str">
        <f>'REF. DE PREÇOS n editavel'!B210</f>
        <v/>
      </c>
      <c r="C210" s="1045" t="str">
        <f>'REF. DE PREÇOS n editavel'!C210</f>
        <v/>
      </c>
      <c r="D210" s="1096">
        <f>'REF. DE PREÇOS n editavel'!D210</f>
        <v>0</v>
      </c>
      <c r="E210" s="882">
        <f>'REF. DE PREÇOS n editavel'!E210</f>
        <v>0</v>
      </c>
      <c r="F210" s="883">
        <f>'REF. DE PREÇOS n editavel'!F210</f>
        <v>0</v>
      </c>
      <c r="G210" s="887">
        <f>'REF. DE PREÇOS n editavel'!G210</f>
        <v>0</v>
      </c>
      <c r="H210" s="876">
        <f>'REF. DE PREÇOS n editavel'!H210</f>
        <v>0</v>
      </c>
      <c r="I210" s="876">
        <f>'REF. DE PREÇOS n editavel'!I210</f>
        <v>0</v>
      </c>
      <c r="J210" s="865">
        <f>'REF. DE PREÇOS n editavel'!J210</f>
        <v>0</v>
      </c>
      <c r="K210" s="878" t="str">
        <f>'REF. DE PREÇOS n editavel'!K210</f>
        <v xml:space="preserve">     </v>
      </c>
      <c r="L210" s="1092"/>
      <c r="M210" s="1106">
        <f t="shared" si="12"/>
        <v>0</v>
      </c>
      <c r="N210" s="907">
        <f t="shared" si="15"/>
        <v>0</v>
      </c>
      <c r="O210" s="880"/>
      <c r="Q210" s="317" t="str">
        <f t="shared" si="11"/>
        <v/>
      </c>
      <c r="R210" s="317" t="str">
        <f t="shared" si="13"/>
        <v/>
      </c>
      <c r="S210" s="317" t="str">
        <f t="shared" si="14"/>
        <v/>
      </c>
      <c r="T210" s="317" t="str">
        <f>'REF. DE PREÇOS n editavel'!S210</f>
        <v/>
      </c>
      <c r="W210" s="577">
        <v>0</v>
      </c>
      <c r="X210" s="575"/>
      <c r="Y210" s="578">
        <f>IF('REF. DE PREÇOS n editavel'!W210=0,0,IF('REF. DE PREÇOS n editavel'!W210&gt;0,"c","b"))</f>
        <v>0</v>
      </c>
    </row>
    <row r="211" spans="1:25" ht="15" customHeight="1">
      <c r="A211" s="634" t="s">
        <v>165</v>
      </c>
      <c r="B211" s="1010" t="str">
        <f>'REF. DE PREÇOS n editavel'!B211</f>
        <v/>
      </c>
      <c r="C211" s="1045" t="str">
        <f>'REF. DE PREÇOS n editavel'!C211</f>
        <v/>
      </c>
      <c r="D211" s="1096">
        <f>'REF. DE PREÇOS n editavel'!D211</f>
        <v>0</v>
      </c>
      <c r="E211" s="882">
        <f>'REF. DE PREÇOS n editavel'!E211</f>
        <v>0</v>
      </c>
      <c r="F211" s="883">
        <f>'REF. DE PREÇOS n editavel'!F211</f>
        <v>0</v>
      </c>
      <c r="G211" s="887">
        <f>'REF. DE PREÇOS n editavel'!G211</f>
        <v>0</v>
      </c>
      <c r="H211" s="876">
        <f>'REF. DE PREÇOS n editavel'!H211</f>
        <v>0</v>
      </c>
      <c r="I211" s="876">
        <f>'REF. DE PREÇOS n editavel'!I211</f>
        <v>0</v>
      </c>
      <c r="J211" s="865">
        <f>'REF. DE PREÇOS n editavel'!J211</f>
        <v>0</v>
      </c>
      <c r="K211" s="878" t="str">
        <f>'REF. DE PREÇOS n editavel'!K211</f>
        <v xml:space="preserve">     </v>
      </c>
      <c r="L211" s="1092"/>
      <c r="M211" s="1106">
        <f t="shared" si="12"/>
        <v>0</v>
      </c>
      <c r="N211" s="907">
        <f t="shared" si="15"/>
        <v>0</v>
      </c>
      <c r="O211" s="880"/>
      <c r="Q211" s="317" t="str">
        <f t="shared" ref="Q211:Q274" si="16">IF(P211="X","x",IF(P211="xx","x",IF(P211="xy","x",IF(P211="y","x",IF(OR(N211&gt;0,N211&gt;0),"x","")))))</f>
        <v/>
      </c>
      <c r="R211" s="317" t="str">
        <f t="shared" si="13"/>
        <v/>
      </c>
      <c r="S211" s="317" t="str">
        <f t="shared" si="14"/>
        <v/>
      </c>
      <c r="T211" s="317" t="str">
        <f>'REF. DE PREÇOS n editavel'!S211</f>
        <v/>
      </c>
      <c r="W211" s="577">
        <v>0</v>
      </c>
      <c r="X211" s="575"/>
      <c r="Y211" s="578">
        <f>IF('REF. DE PREÇOS n editavel'!W211=0,0,IF('REF. DE PREÇOS n editavel'!W211&gt;0,"c","b"))</f>
        <v>0</v>
      </c>
    </row>
    <row r="212" spans="1:25" ht="15" customHeight="1">
      <c r="A212" s="634" t="s">
        <v>165</v>
      </c>
      <c r="B212" s="1010" t="str">
        <f>'REF. DE PREÇOS n editavel'!B212</f>
        <v/>
      </c>
      <c r="C212" s="1045" t="str">
        <f>'REF. DE PREÇOS n editavel'!C212</f>
        <v/>
      </c>
      <c r="D212" s="1096">
        <f>'REF. DE PREÇOS n editavel'!D212</f>
        <v>0</v>
      </c>
      <c r="E212" s="882">
        <f>'REF. DE PREÇOS n editavel'!E212</f>
        <v>0</v>
      </c>
      <c r="F212" s="883">
        <f>'REF. DE PREÇOS n editavel'!F212</f>
        <v>0</v>
      </c>
      <c r="G212" s="887">
        <f>'REF. DE PREÇOS n editavel'!G212</f>
        <v>0</v>
      </c>
      <c r="H212" s="876">
        <f>'REF. DE PREÇOS n editavel'!H212</f>
        <v>0</v>
      </c>
      <c r="I212" s="876">
        <f>'REF. DE PREÇOS n editavel'!I212</f>
        <v>0</v>
      </c>
      <c r="J212" s="865">
        <f>'REF. DE PREÇOS n editavel'!J212</f>
        <v>0</v>
      </c>
      <c r="K212" s="878" t="str">
        <f>'REF. DE PREÇOS n editavel'!K212</f>
        <v xml:space="preserve">     </v>
      </c>
      <c r="L212" s="1092"/>
      <c r="M212" s="1106">
        <f t="shared" ref="M212:M227" si="17">IF(L212=0,0,ROUND(J212,2))</f>
        <v>0</v>
      </c>
      <c r="N212" s="907">
        <f t="shared" si="15"/>
        <v>0</v>
      </c>
      <c r="O212" s="880"/>
      <c r="Q212" s="317" t="str">
        <f t="shared" si="16"/>
        <v/>
      </c>
      <c r="R212" s="317" t="str">
        <f t="shared" si="13"/>
        <v/>
      </c>
      <c r="S212" s="317" t="str">
        <f t="shared" si="14"/>
        <v/>
      </c>
      <c r="T212" s="317" t="str">
        <f>'REF. DE PREÇOS n editavel'!S212</f>
        <v/>
      </c>
      <c r="W212" s="577">
        <v>0</v>
      </c>
      <c r="X212" s="575"/>
      <c r="Y212" s="578">
        <f>IF('REF. DE PREÇOS n editavel'!W212=0,0,IF('REF. DE PREÇOS n editavel'!W212&gt;0,"c","b"))</f>
        <v>0</v>
      </c>
    </row>
    <row r="213" spans="1:25" ht="15" customHeight="1">
      <c r="A213" s="634" t="s">
        <v>165</v>
      </c>
      <c r="B213" s="1010" t="str">
        <f>'REF. DE PREÇOS n editavel'!B213</f>
        <v/>
      </c>
      <c r="C213" s="1045" t="str">
        <f>'REF. DE PREÇOS n editavel'!C213</f>
        <v/>
      </c>
      <c r="D213" s="1096">
        <f>'REF. DE PREÇOS n editavel'!D213</f>
        <v>0</v>
      </c>
      <c r="E213" s="882">
        <f>'REF. DE PREÇOS n editavel'!E213</f>
        <v>0</v>
      </c>
      <c r="F213" s="883">
        <f>'REF. DE PREÇOS n editavel'!F213</f>
        <v>0</v>
      </c>
      <c r="G213" s="887">
        <f>'REF. DE PREÇOS n editavel'!G213</f>
        <v>0</v>
      </c>
      <c r="H213" s="876">
        <f>'REF. DE PREÇOS n editavel'!H213</f>
        <v>0</v>
      </c>
      <c r="I213" s="876">
        <f>'REF. DE PREÇOS n editavel'!I213</f>
        <v>0</v>
      </c>
      <c r="J213" s="865">
        <f>'REF. DE PREÇOS n editavel'!J213</f>
        <v>0</v>
      </c>
      <c r="K213" s="878" t="str">
        <f>'REF. DE PREÇOS n editavel'!K213</f>
        <v xml:space="preserve">     </v>
      </c>
      <c r="L213" s="1092"/>
      <c r="M213" s="1106">
        <f t="shared" si="17"/>
        <v>0</v>
      </c>
      <c r="N213" s="907">
        <f t="shared" si="15"/>
        <v>0</v>
      </c>
      <c r="O213" s="880"/>
      <c r="Q213" s="317" t="str">
        <f t="shared" si="16"/>
        <v/>
      </c>
      <c r="R213" s="317" t="str">
        <f t="shared" ref="R213:R276" si="18">IF(P213="X","x",IF(P213="y","x",IF(P213="xx","x",IF(N213&gt;0,"x",""))))</f>
        <v/>
      </c>
      <c r="S213" s="317" t="str">
        <f t="shared" ref="S213:S276" si="19">IF(P213="X","x",IF(N213&gt;0,"x",""))</f>
        <v/>
      </c>
      <c r="T213" s="317" t="str">
        <f>'REF. DE PREÇOS n editavel'!S213</f>
        <v/>
      </c>
      <c r="W213" s="577">
        <v>0</v>
      </c>
      <c r="X213" s="575"/>
      <c r="Y213" s="578">
        <f>IF('REF. DE PREÇOS n editavel'!W213=0,0,IF('REF. DE PREÇOS n editavel'!W213&gt;0,"c","b"))</f>
        <v>0</v>
      </c>
    </row>
    <row r="214" spans="1:25" ht="15" customHeight="1">
      <c r="A214" s="634" t="s">
        <v>165</v>
      </c>
      <c r="B214" s="1010" t="str">
        <f>'REF. DE PREÇOS n editavel'!B214</f>
        <v/>
      </c>
      <c r="C214" s="1045" t="str">
        <f>'REF. DE PREÇOS n editavel'!C214</f>
        <v/>
      </c>
      <c r="D214" s="1096">
        <f>'REF. DE PREÇOS n editavel'!D214</f>
        <v>0</v>
      </c>
      <c r="E214" s="882">
        <f>'REF. DE PREÇOS n editavel'!E214</f>
        <v>0</v>
      </c>
      <c r="F214" s="883">
        <f>'REF. DE PREÇOS n editavel'!F214</f>
        <v>0</v>
      </c>
      <c r="G214" s="887">
        <f>'REF. DE PREÇOS n editavel'!G214</f>
        <v>0</v>
      </c>
      <c r="H214" s="876">
        <f>'REF. DE PREÇOS n editavel'!H214</f>
        <v>0</v>
      </c>
      <c r="I214" s="876">
        <f>'REF. DE PREÇOS n editavel'!I214</f>
        <v>0</v>
      </c>
      <c r="J214" s="865">
        <f>'REF. DE PREÇOS n editavel'!J214</f>
        <v>0</v>
      </c>
      <c r="K214" s="878" t="str">
        <f>'REF. DE PREÇOS n editavel'!K214</f>
        <v xml:space="preserve">     </v>
      </c>
      <c r="L214" s="1092"/>
      <c r="M214" s="1106">
        <f t="shared" si="17"/>
        <v>0</v>
      </c>
      <c r="N214" s="907">
        <f t="shared" si="15"/>
        <v>0</v>
      </c>
      <c r="O214" s="880"/>
      <c r="Q214" s="317" t="str">
        <f t="shared" si="16"/>
        <v/>
      </c>
      <c r="R214" s="317" t="str">
        <f t="shared" si="18"/>
        <v/>
      </c>
      <c r="S214" s="317" t="str">
        <f t="shared" si="19"/>
        <v/>
      </c>
      <c r="T214" s="317" t="str">
        <f>'REF. DE PREÇOS n editavel'!S214</f>
        <v/>
      </c>
      <c r="W214" s="577">
        <v>0</v>
      </c>
      <c r="X214" s="575"/>
      <c r="Y214" s="578">
        <f>IF('REF. DE PREÇOS n editavel'!W214=0,0,IF('REF. DE PREÇOS n editavel'!W214&gt;0,"c","b"))</f>
        <v>0</v>
      </c>
    </row>
    <row r="215" spans="1:25" ht="15" customHeight="1">
      <c r="A215" s="634" t="s">
        <v>165</v>
      </c>
      <c r="B215" s="1010" t="str">
        <f>'REF. DE PREÇOS n editavel'!B215</f>
        <v/>
      </c>
      <c r="C215" s="1045" t="str">
        <f>'REF. DE PREÇOS n editavel'!C215</f>
        <v/>
      </c>
      <c r="D215" s="1096">
        <f>'REF. DE PREÇOS n editavel'!D215</f>
        <v>0</v>
      </c>
      <c r="E215" s="882">
        <f>'REF. DE PREÇOS n editavel'!E215</f>
        <v>0</v>
      </c>
      <c r="F215" s="883">
        <f>'REF. DE PREÇOS n editavel'!F215</f>
        <v>0</v>
      </c>
      <c r="G215" s="887">
        <f>'REF. DE PREÇOS n editavel'!G215</f>
        <v>0</v>
      </c>
      <c r="H215" s="876">
        <f>'REF. DE PREÇOS n editavel'!H215</f>
        <v>0</v>
      </c>
      <c r="I215" s="876">
        <f>'REF. DE PREÇOS n editavel'!I215</f>
        <v>0</v>
      </c>
      <c r="J215" s="865">
        <f>'REF. DE PREÇOS n editavel'!J215</f>
        <v>0</v>
      </c>
      <c r="K215" s="878" t="str">
        <f>'REF. DE PREÇOS n editavel'!K215</f>
        <v xml:space="preserve">     </v>
      </c>
      <c r="L215" s="1092"/>
      <c r="M215" s="1106">
        <f t="shared" si="17"/>
        <v>0</v>
      </c>
      <c r="N215" s="907">
        <f t="shared" si="15"/>
        <v>0</v>
      </c>
      <c r="O215" s="880"/>
      <c r="Q215" s="317" t="str">
        <f t="shared" si="16"/>
        <v/>
      </c>
      <c r="R215" s="317" t="str">
        <f t="shared" si="18"/>
        <v/>
      </c>
      <c r="S215" s="317" t="str">
        <f t="shared" si="19"/>
        <v/>
      </c>
      <c r="T215" s="317" t="str">
        <f>'REF. DE PREÇOS n editavel'!S215</f>
        <v/>
      </c>
      <c r="W215" s="577">
        <v>0</v>
      </c>
      <c r="X215" s="575"/>
      <c r="Y215" s="578">
        <f>IF('REF. DE PREÇOS n editavel'!W215=0,0,IF('REF. DE PREÇOS n editavel'!W215&gt;0,"c","b"))</f>
        <v>0</v>
      </c>
    </row>
    <row r="216" spans="1:25" ht="15" customHeight="1">
      <c r="A216" s="634" t="s">
        <v>165</v>
      </c>
      <c r="B216" s="1010" t="str">
        <f>'REF. DE PREÇOS n editavel'!B216</f>
        <v/>
      </c>
      <c r="C216" s="1045" t="str">
        <f>'REF. DE PREÇOS n editavel'!C216</f>
        <v/>
      </c>
      <c r="D216" s="1096">
        <f>'REF. DE PREÇOS n editavel'!D216</f>
        <v>0</v>
      </c>
      <c r="E216" s="882">
        <f>'REF. DE PREÇOS n editavel'!E216</f>
        <v>0</v>
      </c>
      <c r="F216" s="883">
        <f>'REF. DE PREÇOS n editavel'!F216</f>
        <v>0</v>
      </c>
      <c r="G216" s="887">
        <f>'REF. DE PREÇOS n editavel'!G216</f>
        <v>0</v>
      </c>
      <c r="H216" s="876">
        <f>'REF. DE PREÇOS n editavel'!H216</f>
        <v>0</v>
      </c>
      <c r="I216" s="876">
        <f>'REF. DE PREÇOS n editavel'!I216</f>
        <v>0</v>
      </c>
      <c r="J216" s="865">
        <f>'REF. DE PREÇOS n editavel'!J216</f>
        <v>0</v>
      </c>
      <c r="K216" s="878" t="str">
        <f>'REF. DE PREÇOS n editavel'!K216</f>
        <v xml:space="preserve">     </v>
      </c>
      <c r="L216" s="1092"/>
      <c r="M216" s="1106">
        <f t="shared" si="17"/>
        <v>0</v>
      </c>
      <c r="N216" s="907">
        <f t="shared" si="15"/>
        <v>0</v>
      </c>
      <c r="O216" s="880"/>
      <c r="Q216" s="317" t="str">
        <f t="shared" si="16"/>
        <v/>
      </c>
      <c r="R216" s="317" t="str">
        <f t="shared" si="18"/>
        <v/>
      </c>
      <c r="S216" s="317" t="str">
        <f t="shared" si="19"/>
        <v/>
      </c>
      <c r="T216" s="317" t="str">
        <f>'REF. DE PREÇOS n editavel'!S216</f>
        <v/>
      </c>
      <c r="W216" s="577">
        <v>0</v>
      </c>
      <c r="X216" s="575"/>
      <c r="Y216" s="578">
        <f>IF('REF. DE PREÇOS n editavel'!W216=0,0,IF('REF. DE PREÇOS n editavel'!W216&gt;0,"c","b"))</f>
        <v>0</v>
      </c>
    </row>
    <row r="217" spans="1:25" ht="15" customHeight="1">
      <c r="A217" s="634" t="s">
        <v>165</v>
      </c>
      <c r="B217" s="1010" t="str">
        <f>'REF. DE PREÇOS n editavel'!B217</f>
        <v/>
      </c>
      <c r="C217" s="1045" t="str">
        <f>'REF. DE PREÇOS n editavel'!C217</f>
        <v/>
      </c>
      <c r="D217" s="1096">
        <f>'REF. DE PREÇOS n editavel'!D217</f>
        <v>0</v>
      </c>
      <c r="E217" s="882">
        <f>'REF. DE PREÇOS n editavel'!E217</f>
        <v>0</v>
      </c>
      <c r="F217" s="883">
        <f>'REF. DE PREÇOS n editavel'!F217</f>
        <v>0</v>
      </c>
      <c r="G217" s="887">
        <f>'REF. DE PREÇOS n editavel'!G217</f>
        <v>0</v>
      </c>
      <c r="H217" s="876">
        <f>'REF. DE PREÇOS n editavel'!H217</f>
        <v>0</v>
      </c>
      <c r="I217" s="876">
        <f>'REF. DE PREÇOS n editavel'!I217</f>
        <v>0</v>
      </c>
      <c r="J217" s="865">
        <f>'REF. DE PREÇOS n editavel'!J217</f>
        <v>0</v>
      </c>
      <c r="K217" s="878" t="str">
        <f>'REF. DE PREÇOS n editavel'!K217</f>
        <v xml:space="preserve">     </v>
      </c>
      <c r="L217" s="1092"/>
      <c r="M217" s="1106">
        <f t="shared" si="17"/>
        <v>0</v>
      </c>
      <c r="N217" s="907">
        <f t="shared" ref="N217:N280" si="20">IF(ISBLANK(L217),0,IF(W217=0,ROUND(L217*M217,2),IF(W217="b",ROUNDDOWN(L217*M217,2),ROUNDUP(L217*M217,2))))</f>
        <v>0</v>
      </c>
      <c r="O217" s="880"/>
      <c r="Q217" s="317" t="str">
        <f t="shared" si="16"/>
        <v/>
      </c>
      <c r="R217" s="317" t="str">
        <f t="shared" si="18"/>
        <v/>
      </c>
      <c r="S217" s="317" t="str">
        <f t="shared" si="19"/>
        <v/>
      </c>
      <c r="T217" s="317" t="str">
        <f>'REF. DE PREÇOS n editavel'!S217</f>
        <v/>
      </c>
      <c r="W217" s="577">
        <v>0</v>
      </c>
      <c r="X217" s="575"/>
      <c r="Y217" s="578">
        <f>IF('REF. DE PREÇOS n editavel'!W217=0,0,IF('REF. DE PREÇOS n editavel'!W217&gt;0,"c","b"))</f>
        <v>0</v>
      </c>
    </row>
    <row r="218" spans="1:25" ht="15" customHeight="1">
      <c r="A218" s="634" t="s">
        <v>165</v>
      </c>
      <c r="B218" s="1010" t="str">
        <f>'REF. DE PREÇOS n editavel'!B218</f>
        <v/>
      </c>
      <c r="C218" s="1045" t="str">
        <f>'REF. DE PREÇOS n editavel'!C218</f>
        <v/>
      </c>
      <c r="D218" s="1096">
        <f>'REF. DE PREÇOS n editavel'!D218</f>
        <v>0</v>
      </c>
      <c r="E218" s="882">
        <f>'REF. DE PREÇOS n editavel'!E218</f>
        <v>0</v>
      </c>
      <c r="F218" s="883">
        <f>'REF. DE PREÇOS n editavel'!F218</f>
        <v>0</v>
      </c>
      <c r="G218" s="887">
        <f>'REF. DE PREÇOS n editavel'!G218</f>
        <v>0</v>
      </c>
      <c r="H218" s="876">
        <f>'REF. DE PREÇOS n editavel'!H218</f>
        <v>0</v>
      </c>
      <c r="I218" s="876">
        <f>'REF. DE PREÇOS n editavel'!I218</f>
        <v>0</v>
      </c>
      <c r="J218" s="865">
        <f>'REF. DE PREÇOS n editavel'!J218</f>
        <v>0</v>
      </c>
      <c r="K218" s="878" t="str">
        <f>'REF. DE PREÇOS n editavel'!K218</f>
        <v xml:space="preserve">     </v>
      </c>
      <c r="L218" s="1092"/>
      <c r="M218" s="1106">
        <f t="shared" si="17"/>
        <v>0</v>
      </c>
      <c r="N218" s="907">
        <f t="shared" si="20"/>
        <v>0</v>
      </c>
      <c r="O218" s="880"/>
      <c r="Q218" s="317" t="str">
        <f t="shared" si="16"/>
        <v/>
      </c>
      <c r="R218" s="317" t="str">
        <f t="shared" si="18"/>
        <v/>
      </c>
      <c r="S218" s="317" t="str">
        <f t="shared" si="19"/>
        <v/>
      </c>
      <c r="T218" s="317" t="str">
        <f>'REF. DE PREÇOS n editavel'!S218</f>
        <v/>
      </c>
      <c r="W218" s="577">
        <v>0</v>
      </c>
      <c r="X218" s="575"/>
      <c r="Y218" s="578">
        <f>IF('REF. DE PREÇOS n editavel'!W218=0,0,IF('REF. DE PREÇOS n editavel'!W218&gt;0,"c","b"))</f>
        <v>0</v>
      </c>
    </row>
    <row r="219" spans="1:25" ht="15" customHeight="1">
      <c r="A219" s="634" t="s">
        <v>165</v>
      </c>
      <c r="B219" s="1010" t="str">
        <f>'REF. DE PREÇOS n editavel'!B219</f>
        <v/>
      </c>
      <c r="C219" s="1045" t="str">
        <f>'REF. DE PREÇOS n editavel'!C219</f>
        <v/>
      </c>
      <c r="D219" s="1096">
        <f>'REF. DE PREÇOS n editavel'!D219</f>
        <v>0</v>
      </c>
      <c r="E219" s="882">
        <f>'REF. DE PREÇOS n editavel'!E219</f>
        <v>0</v>
      </c>
      <c r="F219" s="883">
        <f>'REF. DE PREÇOS n editavel'!F219</f>
        <v>0</v>
      </c>
      <c r="G219" s="887">
        <f>'REF. DE PREÇOS n editavel'!G219</f>
        <v>0</v>
      </c>
      <c r="H219" s="876">
        <f>'REF. DE PREÇOS n editavel'!H219</f>
        <v>0</v>
      </c>
      <c r="I219" s="876">
        <f>'REF. DE PREÇOS n editavel'!I219</f>
        <v>0</v>
      </c>
      <c r="J219" s="865">
        <f>'REF. DE PREÇOS n editavel'!J219</f>
        <v>0</v>
      </c>
      <c r="K219" s="878" t="str">
        <f>'REF. DE PREÇOS n editavel'!K219</f>
        <v xml:space="preserve">     </v>
      </c>
      <c r="L219" s="1092"/>
      <c r="M219" s="1106">
        <f t="shared" si="17"/>
        <v>0</v>
      </c>
      <c r="N219" s="907">
        <f t="shared" si="20"/>
        <v>0</v>
      </c>
      <c r="O219" s="880"/>
      <c r="Q219" s="317" t="str">
        <f t="shared" si="16"/>
        <v/>
      </c>
      <c r="R219" s="317" t="str">
        <f t="shared" si="18"/>
        <v/>
      </c>
      <c r="S219" s="317" t="str">
        <f t="shared" si="19"/>
        <v/>
      </c>
      <c r="T219" s="317" t="str">
        <f>'REF. DE PREÇOS n editavel'!S219</f>
        <v/>
      </c>
      <c r="W219" s="577">
        <v>0</v>
      </c>
      <c r="X219" s="575"/>
      <c r="Y219" s="578">
        <f>IF('REF. DE PREÇOS n editavel'!W219=0,0,IF('REF. DE PREÇOS n editavel'!W219&gt;0,"c","b"))</f>
        <v>0</v>
      </c>
    </row>
    <row r="220" spans="1:25" ht="15" customHeight="1">
      <c r="A220" s="634" t="s">
        <v>165</v>
      </c>
      <c r="B220" s="1010" t="str">
        <f>'REF. DE PREÇOS n editavel'!B220</f>
        <v/>
      </c>
      <c r="C220" s="1045" t="str">
        <f>'REF. DE PREÇOS n editavel'!C220</f>
        <v/>
      </c>
      <c r="D220" s="1096">
        <f>'REF. DE PREÇOS n editavel'!D220</f>
        <v>0</v>
      </c>
      <c r="E220" s="882">
        <f>'REF. DE PREÇOS n editavel'!E220</f>
        <v>0</v>
      </c>
      <c r="F220" s="883">
        <f>'REF. DE PREÇOS n editavel'!F220</f>
        <v>0</v>
      </c>
      <c r="G220" s="887">
        <f>'REF. DE PREÇOS n editavel'!G220</f>
        <v>0</v>
      </c>
      <c r="H220" s="876">
        <f>'REF. DE PREÇOS n editavel'!H220</f>
        <v>0</v>
      </c>
      <c r="I220" s="876">
        <f>'REF. DE PREÇOS n editavel'!I220</f>
        <v>0</v>
      </c>
      <c r="J220" s="865">
        <f>'REF. DE PREÇOS n editavel'!J220</f>
        <v>0</v>
      </c>
      <c r="K220" s="878" t="str">
        <f>'REF. DE PREÇOS n editavel'!K220</f>
        <v xml:space="preserve">     </v>
      </c>
      <c r="L220" s="1092"/>
      <c r="M220" s="1106">
        <f t="shared" si="17"/>
        <v>0</v>
      </c>
      <c r="N220" s="907">
        <f t="shared" si="20"/>
        <v>0</v>
      </c>
      <c r="O220" s="880"/>
      <c r="Q220" s="317" t="str">
        <f t="shared" si="16"/>
        <v/>
      </c>
      <c r="R220" s="317" t="str">
        <f t="shared" si="18"/>
        <v/>
      </c>
      <c r="S220" s="317" t="str">
        <f t="shared" si="19"/>
        <v/>
      </c>
      <c r="T220" s="317" t="str">
        <f>'REF. DE PREÇOS n editavel'!S220</f>
        <v/>
      </c>
      <c r="W220" s="577">
        <v>0</v>
      </c>
      <c r="X220" s="575"/>
      <c r="Y220" s="578">
        <f>IF('REF. DE PREÇOS n editavel'!W220=0,0,IF('REF. DE PREÇOS n editavel'!W220&gt;0,"c","b"))</f>
        <v>0</v>
      </c>
    </row>
    <row r="221" spans="1:25" ht="15" customHeight="1">
      <c r="A221" s="634" t="s">
        <v>165</v>
      </c>
      <c r="B221" s="1010" t="str">
        <f>'REF. DE PREÇOS n editavel'!B221</f>
        <v/>
      </c>
      <c r="C221" s="1045" t="str">
        <f>'REF. DE PREÇOS n editavel'!C221</f>
        <v/>
      </c>
      <c r="D221" s="1096">
        <f>'REF. DE PREÇOS n editavel'!D221</f>
        <v>0</v>
      </c>
      <c r="E221" s="882">
        <f>'REF. DE PREÇOS n editavel'!E221</f>
        <v>0</v>
      </c>
      <c r="F221" s="883">
        <f>'REF. DE PREÇOS n editavel'!F221</f>
        <v>0</v>
      </c>
      <c r="G221" s="887">
        <f>'REF. DE PREÇOS n editavel'!G221</f>
        <v>0</v>
      </c>
      <c r="H221" s="876">
        <f>'REF. DE PREÇOS n editavel'!H221</f>
        <v>0</v>
      </c>
      <c r="I221" s="876">
        <f>'REF. DE PREÇOS n editavel'!I221</f>
        <v>0</v>
      </c>
      <c r="J221" s="865">
        <f>'REF. DE PREÇOS n editavel'!J221</f>
        <v>0</v>
      </c>
      <c r="K221" s="878" t="str">
        <f>'REF. DE PREÇOS n editavel'!K221</f>
        <v xml:space="preserve">     </v>
      </c>
      <c r="L221" s="1092"/>
      <c r="M221" s="1106">
        <f t="shared" si="17"/>
        <v>0</v>
      </c>
      <c r="N221" s="907">
        <f t="shared" si="20"/>
        <v>0</v>
      </c>
      <c r="O221" s="880"/>
      <c r="Q221" s="317" t="str">
        <f t="shared" si="16"/>
        <v/>
      </c>
      <c r="R221" s="317" t="str">
        <f t="shared" si="18"/>
        <v/>
      </c>
      <c r="S221" s="317" t="str">
        <f t="shared" si="19"/>
        <v/>
      </c>
      <c r="T221" s="317" t="str">
        <f>'REF. DE PREÇOS n editavel'!S221</f>
        <v/>
      </c>
      <c r="W221" s="577">
        <v>0</v>
      </c>
      <c r="X221" s="575"/>
      <c r="Y221" s="578">
        <f>IF('REF. DE PREÇOS n editavel'!W221=0,0,IF('REF. DE PREÇOS n editavel'!W221&gt;0,"c","b"))</f>
        <v>0</v>
      </c>
    </row>
    <row r="222" spans="1:25" ht="15" customHeight="1">
      <c r="A222" s="634" t="s">
        <v>165</v>
      </c>
      <c r="B222" s="1010" t="str">
        <f>'REF. DE PREÇOS n editavel'!B222</f>
        <v/>
      </c>
      <c r="C222" s="1045" t="str">
        <f>'REF. DE PREÇOS n editavel'!C222</f>
        <v/>
      </c>
      <c r="D222" s="1096">
        <f>'REF. DE PREÇOS n editavel'!D222</f>
        <v>0</v>
      </c>
      <c r="E222" s="882">
        <f>'REF. DE PREÇOS n editavel'!E222</f>
        <v>0</v>
      </c>
      <c r="F222" s="883">
        <f>'REF. DE PREÇOS n editavel'!F222</f>
        <v>0</v>
      </c>
      <c r="G222" s="887">
        <f>'REF. DE PREÇOS n editavel'!G222</f>
        <v>0</v>
      </c>
      <c r="H222" s="876">
        <f>'REF. DE PREÇOS n editavel'!H222</f>
        <v>0</v>
      </c>
      <c r="I222" s="876">
        <f>'REF. DE PREÇOS n editavel'!I222</f>
        <v>0</v>
      </c>
      <c r="J222" s="865">
        <f>'REF. DE PREÇOS n editavel'!J222</f>
        <v>0</v>
      </c>
      <c r="K222" s="878" t="str">
        <f>'REF. DE PREÇOS n editavel'!K222</f>
        <v xml:space="preserve">     </v>
      </c>
      <c r="L222" s="1092"/>
      <c r="M222" s="1106">
        <f t="shared" si="17"/>
        <v>0</v>
      </c>
      <c r="N222" s="907">
        <f t="shared" si="20"/>
        <v>0</v>
      </c>
      <c r="O222" s="880"/>
      <c r="Q222" s="317" t="str">
        <f t="shared" si="16"/>
        <v/>
      </c>
      <c r="R222" s="317" t="str">
        <f t="shared" si="18"/>
        <v/>
      </c>
      <c r="S222" s="317" t="str">
        <f t="shared" si="19"/>
        <v/>
      </c>
      <c r="T222" s="317" t="str">
        <f>'REF. DE PREÇOS n editavel'!S222</f>
        <v/>
      </c>
      <c r="W222" s="577">
        <v>0</v>
      </c>
      <c r="X222" s="575"/>
      <c r="Y222" s="578">
        <f>IF('REF. DE PREÇOS n editavel'!W222=0,0,IF('REF. DE PREÇOS n editavel'!W222&gt;0,"c","b"))</f>
        <v>0</v>
      </c>
    </row>
    <row r="223" spans="1:25" ht="15" customHeight="1">
      <c r="A223" s="634" t="s">
        <v>165</v>
      </c>
      <c r="B223" s="1010" t="str">
        <f>'REF. DE PREÇOS n editavel'!B223</f>
        <v/>
      </c>
      <c r="C223" s="1045" t="str">
        <f>'REF. DE PREÇOS n editavel'!C223</f>
        <v/>
      </c>
      <c r="D223" s="1096">
        <f>'REF. DE PREÇOS n editavel'!D223</f>
        <v>0</v>
      </c>
      <c r="E223" s="882">
        <f>'REF. DE PREÇOS n editavel'!E223</f>
        <v>0</v>
      </c>
      <c r="F223" s="883">
        <f>'REF. DE PREÇOS n editavel'!F223</f>
        <v>0</v>
      </c>
      <c r="G223" s="887">
        <f>'REF. DE PREÇOS n editavel'!G223</f>
        <v>0</v>
      </c>
      <c r="H223" s="876">
        <f>'REF. DE PREÇOS n editavel'!H223</f>
        <v>0</v>
      </c>
      <c r="I223" s="876">
        <f>'REF. DE PREÇOS n editavel'!I223</f>
        <v>0</v>
      </c>
      <c r="J223" s="865">
        <f>'REF. DE PREÇOS n editavel'!J223</f>
        <v>0</v>
      </c>
      <c r="K223" s="878" t="str">
        <f>'REF. DE PREÇOS n editavel'!K223</f>
        <v xml:space="preserve">     </v>
      </c>
      <c r="L223" s="1092"/>
      <c r="M223" s="1106">
        <f t="shared" si="17"/>
        <v>0</v>
      </c>
      <c r="N223" s="907">
        <f t="shared" si="20"/>
        <v>0</v>
      </c>
      <c r="O223" s="880"/>
      <c r="Q223" s="317" t="str">
        <f t="shared" si="16"/>
        <v/>
      </c>
      <c r="R223" s="317" t="str">
        <f t="shared" si="18"/>
        <v/>
      </c>
      <c r="S223" s="317" t="str">
        <f t="shared" si="19"/>
        <v/>
      </c>
      <c r="T223" s="317" t="str">
        <f>'REF. DE PREÇOS n editavel'!S223</f>
        <v/>
      </c>
      <c r="W223" s="577">
        <v>0</v>
      </c>
      <c r="X223" s="575"/>
      <c r="Y223" s="578">
        <f>IF('REF. DE PREÇOS n editavel'!W223=0,0,IF('REF. DE PREÇOS n editavel'!W223&gt;0,"c","b"))</f>
        <v>0</v>
      </c>
    </row>
    <row r="224" spans="1:25" ht="15" customHeight="1">
      <c r="A224" s="634" t="s">
        <v>165</v>
      </c>
      <c r="B224" s="1010" t="str">
        <f>'REF. DE PREÇOS n editavel'!B224</f>
        <v/>
      </c>
      <c r="C224" s="1045" t="str">
        <f>'REF. DE PREÇOS n editavel'!C224</f>
        <v/>
      </c>
      <c r="D224" s="1096">
        <f>'REF. DE PREÇOS n editavel'!D224</f>
        <v>0</v>
      </c>
      <c r="E224" s="882">
        <f>'REF. DE PREÇOS n editavel'!E224</f>
        <v>0</v>
      </c>
      <c r="F224" s="883">
        <f>'REF. DE PREÇOS n editavel'!F224</f>
        <v>0</v>
      </c>
      <c r="G224" s="887">
        <f>'REF. DE PREÇOS n editavel'!G224</f>
        <v>0</v>
      </c>
      <c r="H224" s="876">
        <f>'REF. DE PREÇOS n editavel'!H224</f>
        <v>0</v>
      </c>
      <c r="I224" s="876">
        <f>'REF. DE PREÇOS n editavel'!I224</f>
        <v>0</v>
      </c>
      <c r="J224" s="865">
        <f>'REF. DE PREÇOS n editavel'!J224</f>
        <v>0</v>
      </c>
      <c r="K224" s="878" t="str">
        <f>'REF. DE PREÇOS n editavel'!K224</f>
        <v xml:space="preserve">     </v>
      </c>
      <c r="L224" s="1092"/>
      <c r="M224" s="1106">
        <f t="shared" si="17"/>
        <v>0</v>
      </c>
      <c r="N224" s="907">
        <f t="shared" si="20"/>
        <v>0</v>
      </c>
      <c r="O224" s="880"/>
      <c r="Q224" s="317" t="str">
        <f t="shared" si="16"/>
        <v/>
      </c>
      <c r="R224" s="317" t="str">
        <f t="shared" si="18"/>
        <v/>
      </c>
      <c r="S224" s="317" t="str">
        <f t="shared" si="19"/>
        <v/>
      </c>
      <c r="T224" s="317" t="str">
        <f>'REF. DE PREÇOS n editavel'!S224</f>
        <v/>
      </c>
      <c r="W224" s="577">
        <v>0</v>
      </c>
      <c r="X224" s="575"/>
      <c r="Y224" s="578">
        <f>IF('REF. DE PREÇOS n editavel'!W224=0,0,IF('REF. DE PREÇOS n editavel'!W224&gt;0,"c","b"))</f>
        <v>0</v>
      </c>
    </row>
    <row r="225" spans="1:25" ht="15" customHeight="1">
      <c r="A225" s="634" t="s">
        <v>165</v>
      </c>
      <c r="B225" s="1010" t="str">
        <f>'REF. DE PREÇOS n editavel'!B225</f>
        <v/>
      </c>
      <c r="C225" s="1045" t="str">
        <f>'REF. DE PREÇOS n editavel'!C225</f>
        <v/>
      </c>
      <c r="D225" s="1096">
        <f>'REF. DE PREÇOS n editavel'!D225</f>
        <v>0</v>
      </c>
      <c r="E225" s="882">
        <f>'REF. DE PREÇOS n editavel'!E225</f>
        <v>0</v>
      </c>
      <c r="F225" s="883">
        <f>'REF. DE PREÇOS n editavel'!F225</f>
        <v>0</v>
      </c>
      <c r="G225" s="887">
        <f>'REF. DE PREÇOS n editavel'!G225</f>
        <v>0</v>
      </c>
      <c r="H225" s="876">
        <f>'REF. DE PREÇOS n editavel'!H225</f>
        <v>0</v>
      </c>
      <c r="I225" s="876">
        <f>'REF. DE PREÇOS n editavel'!I225</f>
        <v>0</v>
      </c>
      <c r="J225" s="865">
        <f>'REF. DE PREÇOS n editavel'!J225</f>
        <v>0</v>
      </c>
      <c r="K225" s="878" t="str">
        <f>'REF. DE PREÇOS n editavel'!K225</f>
        <v xml:space="preserve">     </v>
      </c>
      <c r="L225" s="1092"/>
      <c r="M225" s="1106">
        <f t="shared" si="17"/>
        <v>0</v>
      </c>
      <c r="N225" s="907">
        <f t="shared" si="20"/>
        <v>0</v>
      </c>
      <c r="O225" s="880"/>
      <c r="Q225" s="317" t="str">
        <f t="shared" si="16"/>
        <v/>
      </c>
      <c r="R225" s="317" t="str">
        <f t="shared" si="18"/>
        <v/>
      </c>
      <c r="S225" s="317" t="str">
        <f t="shared" si="19"/>
        <v/>
      </c>
      <c r="T225" s="317" t="str">
        <f>'REF. DE PREÇOS n editavel'!S225</f>
        <v/>
      </c>
      <c r="W225" s="577">
        <v>0</v>
      </c>
      <c r="X225" s="575"/>
      <c r="Y225" s="578">
        <f>IF('REF. DE PREÇOS n editavel'!W225=0,0,IF('REF. DE PREÇOS n editavel'!W225&gt;0,"c","b"))</f>
        <v>0</v>
      </c>
    </row>
    <row r="226" spans="1:25" ht="15" customHeight="1">
      <c r="A226" s="634" t="s">
        <v>165</v>
      </c>
      <c r="B226" s="1010" t="str">
        <f>'REF. DE PREÇOS n editavel'!B226</f>
        <v/>
      </c>
      <c r="C226" s="1045" t="str">
        <f>'REF. DE PREÇOS n editavel'!C226</f>
        <v/>
      </c>
      <c r="D226" s="1096">
        <f>'REF. DE PREÇOS n editavel'!D226</f>
        <v>0</v>
      </c>
      <c r="E226" s="882">
        <f>'REF. DE PREÇOS n editavel'!E226</f>
        <v>0</v>
      </c>
      <c r="F226" s="883">
        <f>'REF. DE PREÇOS n editavel'!F226</f>
        <v>0</v>
      </c>
      <c r="G226" s="887">
        <f>'REF. DE PREÇOS n editavel'!G226</f>
        <v>0</v>
      </c>
      <c r="H226" s="876">
        <f>'REF. DE PREÇOS n editavel'!H226</f>
        <v>0</v>
      </c>
      <c r="I226" s="876">
        <f>'REF. DE PREÇOS n editavel'!I226</f>
        <v>0</v>
      </c>
      <c r="J226" s="865">
        <f>'REF. DE PREÇOS n editavel'!J226</f>
        <v>0</v>
      </c>
      <c r="K226" s="878" t="str">
        <f>'REF. DE PREÇOS n editavel'!K226</f>
        <v xml:space="preserve">     </v>
      </c>
      <c r="L226" s="1092"/>
      <c r="M226" s="1106">
        <f t="shared" si="17"/>
        <v>0</v>
      </c>
      <c r="N226" s="907">
        <f t="shared" si="20"/>
        <v>0</v>
      </c>
      <c r="O226" s="880"/>
      <c r="Q226" s="317" t="str">
        <f t="shared" si="16"/>
        <v/>
      </c>
      <c r="R226" s="317" t="str">
        <f t="shared" si="18"/>
        <v/>
      </c>
      <c r="S226" s="317" t="str">
        <f t="shared" si="19"/>
        <v/>
      </c>
      <c r="T226" s="317" t="str">
        <f>'REF. DE PREÇOS n editavel'!S226</f>
        <v/>
      </c>
      <c r="W226" s="577">
        <v>0</v>
      </c>
      <c r="X226" s="575"/>
      <c r="Y226" s="578">
        <f>IF('REF. DE PREÇOS n editavel'!W226=0,0,IF('REF. DE PREÇOS n editavel'!W226&gt;0,"c","b"))</f>
        <v>0</v>
      </c>
    </row>
    <row r="227" spans="1:25" ht="15" customHeight="1" thickBot="1">
      <c r="A227" s="634" t="s">
        <v>165</v>
      </c>
      <c r="B227" s="1010" t="str">
        <f>'REF. DE PREÇOS n editavel'!B227</f>
        <v/>
      </c>
      <c r="C227" s="1045" t="str">
        <f>'REF. DE PREÇOS n editavel'!C227</f>
        <v/>
      </c>
      <c r="D227" s="1096">
        <f>'REF. DE PREÇOS n editavel'!D227</f>
        <v>0</v>
      </c>
      <c r="E227" s="882">
        <f>'REF. DE PREÇOS n editavel'!E227</f>
        <v>0</v>
      </c>
      <c r="F227" s="883">
        <f>'REF. DE PREÇOS n editavel'!F227</f>
        <v>0</v>
      </c>
      <c r="G227" s="887">
        <f>'REF. DE PREÇOS n editavel'!G227</f>
        <v>0</v>
      </c>
      <c r="H227" s="876">
        <f>'REF. DE PREÇOS n editavel'!H227</f>
        <v>0</v>
      </c>
      <c r="I227" s="876">
        <f>'REF. DE PREÇOS n editavel'!I227</f>
        <v>0</v>
      </c>
      <c r="J227" s="865">
        <f>'REF. DE PREÇOS n editavel'!J227</f>
        <v>0</v>
      </c>
      <c r="K227" s="878" t="str">
        <f>'REF. DE PREÇOS n editavel'!K227</f>
        <v xml:space="preserve">     </v>
      </c>
      <c r="L227" s="1092"/>
      <c r="M227" s="1106">
        <f t="shared" si="17"/>
        <v>0</v>
      </c>
      <c r="N227" s="907">
        <f t="shared" si="20"/>
        <v>0</v>
      </c>
      <c r="O227" s="880"/>
      <c r="Q227" s="317" t="str">
        <f t="shared" si="16"/>
        <v/>
      </c>
      <c r="R227" s="317" t="str">
        <f t="shared" si="18"/>
        <v/>
      </c>
      <c r="S227" s="317" t="str">
        <f t="shared" si="19"/>
        <v/>
      </c>
      <c r="T227" s="317" t="str">
        <f>'REF. DE PREÇOS n editavel'!S227</f>
        <v/>
      </c>
      <c r="W227" s="577">
        <v>0</v>
      </c>
      <c r="X227" s="575"/>
      <c r="Y227" s="578">
        <f>IF('REF. DE PREÇOS n editavel'!W227=0,0,IF('REF. DE PREÇOS n editavel'!W227&gt;0,"c","b"))</f>
        <v>0</v>
      </c>
    </row>
    <row r="228" spans="1:25" ht="15" customHeight="1" thickBot="1">
      <c r="A228" s="317" t="s">
        <v>203</v>
      </c>
      <c r="B228" s="924" t="s">
        <v>203</v>
      </c>
      <c r="C228" s="925"/>
      <c r="D228" s="926" t="s">
        <v>429</v>
      </c>
      <c r="E228" s="917">
        <f>'REF. DE PREÇOS n editavel'!E228</f>
        <v>0</v>
      </c>
      <c r="F228" s="851"/>
      <c r="G228" s="918"/>
      <c r="H228" s="919">
        <f>'REF. DE PREÇOS n editavel'!H228</f>
        <v>0</v>
      </c>
      <c r="I228" s="919">
        <f>'REF. DE PREÇOS n editavel'!I228</f>
        <v>0</v>
      </c>
      <c r="J228" s="919">
        <f>'REF. DE PREÇOS n editavel'!J228</f>
        <v>0</v>
      </c>
      <c r="K228" s="937" t="s">
        <v>506</v>
      </c>
      <c r="L228" s="854"/>
      <c r="M228" s="855"/>
      <c r="N228" s="856">
        <f t="shared" si="20"/>
        <v>0</v>
      </c>
      <c r="O228" s="857">
        <f>SUM(N229:N588)</f>
        <v>12666584.600000001</v>
      </c>
      <c r="P228" s="58" t="str">
        <f>IF(OR(O228&gt;0,O228&gt;0),"X","")</f>
        <v>X</v>
      </c>
      <c r="Q228" s="317" t="str">
        <f t="shared" si="16"/>
        <v>x</v>
      </c>
      <c r="R228" s="317" t="str">
        <f t="shared" si="18"/>
        <v>x</v>
      </c>
      <c r="S228" s="317" t="str">
        <f t="shared" si="19"/>
        <v>x</v>
      </c>
      <c r="T228" s="317" t="str">
        <f>'REF. DE PREÇOS n editavel'!S228</f>
        <v>x</v>
      </c>
      <c r="W228" s="577">
        <v>0</v>
      </c>
      <c r="X228" s="575"/>
      <c r="Y228" s="578">
        <f>IF('REF. DE PREÇOS n editavel'!W228=0,0,IF('REF. DE PREÇOS n editavel'!W228&gt;0,"c","b"))</f>
        <v>0</v>
      </c>
    </row>
    <row r="229" spans="1:25" ht="13.5" thickBot="1">
      <c r="A229" s="317" t="s">
        <v>816</v>
      </c>
      <c r="B229" s="870" t="str">
        <f>'REF. DE PREÇOS n editavel'!B229</f>
        <v>PAV-089</v>
      </c>
      <c r="C229" s="871" t="str">
        <f>'REF. DE PREÇOS n editavel'!C229</f>
        <v>PM Curitiba-abr/22</v>
      </c>
      <c r="D229" s="881" t="str">
        <f>'REF. DE PREÇOS n editavel'!D229</f>
        <v>Limpeza e Lavagem da pista ( Recape )</v>
      </c>
      <c r="E229" s="940">
        <f>'REF. DE PREÇOS n editavel'!E229</f>
        <v>0</v>
      </c>
      <c r="F229" s="941">
        <f>'REF. DE PREÇOS n editavel'!F229</f>
        <v>0</v>
      </c>
      <c r="G229" s="942">
        <f>'REF. DE PREÇOS n editavel'!G229</f>
        <v>0</v>
      </c>
      <c r="H229" s="914">
        <f>'REF. DE PREÇOS n editavel'!H229</f>
        <v>0.65</v>
      </c>
      <c r="I229" s="914">
        <f>'REF. DE PREÇOS n editavel'!I229</f>
        <v>0.65</v>
      </c>
      <c r="J229" s="943">
        <f>'REF. DE PREÇOS n editavel'!J229</f>
        <v>0.79</v>
      </c>
      <c r="K229" s="944" t="s">
        <v>12</v>
      </c>
      <c r="L229" s="1092">
        <v>85100</v>
      </c>
      <c r="M229" s="1093">
        <f t="shared" ref="M229:M271" si="21">IF(L229=0,0,ROUND(J229,2))</f>
        <v>0.79</v>
      </c>
      <c r="N229" s="868">
        <f t="shared" si="20"/>
        <v>67229</v>
      </c>
      <c r="O229" s="880"/>
      <c r="Q229" s="317" t="str">
        <f t="shared" si="16"/>
        <v>x</v>
      </c>
      <c r="R229" s="317" t="str">
        <f t="shared" si="18"/>
        <v>x</v>
      </c>
      <c r="S229" s="317" t="str">
        <f t="shared" si="19"/>
        <v>x</v>
      </c>
      <c r="T229" s="317" t="str">
        <f>'REF. DE PREÇOS n editavel'!S229</f>
        <v>x</v>
      </c>
      <c r="W229" s="577">
        <v>0</v>
      </c>
      <c r="X229" s="575"/>
      <c r="Y229" s="578">
        <f>IF('REF. DE PREÇOS n editavel'!W229=0,0,IF('REF. DE PREÇOS n editavel'!W229&gt;0,"c","b"))</f>
        <v>0</v>
      </c>
    </row>
    <row r="230" spans="1:25">
      <c r="A230" s="317">
        <v>560100</v>
      </c>
      <c r="B230" s="945" t="s">
        <v>508</v>
      </c>
      <c r="C230" s="946" t="s">
        <v>184</v>
      </c>
      <c r="D230" s="947" t="s">
        <v>1505</v>
      </c>
      <c r="E230" s="948" t="str">
        <f>'REF. DE PREÇOS n editavel'!E230</f>
        <v>taxa RR-1C</v>
      </c>
      <c r="F230" s="949">
        <f>'REF. DE PREÇOS n editavel'!F230</f>
        <v>1.1999999999999999E-3</v>
      </c>
      <c r="G230" s="950">
        <f>'REF. DE PREÇOS n editavel'!G230</f>
        <v>0</v>
      </c>
      <c r="H230" s="951">
        <f>'REF. DE PREÇOS n editavel'!H230</f>
        <v>0.49</v>
      </c>
      <c r="I230" s="951">
        <f>'REF. DE PREÇOS n editavel'!I230</f>
        <v>0.49</v>
      </c>
      <c r="J230" s="952">
        <f>'REF. DE PREÇOS n editavel'!J230</f>
        <v>0.6</v>
      </c>
      <c r="K230" s="953" t="s">
        <v>12</v>
      </c>
      <c r="L230" s="1107"/>
      <c r="M230" s="1108">
        <f t="shared" si="21"/>
        <v>0</v>
      </c>
      <c r="N230" s="956">
        <f t="shared" si="20"/>
        <v>0</v>
      </c>
      <c r="O230" s="880"/>
      <c r="Q230" s="317" t="str">
        <f t="shared" si="16"/>
        <v/>
      </c>
      <c r="R230" s="317" t="str">
        <f t="shared" si="18"/>
        <v/>
      </c>
      <c r="S230" s="317" t="str">
        <f t="shared" si="19"/>
        <v/>
      </c>
      <c r="T230" s="317" t="str">
        <f>'REF. DE PREÇOS n editavel'!S230</f>
        <v/>
      </c>
      <c r="W230" s="577">
        <v>0</v>
      </c>
      <c r="X230" s="575"/>
      <c r="Y230" s="578">
        <f>IF('REF. DE PREÇOS n editavel'!W230=0,0,IF('REF. DE PREÇOS n editavel'!W230&gt;0,"c","b"))</f>
        <v>0</v>
      </c>
    </row>
    <row r="231" spans="1:25" ht="13.5" thickBot="1">
      <c r="A231" s="317">
        <v>589420</v>
      </c>
      <c r="B231" s="957" t="s">
        <v>690</v>
      </c>
      <c r="C231" s="958" t="s">
        <v>213</v>
      </c>
      <c r="D231" s="959" t="s">
        <v>547</v>
      </c>
      <c r="E231" s="960">
        <f>'REF. DE PREÇOS n editavel'!E231</f>
        <v>468</v>
      </c>
      <c r="F231" s="961">
        <f>'REF. DE PREÇOS n editavel'!F231</f>
        <v>1</v>
      </c>
      <c r="G231" s="923">
        <f>'REF. DE PREÇOS n editavel'!G231</f>
        <v>434.57</v>
      </c>
      <c r="H231" s="962">
        <f>'REF. DE PREÇOS n editavel'!H231</f>
        <v>3861.37</v>
      </c>
      <c r="I231" s="962">
        <f>'REF. DE PREÇOS n editavel'!I231</f>
        <v>4174.6205694648997</v>
      </c>
      <c r="J231" s="963">
        <f>'REF. DE PREÇOS n editavel'!J231</f>
        <v>5102.22</v>
      </c>
      <c r="K231" s="964" t="s">
        <v>14</v>
      </c>
      <c r="L231" s="1109">
        <f>ROUND(L230*$F230,2)</f>
        <v>0</v>
      </c>
      <c r="M231" s="1110">
        <f t="shared" si="21"/>
        <v>0</v>
      </c>
      <c r="N231" s="967">
        <f t="shared" si="20"/>
        <v>0</v>
      </c>
      <c r="O231" s="880"/>
      <c r="Q231" s="317" t="str">
        <f t="shared" si="16"/>
        <v/>
      </c>
      <c r="R231" s="317" t="str">
        <f t="shared" si="18"/>
        <v/>
      </c>
      <c r="S231" s="317" t="str">
        <f t="shared" si="19"/>
        <v/>
      </c>
      <c r="T231" s="317" t="str">
        <f>'REF. DE PREÇOS n editavel'!S231</f>
        <v/>
      </c>
      <c r="W231" s="577">
        <v>0</v>
      </c>
      <c r="X231" s="575"/>
      <c r="Y231" s="578">
        <f>IF('REF. DE PREÇOS n editavel'!W231=0,0,IF('REF. DE PREÇOS n editavel'!W231&gt;0,"c","b"))</f>
        <v>0</v>
      </c>
    </row>
    <row r="232" spans="1:25">
      <c r="A232" s="317">
        <v>560100</v>
      </c>
      <c r="B232" s="945" t="s">
        <v>509</v>
      </c>
      <c r="C232" s="946" t="s">
        <v>184</v>
      </c>
      <c r="D232" s="947" t="s">
        <v>534</v>
      </c>
      <c r="E232" s="948" t="str">
        <f>'REF. DE PREÇOS n editavel'!E232</f>
        <v>taxa RR-1C</v>
      </c>
      <c r="F232" s="949">
        <f>'REF. DE PREÇOS n editavel'!F232</f>
        <v>1.1000000000000001E-3</v>
      </c>
      <c r="G232" s="950">
        <f>'REF. DE PREÇOS n editavel'!G232</f>
        <v>0</v>
      </c>
      <c r="H232" s="951">
        <f>'REF. DE PREÇOS n editavel'!H232</f>
        <v>0.49</v>
      </c>
      <c r="I232" s="951">
        <f>'REF. DE PREÇOS n editavel'!I232</f>
        <v>0.49</v>
      </c>
      <c r="J232" s="952">
        <f>'REF. DE PREÇOS n editavel'!J232</f>
        <v>0.6</v>
      </c>
      <c r="K232" s="953" t="s">
        <v>12</v>
      </c>
      <c r="L232" s="1107">
        <v>15339.5</v>
      </c>
      <c r="M232" s="1108">
        <f t="shared" si="21"/>
        <v>0.6</v>
      </c>
      <c r="N232" s="956">
        <f t="shared" si="20"/>
        <v>9203.7000000000007</v>
      </c>
      <c r="O232" s="880"/>
      <c r="Q232" s="317" t="str">
        <f t="shared" si="16"/>
        <v>x</v>
      </c>
      <c r="R232" s="317" t="str">
        <f t="shared" si="18"/>
        <v>x</v>
      </c>
      <c r="S232" s="317" t="str">
        <f t="shared" si="19"/>
        <v>x</v>
      </c>
      <c r="T232" s="317" t="str">
        <f>'REF. DE PREÇOS n editavel'!S232</f>
        <v>x</v>
      </c>
      <c r="W232" s="577">
        <v>0</v>
      </c>
      <c r="X232" s="575"/>
      <c r="Y232" s="578">
        <f>IF('REF. DE PREÇOS n editavel'!W232=0,0,IF('REF. DE PREÇOS n editavel'!W232&gt;0,"c","b"))</f>
        <v>0</v>
      </c>
    </row>
    <row r="233" spans="1:25" ht="13.5" thickBot="1">
      <c r="A233" s="317">
        <v>589190</v>
      </c>
      <c r="B233" s="957" t="s">
        <v>1681</v>
      </c>
      <c r="C233" s="958" t="s">
        <v>213</v>
      </c>
      <c r="D233" s="959" t="s">
        <v>548</v>
      </c>
      <c r="E233" s="960">
        <f>'REF. DE PREÇOS n editavel'!E233</f>
        <v>468</v>
      </c>
      <c r="F233" s="961">
        <f>'REF. DE PREÇOS n editavel'!F233</f>
        <v>1</v>
      </c>
      <c r="G233" s="923">
        <f>'REF. DE PREÇOS n editavel'!G233</f>
        <v>434.57</v>
      </c>
      <c r="H233" s="962">
        <f>'REF. DE PREÇOS n editavel'!H233</f>
        <v>4730.97</v>
      </c>
      <c r="I233" s="962">
        <f>'REF. DE PREÇOS n editavel'!I233</f>
        <v>5016.8988217967599</v>
      </c>
      <c r="J233" s="963">
        <f>'REF. DE PREÇOS n editavel'!J233</f>
        <v>6131.65</v>
      </c>
      <c r="K233" s="964" t="s">
        <v>14</v>
      </c>
      <c r="L233" s="1109">
        <f>ROUND(L232*$F232,2)</f>
        <v>16.87</v>
      </c>
      <c r="M233" s="1110">
        <f t="shared" si="21"/>
        <v>6131.65</v>
      </c>
      <c r="N233" s="967">
        <f t="shared" si="20"/>
        <v>103440.94</v>
      </c>
      <c r="O233" s="880"/>
      <c r="Q233" s="317" t="str">
        <f t="shared" si="16"/>
        <v>x</v>
      </c>
      <c r="R233" s="317" t="str">
        <f t="shared" si="18"/>
        <v>x</v>
      </c>
      <c r="S233" s="317" t="str">
        <f t="shared" si="19"/>
        <v>x</v>
      </c>
      <c r="T233" s="317" t="str">
        <f>'REF. DE PREÇOS n editavel'!S233</f>
        <v>x</v>
      </c>
      <c r="W233" s="577">
        <v>0</v>
      </c>
      <c r="X233" s="575"/>
      <c r="Y233" s="578">
        <f>IF('REF. DE PREÇOS n editavel'!W233=0,0,IF('REF. DE PREÇOS n editavel'!W233&gt;0,"c","b"))</f>
        <v>0</v>
      </c>
    </row>
    <row r="234" spans="1:25">
      <c r="A234" s="317">
        <v>560400</v>
      </c>
      <c r="B234" s="945" t="s">
        <v>687</v>
      </c>
      <c r="C234" s="946" t="s">
        <v>184</v>
      </c>
      <c r="D234" s="947" t="s">
        <v>535</v>
      </c>
      <c r="E234" s="948" t="str">
        <f>'REF. DE PREÇOS n editavel'!E234</f>
        <v>taxa RR-1C</v>
      </c>
      <c r="F234" s="949">
        <f>'REF. DE PREÇOS n editavel'!F234</f>
        <v>1.1999999999999999E-3</v>
      </c>
      <c r="G234" s="950">
        <f>'REF. DE PREÇOS n editavel'!G234</f>
        <v>0</v>
      </c>
      <c r="H234" s="951">
        <f>'REF. DE PREÇOS n editavel'!H234</f>
        <v>0.49</v>
      </c>
      <c r="I234" s="951">
        <f>'REF. DE PREÇOS n editavel'!I234</f>
        <v>0.49</v>
      </c>
      <c r="J234" s="952">
        <f>'REF. DE PREÇOS n editavel'!J234</f>
        <v>0.6</v>
      </c>
      <c r="K234" s="953" t="s">
        <v>12</v>
      </c>
      <c r="L234" s="1107"/>
      <c r="M234" s="1108">
        <f t="shared" si="21"/>
        <v>0</v>
      </c>
      <c r="N234" s="956">
        <f t="shared" si="20"/>
        <v>0</v>
      </c>
      <c r="O234" s="880"/>
      <c r="Q234" s="317" t="str">
        <f t="shared" si="16"/>
        <v/>
      </c>
      <c r="R234" s="317" t="str">
        <f t="shared" si="18"/>
        <v/>
      </c>
      <c r="S234" s="317" t="str">
        <f t="shared" si="19"/>
        <v/>
      </c>
      <c r="T234" s="317" t="str">
        <f>'REF. DE PREÇOS n editavel'!S234</f>
        <v/>
      </c>
      <c r="W234" s="577">
        <v>0</v>
      </c>
      <c r="X234" s="575"/>
      <c r="Y234" s="578">
        <f>IF('REF. DE PREÇOS n editavel'!W234=0,0,IF('REF. DE PREÇOS n editavel'!W234&gt;0,"c","b"))</f>
        <v>0</v>
      </c>
    </row>
    <row r="235" spans="1:25" ht="13.5" thickBot="1">
      <c r="A235" s="317">
        <v>589100</v>
      </c>
      <c r="B235" s="957" t="s">
        <v>709</v>
      </c>
      <c r="C235" s="958" t="s">
        <v>213</v>
      </c>
      <c r="D235" s="959" t="s">
        <v>549</v>
      </c>
      <c r="E235" s="960">
        <f>'REF. DE PREÇOS n editavel'!E235</f>
        <v>468</v>
      </c>
      <c r="F235" s="961">
        <f>'REF. DE PREÇOS n editavel'!F235</f>
        <v>1</v>
      </c>
      <c r="G235" s="923">
        <f>'REF. DE PREÇOS n editavel'!G235</f>
        <v>434.57</v>
      </c>
      <c r="H235" s="962">
        <f>'REF. DE PREÇOS n editavel'!H235</f>
        <v>5937.37</v>
      </c>
      <c r="I235" s="962">
        <f>'REF. DE PREÇOS n editavel'!I235</f>
        <v>6185.3952380952378</v>
      </c>
      <c r="J235" s="963">
        <f>'REF. DE PREÇOS n editavel'!J235</f>
        <v>7559.79</v>
      </c>
      <c r="K235" s="964" t="s">
        <v>14</v>
      </c>
      <c r="L235" s="1109">
        <f>ROUND(L234*$F234,2)</f>
        <v>0</v>
      </c>
      <c r="M235" s="1110">
        <f t="shared" si="21"/>
        <v>0</v>
      </c>
      <c r="N235" s="967">
        <f t="shared" si="20"/>
        <v>0</v>
      </c>
      <c r="O235" s="880"/>
      <c r="Q235" s="317" t="str">
        <f t="shared" si="16"/>
        <v/>
      </c>
      <c r="R235" s="317" t="str">
        <f t="shared" si="18"/>
        <v/>
      </c>
      <c r="S235" s="317" t="str">
        <f t="shared" si="19"/>
        <v/>
      </c>
      <c r="T235" s="317" t="str">
        <f>'REF. DE PREÇOS n editavel'!S235</f>
        <v/>
      </c>
      <c r="W235" s="577">
        <v>0</v>
      </c>
      <c r="X235" s="575"/>
      <c r="Y235" s="578">
        <f>IF('REF. DE PREÇOS n editavel'!W235=0,0,IF('REF. DE PREÇOS n editavel'!W235&gt;0,"c","b"))</f>
        <v>0</v>
      </c>
    </row>
    <row r="236" spans="1:25">
      <c r="A236" s="317">
        <v>561100</v>
      </c>
      <c r="B236" s="945" t="s">
        <v>688</v>
      </c>
      <c r="C236" s="946" t="s">
        <v>184</v>
      </c>
      <c r="D236" s="947" t="s">
        <v>536</v>
      </c>
      <c r="E236" s="948" t="str">
        <f>'REF. DE PREÇOS n editavel'!E236</f>
        <v>taxa RR-1C</v>
      </c>
      <c r="F236" s="949">
        <f>'REF. DE PREÇOS n editavel'!F236</f>
        <v>5.0000000000000001E-4</v>
      </c>
      <c r="G236" s="950">
        <f>'REF. DE PREÇOS n editavel'!G236</f>
        <v>0</v>
      </c>
      <c r="H236" s="951">
        <f>'REF. DE PREÇOS n editavel'!H236</f>
        <v>0.34</v>
      </c>
      <c r="I236" s="951">
        <f>'REF. DE PREÇOS n editavel'!I236</f>
        <v>0.34</v>
      </c>
      <c r="J236" s="952">
        <f>'REF. DE PREÇOS n editavel'!J236</f>
        <v>0.42</v>
      </c>
      <c r="K236" s="953" t="s">
        <v>12</v>
      </c>
      <c r="L236" s="1107">
        <v>143800</v>
      </c>
      <c r="M236" s="1108">
        <f t="shared" si="21"/>
        <v>0.42</v>
      </c>
      <c r="N236" s="956">
        <f t="shared" si="20"/>
        <v>60396</v>
      </c>
      <c r="O236" s="880"/>
      <c r="Q236" s="317" t="str">
        <f t="shared" si="16"/>
        <v>x</v>
      </c>
      <c r="R236" s="317" t="str">
        <f t="shared" si="18"/>
        <v>x</v>
      </c>
      <c r="S236" s="317" t="str">
        <f t="shared" si="19"/>
        <v>x</v>
      </c>
      <c r="T236" s="317" t="str">
        <f>'REF. DE PREÇOS n editavel'!S236</f>
        <v>x</v>
      </c>
      <c r="W236" s="577">
        <v>0</v>
      </c>
      <c r="X236" s="575"/>
      <c r="Y236" s="578">
        <f>IF('REF. DE PREÇOS n editavel'!W236=0,0,IF('REF. DE PREÇOS n editavel'!W236&gt;0,"c","b"))</f>
        <v>0</v>
      </c>
    </row>
    <row r="237" spans="1:25" ht="13.5" thickBot="1">
      <c r="A237" s="317">
        <v>589420</v>
      </c>
      <c r="B237" s="957" t="s">
        <v>691</v>
      </c>
      <c r="C237" s="958" t="s">
        <v>213</v>
      </c>
      <c r="D237" s="959" t="s">
        <v>550</v>
      </c>
      <c r="E237" s="960">
        <f>'REF. DE PREÇOS n editavel'!E237</f>
        <v>468</v>
      </c>
      <c r="F237" s="968">
        <f>'REF. DE PREÇOS n editavel'!F237</f>
        <v>1</v>
      </c>
      <c r="G237" s="923">
        <f>'REF. DE PREÇOS n editavel'!G237</f>
        <v>434.57</v>
      </c>
      <c r="H237" s="962">
        <f>'REF. DE PREÇOS n editavel'!H237</f>
        <v>3861.37</v>
      </c>
      <c r="I237" s="962">
        <f>'REF. DE PREÇOS n editavel'!I237</f>
        <v>4174.6205694648997</v>
      </c>
      <c r="J237" s="963">
        <f>'REF. DE PREÇOS n editavel'!J237</f>
        <v>5102.22</v>
      </c>
      <c r="K237" s="964" t="s">
        <v>14</v>
      </c>
      <c r="L237" s="1109">
        <f>ROUND(L236*$F236,2)</f>
        <v>71.900000000000006</v>
      </c>
      <c r="M237" s="1110">
        <f t="shared" si="21"/>
        <v>5102.22</v>
      </c>
      <c r="N237" s="967">
        <f t="shared" si="20"/>
        <v>366849.62</v>
      </c>
      <c r="O237" s="880"/>
      <c r="Q237" s="317" t="str">
        <f t="shared" si="16"/>
        <v>x</v>
      </c>
      <c r="R237" s="317" t="str">
        <f t="shared" si="18"/>
        <v>x</v>
      </c>
      <c r="S237" s="317" t="str">
        <f t="shared" si="19"/>
        <v>x</v>
      </c>
      <c r="T237" s="317" t="str">
        <f>'REF. DE PREÇOS n editavel'!S237</f>
        <v>x</v>
      </c>
      <c r="W237" s="577">
        <v>0</v>
      </c>
      <c r="X237" s="575"/>
      <c r="Y237" s="578">
        <f>IF('REF. DE PREÇOS n editavel'!W237=0,0,IF('REF. DE PREÇOS n editavel'!W237&gt;0,"c","b"))</f>
        <v>0</v>
      </c>
    </row>
    <row r="238" spans="1:25">
      <c r="A238" s="317">
        <v>521450</v>
      </c>
      <c r="B238" s="929" t="s">
        <v>1594</v>
      </c>
      <c r="C238" s="930" t="s">
        <v>184</v>
      </c>
      <c r="D238" s="881" t="s">
        <v>219</v>
      </c>
      <c r="E238" s="882">
        <f>'REF. DE PREÇOS n editavel'!E238</f>
        <v>43.1</v>
      </c>
      <c r="F238" s="862">
        <f>'REF. DE PREÇOS n editavel'!F238</f>
        <v>0.3</v>
      </c>
      <c r="G238" s="950">
        <f>'REF. DE PREÇOS n editavel'!G238</f>
        <v>14.639100000000001</v>
      </c>
      <c r="H238" s="876">
        <f>'REF. DE PREÇOS n editavel'!H238</f>
        <v>25.31</v>
      </c>
      <c r="I238" s="876">
        <f>'REF. DE PREÇOS n editavel'!I238</f>
        <v>39.949100000000001</v>
      </c>
      <c r="J238" s="877">
        <f>'REF. DE PREÇOS n editavel'!J238</f>
        <v>48.83</v>
      </c>
      <c r="K238" s="878" t="s">
        <v>12</v>
      </c>
      <c r="L238" s="1092"/>
      <c r="M238" s="1093">
        <f t="shared" si="21"/>
        <v>0</v>
      </c>
      <c r="N238" s="868">
        <f t="shared" si="20"/>
        <v>0</v>
      </c>
      <c r="O238" s="880"/>
      <c r="Q238" s="317" t="str">
        <f t="shared" si="16"/>
        <v/>
      </c>
      <c r="R238" s="317" t="str">
        <f t="shared" si="18"/>
        <v/>
      </c>
      <c r="S238" s="317" t="str">
        <f t="shared" si="19"/>
        <v/>
      </c>
      <c r="T238" s="317" t="str">
        <f>'REF. DE PREÇOS n editavel'!S238</f>
        <v/>
      </c>
      <c r="W238" s="577">
        <v>0</v>
      </c>
      <c r="X238" s="575"/>
      <c r="Y238" s="578">
        <f>IF('REF. DE PREÇOS n editavel'!W238=0,0,IF('REF. DE PREÇOS n editavel'!W238&gt;0,"c","b"))</f>
        <v>0</v>
      </c>
    </row>
    <row r="239" spans="1:25">
      <c r="A239" s="317">
        <v>535200</v>
      </c>
      <c r="B239" s="870" t="s">
        <v>1591</v>
      </c>
      <c r="C239" s="871" t="s">
        <v>184</v>
      </c>
      <c r="D239" s="881" t="s">
        <v>220</v>
      </c>
      <c r="E239" s="882">
        <f>'REF. DE PREÇOS n editavel'!E239</f>
        <v>43.1</v>
      </c>
      <c r="F239" s="874">
        <f>'REF. DE PREÇOS n editavel'!F239</f>
        <v>7.6999999999999999E-2</v>
      </c>
      <c r="G239" s="923">
        <f>'REF. DE PREÇOS n editavel'!G239</f>
        <v>3.7573690000000002</v>
      </c>
      <c r="H239" s="876">
        <f>'REF. DE PREÇOS n editavel'!H239</f>
        <v>11.65</v>
      </c>
      <c r="I239" s="876">
        <f>'REF. DE PREÇOS n editavel'!I239</f>
        <v>15.407369000000001</v>
      </c>
      <c r="J239" s="877">
        <f>'REF. DE PREÇOS n editavel'!J239</f>
        <v>18.829999999999998</v>
      </c>
      <c r="K239" s="878" t="s">
        <v>13</v>
      </c>
      <c r="L239" s="1092"/>
      <c r="M239" s="1093">
        <f t="shared" si="21"/>
        <v>0</v>
      </c>
      <c r="N239" s="868">
        <f t="shared" si="20"/>
        <v>0</v>
      </c>
      <c r="O239" s="880"/>
      <c r="Q239" s="317" t="str">
        <f t="shared" si="16"/>
        <v/>
      </c>
      <c r="R239" s="317" t="str">
        <f t="shared" si="18"/>
        <v/>
      </c>
      <c r="S239" s="317" t="str">
        <f t="shared" si="19"/>
        <v/>
      </c>
      <c r="T239" s="317" t="str">
        <f>'REF. DE PREÇOS n editavel'!S239</f>
        <v/>
      </c>
      <c r="W239" s="577">
        <v>0</v>
      </c>
      <c r="X239" s="575"/>
      <c r="Y239" s="578">
        <f>IF('REF. DE PREÇOS n editavel'!W239=0,0,IF('REF. DE PREÇOS n editavel'!W239&gt;0,"c","b"))</f>
        <v>0</v>
      </c>
    </row>
    <row r="240" spans="1:25">
      <c r="A240" s="317">
        <v>521450</v>
      </c>
      <c r="B240" s="870" t="s">
        <v>1595</v>
      </c>
      <c r="C240" s="871" t="s">
        <v>184</v>
      </c>
      <c r="D240" s="881" t="s">
        <v>454</v>
      </c>
      <c r="E240" s="882">
        <f>'REF. DE PREÇOS n editavel'!E240</f>
        <v>0</v>
      </c>
      <c r="F240" s="874">
        <f>'REF. DE PREÇOS n editavel'!F240</f>
        <v>0</v>
      </c>
      <c r="G240" s="887">
        <f>'REF. DE PREÇOS n editavel'!G240</f>
        <v>0</v>
      </c>
      <c r="H240" s="876">
        <f>'REF. DE PREÇOS n editavel'!H240</f>
        <v>18.079999999999998</v>
      </c>
      <c r="I240" s="876">
        <f>'REF. DE PREÇOS n editavel'!I240</f>
        <v>18.079999999999998</v>
      </c>
      <c r="J240" s="877">
        <f>'REF. DE PREÇOS n editavel'!J240</f>
        <v>22.1</v>
      </c>
      <c r="K240" s="878" t="s">
        <v>12</v>
      </c>
      <c r="L240" s="1092"/>
      <c r="M240" s="1093">
        <f t="shared" si="21"/>
        <v>0</v>
      </c>
      <c r="N240" s="868">
        <f t="shared" si="20"/>
        <v>0</v>
      </c>
      <c r="O240" s="880"/>
      <c r="Q240" s="317" t="str">
        <f t="shared" si="16"/>
        <v/>
      </c>
      <c r="R240" s="317" t="str">
        <f t="shared" si="18"/>
        <v/>
      </c>
      <c r="S240" s="317" t="str">
        <f t="shared" si="19"/>
        <v/>
      </c>
      <c r="T240" s="317" t="str">
        <f>'REF. DE PREÇOS n editavel'!S240</f>
        <v/>
      </c>
      <c r="W240" s="577">
        <v>0</v>
      </c>
      <c r="X240" s="575"/>
      <c r="Y240" s="578">
        <f>IF('REF. DE PREÇOS n editavel'!W240=0,0,IF('REF. DE PREÇOS n editavel'!W240&gt;0,"c","b"))</f>
        <v>0</v>
      </c>
    </row>
    <row r="241" spans="1:25">
      <c r="A241" s="317">
        <v>521450</v>
      </c>
      <c r="B241" s="870" t="s">
        <v>1596</v>
      </c>
      <c r="C241" s="871" t="s">
        <v>184</v>
      </c>
      <c r="D241" s="881" t="s">
        <v>221</v>
      </c>
      <c r="E241" s="882">
        <f>'REF. DE PREÇOS n editavel'!E241</f>
        <v>0</v>
      </c>
      <c r="F241" s="874">
        <f>'REF. DE PREÇOS n editavel'!F241</f>
        <v>0</v>
      </c>
      <c r="G241" s="887">
        <f>'REF. DE PREÇOS n editavel'!G241</f>
        <v>0</v>
      </c>
      <c r="H241" s="876">
        <f>'REF. DE PREÇOS n editavel'!H241</f>
        <v>25.31</v>
      </c>
      <c r="I241" s="876">
        <f>'REF. DE PREÇOS n editavel'!I241</f>
        <v>25.31</v>
      </c>
      <c r="J241" s="877">
        <f>'REF. DE PREÇOS n editavel'!J241</f>
        <v>30.93</v>
      </c>
      <c r="K241" s="878" t="s">
        <v>12</v>
      </c>
      <c r="L241" s="1092"/>
      <c r="M241" s="1093">
        <f t="shared" si="21"/>
        <v>0</v>
      </c>
      <c r="N241" s="868">
        <f t="shared" si="20"/>
        <v>0</v>
      </c>
      <c r="O241" s="880"/>
      <c r="Q241" s="317" t="str">
        <f t="shared" si="16"/>
        <v/>
      </c>
      <c r="R241" s="317" t="str">
        <f t="shared" si="18"/>
        <v/>
      </c>
      <c r="S241" s="317" t="str">
        <f t="shared" si="19"/>
        <v/>
      </c>
      <c r="T241" s="317" t="str">
        <f>'REF. DE PREÇOS n editavel'!S241</f>
        <v/>
      </c>
      <c r="W241" s="577">
        <v>0</v>
      </c>
      <c r="X241" s="575"/>
      <c r="Y241" s="578">
        <f>IF('REF. DE PREÇOS n editavel'!W241=0,0,IF('REF. DE PREÇOS n editavel'!W241&gt;0,"c","b"))</f>
        <v>0</v>
      </c>
    </row>
    <row r="242" spans="1:25">
      <c r="A242" s="317">
        <v>535000</v>
      </c>
      <c r="B242" s="870" t="s">
        <v>1602</v>
      </c>
      <c r="C242" s="871" t="s">
        <v>184</v>
      </c>
      <c r="D242" s="881" t="s">
        <v>222</v>
      </c>
      <c r="E242" s="882">
        <f>'REF. DE PREÇOS n editavel'!E242</f>
        <v>43.1</v>
      </c>
      <c r="F242" s="883">
        <f>'REF. DE PREÇOS n editavel'!F242</f>
        <v>0.27200000000000002</v>
      </c>
      <c r="G242" s="923">
        <f>'REF. DE PREÇOS n editavel'!G242</f>
        <v>13.272784000000001</v>
      </c>
      <c r="H242" s="876">
        <f>'REF. DE PREÇOS n editavel'!H242</f>
        <v>109.55</v>
      </c>
      <c r="I242" s="876">
        <f>'REF. DE PREÇOS n editavel'!I242</f>
        <v>122.822784</v>
      </c>
      <c r="J242" s="877">
        <f>'REF. DE PREÇOS n editavel'!J242</f>
        <v>150.11000000000001</v>
      </c>
      <c r="K242" s="878" t="s">
        <v>12</v>
      </c>
      <c r="L242" s="1092"/>
      <c r="M242" s="1093">
        <f t="shared" si="21"/>
        <v>0</v>
      </c>
      <c r="N242" s="868">
        <f t="shared" si="20"/>
        <v>0</v>
      </c>
      <c r="O242" s="880"/>
      <c r="Q242" s="317" t="str">
        <f t="shared" si="16"/>
        <v/>
      </c>
      <c r="R242" s="317" t="str">
        <f t="shared" si="18"/>
        <v/>
      </c>
      <c r="S242" s="317" t="str">
        <f t="shared" si="19"/>
        <v/>
      </c>
      <c r="T242" s="317" t="str">
        <f>'REF. DE PREÇOS n editavel'!S242</f>
        <v/>
      </c>
      <c r="W242" s="577">
        <v>0</v>
      </c>
      <c r="X242" s="575"/>
      <c r="Y242" s="578">
        <f>IF('REF. DE PREÇOS n editavel'!W242=0,0,IF('REF. DE PREÇOS n editavel'!W242&gt;0,"c","b"))</f>
        <v>0</v>
      </c>
    </row>
    <row r="243" spans="1:25">
      <c r="A243" s="317">
        <v>863000</v>
      </c>
      <c r="B243" s="870" t="s">
        <v>1604</v>
      </c>
      <c r="C243" s="871" t="s">
        <v>184</v>
      </c>
      <c r="D243" s="881" t="s">
        <v>223</v>
      </c>
      <c r="E243" s="882">
        <f>'REF. DE PREÇOS n editavel'!E243</f>
        <v>10</v>
      </c>
      <c r="F243" s="883">
        <f>'REF. DE PREÇOS n editavel'!F243</f>
        <v>0.08</v>
      </c>
      <c r="G243" s="923">
        <f>'REF. DE PREÇOS n editavel'!G243</f>
        <v>1.0704</v>
      </c>
      <c r="H243" s="876">
        <f>'REF. DE PREÇOS n editavel'!H243</f>
        <v>93.88</v>
      </c>
      <c r="I243" s="876">
        <f>'REF. DE PREÇOS n editavel'!I243</f>
        <v>94.950400000000002</v>
      </c>
      <c r="J243" s="877">
        <f>'REF. DE PREÇOS n editavel'!J243</f>
        <v>116.05</v>
      </c>
      <c r="K243" s="878" t="s">
        <v>12</v>
      </c>
      <c r="L243" s="1092"/>
      <c r="M243" s="1093">
        <f t="shared" si="21"/>
        <v>0</v>
      </c>
      <c r="N243" s="868">
        <f t="shared" si="20"/>
        <v>0</v>
      </c>
      <c r="O243" s="880"/>
      <c r="Q243" s="317" t="str">
        <f t="shared" si="16"/>
        <v/>
      </c>
      <c r="R243" s="317" t="str">
        <f t="shared" si="18"/>
        <v/>
      </c>
      <c r="S243" s="317" t="str">
        <f t="shared" si="19"/>
        <v/>
      </c>
      <c r="T243" s="317" t="str">
        <f>'REF. DE PREÇOS n editavel'!S243</f>
        <v/>
      </c>
      <c r="W243" s="577">
        <v>0</v>
      </c>
      <c r="X243" s="575"/>
      <c r="Y243" s="578">
        <f>IF('REF. DE PREÇOS n editavel'!W243=0,0,IF('REF. DE PREÇOS n editavel'!W243&gt;0,"c","b"))</f>
        <v>0</v>
      </c>
    </row>
    <row r="244" spans="1:25">
      <c r="A244" s="317">
        <v>863000</v>
      </c>
      <c r="B244" s="870" t="s">
        <v>1605</v>
      </c>
      <c r="C244" s="871" t="s">
        <v>184</v>
      </c>
      <c r="D244" s="881" t="s">
        <v>224</v>
      </c>
      <c r="E244" s="882">
        <f>'REF. DE PREÇOS n editavel'!E244</f>
        <v>10</v>
      </c>
      <c r="F244" s="883">
        <f>'REF. DE PREÇOS n editavel'!F244</f>
        <v>0.1</v>
      </c>
      <c r="G244" s="923">
        <f>'REF. DE PREÇOS n editavel'!G244</f>
        <v>1.3380000000000001</v>
      </c>
      <c r="H244" s="876">
        <f>'REF. DE PREÇOS n editavel'!H244</f>
        <v>105.61</v>
      </c>
      <c r="I244" s="876">
        <f>'REF. DE PREÇOS n editavel'!I244</f>
        <v>106.94799999999999</v>
      </c>
      <c r="J244" s="877">
        <f>'REF. DE PREÇOS n editavel'!J244</f>
        <v>130.71</v>
      </c>
      <c r="K244" s="878" t="s">
        <v>12</v>
      </c>
      <c r="L244" s="1092"/>
      <c r="M244" s="1093">
        <f t="shared" si="21"/>
        <v>0</v>
      </c>
      <c r="N244" s="868">
        <f t="shared" si="20"/>
        <v>0</v>
      </c>
      <c r="O244" s="880"/>
      <c r="Q244" s="317" t="str">
        <f t="shared" si="16"/>
        <v/>
      </c>
      <c r="R244" s="317" t="str">
        <f t="shared" si="18"/>
        <v/>
      </c>
      <c r="S244" s="317" t="str">
        <f t="shared" si="19"/>
        <v/>
      </c>
      <c r="T244" s="317" t="str">
        <f>'REF. DE PREÇOS n editavel'!S244</f>
        <v/>
      </c>
      <c r="W244" s="577">
        <v>0</v>
      </c>
      <c r="X244" s="575"/>
      <c r="Y244" s="578">
        <f>IF('REF. DE PREÇOS n editavel'!W244=0,0,IF('REF. DE PREÇOS n editavel'!W244&gt;0,"c","b"))</f>
        <v>0</v>
      </c>
    </row>
    <row r="245" spans="1:25">
      <c r="A245" s="317">
        <v>534906</v>
      </c>
      <c r="B245" s="870" t="s">
        <v>1608</v>
      </c>
      <c r="C245" s="871" t="s">
        <v>184</v>
      </c>
      <c r="D245" s="881" t="s">
        <v>225</v>
      </c>
      <c r="E245" s="882">
        <f>'REF. DE PREÇOS n editavel'!E245</f>
        <v>10</v>
      </c>
      <c r="F245" s="883">
        <f>'REF. DE PREÇOS n editavel'!F245</f>
        <v>0.12</v>
      </c>
      <c r="G245" s="923">
        <f>'REF. DE PREÇOS n editavel'!G245</f>
        <v>1.6056000000000001</v>
      </c>
      <c r="H245" s="876">
        <f>'REF. DE PREÇOS n editavel'!H245</f>
        <v>117.35</v>
      </c>
      <c r="I245" s="876">
        <f>'REF. DE PREÇOS n editavel'!I245</f>
        <v>118.95559999999999</v>
      </c>
      <c r="J245" s="877">
        <f>'REF. DE PREÇOS n editavel'!J245</f>
        <v>145.38999999999999</v>
      </c>
      <c r="K245" s="878" t="s">
        <v>12</v>
      </c>
      <c r="L245" s="1092"/>
      <c r="M245" s="1093">
        <f t="shared" si="21"/>
        <v>0</v>
      </c>
      <c r="N245" s="868">
        <f t="shared" si="20"/>
        <v>0</v>
      </c>
      <c r="O245" s="880"/>
      <c r="Q245" s="317" t="str">
        <f t="shared" si="16"/>
        <v/>
      </c>
      <c r="R245" s="317" t="str">
        <f t="shared" si="18"/>
        <v/>
      </c>
      <c r="S245" s="317" t="str">
        <f t="shared" si="19"/>
        <v/>
      </c>
      <c r="T245" s="317" t="str">
        <f>'REF. DE PREÇOS n editavel'!S245</f>
        <v/>
      </c>
      <c r="W245" s="577">
        <v>0</v>
      </c>
      <c r="X245" s="575"/>
      <c r="Y245" s="578">
        <f>IF('REF. DE PREÇOS n editavel'!W245=0,0,IF('REF. DE PREÇOS n editavel'!W245&gt;0,"c","b"))</f>
        <v>0</v>
      </c>
    </row>
    <row r="246" spans="1:25">
      <c r="A246" s="317">
        <v>534906</v>
      </c>
      <c r="B246" s="870" t="s">
        <v>1609</v>
      </c>
      <c r="C246" s="871" t="s">
        <v>184</v>
      </c>
      <c r="D246" s="881" t="s">
        <v>226</v>
      </c>
      <c r="E246" s="882">
        <f>'REF. DE PREÇOS n editavel'!E246</f>
        <v>10</v>
      </c>
      <c r="F246" s="883">
        <f>'REF. DE PREÇOS n editavel'!F246</f>
        <v>0.14000000000000001</v>
      </c>
      <c r="G246" s="923">
        <f>'REF. DE PREÇOS n editavel'!G246</f>
        <v>1.8732000000000002</v>
      </c>
      <c r="H246" s="876">
        <f>'REF. DE PREÇOS n editavel'!H246</f>
        <v>126.06</v>
      </c>
      <c r="I246" s="876">
        <f>'REF. DE PREÇOS n editavel'!I246</f>
        <v>127.9332</v>
      </c>
      <c r="J246" s="877">
        <f>'REF. DE PREÇOS n editavel'!J246</f>
        <v>156.36000000000001</v>
      </c>
      <c r="K246" s="878" t="s">
        <v>12</v>
      </c>
      <c r="L246" s="1092"/>
      <c r="M246" s="1093">
        <f t="shared" si="21"/>
        <v>0</v>
      </c>
      <c r="N246" s="868">
        <f t="shared" si="20"/>
        <v>0</v>
      </c>
      <c r="O246" s="880"/>
      <c r="Q246" s="317" t="str">
        <f t="shared" si="16"/>
        <v/>
      </c>
      <c r="R246" s="317" t="str">
        <f t="shared" si="18"/>
        <v/>
      </c>
      <c r="S246" s="317" t="str">
        <f t="shared" si="19"/>
        <v/>
      </c>
      <c r="T246" s="317" t="str">
        <f>'REF. DE PREÇOS n editavel'!S246</f>
        <v/>
      </c>
      <c r="W246" s="577">
        <v>0</v>
      </c>
      <c r="X246" s="575"/>
      <c r="Y246" s="578">
        <f>IF('REF. DE PREÇOS n editavel'!W246=0,0,IF('REF. DE PREÇOS n editavel'!W246&gt;0,"c","b"))</f>
        <v>0</v>
      </c>
    </row>
    <row r="247" spans="1:25">
      <c r="A247" s="317">
        <v>534906</v>
      </c>
      <c r="B247" s="870" t="s">
        <v>151</v>
      </c>
      <c r="C247" s="871" t="s">
        <v>184</v>
      </c>
      <c r="D247" s="881" t="s">
        <v>227</v>
      </c>
      <c r="E247" s="882">
        <f>'REF. DE PREÇOS n editavel'!E247</f>
        <v>10</v>
      </c>
      <c r="F247" s="883">
        <f>'REF. DE PREÇOS n editavel'!F247</f>
        <v>0.16</v>
      </c>
      <c r="G247" s="923">
        <f>'REF. DE PREÇOS n editavel'!G247</f>
        <v>2.1408</v>
      </c>
      <c r="H247" s="876">
        <f>'REF. DE PREÇOS n editavel'!H247</f>
        <v>134.77000000000001</v>
      </c>
      <c r="I247" s="876">
        <f>'REF. DE PREÇOS n editavel'!I247</f>
        <v>136.91080000000002</v>
      </c>
      <c r="J247" s="877">
        <f>'REF. DE PREÇOS n editavel'!J247</f>
        <v>167.33</v>
      </c>
      <c r="K247" s="878" t="s">
        <v>12</v>
      </c>
      <c r="L247" s="1092"/>
      <c r="M247" s="1093">
        <f t="shared" si="21"/>
        <v>0</v>
      </c>
      <c r="N247" s="868">
        <f t="shared" si="20"/>
        <v>0</v>
      </c>
      <c r="O247" s="880"/>
      <c r="Q247" s="317" t="str">
        <f t="shared" si="16"/>
        <v/>
      </c>
      <c r="R247" s="317" t="str">
        <f t="shared" si="18"/>
        <v/>
      </c>
      <c r="S247" s="317" t="str">
        <f t="shared" si="19"/>
        <v/>
      </c>
      <c r="T247" s="317" t="str">
        <f>'REF. DE PREÇOS n editavel'!S247</f>
        <v/>
      </c>
      <c r="W247" s="577">
        <v>0</v>
      </c>
      <c r="X247" s="575"/>
      <c r="Y247" s="578">
        <f>IF('REF. DE PREÇOS n editavel'!W247=0,0,IF('REF. DE PREÇOS n editavel'!W247&gt;0,"c","b"))</f>
        <v>0</v>
      </c>
    </row>
    <row r="248" spans="1:25">
      <c r="A248" s="317">
        <v>534906</v>
      </c>
      <c r="B248" s="870" t="s">
        <v>207</v>
      </c>
      <c r="C248" s="871" t="s">
        <v>184</v>
      </c>
      <c r="D248" s="881" t="s">
        <v>228</v>
      </c>
      <c r="E248" s="882">
        <f>'REF. DE PREÇOS n editavel'!E248</f>
        <v>10</v>
      </c>
      <c r="F248" s="883">
        <f>'REF. DE PREÇOS n editavel'!F248</f>
        <v>0.2</v>
      </c>
      <c r="G248" s="923">
        <f>'REF. DE PREÇOS n editavel'!G248</f>
        <v>2.6760000000000002</v>
      </c>
      <c r="H248" s="876">
        <f>'REF. DE PREÇOS n editavel'!H248</f>
        <v>152.6</v>
      </c>
      <c r="I248" s="876">
        <f>'REF. DE PREÇOS n editavel'!I248</f>
        <v>155.27599999999998</v>
      </c>
      <c r="J248" s="877">
        <f>'REF. DE PREÇOS n editavel'!J248</f>
        <v>189.78</v>
      </c>
      <c r="K248" s="878" t="s">
        <v>12</v>
      </c>
      <c r="L248" s="1092"/>
      <c r="M248" s="1093">
        <f t="shared" si="21"/>
        <v>0</v>
      </c>
      <c r="N248" s="868">
        <f t="shared" si="20"/>
        <v>0</v>
      </c>
      <c r="O248" s="880"/>
      <c r="Q248" s="317" t="str">
        <f t="shared" si="16"/>
        <v/>
      </c>
      <c r="R248" s="317" t="str">
        <f t="shared" si="18"/>
        <v/>
      </c>
      <c r="S248" s="317" t="str">
        <f t="shared" si="19"/>
        <v/>
      </c>
      <c r="T248" s="317" t="str">
        <f>'REF. DE PREÇOS n editavel'!S248</f>
        <v/>
      </c>
      <c r="W248" s="577">
        <v>0</v>
      </c>
      <c r="X248" s="575"/>
      <c r="Y248" s="578">
        <f>IF('REF. DE PREÇOS n editavel'!W248=0,0,IF('REF. DE PREÇOS n editavel'!W248&gt;0,"c","b"))</f>
        <v>0</v>
      </c>
    </row>
    <row r="249" spans="1:25">
      <c r="A249" s="317">
        <v>534906</v>
      </c>
      <c r="B249" s="870" t="s">
        <v>208</v>
      </c>
      <c r="C249" s="871" t="s">
        <v>184</v>
      </c>
      <c r="D249" s="881" t="s">
        <v>787</v>
      </c>
      <c r="E249" s="882">
        <f>'REF. DE PREÇOS n editavel'!E249</f>
        <v>37</v>
      </c>
      <c r="F249" s="883">
        <f>'REF. DE PREÇOS n editavel'!F249</f>
        <v>0.14000000000000001</v>
      </c>
      <c r="G249" s="923">
        <f>'REF. DE PREÇOS n editavel'!G249</f>
        <v>5.9178000000000006</v>
      </c>
      <c r="H249" s="876">
        <f>'REF. DE PREÇOS n editavel'!H249</f>
        <v>76.400000000000006</v>
      </c>
      <c r="I249" s="876">
        <f>'REF. DE PREÇOS n editavel'!I249</f>
        <v>82.317800000000005</v>
      </c>
      <c r="J249" s="877">
        <f>'REF. DE PREÇOS n editavel'!J249</f>
        <v>100.61</v>
      </c>
      <c r="K249" s="878" t="s">
        <v>12</v>
      </c>
      <c r="L249" s="1092"/>
      <c r="M249" s="1093">
        <f t="shared" si="21"/>
        <v>0</v>
      </c>
      <c r="N249" s="868">
        <f t="shared" si="20"/>
        <v>0</v>
      </c>
      <c r="O249" s="880"/>
      <c r="Q249" s="317" t="str">
        <f t="shared" si="16"/>
        <v/>
      </c>
      <c r="R249" s="317" t="str">
        <f t="shared" si="18"/>
        <v/>
      </c>
      <c r="S249" s="317" t="str">
        <f t="shared" si="19"/>
        <v/>
      </c>
      <c r="T249" s="317" t="str">
        <f>'REF. DE PREÇOS n editavel'!S249</f>
        <v/>
      </c>
      <c r="W249" s="577">
        <v>0</v>
      </c>
      <c r="X249" s="575"/>
      <c r="Y249" s="578">
        <f>IF('REF. DE PREÇOS n editavel'!W249=0,0,IF('REF. DE PREÇOS n editavel'!W249&gt;0,"c","b"))</f>
        <v>0</v>
      </c>
    </row>
    <row r="250" spans="1:25">
      <c r="A250" s="317">
        <v>534906</v>
      </c>
      <c r="B250" s="870" t="s">
        <v>209</v>
      </c>
      <c r="C250" s="871" t="s">
        <v>184</v>
      </c>
      <c r="D250" s="881" t="s">
        <v>788</v>
      </c>
      <c r="E250" s="882">
        <f>'REF. DE PREÇOS n editavel'!E250</f>
        <v>37</v>
      </c>
      <c r="F250" s="883">
        <f>'REF. DE PREÇOS n editavel'!F250</f>
        <v>0.14000000000000001</v>
      </c>
      <c r="G250" s="923">
        <f>'REF. DE PREÇOS n editavel'!G250</f>
        <v>5.9178000000000006</v>
      </c>
      <c r="H250" s="876">
        <f>'REF. DE PREÇOS n editavel'!H250</f>
        <v>84.04</v>
      </c>
      <c r="I250" s="876">
        <f>'REF. DE PREÇOS n editavel'!I250</f>
        <v>89.957800000000006</v>
      </c>
      <c r="J250" s="877">
        <f>'REF. DE PREÇOS n editavel'!J250</f>
        <v>109.95</v>
      </c>
      <c r="K250" s="878" t="s">
        <v>12</v>
      </c>
      <c r="L250" s="1092"/>
      <c r="M250" s="1093">
        <f t="shared" si="21"/>
        <v>0</v>
      </c>
      <c r="N250" s="868">
        <f t="shared" si="20"/>
        <v>0</v>
      </c>
      <c r="O250" s="880"/>
      <c r="Q250" s="317" t="str">
        <f t="shared" si="16"/>
        <v/>
      </c>
      <c r="R250" s="317" t="str">
        <f t="shared" si="18"/>
        <v/>
      </c>
      <c r="S250" s="317" t="str">
        <f t="shared" si="19"/>
        <v/>
      </c>
      <c r="T250" s="317" t="str">
        <f>'REF. DE PREÇOS n editavel'!S250</f>
        <v/>
      </c>
      <c r="W250" s="577">
        <v>0</v>
      </c>
      <c r="X250" s="575"/>
      <c r="Y250" s="578">
        <f>IF('REF. DE PREÇOS n editavel'!W250=0,0,IF('REF. DE PREÇOS n editavel'!W250&gt;0,"c","b"))</f>
        <v>0</v>
      </c>
    </row>
    <row r="251" spans="1:25">
      <c r="A251" s="317">
        <v>534908</v>
      </c>
      <c r="B251" s="870" t="s">
        <v>148</v>
      </c>
      <c r="C251" s="871" t="s">
        <v>184</v>
      </c>
      <c r="D251" s="881" t="s">
        <v>789</v>
      </c>
      <c r="E251" s="882">
        <f>'REF. DE PREÇOS n editavel'!E251</f>
        <v>37</v>
      </c>
      <c r="F251" s="883">
        <f>'REF. DE PREÇOS n editavel'!F251</f>
        <v>0.18</v>
      </c>
      <c r="G251" s="923">
        <f>'REF. DE PREÇOS n editavel'!G251</f>
        <v>7.6086</v>
      </c>
      <c r="H251" s="876">
        <f>'REF. DE PREÇOS n editavel'!H251</f>
        <v>89.6</v>
      </c>
      <c r="I251" s="876">
        <f>'REF. DE PREÇOS n editavel'!I251</f>
        <v>97.20859999999999</v>
      </c>
      <c r="J251" s="877">
        <f>'REF. DE PREÇOS n editavel'!J251</f>
        <v>118.81</v>
      </c>
      <c r="K251" s="878" t="s">
        <v>12</v>
      </c>
      <c r="L251" s="1092"/>
      <c r="M251" s="1093">
        <f t="shared" si="21"/>
        <v>0</v>
      </c>
      <c r="N251" s="868">
        <f t="shared" si="20"/>
        <v>0</v>
      </c>
      <c r="O251" s="880"/>
      <c r="Q251" s="317" t="str">
        <f t="shared" si="16"/>
        <v/>
      </c>
      <c r="R251" s="317" t="str">
        <f t="shared" si="18"/>
        <v/>
      </c>
      <c r="S251" s="317" t="str">
        <f t="shared" si="19"/>
        <v/>
      </c>
      <c r="T251" s="317" t="str">
        <f>'REF. DE PREÇOS n editavel'!S251</f>
        <v/>
      </c>
      <c r="W251" s="577">
        <v>0</v>
      </c>
      <c r="X251" s="575"/>
      <c r="Y251" s="578">
        <f>IF('REF. DE PREÇOS n editavel'!W251=0,0,IF('REF. DE PREÇOS n editavel'!W251&gt;0,"c","b"))</f>
        <v>0</v>
      </c>
    </row>
    <row r="252" spans="1:25">
      <c r="A252" s="317">
        <v>534908</v>
      </c>
      <c r="B252" s="870" t="s">
        <v>149</v>
      </c>
      <c r="C252" s="871" t="s">
        <v>184</v>
      </c>
      <c r="D252" s="881" t="s">
        <v>790</v>
      </c>
      <c r="E252" s="882">
        <f>'REF. DE PREÇOS n editavel'!E252</f>
        <v>37</v>
      </c>
      <c r="F252" s="883">
        <f>'REF. DE PREÇOS n editavel'!F252</f>
        <v>0.18</v>
      </c>
      <c r="G252" s="923">
        <f>'REF. DE PREÇOS n editavel'!G252</f>
        <v>7.6086</v>
      </c>
      <c r="H252" s="876">
        <f>'REF. DE PREÇOS n editavel'!H252</f>
        <v>98.56</v>
      </c>
      <c r="I252" s="876">
        <f>'REF. DE PREÇOS n editavel'!I252</f>
        <v>106.1686</v>
      </c>
      <c r="J252" s="877">
        <f>'REF. DE PREÇOS n editavel'!J252</f>
        <v>129.76</v>
      </c>
      <c r="K252" s="878" t="s">
        <v>12</v>
      </c>
      <c r="L252" s="1092"/>
      <c r="M252" s="1093">
        <f t="shared" si="21"/>
        <v>0</v>
      </c>
      <c r="N252" s="868">
        <f t="shared" si="20"/>
        <v>0</v>
      </c>
      <c r="O252" s="880"/>
      <c r="Q252" s="317" t="str">
        <f t="shared" si="16"/>
        <v/>
      </c>
      <c r="R252" s="317" t="str">
        <f t="shared" si="18"/>
        <v/>
      </c>
      <c r="S252" s="317" t="str">
        <f t="shared" si="19"/>
        <v/>
      </c>
      <c r="T252" s="317" t="str">
        <f>'REF. DE PREÇOS n editavel'!S252</f>
        <v/>
      </c>
      <c r="W252" s="577">
        <v>0</v>
      </c>
      <c r="X252" s="575"/>
      <c r="Y252" s="578">
        <f>IF('REF. DE PREÇOS n editavel'!W252=0,0,IF('REF. DE PREÇOS n editavel'!W252&gt;0,"c","b"))</f>
        <v>0</v>
      </c>
    </row>
    <row r="253" spans="1:25">
      <c r="A253" s="317">
        <v>534908</v>
      </c>
      <c r="B253" s="870" t="s">
        <v>150</v>
      </c>
      <c r="C253" s="871" t="s">
        <v>184</v>
      </c>
      <c r="D253" s="881" t="s">
        <v>791</v>
      </c>
      <c r="E253" s="882">
        <f>'REF. DE PREÇOS n editavel'!E253</f>
        <v>37</v>
      </c>
      <c r="F253" s="883">
        <f>'REF. DE PREÇOS n editavel'!F253</f>
        <v>0.22</v>
      </c>
      <c r="G253" s="923">
        <f>'REF. DE PREÇOS n editavel'!G253</f>
        <v>9.2994000000000003</v>
      </c>
      <c r="H253" s="876">
        <f>'REF. DE PREÇOS n editavel'!H253</f>
        <v>101.45</v>
      </c>
      <c r="I253" s="876">
        <f>'REF. DE PREÇOS n editavel'!I253</f>
        <v>110.74940000000001</v>
      </c>
      <c r="J253" s="877">
        <f>'REF. DE PREÇOS n editavel'!J253</f>
        <v>135.36000000000001</v>
      </c>
      <c r="K253" s="878" t="s">
        <v>12</v>
      </c>
      <c r="L253" s="1092"/>
      <c r="M253" s="1093">
        <f t="shared" si="21"/>
        <v>0</v>
      </c>
      <c r="N253" s="868">
        <f t="shared" si="20"/>
        <v>0</v>
      </c>
      <c r="O253" s="880"/>
      <c r="Q253" s="317" t="str">
        <f t="shared" si="16"/>
        <v/>
      </c>
      <c r="R253" s="317" t="str">
        <f t="shared" si="18"/>
        <v/>
      </c>
      <c r="S253" s="317" t="str">
        <f t="shared" si="19"/>
        <v/>
      </c>
      <c r="T253" s="317" t="str">
        <f>'REF. DE PREÇOS n editavel'!S253</f>
        <v/>
      </c>
      <c r="W253" s="577">
        <v>0</v>
      </c>
      <c r="X253" s="575"/>
      <c r="Y253" s="578">
        <f>IF('REF. DE PREÇOS n editavel'!W253=0,0,IF('REF. DE PREÇOS n editavel'!W253&gt;0,"c","b"))</f>
        <v>0</v>
      </c>
    </row>
    <row r="254" spans="1:25">
      <c r="A254" s="317">
        <v>534908</v>
      </c>
      <c r="B254" s="870" t="s">
        <v>210</v>
      </c>
      <c r="C254" s="871" t="s">
        <v>184</v>
      </c>
      <c r="D254" s="881" t="s">
        <v>792</v>
      </c>
      <c r="E254" s="882">
        <f>'REF. DE PREÇOS n editavel'!E254</f>
        <v>37</v>
      </c>
      <c r="F254" s="883">
        <f>'REF. DE PREÇOS n editavel'!F254</f>
        <v>0.22</v>
      </c>
      <c r="G254" s="923">
        <f>'REF. DE PREÇOS n editavel'!G254</f>
        <v>9.2994000000000003</v>
      </c>
      <c r="H254" s="876">
        <f>'REF. DE PREÇOS n editavel'!H254</f>
        <v>111.6</v>
      </c>
      <c r="I254" s="876">
        <f>'REF. DE PREÇOS n editavel'!I254</f>
        <v>120.8994</v>
      </c>
      <c r="J254" s="877">
        <f>'REF. DE PREÇOS n editavel'!J254</f>
        <v>147.76</v>
      </c>
      <c r="K254" s="878" t="s">
        <v>12</v>
      </c>
      <c r="L254" s="1092"/>
      <c r="M254" s="1093">
        <f t="shared" si="21"/>
        <v>0</v>
      </c>
      <c r="N254" s="868">
        <f t="shared" si="20"/>
        <v>0</v>
      </c>
      <c r="O254" s="880"/>
      <c r="Q254" s="317" t="str">
        <f t="shared" si="16"/>
        <v/>
      </c>
      <c r="R254" s="317" t="str">
        <f t="shared" si="18"/>
        <v/>
      </c>
      <c r="S254" s="317" t="str">
        <f t="shared" si="19"/>
        <v/>
      </c>
      <c r="T254" s="317" t="str">
        <f>'REF. DE PREÇOS n editavel'!S254</f>
        <v/>
      </c>
      <c r="W254" s="577">
        <v>0</v>
      </c>
      <c r="X254" s="575"/>
      <c r="Y254" s="578">
        <f>IF('REF. DE PREÇOS n editavel'!W254=0,0,IF('REF. DE PREÇOS n editavel'!W254&gt;0,"c","b"))</f>
        <v>0</v>
      </c>
    </row>
    <row r="255" spans="1:25" ht="13.5" thickBot="1">
      <c r="A255" s="317">
        <v>101090</v>
      </c>
      <c r="B255" s="969" t="s">
        <v>1618</v>
      </c>
      <c r="C255" s="970" t="s">
        <v>590</v>
      </c>
      <c r="D255" s="939" t="s">
        <v>1502</v>
      </c>
      <c r="E255" s="940">
        <f>'REF. DE PREÇOS n editavel'!E255</f>
        <v>40</v>
      </c>
      <c r="F255" s="971">
        <f>'REF. DE PREÇOS n editavel'!F255</f>
        <v>0.3</v>
      </c>
      <c r="G255" s="942">
        <f>'REF. DE PREÇOS n editavel'!G255</f>
        <v>13.644</v>
      </c>
      <c r="H255" s="914">
        <f>'REF. DE PREÇOS n editavel'!H255</f>
        <v>291.81</v>
      </c>
      <c r="I255" s="914">
        <f>'REF. DE PREÇOS n editavel'!I255</f>
        <v>305.45400000000001</v>
      </c>
      <c r="J255" s="943">
        <f>'REF. DE PREÇOS n editavel'!J255</f>
        <v>373.33</v>
      </c>
      <c r="K255" s="944" t="s">
        <v>12</v>
      </c>
      <c r="L255" s="1100"/>
      <c r="M255" s="1111">
        <f t="shared" si="21"/>
        <v>0</v>
      </c>
      <c r="N255" s="916">
        <f t="shared" si="20"/>
        <v>0</v>
      </c>
      <c r="O255" s="880"/>
      <c r="Q255" s="317" t="str">
        <f t="shared" si="16"/>
        <v/>
      </c>
      <c r="R255" s="317" t="str">
        <f t="shared" si="18"/>
        <v/>
      </c>
      <c r="S255" s="317" t="str">
        <f t="shared" si="19"/>
        <v/>
      </c>
      <c r="T255" s="317" t="str">
        <f>'REF. DE PREÇOS n editavel'!S255</f>
        <v/>
      </c>
      <c r="W255" s="577">
        <v>0</v>
      </c>
      <c r="X255" s="575"/>
      <c r="Y255" s="578">
        <f>IF('REF. DE PREÇOS n editavel'!W255=0,0,IF('REF. DE PREÇOS n editavel'!W255&gt;0,"c","b"))</f>
        <v>0</v>
      </c>
    </row>
    <row r="256" spans="1:25">
      <c r="A256" s="317">
        <v>562100</v>
      </c>
      <c r="B256" s="973" t="s">
        <v>1620</v>
      </c>
      <c r="C256" s="974" t="s">
        <v>184</v>
      </c>
      <c r="D256" s="947" t="s">
        <v>538</v>
      </c>
      <c r="E256" s="948" t="str">
        <f>'REF. DE PREÇOS n editavel'!E256</f>
        <v>taxa RL</v>
      </c>
      <c r="F256" s="949">
        <f>'REF. DE PREÇOS n editavel'!F256</f>
        <v>1.5E-3</v>
      </c>
      <c r="G256" s="950">
        <f>'REF. DE PREÇOS n editavel'!G256</f>
        <v>0.82488760000000005</v>
      </c>
      <c r="H256" s="951">
        <f>'REF. DE PREÇOS n editavel'!H256</f>
        <v>3.09</v>
      </c>
      <c r="I256" s="951">
        <f>'REF. DE PREÇOS n editavel'!I256</f>
        <v>3.9148876000000001</v>
      </c>
      <c r="J256" s="952">
        <f>'REF. DE PREÇOS n editavel'!J256</f>
        <v>4.78</v>
      </c>
      <c r="K256" s="953" t="s">
        <v>12</v>
      </c>
      <c r="L256" s="1107"/>
      <c r="M256" s="1108">
        <f t="shared" si="21"/>
        <v>0</v>
      </c>
      <c r="N256" s="956">
        <f t="shared" si="20"/>
        <v>0</v>
      </c>
      <c r="O256" s="880"/>
      <c r="Q256" s="317" t="str">
        <f t="shared" si="16"/>
        <v/>
      </c>
      <c r="R256" s="317" t="str">
        <f t="shared" si="18"/>
        <v/>
      </c>
      <c r="S256" s="317" t="str">
        <f t="shared" si="19"/>
        <v/>
      </c>
      <c r="T256" s="317" t="str">
        <f>'REF. DE PREÇOS n editavel'!S256</f>
        <v/>
      </c>
      <c r="W256" s="577">
        <v>0</v>
      </c>
      <c r="X256" s="575"/>
      <c r="Y256" s="578">
        <f>IF('REF. DE PREÇOS n editavel'!W256=0,0,IF('REF. DE PREÇOS n editavel'!W256&gt;0,"c","b"))</f>
        <v>0</v>
      </c>
    </row>
    <row r="257" spans="1:25">
      <c r="A257" s="317" t="s">
        <v>147</v>
      </c>
      <c r="B257" s="870" t="s">
        <v>147</v>
      </c>
      <c r="C257" s="871"/>
      <c r="D257" s="975" t="s">
        <v>229</v>
      </c>
      <c r="E257" s="882">
        <f>'REF. DE PREÇOS n editavel'!E257</f>
        <v>290</v>
      </c>
      <c r="F257" s="976" t="str">
        <f>'REF. DE PREÇOS n editavel'!F257</f>
        <v>0,0025</v>
      </c>
      <c r="G257" s="923">
        <f>'REF. DE PREÇOS n editavel'!G257</f>
        <v>0.78245000000000009</v>
      </c>
      <c r="H257" s="876">
        <f>'REF. DE PREÇOS n editavel'!H257</f>
        <v>0</v>
      </c>
      <c r="I257" s="876">
        <f>'REF. DE PREÇOS n editavel'!I257</f>
        <v>0</v>
      </c>
      <c r="J257" s="877">
        <f>'REF. DE PREÇOS n editavel'!J257</f>
        <v>0</v>
      </c>
      <c r="K257" s="878" t="s">
        <v>506</v>
      </c>
      <c r="L257" s="977"/>
      <c r="M257" s="1112">
        <f t="shared" si="21"/>
        <v>0</v>
      </c>
      <c r="N257" s="868">
        <f t="shared" si="20"/>
        <v>0</v>
      </c>
      <c r="O257" s="880"/>
      <c r="P257" s="58" t="str">
        <f>IF(N256&gt;0,"xx",IF(N256&gt;0,"xy",""))</f>
        <v/>
      </c>
      <c r="Q257" s="317" t="str">
        <f t="shared" si="16"/>
        <v/>
      </c>
      <c r="R257" s="317" t="str">
        <f t="shared" si="18"/>
        <v/>
      </c>
      <c r="S257" s="317" t="str">
        <f t="shared" si="19"/>
        <v/>
      </c>
      <c r="T257" s="317" t="str">
        <f>'REF. DE PREÇOS n editavel'!S257</f>
        <v/>
      </c>
      <c r="W257" s="577">
        <v>0</v>
      </c>
      <c r="X257" s="575"/>
      <c r="Y257" s="578">
        <f>IF('REF. DE PREÇOS n editavel'!W257=0,0,IF('REF. DE PREÇOS n editavel'!W257&gt;0,"c","b"))</f>
        <v>0</v>
      </c>
    </row>
    <row r="258" spans="1:25">
      <c r="A258" s="317" t="s">
        <v>147</v>
      </c>
      <c r="B258" s="870" t="s">
        <v>147</v>
      </c>
      <c r="C258" s="871"/>
      <c r="D258" s="975" t="s">
        <v>230</v>
      </c>
      <c r="E258" s="882">
        <f>'REF. DE PREÇOS n editavel'!E258</f>
        <v>445</v>
      </c>
      <c r="F258" s="976" t="str">
        <f>'REF. DE PREÇOS n editavel'!F258</f>
        <v>0,0001</v>
      </c>
      <c r="G258" s="884">
        <f>'REF. DE PREÇOS n editavel'!G258</f>
        <v>3.5492000000000003E-2</v>
      </c>
      <c r="H258" s="876">
        <f>'REF. DE PREÇOS n editavel'!H258</f>
        <v>0</v>
      </c>
      <c r="I258" s="876">
        <f>'REF. DE PREÇOS n editavel'!I258</f>
        <v>0</v>
      </c>
      <c r="J258" s="877">
        <f>'REF. DE PREÇOS n editavel'!J258</f>
        <v>0</v>
      </c>
      <c r="K258" s="878" t="s">
        <v>506</v>
      </c>
      <c r="L258" s="977"/>
      <c r="M258" s="1112">
        <f t="shared" si="21"/>
        <v>0</v>
      </c>
      <c r="N258" s="868">
        <f t="shared" si="20"/>
        <v>0</v>
      </c>
      <c r="O258" s="880"/>
      <c r="P258" s="58" t="str">
        <f>IF(N256&gt;0,"xx",IF(N256&gt;0,"xy",""))</f>
        <v/>
      </c>
      <c r="Q258" s="317" t="str">
        <f t="shared" si="16"/>
        <v/>
      </c>
      <c r="R258" s="317" t="str">
        <f t="shared" si="18"/>
        <v/>
      </c>
      <c r="S258" s="317" t="str">
        <f t="shared" si="19"/>
        <v/>
      </c>
      <c r="T258" s="317" t="str">
        <f>'REF. DE PREÇOS n editavel'!S258</f>
        <v/>
      </c>
      <c r="W258" s="577">
        <v>0</v>
      </c>
      <c r="X258" s="575"/>
      <c r="Y258" s="578">
        <f>IF('REF. DE PREÇOS n editavel'!W258=0,0,IF('REF. DE PREÇOS n editavel'!W258&gt;0,"c","b"))</f>
        <v>0</v>
      </c>
    </row>
    <row r="259" spans="1:25">
      <c r="A259" s="317" t="s">
        <v>147</v>
      </c>
      <c r="B259" s="870" t="s">
        <v>147</v>
      </c>
      <c r="C259" s="871"/>
      <c r="D259" s="975" t="s">
        <v>231</v>
      </c>
      <c r="E259" s="882">
        <f>'REF. DE PREÇOS n editavel'!E259</f>
        <v>0.2</v>
      </c>
      <c r="F259" s="883" t="str">
        <f>'REF. DE PREÇOS n editavel'!F259</f>
        <v>0,0024</v>
      </c>
      <c r="G259" s="923">
        <f>'REF. DE PREÇOS n editavel'!G259</f>
        <v>6.9455999999999997E-3</v>
      </c>
      <c r="H259" s="876">
        <f>'REF. DE PREÇOS n editavel'!H259</f>
        <v>0</v>
      </c>
      <c r="I259" s="876">
        <f>'REF. DE PREÇOS n editavel'!I259</f>
        <v>0</v>
      </c>
      <c r="J259" s="877">
        <f>'REF. DE PREÇOS n editavel'!J259</f>
        <v>0</v>
      </c>
      <c r="K259" s="878" t="s">
        <v>506</v>
      </c>
      <c r="L259" s="977"/>
      <c r="M259" s="1112">
        <f t="shared" si="21"/>
        <v>0</v>
      </c>
      <c r="N259" s="868">
        <f t="shared" si="20"/>
        <v>0</v>
      </c>
      <c r="O259" s="880"/>
      <c r="P259" s="58" t="str">
        <f>IF(N256&gt;0,"xx",IF(N256&gt;0,"xy",""))</f>
        <v/>
      </c>
      <c r="Q259" s="317" t="str">
        <f t="shared" si="16"/>
        <v/>
      </c>
      <c r="R259" s="317" t="str">
        <f t="shared" si="18"/>
        <v/>
      </c>
      <c r="S259" s="317" t="str">
        <f t="shared" si="19"/>
        <v/>
      </c>
      <c r="T259" s="317" t="str">
        <f>'REF. DE PREÇOS n editavel'!S259</f>
        <v/>
      </c>
      <c r="W259" s="577">
        <v>0</v>
      </c>
      <c r="X259" s="575"/>
      <c r="Y259" s="578">
        <f>IF('REF. DE PREÇOS n editavel'!W259=0,0,IF('REF. DE PREÇOS n editavel'!W259&gt;0,"c","b"))</f>
        <v>0</v>
      </c>
    </row>
    <row r="260" spans="1:25" ht="13.5" thickBot="1">
      <c r="A260" s="317">
        <v>589170</v>
      </c>
      <c r="B260" s="978" t="s">
        <v>1655</v>
      </c>
      <c r="C260" s="958" t="s">
        <v>213</v>
      </c>
      <c r="D260" s="959" t="s">
        <v>537</v>
      </c>
      <c r="E260" s="979">
        <f>'REF. DE PREÇOS n editavel'!E260</f>
        <v>468</v>
      </c>
      <c r="F260" s="980">
        <f>'REF. DE PREÇOS n editavel'!F260</f>
        <v>1</v>
      </c>
      <c r="G260" s="923">
        <f>'REF. DE PREÇOS n editavel'!G260</f>
        <v>434.57</v>
      </c>
      <c r="H260" s="962">
        <f>'REF. DE PREÇOS n editavel'!H260</f>
        <v>4031.59</v>
      </c>
      <c r="I260" s="962">
        <f>'REF. DE PREÇOS n editavel'!I260</f>
        <v>4339.4924693176235</v>
      </c>
      <c r="J260" s="963">
        <f>'REF. DE PREÇOS n editavel'!J260</f>
        <v>5303.73</v>
      </c>
      <c r="K260" s="964" t="s">
        <v>14</v>
      </c>
      <c r="L260" s="1109">
        <f>ROUND(L256*$F256,2)</f>
        <v>0</v>
      </c>
      <c r="M260" s="1111">
        <f t="shared" si="21"/>
        <v>0</v>
      </c>
      <c r="N260" s="967">
        <f t="shared" si="20"/>
        <v>0</v>
      </c>
      <c r="O260" s="880"/>
      <c r="P260" s="58" t="str">
        <f>IF(N256&gt;0,"xx",IF(N256&gt;0,"xy",""))</f>
        <v/>
      </c>
      <c r="Q260" s="317" t="str">
        <f t="shared" si="16"/>
        <v/>
      </c>
      <c r="R260" s="317" t="str">
        <f t="shared" si="18"/>
        <v/>
      </c>
      <c r="S260" s="317" t="str">
        <f t="shared" si="19"/>
        <v/>
      </c>
      <c r="T260" s="317" t="str">
        <f>'REF. DE PREÇOS n editavel'!S260</f>
        <v/>
      </c>
      <c r="W260" s="577">
        <v>0</v>
      </c>
      <c r="X260" s="575"/>
      <c r="Y260" s="578">
        <f>IF('REF. DE PREÇOS n editavel'!W260=0,0,IF('REF. DE PREÇOS n editavel'!W260&gt;0,"c","b"))</f>
        <v>0</v>
      </c>
    </row>
    <row r="261" spans="1:25">
      <c r="A261" s="317">
        <v>562100</v>
      </c>
      <c r="B261" s="973" t="s">
        <v>1621</v>
      </c>
      <c r="C261" s="974" t="s">
        <v>184</v>
      </c>
      <c r="D261" s="947" t="s">
        <v>544</v>
      </c>
      <c r="E261" s="948" t="str">
        <f>'REF. DE PREÇOS n editavel'!E261</f>
        <v>taxa RL</v>
      </c>
      <c r="F261" s="949">
        <f>'REF. DE PREÇOS n editavel'!F261</f>
        <v>1.8E-3</v>
      </c>
      <c r="G261" s="950">
        <f>'REF. DE PREÇOS n editavel'!G261</f>
        <v>1.2672536000000001</v>
      </c>
      <c r="H261" s="951">
        <f>'REF. DE PREÇOS n editavel'!H261</f>
        <v>3.09</v>
      </c>
      <c r="I261" s="951">
        <f>'REF. DE PREÇOS n editavel'!I261</f>
        <v>4.3572535999999999</v>
      </c>
      <c r="J261" s="952">
        <f>'REF. DE PREÇOS n editavel'!J261</f>
        <v>5.33</v>
      </c>
      <c r="K261" s="953" t="s">
        <v>12</v>
      </c>
      <c r="L261" s="1107"/>
      <c r="M261" s="1108">
        <f t="shared" si="21"/>
        <v>0</v>
      </c>
      <c r="N261" s="956">
        <f t="shared" si="20"/>
        <v>0</v>
      </c>
      <c r="O261" s="880"/>
      <c r="Q261" s="317" t="str">
        <f t="shared" si="16"/>
        <v/>
      </c>
      <c r="R261" s="317" t="str">
        <f t="shared" si="18"/>
        <v/>
      </c>
      <c r="S261" s="317" t="str">
        <f t="shared" si="19"/>
        <v/>
      </c>
      <c r="T261" s="317" t="str">
        <f>'REF. DE PREÇOS n editavel'!S261</f>
        <v/>
      </c>
      <c r="W261" s="577">
        <v>0</v>
      </c>
      <c r="X261" s="575"/>
      <c r="Y261" s="578">
        <f>IF('REF. DE PREÇOS n editavel'!W261=0,0,IF('REF. DE PREÇOS n editavel'!W261&gt;0,"c","b"))</f>
        <v>0</v>
      </c>
    </row>
    <row r="262" spans="1:25">
      <c r="A262" s="317" t="s">
        <v>147</v>
      </c>
      <c r="B262" s="870" t="s">
        <v>147</v>
      </c>
      <c r="C262" s="871"/>
      <c r="D262" s="975" t="s">
        <v>229</v>
      </c>
      <c r="E262" s="882">
        <f>'REF. DE PREÇOS n editavel'!E262</f>
        <v>290</v>
      </c>
      <c r="F262" s="976" t="str">
        <f>'REF. DE PREÇOS n editavel'!F262</f>
        <v>0,0038</v>
      </c>
      <c r="G262" s="923">
        <f>'REF. DE PREÇOS n editavel'!G262</f>
        <v>1.189324</v>
      </c>
      <c r="H262" s="876">
        <f>'REF. DE PREÇOS n editavel'!H262</f>
        <v>0</v>
      </c>
      <c r="I262" s="876">
        <f>'REF. DE PREÇOS n editavel'!I262</f>
        <v>0</v>
      </c>
      <c r="J262" s="877">
        <f>'REF. DE PREÇOS n editavel'!J262</f>
        <v>0</v>
      </c>
      <c r="K262" s="878" t="s">
        <v>506</v>
      </c>
      <c r="L262" s="977"/>
      <c r="M262" s="1112">
        <f t="shared" si="21"/>
        <v>0</v>
      </c>
      <c r="N262" s="868">
        <f t="shared" si="20"/>
        <v>0</v>
      </c>
      <c r="O262" s="880"/>
      <c r="P262" s="58" t="str">
        <f>IF(N261&gt;0,"xx",IF(N261&gt;0,"xy",""))</f>
        <v/>
      </c>
      <c r="Q262" s="317" t="str">
        <f t="shared" si="16"/>
        <v/>
      </c>
      <c r="R262" s="317" t="str">
        <f t="shared" si="18"/>
        <v/>
      </c>
      <c r="S262" s="317" t="str">
        <f t="shared" si="19"/>
        <v/>
      </c>
      <c r="T262" s="317" t="str">
        <f>'REF. DE PREÇOS n editavel'!S262</f>
        <v/>
      </c>
      <c r="W262" s="577">
        <v>0</v>
      </c>
      <c r="X262" s="575"/>
      <c r="Y262" s="578">
        <f>IF('REF. DE PREÇOS n editavel'!W262=0,0,IF('REF. DE PREÇOS n editavel'!W262&gt;0,"c","b"))</f>
        <v>0</v>
      </c>
    </row>
    <row r="263" spans="1:25">
      <c r="A263" s="317" t="s">
        <v>147</v>
      </c>
      <c r="B263" s="870" t="s">
        <v>147</v>
      </c>
      <c r="C263" s="871"/>
      <c r="D263" s="975" t="s">
        <v>230</v>
      </c>
      <c r="E263" s="882">
        <f>'REF. DE PREÇOS n editavel'!E263</f>
        <v>445</v>
      </c>
      <c r="F263" s="976" t="str">
        <f>'REF. DE PREÇOS n editavel'!F263</f>
        <v>0,0002</v>
      </c>
      <c r="G263" s="884">
        <f>'REF. DE PREÇOS n editavel'!G263</f>
        <v>7.0984000000000005E-2</v>
      </c>
      <c r="H263" s="876">
        <f>'REF. DE PREÇOS n editavel'!H263</f>
        <v>0</v>
      </c>
      <c r="I263" s="876">
        <f>'REF. DE PREÇOS n editavel'!I263</f>
        <v>0</v>
      </c>
      <c r="J263" s="877">
        <f>'REF. DE PREÇOS n editavel'!J263</f>
        <v>0</v>
      </c>
      <c r="K263" s="878" t="s">
        <v>506</v>
      </c>
      <c r="L263" s="977"/>
      <c r="M263" s="1112">
        <f t="shared" si="21"/>
        <v>0</v>
      </c>
      <c r="N263" s="868">
        <f t="shared" si="20"/>
        <v>0</v>
      </c>
      <c r="O263" s="880"/>
      <c r="P263" s="58" t="str">
        <f>IF(N261&gt;0,"xx",IF(N261&gt;0,"xy",""))</f>
        <v/>
      </c>
      <c r="Q263" s="317" t="str">
        <f t="shared" si="16"/>
        <v/>
      </c>
      <c r="R263" s="317" t="str">
        <f t="shared" si="18"/>
        <v/>
      </c>
      <c r="S263" s="317" t="str">
        <f t="shared" si="19"/>
        <v/>
      </c>
      <c r="T263" s="317" t="str">
        <f>'REF. DE PREÇOS n editavel'!S263</f>
        <v/>
      </c>
      <c r="W263" s="577">
        <v>0</v>
      </c>
      <c r="X263" s="575"/>
      <c r="Y263" s="578">
        <f>IF('REF. DE PREÇOS n editavel'!W263=0,0,IF('REF. DE PREÇOS n editavel'!W263&gt;0,"c","b"))</f>
        <v>0</v>
      </c>
    </row>
    <row r="264" spans="1:25">
      <c r="A264" s="317" t="s">
        <v>147</v>
      </c>
      <c r="B264" s="870" t="s">
        <v>147</v>
      </c>
      <c r="C264" s="871"/>
      <c r="D264" s="931" t="s">
        <v>231</v>
      </c>
      <c r="E264" s="882">
        <f>'REF. DE PREÇOS n editavel'!E264</f>
        <v>0.2</v>
      </c>
      <c r="F264" s="883" t="str">
        <f>'REF. DE PREÇOS n editavel'!F264</f>
        <v>0,0024</v>
      </c>
      <c r="G264" s="923">
        <f>'REF. DE PREÇOS n editavel'!G264</f>
        <v>6.9455999999999997E-3</v>
      </c>
      <c r="H264" s="876">
        <f>'REF. DE PREÇOS n editavel'!H264</f>
        <v>0</v>
      </c>
      <c r="I264" s="876">
        <f>'REF. DE PREÇOS n editavel'!I264</f>
        <v>0</v>
      </c>
      <c r="J264" s="877">
        <f>'REF. DE PREÇOS n editavel'!J264</f>
        <v>0</v>
      </c>
      <c r="K264" s="878" t="s">
        <v>506</v>
      </c>
      <c r="L264" s="977"/>
      <c r="M264" s="1112">
        <f t="shared" si="21"/>
        <v>0</v>
      </c>
      <c r="N264" s="868">
        <f t="shared" si="20"/>
        <v>0</v>
      </c>
      <c r="O264" s="880"/>
      <c r="P264" s="58" t="str">
        <f>IF(N261&gt;0,"xx",IF(N261&gt;0,"xy",""))</f>
        <v/>
      </c>
      <c r="Q264" s="317" t="str">
        <f t="shared" si="16"/>
        <v/>
      </c>
      <c r="R264" s="317" t="str">
        <f t="shared" si="18"/>
        <v/>
      </c>
      <c r="S264" s="317" t="str">
        <f t="shared" si="19"/>
        <v/>
      </c>
      <c r="T264" s="317" t="str">
        <f>'REF. DE PREÇOS n editavel'!S264</f>
        <v/>
      </c>
      <c r="W264" s="577">
        <v>0</v>
      </c>
      <c r="X264" s="575"/>
      <c r="Y264" s="578">
        <f>IF('REF. DE PREÇOS n editavel'!W264=0,0,IF('REF. DE PREÇOS n editavel'!W264&gt;0,"c","b"))</f>
        <v>0</v>
      </c>
    </row>
    <row r="265" spans="1:25" ht="13.5" thickBot="1">
      <c r="A265" s="317">
        <v>589170</v>
      </c>
      <c r="B265" s="858" t="s">
        <v>1656</v>
      </c>
      <c r="C265" s="981" t="s">
        <v>213</v>
      </c>
      <c r="D265" s="982" t="s">
        <v>540</v>
      </c>
      <c r="E265" s="979">
        <f>'REF. DE PREÇOS n editavel'!E265</f>
        <v>468</v>
      </c>
      <c r="F265" s="980">
        <f>'REF. DE PREÇOS n editavel'!F265</f>
        <v>1</v>
      </c>
      <c r="G265" s="923">
        <f>'REF. DE PREÇOS n editavel'!G265</f>
        <v>434.57</v>
      </c>
      <c r="H265" s="962">
        <f>'REF. DE PREÇOS n editavel'!H265</f>
        <v>4031.59</v>
      </c>
      <c r="I265" s="962">
        <f>'REF. DE PREÇOS n editavel'!I265</f>
        <v>4339.4924693176235</v>
      </c>
      <c r="J265" s="865">
        <f>'REF. DE PREÇOS n editavel'!J265</f>
        <v>5303.73</v>
      </c>
      <c r="K265" s="964" t="s">
        <v>14</v>
      </c>
      <c r="L265" s="1109">
        <f>ROUND(L261*$F261,2)</f>
        <v>0</v>
      </c>
      <c r="M265" s="1111">
        <f t="shared" si="21"/>
        <v>0</v>
      </c>
      <c r="N265" s="967">
        <f t="shared" si="20"/>
        <v>0</v>
      </c>
      <c r="O265" s="880"/>
      <c r="P265" s="58" t="str">
        <f>IF(N261&gt;0,"xx",IF(N261&gt;0,"xy",""))</f>
        <v/>
      </c>
      <c r="Q265" s="317" t="str">
        <f t="shared" si="16"/>
        <v/>
      </c>
      <c r="R265" s="317" t="str">
        <f t="shared" si="18"/>
        <v/>
      </c>
      <c r="S265" s="317" t="str">
        <f t="shared" si="19"/>
        <v/>
      </c>
      <c r="T265" s="317" t="str">
        <f>'REF. DE PREÇOS n editavel'!S265</f>
        <v/>
      </c>
      <c r="W265" s="577">
        <v>0</v>
      </c>
      <c r="X265" s="575"/>
      <c r="Y265" s="578">
        <f>IF('REF. DE PREÇOS n editavel'!W265=0,0,IF('REF. DE PREÇOS n editavel'!W265&gt;0,"c","b"))</f>
        <v>0</v>
      </c>
    </row>
    <row r="266" spans="1:25">
      <c r="A266" s="317">
        <v>562200</v>
      </c>
      <c r="B266" s="973" t="s">
        <v>1622</v>
      </c>
      <c r="C266" s="974" t="s">
        <v>184</v>
      </c>
      <c r="D266" s="947" t="s">
        <v>545</v>
      </c>
      <c r="E266" s="948" t="str">
        <f>'REF. DE PREÇOS n editavel'!E266</f>
        <v>taxa RL</v>
      </c>
      <c r="F266" s="949">
        <f>'REF. DE PREÇOS n editavel'!F266</f>
        <v>2E-3</v>
      </c>
      <c r="G266" s="950">
        <f>'REF. DE PREÇOS n editavel'!G266</f>
        <v>2.0239042</v>
      </c>
      <c r="H266" s="951">
        <f>'REF. DE PREÇOS n editavel'!H266</f>
        <v>4.1100000000000003</v>
      </c>
      <c r="I266" s="951">
        <f>'REF. DE PREÇOS n editavel'!I266</f>
        <v>6.1339041999999999</v>
      </c>
      <c r="J266" s="952">
        <f>'REF. DE PREÇOS n editavel'!J266</f>
        <v>7.5</v>
      </c>
      <c r="K266" s="953" t="s">
        <v>12</v>
      </c>
      <c r="L266" s="1107"/>
      <c r="M266" s="1108">
        <f t="shared" si="21"/>
        <v>0</v>
      </c>
      <c r="N266" s="956">
        <f t="shared" si="20"/>
        <v>0</v>
      </c>
      <c r="O266" s="880"/>
      <c r="Q266" s="317" t="str">
        <f t="shared" si="16"/>
        <v/>
      </c>
      <c r="R266" s="317" t="str">
        <f t="shared" si="18"/>
        <v/>
      </c>
      <c r="S266" s="317" t="str">
        <f t="shared" si="19"/>
        <v/>
      </c>
      <c r="T266" s="317" t="str">
        <f>'REF. DE PREÇOS n editavel'!S266</f>
        <v/>
      </c>
      <c r="W266" s="577">
        <v>0</v>
      </c>
      <c r="X266" s="575"/>
      <c r="Y266" s="578">
        <f>IF('REF. DE PREÇOS n editavel'!W266=0,0,IF('REF. DE PREÇOS n editavel'!W266&gt;0,"c","b"))</f>
        <v>0</v>
      </c>
    </row>
    <row r="267" spans="1:25">
      <c r="A267" s="317" t="s">
        <v>147</v>
      </c>
      <c r="B267" s="870" t="s">
        <v>147</v>
      </c>
      <c r="C267" s="871"/>
      <c r="D267" s="975" t="s">
        <v>229</v>
      </c>
      <c r="E267" s="882">
        <f>'REF. DE PREÇOS n editavel'!E267</f>
        <v>290</v>
      </c>
      <c r="F267" s="976" t="str">
        <f>'REF. DE PREÇOS n editavel'!F267</f>
        <v>0,0062</v>
      </c>
      <c r="G267" s="923">
        <f>'REF. DE PREÇOS n editavel'!G267</f>
        <v>1.9404760000000001</v>
      </c>
      <c r="H267" s="876">
        <f>'REF. DE PREÇOS n editavel'!H267</f>
        <v>0</v>
      </c>
      <c r="I267" s="876">
        <f>'REF. DE PREÇOS n editavel'!I267</f>
        <v>0</v>
      </c>
      <c r="J267" s="877">
        <f>'REF. DE PREÇOS n editavel'!J267</f>
        <v>0</v>
      </c>
      <c r="K267" s="878"/>
      <c r="L267" s="977"/>
      <c r="M267" s="1112">
        <f t="shared" si="21"/>
        <v>0</v>
      </c>
      <c r="N267" s="868">
        <f t="shared" si="20"/>
        <v>0</v>
      </c>
      <c r="O267" s="880"/>
      <c r="P267" s="58" t="str">
        <f>IF(N266&gt;0,"xx",IF(N266&gt;0,"xy",""))</f>
        <v/>
      </c>
      <c r="Q267" s="317" t="str">
        <f t="shared" si="16"/>
        <v/>
      </c>
      <c r="R267" s="317" t="str">
        <f t="shared" si="18"/>
        <v/>
      </c>
      <c r="S267" s="317" t="str">
        <f t="shared" si="19"/>
        <v/>
      </c>
      <c r="T267" s="317" t="str">
        <f>'REF. DE PREÇOS n editavel'!S267</f>
        <v/>
      </c>
      <c r="W267" s="577">
        <v>0</v>
      </c>
      <c r="X267" s="575"/>
      <c r="Y267" s="578">
        <f>IF('REF. DE PREÇOS n editavel'!W267=0,0,IF('REF. DE PREÇOS n editavel'!W267&gt;0,"c","b"))</f>
        <v>0</v>
      </c>
    </row>
    <row r="268" spans="1:25">
      <c r="A268" s="317" t="s">
        <v>147</v>
      </c>
      <c r="B268" s="870" t="s">
        <v>147</v>
      </c>
      <c r="C268" s="871"/>
      <c r="D268" s="975" t="s">
        <v>230</v>
      </c>
      <c r="E268" s="882">
        <f>'REF. DE PREÇOS n editavel'!E268</f>
        <v>445</v>
      </c>
      <c r="F268" s="976" t="str">
        <f>'REF. DE PREÇOS n editavel'!F268</f>
        <v>0,0002</v>
      </c>
      <c r="G268" s="884">
        <f>'REF. DE PREÇOS n editavel'!G268</f>
        <v>7.0984000000000005E-2</v>
      </c>
      <c r="H268" s="876">
        <f>'REF. DE PREÇOS n editavel'!H268</f>
        <v>0</v>
      </c>
      <c r="I268" s="876">
        <f>'REF. DE PREÇOS n editavel'!I268</f>
        <v>0</v>
      </c>
      <c r="J268" s="877">
        <f>'REF. DE PREÇOS n editavel'!J268</f>
        <v>0</v>
      </c>
      <c r="K268" s="878" t="s">
        <v>506</v>
      </c>
      <c r="L268" s="977"/>
      <c r="M268" s="1112">
        <f t="shared" si="21"/>
        <v>0</v>
      </c>
      <c r="N268" s="868">
        <f t="shared" si="20"/>
        <v>0</v>
      </c>
      <c r="O268" s="880"/>
      <c r="P268" s="58" t="str">
        <f>IF(N266&gt;0,"xx",IF(N266&gt;0,"xy",""))</f>
        <v/>
      </c>
      <c r="Q268" s="317" t="str">
        <f t="shared" si="16"/>
        <v/>
      </c>
      <c r="R268" s="317" t="str">
        <f t="shared" si="18"/>
        <v/>
      </c>
      <c r="S268" s="317" t="str">
        <f t="shared" si="19"/>
        <v/>
      </c>
      <c r="T268" s="317" t="str">
        <f>'REF. DE PREÇOS n editavel'!S268</f>
        <v/>
      </c>
      <c r="W268" s="577">
        <v>0</v>
      </c>
      <c r="X268" s="575"/>
      <c r="Y268" s="578">
        <f>IF('REF. DE PREÇOS n editavel'!W268=0,0,IF('REF. DE PREÇOS n editavel'!W268&gt;0,"c","b"))</f>
        <v>0</v>
      </c>
    </row>
    <row r="269" spans="1:25">
      <c r="A269" s="317" t="s">
        <v>147</v>
      </c>
      <c r="B269" s="870" t="s">
        <v>147</v>
      </c>
      <c r="C269" s="871"/>
      <c r="D269" s="931" t="s">
        <v>231</v>
      </c>
      <c r="E269" s="882">
        <f>'REF. DE PREÇOS n editavel'!E269</f>
        <v>0.2</v>
      </c>
      <c r="F269" s="883" t="str">
        <f>'REF. DE PREÇOS n editavel'!F269</f>
        <v>0,0043</v>
      </c>
      <c r="G269" s="923">
        <f>'REF. DE PREÇOS n editavel'!G269</f>
        <v>1.2444200000000001E-2</v>
      </c>
      <c r="H269" s="876">
        <f>'REF. DE PREÇOS n editavel'!H269</f>
        <v>0</v>
      </c>
      <c r="I269" s="876">
        <f>'REF. DE PREÇOS n editavel'!I269</f>
        <v>0</v>
      </c>
      <c r="J269" s="877">
        <f>'REF. DE PREÇOS n editavel'!J269</f>
        <v>0</v>
      </c>
      <c r="K269" s="878" t="s">
        <v>506</v>
      </c>
      <c r="L269" s="977"/>
      <c r="M269" s="1112">
        <f t="shared" si="21"/>
        <v>0</v>
      </c>
      <c r="N269" s="868">
        <f t="shared" si="20"/>
        <v>0</v>
      </c>
      <c r="O269" s="880"/>
      <c r="P269" s="58" t="str">
        <f>IF(N266&gt;0,"xx",IF(N266&gt;0,"xy",""))</f>
        <v/>
      </c>
      <c r="Q269" s="317" t="str">
        <f t="shared" si="16"/>
        <v/>
      </c>
      <c r="R269" s="317" t="str">
        <f t="shared" si="18"/>
        <v/>
      </c>
      <c r="S269" s="317" t="str">
        <f t="shared" si="19"/>
        <v/>
      </c>
      <c r="T269" s="317" t="str">
        <f>'REF. DE PREÇOS n editavel'!S269</f>
        <v/>
      </c>
      <c r="W269" s="577">
        <v>0</v>
      </c>
      <c r="X269" s="575"/>
      <c r="Y269" s="578">
        <f>IF('REF. DE PREÇOS n editavel'!W269=0,0,IF('REF. DE PREÇOS n editavel'!W269&gt;0,"c","b"))</f>
        <v>0</v>
      </c>
    </row>
    <row r="270" spans="1:25" ht="13.5" thickBot="1">
      <c r="A270" s="317">
        <v>589170</v>
      </c>
      <c r="B270" s="858" t="s">
        <v>1657</v>
      </c>
      <c r="C270" s="981" t="s">
        <v>213</v>
      </c>
      <c r="D270" s="982" t="s">
        <v>541</v>
      </c>
      <c r="E270" s="979">
        <f>'REF. DE PREÇOS n editavel'!E270</f>
        <v>468</v>
      </c>
      <c r="F270" s="980">
        <f>'REF. DE PREÇOS n editavel'!F270</f>
        <v>1</v>
      </c>
      <c r="G270" s="923">
        <f>'REF. DE PREÇOS n editavel'!G270</f>
        <v>434.57</v>
      </c>
      <c r="H270" s="962">
        <f>'REF. DE PREÇOS n editavel'!H270</f>
        <v>4031.59</v>
      </c>
      <c r="I270" s="962">
        <f>'REF. DE PREÇOS n editavel'!I270</f>
        <v>4339.4924693176235</v>
      </c>
      <c r="J270" s="865">
        <f>'REF. DE PREÇOS n editavel'!J270</f>
        <v>5303.73</v>
      </c>
      <c r="K270" s="964" t="s">
        <v>14</v>
      </c>
      <c r="L270" s="1109">
        <f>ROUND(L266*$F266,2)</f>
        <v>0</v>
      </c>
      <c r="M270" s="1111">
        <f t="shared" si="21"/>
        <v>0</v>
      </c>
      <c r="N270" s="967">
        <f t="shared" si="20"/>
        <v>0</v>
      </c>
      <c r="O270" s="880"/>
      <c r="P270" s="58" t="str">
        <f>IF(N266&gt;0,"xx",IF(N266&gt;0,"xy",""))</f>
        <v/>
      </c>
      <c r="Q270" s="317" t="str">
        <f t="shared" si="16"/>
        <v/>
      </c>
      <c r="R270" s="317" t="str">
        <f t="shared" si="18"/>
        <v/>
      </c>
      <c r="S270" s="317" t="str">
        <f t="shared" si="19"/>
        <v/>
      </c>
      <c r="T270" s="317" t="str">
        <f>'REF. DE PREÇOS n editavel'!S270</f>
        <v/>
      </c>
      <c r="W270" s="577">
        <v>0</v>
      </c>
      <c r="X270" s="575"/>
      <c r="Y270" s="578">
        <f>IF('REF. DE PREÇOS n editavel'!W270=0,0,IF('REF. DE PREÇOS n editavel'!W270&gt;0,"c","b"))</f>
        <v>0</v>
      </c>
    </row>
    <row r="271" spans="1:25">
      <c r="A271" s="317">
        <v>562200</v>
      </c>
      <c r="B271" s="973" t="s">
        <v>1623</v>
      </c>
      <c r="C271" s="974" t="s">
        <v>184</v>
      </c>
      <c r="D271" s="947" t="s">
        <v>543</v>
      </c>
      <c r="E271" s="948" t="str">
        <f>'REF. DE PREÇOS n editavel'!E271</f>
        <v>taxa RL</v>
      </c>
      <c r="F271" s="949">
        <f>'REF. DE PREÇOS n editavel'!F271</f>
        <v>2.5999999999999999E-3</v>
      </c>
      <c r="G271" s="950">
        <f>'REF. DE PREÇOS n editavel'!G271</f>
        <v>3.8901608000000003</v>
      </c>
      <c r="H271" s="951">
        <f>'REF. DE PREÇOS n editavel'!H271</f>
        <v>4.1100000000000003</v>
      </c>
      <c r="I271" s="951">
        <f>'REF. DE PREÇOS n editavel'!I271</f>
        <v>8.0001607999999997</v>
      </c>
      <c r="J271" s="952">
        <f>'REF. DE PREÇOS n editavel'!J271</f>
        <v>9.7799999999999994</v>
      </c>
      <c r="K271" s="953" t="s">
        <v>12</v>
      </c>
      <c r="L271" s="1107"/>
      <c r="M271" s="1108">
        <f t="shared" si="21"/>
        <v>0</v>
      </c>
      <c r="N271" s="956">
        <f t="shared" si="20"/>
        <v>0</v>
      </c>
      <c r="O271" s="880"/>
      <c r="Q271" s="317" t="str">
        <f t="shared" si="16"/>
        <v/>
      </c>
      <c r="R271" s="317" t="str">
        <f t="shared" si="18"/>
        <v/>
      </c>
      <c r="S271" s="317" t="str">
        <f t="shared" si="19"/>
        <v/>
      </c>
      <c r="T271" s="317" t="str">
        <f>'REF. DE PREÇOS n editavel'!S271</f>
        <v/>
      </c>
      <c r="W271" s="577">
        <v>0</v>
      </c>
      <c r="X271" s="575"/>
      <c r="Y271" s="578">
        <f>IF('REF. DE PREÇOS n editavel'!W271=0,0,IF('REF. DE PREÇOS n editavel'!W271&gt;0,"c","b"))</f>
        <v>0</v>
      </c>
    </row>
    <row r="272" spans="1:25">
      <c r="A272" s="317" t="s">
        <v>147</v>
      </c>
      <c r="B272" s="870" t="s">
        <v>147</v>
      </c>
      <c r="C272" s="871"/>
      <c r="D272" s="975" t="s">
        <v>229</v>
      </c>
      <c r="E272" s="882">
        <f>'REF. DE PREÇOS n editavel'!E272</f>
        <v>290</v>
      </c>
      <c r="F272" s="976" t="str">
        <f>'REF. DE PREÇOS n editavel'!F272</f>
        <v>0,0119</v>
      </c>
      <c r="G272" s="923">
        <f>'REF. DE PREÇOS n editavel'!G272</f>
        <v>3.7244620000000004</v>
      </c>
      <c r="H272" s="876">
        <f>'REF. DE PREÇOS n editavel'!H272</f>
        <v>0</v>
      </c>
      <c r="I272" s="876">
        <f>'REF. DE PREÇOS n editavel'!I272</f>
        <v>0</v>
      </c>
      <c r="J272" s="877">
        <f>'REF. DE PREÇOS n editavel'!J272</f>
        <v>0</v>
      </c>
      <c r="K272" s="878" t="s">
        <v>506</v>
      </c>
      <c r="L272" s="1113"/>
      <c r="M272" s="1112">
        <f>IF(L271=0,0,ROUND(J272,2))</f>
        <v>0</v>
      </c>
      <c r="N272" s="868">
        <f t="shared" si="20"/>
        <v>0</v>
      </c>
      <c r="O272" s="880"/>
      <c r="P272" s="58" t="str">
        <f>IF(N271&gt;0,"xx",IF(N271&gt;0,"xy",""))</f>
        <v/>
      </c>
      <c r="Q272" s="317" t="str">
        <f t="shared" si="16"/>
        <v/>
      </c>
      <c r="R272" s="317" t="str">
        <f t="shared" si="18"/>
        <v/>
      </c>
      <c r="S272" s="317" t="str">
        <f t="shared" si="19"/>
        <v/>
      </c>
      <c r="T272" s="317" t="str">
        <f>'REF. DE PREÇOS n editavel'!S272</f>
        <v/>
      </c>
      <c r="W272" s="577">
        <v>0</v>
      </c>
      <c r="X272" s="575"/>
      <c r="Y272" s="578">
        <f>IF('REF. DE PREÇOS n editavel'!W272=0,0,IF('REF. DE PREÇOS n editavel'!W272&gt;0,"c","b"))</f>
        <v>0</v>
      </c>
    </row>
    <row r="273" spans="1:25">
      <c r="A273" s="317" t="s">
        <v>147</v>
      </c>
      <c r="B273" s="870" t="s">
        <v>147</v>
      </c>
      <c r="C273" s="871"/>
      <c r="D273" s="975" t="s">
        <v>230</v>
      </c>
      <c r="E273" s="882">
        <f>'REF. DE PREÇOS n editavel'!E273</f>
        <v>445</v>
      </c>
      <c r="F273" s="976" t="str">
        <f>'REF. DE PREÇOS n editavel'!F273</f>
        <v>0,0004</v>
      </c>
      <c r="G273" s="884">
        <f>'REF. DE PREÇOS n editavel'!G273</f>
        <v>0.14196800000000001</v>
      </c>
      <c r="H273" s="876">
        <f>'REF. DE PREÇOS n editavel'!H273</f>
        <v>0</v>
      </c>
      <c r="I273" s="876">
        <f>'REF. DE PREÇOS n editavel'!I273</f>
        <v>0</v>
      </c>
      <c r="J273" s="877">
        <f>'REF. DE PREÇOS n editavel'!J273</f>
        <v>0</v>
      </c>
      <c r="K273" s="878" t="s">
        <v>506</v>
      </c>
      <c r="L273" s="977"/>
      <c r="M273" s="1112">
        <f t="shared" ref="M273:M336" si="22">IF(L273=0,0,ROUND(J273,2))</f>
        <v>0</v>
      </c>
      <c r="N273" s="868">
        <f t="shared" si="20"/>
        <v>0</v>
      </c>
      <c r="O273" s="880"/>
      <c r="P273" s="58" t="str">
        <f>IF(N271&gt;0,"xx",IF(N271&gt;0,"xy",""))</f>
        <v/>
      </c>
      <c r="Q273" s="317" t="str">
        <f t="shared" si="16"/>
        <v/>
      </c>
      <c r="R273" s="317" t="str">
        <f t="shared" si="18"/>
        <v/>
      </c>
      <c r="S273" s="317" t="str">
        <f t="shared" si="19"/>
        <v/>
      </c>
      <c r="T273" s="317" t="str">
        <f>'REF. DE PREÇOS n editavel'!S273</f>
        <v/>
      </c>
      <c r="W273" s="577">
        <v>0</v>
      </c>
      <c r="X273" s="575"/>
      <c r="Y273" s="578">
        <f>IF('REF. DE PREÇOS n editavel'!W273=0,0,IF('REF. DE PREÇOS n editavel'!W273&gt;0,"c","b"))</f>
        <v>0</v>
      </c>
    </row>
    <row r="274" spans="1:25">
      <c r="A274" s="317" t="s">
        <v>147</v>
      </c>
      <c r="B274" s="870" t="s">
        <v>147</v>
      </c>
      <c r="C274" s="871"/>
      <c r="D274" s="931" t="s">
        <v>231</v>
      </c>
      <c r="E274" s="882">
        <f>'REF. DE PREÇOS n editavel'!E274</f>
        <v>0.2</v>
      </c>
      <c r="F274" s="883" t="str">
        <f>'REF. DE PREÇOS n editavel'!F274</f>
        <v>0,0082</v>
      </c>
      <c r="G274" s="923">
        <f>'REF. DE PREÇOS n editavel'!G274</f>
        <v>2.3730800000000003E-2</v>
      </c>
      <c r="H274" s="876">
        <f>'REF. DE PREÇOS n editavel'!H274</f>
        <v>0</v>
      </c>
      <c r="I274" s="876">
        <f>'REF. DE PREÇOS n editavel'!I274</f>
        <v>0</v>
      </c>
      <c r="J274" s="877">
        <f>'REF. DE PREÇOS n editavel'!J274</f>
        <v>0</v>
      </c>
      <c r="K274" s="878" t="s">
        <v>506</v>
      </c>
      <c r="L274" s="977"/>
      <c r="M274" s="1112">
        <f t="shared" si="22"/>
        <v>0</v>
      </c>
      <c r="N274" s="868">
        <f t="shared" si="20"/>
        <v>0</v>
      </c>
      <c r="O274" s="880"/>
      <c r="P274" s="58" t="str">
        <f>IF(N271&gt;0,"xx",IF(N271&gt;0,"xy",""))</f>
        <v/>
      </c>
      <c r="Q274" s="317" t="str">
        <f t="shared" si="16"/>
        <v/>
      </c>
      <c r="R274" s="317" t="str">
        <f t="shared" si="18"/>
        <v/>
      </c>
      <c r="S274" s="317" t="str">
        <f t="shared" si="19"/>
        <v/>
      </c>
      <c r="T274" s="317" t="str">
        <f>'REF. DE PREÇOS n editavel'!S274</f>
        <v/>
      </c>
      <c r="W274" s="577">
        <v>0</v>
      </c>
      <c r="X274" s="575"/>
      <c r="Y274" s="578">
        <f>IF('REF. DE PREÇOS n editavel'!W274=0,0,IF('REF. DE PREÇOS n editavel'!W274&gt;0,"c","b"))</f>
        <v>0</v>
      </c>
    </row>
    <row r="275" spans="1:25" ht="13.5" thickBot="1">
      <c r="A275" s="317">
        <v>589170</v>
      </c>
      <c r="B275" s="983" t="s">
        <v>1658</v>
      </c>
      <c r="C275" s="958" t="s">
        <v>213</v>
      </c>
      <c r="D275" s="984" t="s">
        <v>542</v>
      </c>
      <c r="E275" s="979">
        <f>'REF. DE PREÇOS n editavel'!E275</f>
        <v>468</v>
      </c>
      <c r="F275" s="980">
        <f>'REF. DE PREÇOS n editavel'!F275</f>
        <v>1</v>
      </c>
      <c r="G275" s="923">
        <f>'REF. DE PREÇOS n editavel'!G275</f>
        <v>434.57</v>
      </c>
      <c r="H275" s="962">
        <f>'REF. DE PREÇOS n editavel'!H275</f>
        <v>4031.59</v>
      </c>
      <c r="I275" s="962">
        <f>'REF. DE PREÇOS n editavel'!I275</f>
        <v>4339.4924693176235</v>
      </c>
      <c r="J275" s="985">
        <f>'REF. DE PREÇOS n editavel'!J275</f>
        <v>5303.73</v>
      </c>
      <c r="K275" s="964" t="s">
        <v>14</v>
      </c>
      <c r="L275" s="1109">
        <f>ROUND(L271*$F271,2)</f>
        <v>0</v>
      </c>
      <c r="M275" s="1110">
        <f t="shared" si="22"/>
        <v>0</v>
      </c>
      <c r="N275" s="967">
        <f t="shared" si="20"/>
        <v>0</v>
      </c>
      <c r="O275" s="880"/>
      <c r="P275" s="58" t="str">
        <f>IF(N271&gt;0,"xx",IF(N271&gt;0,"xy",""))</f>
        <v/>
      </c>
      <c r="Q275" s="317" t="str">
        <f t="shared" ref="Q275:Q338" si="23">IF(P275="X","x",IF(P275="xx","x",IF(P275="xy","x",IF(P275="y","x",IF(OR(N275&gt;0,N275&gt;0),"x","")))))</f>
        <v/>
      </c>
      <c r="R275" s="317" t="str">
        <f t="shared" si="18"/>
        <v/>
      </c>
      <c r="S275" s="317" t="str">
        <f t="shared" si="19"/>
        <v/>
      </c>
      <c r="T275" s="317" t="str">
        <f>'REF. DE PREÇOS n editavel'!S275</f>
        <v/>
      </c>
      <c r="W275" s="577">
        <v>0</v>
      </c>
      <c r="X275" s="575"/>
      <c r="Y275" s="578">
        <f>IF('REF. DE PREÇOS n editavel'!W275=0,0,IF('REF. DE PREÇOS n editavel'!W275&gt;0,"c","b"))</f>
        <v>0</v>
      </c>
    </row>
    <row r="276" spans="1:25">
      <c r="A276" s="317">
        <v>587000</v>
      </c>
      <c r="B276" s="973">
        <v>587000</v>
      </c>
      <c r="C276" s="974" t="s">
        <v>184</v>
      </c>
      <c r="D276" s="947" t="s">
        <v>232</v>
      </c>
      <c r="E276" s="948" t="str">
        <f>'REF. DE PREÇOS n editavel'!E276</f>
        <v>taxa RR-2C</v>
      </c>
      <c r="F276" s="949">
        <f>'REF. DE PREÇOS n editavel'!F276</f>
        <v>1.5E-3</v>
      </c>
      <c r="G276" s="950">
        <f>'REF. DE PREÇOS n editavel'!G276</f>
        <v>0.73195500000000002</v>
      </c>
      <c r="H276" s="951">
        <f>'REF. DE PREÇOS n editavel'!H276</f>
        <v>4.53</v>
      </c>
      <c r="I276" s="951">
        <f>'REF. DE PREÇOS n editavel'!I276</f>
        <v>5.2619550000000004</v>
      </c>
      <c r="J276" s="952">
        <f>'REF. DE PREÇOS n editavel'!J276</f>
        <v>6.43</v>
      </c>
      <c r="K276" s="953" t="s">
        <v>12</v>
      </c>
      <c r="L276" s="1107"/>
      <c r="M276" s="1108">
        <f t="shared" si="22"/>
        <v>0</v>
      </c>
      <c r="N276" s="956">
        <f t="shared" si="20"/>
        <v>0</v>
      </c>
      <c r="O276" s="880"/>
      <c r="Q276" s="317" t="str">
        <f t="shared" si="23"/>
        <v/>
      </c>
      <c r="R276" s="317" t="str">
        <f t="shared" si="18"/>
        <v/>
      </c>
      <c r="S276" s="317" t="str">
        <f t="shared" si="19"/>
        <v/>
      </c>
      <c r="T276" s="317" t="str">
        <f>'REF. DE PREÇOS n editavel'!S276</f>
        <v/>
      </c>
      <c r="W276" s="577">
        <v>0</v>
      </c>
      <c r="X276" s="575"/>
      <c r="Y276" s="578">
        <f>IF('REF. DE PREÇOS n editavel'!W276=0,0,IF('REF. DE PREÇOS n editavel'!W276&gt;0,"c","b"))</f>
        <v>0</v>
      </c>
    </row>
    <row r="277" spans="1:25">
      <c r="A277" s="317" t="s">
        <v>147</v>
      </c>
      <c r="B277" s="870" t="s">
        <v>147</v>
      </c>
      <c r="C277" s="871"/>
      <c r="D277" s="931" t="s">
        <v>233</v>
      </c>
      <c r="E277" s="873">
        <f>'REF. DE PREÇOS n editavel'!E277</f>
        <v>43.1</v>
      </c>
      <c r="F277" s="874">
        <f>'REF. DE PREÇOS n editavel'!F277</f>
        <v>1.4999999999999999E-2</v>
      </c>
      <c r="G277" s="923">
        <f>'REF. DE PREÇOS n editavel'!G277</f>
        <v>0.73195500000000002</v>
      </c>
      <c r="H277" s="876">
        <f>'REF. DE PREÇOS n editavel'!H277</f>
        <v>0</v>
      </c>
      <c r="I277" s="876">
        <f>'REF. DE PREÇOS n editavel'!I277</f>
        <v>0</v>
      </c>
      <c r="J277" s="877">
        <f>'REF. DE PREÇOS n editavel'!J277</f>
        <v>0</v>
      </c>
      <c r="K277" s="878" t="s">
        <v>506</v>
      </c>
      <c r="L277" s="977"/>
      <c r="M277" s="1112">
        <f t="shared" si="22"/>
        <v>0</v>
      </c>
      <c r="N277" s="868">
        <f t="shared" si="20"/>
        <v>0</v>
      </c>
      <c r="O277" s="880"/>
      <c r="P277" s="58" t="str">
        <f>IF(N276&gt;0,"xx",IF(N276&gt;0,"xy",""))</f>
        <v/>
      </c>
      <c r="Q277" s="317" t="str">
        <f t="shared" si="23"/>
        <v/>
      </c>
      <c r="R277" s="317" t="str">
        <f t="shared" ref="R277:R340" si="24">IF(P277="X","x",IF(P277="y","x",IF(P277="xx","x",IF(N277&gt;0,"x",""))))</f>
        <v/>
      </c>
      <c r="S277" s="317" t="str">
        <f t="shared" ref="S277:S340" si="25">IF(P277="X","x",IF(N277&gt;0,"x",""))</f>
        <v/>
      </c>
      <c r="T277" s="317" t="str">
        <f>'REF. DE PREÇOS n editavel'!S277</f>
        <v/>
      </c>
      <c r="W277" s="577">
        <v>0</v>
      </c>
      <c r="X277" s="575"/>
      <c r="Y277" s="578">
        <f>IF('REF. DE PREÇOS n editavel'!W277=0,0,IF('REF. DE PREÇOS n editavel'!W277&gt;0,"c","b"))</f>
        <v>0</v>
      </c>
    </row>
    <row r="278" spans="1:25" ht="13.5" thickBot="1">
      <c r="A278" s="317">
        <v>589520</v>
      </c>
      <c r="B278" s="978" t="s">
        <v>1646</v>
      </c>
      <c r="C278" s="958" t="s">
        <v>213</v>
      </c>
      <c r="D278" s="986" t="s">
        <v>546</v>
      </c>
      <c r="E278" s="979">
        <f>'REF. DE PREÇOS n editavel'!E278</f>
        <v>468</v>
      </c>
      <c r="F278" s="980">
        <f>'REF. DE PREÇOS n editavel'!F278</f>
        <v>1</v>
      </c>
      <c r="G278" s="923">
        <f>'REF. DE PREÇOS n editavel'!G278</f>
        <v>434.57</v>
      </c>
      <c r="H278" s="962">
        <f>'REF. DE PREÇOS n editavel'!H278</f>
        <v>4164.04</v>
      </c>
      <c r="I278" s="962">
        <f>'REF. DE PREÇOS n editavel'!I278</f>
        <v>4467.7810554737362</v>
      </c>
      <c r="J278" s="963">
        <f>'REF. DE PREÇOS n editavel'!J278</f>
        <v>5460.52</v>
      </c>
      <c r="K278" s="964" t="s">
        <v>14</v>
      </c>
      <c r="L278" s="1109">
        <f>ROUND(L276*$F276,2)</f>
        <v>0</v>
      </c>
      <c r="M278" s="1114">
        <f t="shared" si="22"/>
        <v>0</v>
      </c>
      <c r="N278" s="967">
        <f t="shared" si="20"/>
        <v>0</v>
      </c>
      <c r="O278" s="880"/>
      <c r="P278" s="58" t="str">
        <f>IF(N276&gt;0,"xx",IF(N276&gt;0,"xy",""))</f>
        <v/>
      </c>
      <c r="Q278" s="317" t="str">
        <f t="shared" si="23"/>
        <v/>
      </c>
      <c r="R278" s="317" t="str">
        <f t="shared" si="24"/>
        <v/>
      </c>
      <c r="S278" s="317" t="str">
        <f t="shared" si="25"/>
        <v/>
      </c>
      <c r="T278" s="317" t="str">
        <f>'REF. DE PREÇOS n editavel'!S278</f>
        <v/>
      </c>
      <c r="W278" s="577">
        <v>0</v>
      </c>
      <c r="X278" s="575"/>
      <c r="Y278" s="578">
        <f>IF('REF. DE PREÇOS n editavel'!W278=0,0,IF('REF. DE PREÇOS n editavel'!W278&gt;0,"c","b"))</f>
        <v>0</v>
      </c>
    </row>
    <row r="279" spans="1:25">
      <c r="A279" s="317">
        <v>583100</v>
      </c>
      <c r="B279" s="973" t="s">
        <v>1624</v>
      </c>
      <c r="C279" s="974" t="s">
        <v>184</v>
      </c>
      <c r="D279" s="988" t="s">
        <v>234</v>
      </c>
      <c r="E279" s="948" t="str">
        <f>'REF. DE PREÇOS n editavel'!E279</f>
        <v>taxa RR-2C</v>
      </c>
      <c r="F279" s="949">
        <f>'REF. DE PREÇOS n editavel'!F279</f>
        <v>3.0999999999999999E-3</v>
      </c>
      <c r="G279" s="950">
        <f>'REF. DE PREÇOS n editavel'!G279</f>
        <v>1.2833611</v>
      </c>
      <c r="H279" s="951">
        <f>'REF. DE PREÇOS n editavel'!H279</f>
        <v>6.82</v>
      </c>
      <c r="I279" s="951">
        <f>'REF. DE PREÇOS n editavel'!I279</f>
        <v>8.1033611000000008</v>
      </c>
      <c r="J279" s="952">
        <f>'REF. DE PREÇOS n editavel'!J279</f>
        <v>9.9</v>
      </c>
      <c r="K279" s="953" t="s">
        <v>12</v>
      </c>
      <c r="L279" s="1107"/>
      <c r="M279" s="1108">
        <f t="shared" si="22"/>
        <v>0</v>
      </c>
      <c r="N279" s="956">
        <f t="shared" si="20"/>
        <v>0</v>
      </c>
      <c r="O279" s="880"/>
      <c r="Q279" s="317" t="str">
        <f t="shared" si="23"/>
        <v/>
      </c>
      <c r="R279" s="317" t="str">
        <f t="shared" si="24"/>
        <v/>
      </c>
      <c r="S279" s="317" t="str">
        <f t="shared" si="25"/>
        <v/>
      </c>
      <c r="T279" s="317" t="str">
        <f>'REF. DE PREÇOS n editavel'!S279</f>
        <v/>
      </c>
      <c r="W279" s="577">
        <v>0</v>
      </c>
      <c r="X279" s="575"/>
      <c r="Y279" s="578">
        <f>IF('REF. DE PREÇOS n editavel'!W279=0,0,IF('REF. DE PREÇOS n editavel'!W279&gt;0,"c","b"))</f>
        <v>0</v>
      </c>
    </row>
    <row r="280" spans="1:25">
      <c r="A280" s="317" t="s">
        <v>147</v>
      </c>
      <c r="B280" s="870" t="s">
        <v>147</v>
      </c>
      <c r="C280" s="871"/>
      <c r="D280" s="989" t="s">
        <v>233</v>
      </c>
      <c r="E280" s="873">
        <f>'REF. DE PREÇOS n editavel'!E280</f>
        <v>43.1</v>
      </c>
      <c r="F280" s="883">
        <f>'REF. DE PREÇOS n editavel'!F280</f>
        <v>2.63E-2</v>
      </c>
      <c r="G280" s="923">
        <f>'REF. DE PREÇOS n editavel'!G280</f>
        <v>1.2833611</v>
      </c>
      <c r="H280" s="876">
        <f>'REF. DE PREÇOS n editavel'!H280</f>
        <v>0</v>
      </c>
      <c r="I280" s="876">
        <f>'REF. DE PREÇOS n editavel'!I280</f>
        <v>0</v>
      </c>
      <c r="J280" s="877">
        <f>'REF. DE PREÇOS n editavel'!J280</f>
        <v>0</v>
      </c>
      <c r="K280" s="878" t="s">
        <v>506</v>
      </c>
      <c r="L280" s="977"/>
      <c r="M280" s="1112">
        <f t="shared" si="22"/>
        <v>0</v>
      </c>
      <c r="N280" s="868">
        <f t="shared" si="20"/>
        <v>0</v>
      </c>
      <c r="O280" s="880"/>
      <c r="P280" s="58" t="str">
        <f>IF(N279&gt;0,"xx",IF(N279&gt;0,"xy",""))</f>
        <v/>
      </c>
      <c r="Q280" s="317" t="str">
        <f t="shared" si="23"/>
        <v/>
      </c>
      <c r="R280" s="317" t="str">
        <f t="shared" si="24"/>
        <v/>
      </c>
      <c r="S280" s="317" t="str">
        <f t="shared" si="25"/>
        <v/>
      </c>
      <c r="T280" s="317" t="str">
        <f>'REF. DE PREÇOS n editavel'!S280</f>
        <v/>
      </c>
      <c r="W280" s="577">
        <v>0</v>
      </c>
      <c r="X280" s="575"/>
      <c r="Y280" s="578">
        <f>IF('REF. DE PREÇOS n editavel'!W280=0,0,IF('REF. DE PREÇOS n editavel'!W280&gt;0,"c","b"))</f>
        <v>0</v>
      </c>
    </row>
    <row r="281" spans="1:25" ht="13.5" thickBot="1">
      <c r="A281" s="317">
        <v>589520</v>
      </c>
      <c r="B281" s="978" t="s">
        <v>1647</v>
      </c>
      <c r="C281" s="958" t="s">
        <v>213</v>
      </c>
      <c r="D281" s="990" t="s">
        <v>551</v>
      </c>
      <c r="E281" s="979">
        <f>'REF. DE PREÇOS n editavel'!E281</f>
        <v>468</v>
      </c>
      <c r="F281" s="980">
        <f>'REF. DE PREÇOS n editavel'!F281</f>
        <v>1</v>
      </c>
      <c r="G281" s="923">
        <f>'REF. DE PREÇOS n editavel'!G281</f>
        <v>434.57</v>
      </c>
      <c r="H281" s="962">
        <f>'REF. DE PREÇOS n editavel'!H281</f>
        <v>4164.04</v>
      </c>
      <c r="I281" s="962">
        <f>'REF. DE PREÇOS n editavel'!I281</f>
        <v>4467.7810554737362</v>
      </c>
      <c r="J281" s="963">
        <f>'REF. DE PREÇOS n editavel'!J281</f>
        <v>5460.52</v>
      </c>
      <c r="K281" s="964" t="s">
        <v>14</v>
      </c>
      <c r="L281" s="1109">
        <f>ROUND(L279*$F279,2)</f>
        <v>0</v>
      </c>
      <c r="M281" s="1114">
        <f t="shared" si="22"/>
        <v>0</v>
      </c>
      <c r="N281" s="967">
        <f t="shared" ref="N281:N344" si="26">IF(ISBLANK(L281),0,IF(W281=0,ROUND(L281*M281,2),IF(W281="b",ROUNDDOWN(L281*M281,2),ROUNDUP(L281*M281,2))))</f>
        <v>0</v>
      </c>
      <c r="O281" s="880"/>
      <c r="P281" s="58" t="str">
        <f>IF(N279&gt;0,"xx",IF(N279&gt;0,"xy",""))</f>
        <v/>
      </c>
      <c r="Q281" s="317" t="str">
        <f t="shared" si="23"/>
        <v/>
      </c>
      <c r="R281" s="317" t="str">
        <f t="shared" si="24"/>
        <v/>
      </c>
      <c r="S281" s="317" t="str">
        <f t="shared" si="25"/>
        <v/>
      </c>
      <c r="T281" s="317" t="str">
        <f>'REF. DE PREÇOS n editavel'!S281</f>
        <v/>
      </c>
      <c r="W281" s="577">
        <v>0</v>
      </c>
      <c r="X281" s="575"/>
      <c r="Y281" s="578">
        <f>IF('REF. DE PREÇOS n editavel'!W281=0,0,IF('REF. DE PREÇOS n editavel'!W281&gt;0,"c","b"))</f>
        <v>0</v>
      </c>
    </row>
    <row r="282" spans="1:25">
      <c r="A282" s="317">
        <v>583100</v>
      </c>
      <c r="B282" s="973" t="s">
        <v>1625</v>
      </c>
      <c r="C282" s="974" t="s">
        <v>184</v>
      </c>
      <c r="D282" s="988" t="s">
        <v>235</v>
      </c>
      <c r="E282" s="948" t="str">
        <f>'REF. DE PREÇOS n editavel'!E282</f>
        <v>taxa RR-2C</v>
      </c>
      <c r="F282" s="949">
        <f>'REF. DE PREÇOS n editavel'!F282</f>
        <v>3.3999999999999998E-3</v>
      </c>
      <c r="G282" s="950">
        <f>'REF. DE PREÇOS n editavel'!G282</f>
        <v>1.4883085</v>
      </c>
      <c r="H282" s="951">
        <f>'REF. DE PREÇOS n editavel'!H282</f>
        <v>6.82</v>
      </c>
      <c r="I282" s="951">
        <f>'REF. DE PREÇOS n editavel'!I282</f>
        <v>8.3083085000000008</v>
      </c>
      <c r="J282" s="952">
        <f>'REF. DE PREÇOS n editavel'!J282</f>
        <v>10.15</v>
      </c>
      <c r="K282" s="953" t="s">
        <v>12</v>
      </c>
      <c r="L282" s="1107"/>
      <c r="M282" s="1108">
        <f t="shared" si="22"/>
        <v>0</v>
      </c>
      <c r="N282" s="956">
        <f t="shared" si="26"/>
        <v>0</v>
      </c>
      <c r="O282" s="880"/>
      <c r="Q282" s="317" t="str">
        <f t="shared" si="23"/>
        <v/>
      </c>
      <c r="R282" s="317" t="str">
        <f t="shared" si="24"/>
        <v/>
      </c>
      <c r="S282" s="317" t="str">
        <f t="shared" si="25"/>
        <v/>
      </c>
      <c r="T282" s="317" t="str">
        <f>'REF. DE PREÇOS n editavel'!S282</f>
        <v/>
      </c>
      <c r="W282" s="577">
        <v>0</v>
      </c>
      <c r="X282" s="575"/>
      <c r="Y282" s="578">
        <f>IF('REF. DE PREÇOS n editavel'!W282=0,0,IF('REF. DE PREÇOS n editavel'!W282&gt;0,"c","b"))</f>
        <v>0</v>
      </c>
    </row>
    <row r="283" spans="1:25">
      <c r="A283" s="317" t="s">
        <v>147</v>
      </c>
      <c r="B283" s="870" t="s">
        <v>147</v>
      </c>
      <c r="C283" s="871"/>
      <c r="D283" s="989" t="s">
        <v>233</v>
      </c>
      <c r="E283" s="873">
        <f>'REF. DE PREÇOS n editavel'!E283</f>
        <v>43.1</v>
      </c>
      <c r="F283" s="883">
        <f>'REF. DE PREÇOS n editavel'!F283</f>
        <v>3.0499999999999999E-2</v>
      </c>
      <c r="G283" s="923">
        <f>'REF. DE PREÇOS n editavel'!G283</f>
        <v>1.4883085</v>
      </c>
      <c r="H283" s="876">
        <f>'REF. DE PREÇOS n editavel'!H283</f>
        <v>0</v>
      </c>
      <c r="I283" s="876">
        <f>'REF. DE PREÇOS n editavel'!I283</f>
        <v>0</v>
      </c>
      <c r="J283" s="877">
        <f>'REF. DE PREÇOS n editavel'!J283</f>
        <v>0</v>
      </c>
      <c r="K283" s="878" t="s">
        <v>506</v>
      </c>
      <c r="L283" s="977"/>
      <c r="M283" s="1112">
        <f t="shared" si="22"/>
        <v>0</v>
      </c>
      <c r="N283" s="868">
        <f t="shared" si="26"/>
        <v>0</v>
      </c>
      <c r="O283" s="880"/>
      <c r="P283" s="58" t="str">
        <f>IF(N282&gt;0,"xx",IF(N282&gt;0,"xy",""))</f>
        <v/>
      </c>
      <c r="Q283" s="317" t="str">
        <f t="shared" si="23"/>
        <v/>
      </c>
      <c r="R283" s="317" t="str">
        <f t="shared" si="24"/>
        <v/>
      </c>
      <c r="S283" s="317" t="str">
        <f t="shared" si="25"/>
        <v/>
      </c>
      <c r="T283" s="317" t="str">
        <f>'REF. DE PREÇOS n editavel'!S283</f>
        <v/>
      </c>
      <c r="W283" s="577">
        <v>0</v>
      </c>
      <c r="X283" s="575"/>
      <c r="Y283" s="578">
        <f>IF('REF. DE PREÇOS n editavel'!W283=0,0,IF('REF. DE PREÇOS n editavel'!W283&gt;0,"c","b"))</f>
        <v>0</v>
      </c>
    </row>
    <row r="284" spans="1:25" ht="13.5" thickBot="1">
      <c r="A284" s="317">
        <v>589520</v>
      </c>
      <c r="B284" s="978" t="s">
        <v>1648</v>
      </c>
      <c r="C284" s="958" t="s">
        <v>213</v>
      </c>
      <c r="D284" s="990" t="s">
        <v>1659</v>
      </c>
      <c r="E284" s="979">
        <f>'REF. DE PREÇOS n editavel'!E284</f>
        <v>468</v>
      </c>
      <c r="F284" s="980">
        <f>'REF. DE PREÇOS n editavel'!F284</f>
        <v>1</v>
      </c>
      <c r="G284" s="923">
        <f>'REF. DE PREÇOS n editavel'!G284</f>
        <v>434.57</v>
      </c>
      <c r="H284" s="962">
        <f>'REF. DE PREÇOS n editavel'!H284</f>
        <v>4164.04</v>
      </c>
      <c r="I284" s="962">
        <f>'REF. DE PREÇOS n editavel'!I284</f>
        <v>4467.7810554737362</v>
      </c>
      <c r="J284" s="963">
        <f>'REF. DE PREÇOS n editavel'!J284</f>
        <v>5460.52</v>
      </c>
      <c r="K284" s="964" t="s">
        <v>14</v>
      </c>
      <c r="L284" s="1109">
        <f>ROUND(L282*$F282,2)</f>
        <v>0</v>
      </c>
      <c r="M284" s="1114">
        <f t="shared" si="22"/>
        <v>0</v>
      </c>
      <c r="N284" s="967">
        <f t="shared" si="26"/>
        <v>0</v>
      </c>
      <c r="O284" s="880"/>
      <c r="P284" s="58" t="str">
        <f>IF(N282&gt;0,"xx",IF(N282&gt;0,"xy",""))</f>
        <v/>
      </c>
      <c r="Q284" s="317" t="str">
        <f t="shared" si="23"/>
        <v/>
      </c>
      <c r="R284" s="317" t="str">
        <f t="shared" si="24"/>
        <v/>
      </c>
      <c r="S284" s="317" t="str">
        <f t="shared" si="25"/>
        <v/>
      </c>
      <c r="T284" s="317" t="str">
        <f>'REF. DE PREÇOS n editavel'!S284</f>
        <v/>
      </c>
      <c r="W284" s="577">
        <v>0</v>
      </c>
      <c r="X284" s="575"/>
      <c r="Y284" s="578">
        <f>IF('REF. DE PREÇOS n editavel'!W284=0,0,IF('REF. DE PREÇOS n editavel'!W284&gt;0,"c","b"))</f>
        <v>0</v>
      </c>
    </row>
    <row r="285" spans="1:25">
      <c r="A285" s="317">
        <v>583100</v>
      </c>
      <c r="B285" s="973" t="s">
        <v>1626</v>
      </c>
      <c r="C285" s="974" t="s">
        <v>184</v>
      </c>
      <c r="D285" s="988" t="s">
        <v>236</v>
      </c>
      <c r="E285" s="948" t="str">
        <f>'REF. DE PREÇOS n editavel'!E285</f>
        <v>taxa RR-2C</v>
      </c>
      <c r="F285" s="949">
        <f>'REF. DE PREÇOS n editavel'!F285</f>
        <v>3.8E-3</v>
      </c>
      <c r="G285" s="950">
        <f>'REF. DE PREÇOS n editavel'!G285</f>
        <v>1.7957296</v>
      </c>
      <c r="H285" s="951">
        <f>'REF. DE PREÇOS n editavel'!H285</f>
        <v>6.82</v>
      </c>
      <c r="I285" s="951">
        <f>'REF. DE PREÇOS n editavel'!I285</f>
        <v>8.6157295999999999</v>
      </c>
      <c r="J285" s="952">
        <f>'REF. DE PREÇOS n editavel'!J285</f>
        <v>10.53</v>
      </c>
      <c r="K285" s="953" t="s">
        <v>12</v>
      </c>
      <c r="L285" s="1107"/>
      <c r="M285" s="1108">
        <f t="shared" si="22"/>
        <v>0</v>
      </c>
      <c r="N285" s="956">
        <f t="shared" si="26"/>
        <v>0</v>
      </c>
      <c r="O285" s="880"/>
      <c r="Q285" s="317" t="str">
        <f t="shared" si="23"/>
        <v/>
      </c>
      <c r="R285" s="317" t="str">
        <f t="shared" si="24"/>
        <v/>
      </c>
      <c r="S285" s="317" t="str">
        <f t="shared" si="25"/>
        <v/>
      </c>
      <c r="T285" s="317" t="str">
        <f>'REF. DE PREÇOS n editavel'!S285</f>
        <v/>
      </c>
      <c r="W285" s="577">
        <v>0</v>
      </c>
      <c r="X285" s="575"/>
      <c r="Y285" s="578">
        <f>IF('REF. DE PREÇOS n editavel'!W285=0,0,IF('REF. DE PREÇOS n editavel'!W285&gt;0,"c","b"))</f>
        <v>0</v>
      </c>
    </row>
    <row r="286" spans="1:25">
      <c r="A286" s="317" t="s">
        <v>147</v>
      </c>
      <c r="B286" s="870" t="s">
        <v>147</v>
      </c>
      <c r="C286" s="871"/>
      <c r="D286" s="989" t="s">
        <v>233</v>
      </c>
      <c r="E286" s="873">
        <f>'REF. DE PREÇOS n editavel'!E286</f>
        <v>43.1</v>
      </c>
      <c r="F286" s="883">
        <f>'REF. DE PREÇOS n editavel'!F286</f>
        <v>3.6799999999999999E-2</v>
      </c>
      <c r="G286" s="923">
        <f>'REF. DE PREÇOS n editavel'!G286</f>
        <v>1.7957296</v>
      </c>
      <c r="H286" s="876">
        <f>'REF. DE PREÇOS n editavel'!H286</f>
        <v>0</v>
      </c>
      <c r="I286" s="876">
        <f>'REF. DE PREÇOS n editavel'!I286</f>
        <v>0</v>
      </c>
      <c r="J286" s="877">
        <f>'REF. DE PREÇOS n editavel'!J286</f>
        <v>0</v>
      </c>
      <c r="K286" s="878" t="s">
        <v>506</v>
      </c>
      <c r="L286" s="977"/>
      <c r="M286" s="1112">
        <f t="shared" si="22"/>
        <v>0</v>
      </c>
      <c r="N286" s="868">
        <f t="shared" si="26"/>
        <v>0</v>
      </c>
      <c r="O286" s="880"/>
      <c r="P286" s="58" t="str">
        <f>IF(N285&gt;0,"xx",IF(N285&gt;0,"xy",""))</f>
        <v/>
      </c>
      <c r="Q286" s="317" t="str">
        <f t="shared" si="23"/>
        <v/>
      </c>
      <c r="R286" s="317" t="str">
        <f t="shared" si="24"/>
        <v/>
      </c>
      <c r="S286" s="317" t="str">
        <f t="shared" si="25"/>
        <v/>
      </c>
      <c r="T286" s="317" t="str">
        <f>'REF. DE PREÇOS n editavel'!S286</f>
        <v/>
      </c>
      <c r="W286" s="577">
        <v>0</v>
      </c>
      <c r="X286" s="575"/>
      <c r="Y286" s="578">
        <f>IF('REF. DE PREÇOS n editavel'!W286=0,0,IF('REF. DE PREÇOS n editavel'!W286&gt;0,"c","b"))</f>
        <v>0</v>
      </c>
    </row>
    <row r="287" spans="1:25" ht="13.5" thickBot="1">
      <c r="A287" s="317">
        <v>589520</v>
      </c>
      <c r="B287" s="978" t="s">
        <v>1649</v>
      </c>
      <c r="C287" s="958" t="s">
        <v>213</v>
      </c>
      <c r="D287" s="990" t="s">
        <v>553</v>
      </c>
      <c r="E287" s="979">
        <f>'REF. DE PREÇOS n editavel'!E287</f>
        <v>468</v>
      </c>
      <c r="F287" s="980">
        <f>'REF. DE PREÇOS n editavel'!F287</f>
        <v>1</v>
      </c>
      <c r="G287" s="923">
        <f>'REF. DE PREÇOS n editavel'!G287</f>
        <v>434.57</v>
      </c>
      <c r="H287" s="962">
        <f>'REF. DE PREÇOS n editavel'!H287</f>
        <v>4164.04</v>
      </c>
      <c r="I287" s="962">
        <f>'REF. DE PREÇOS n editavel'!I287</f>
        <v>4467.7810554737362</v>
      </c>
      <c r="J287" s="963">
        <f>'REF. DE PREÇOS n editavel'!J287</f>
        <v>5460.52</v>
      </c>
      <c r="K287" s="964" t="s">
        <v>14</v>
      </c>
      <c r="L287" s="1109">
        <f>ROUND(L285*$F285,2)</f>
        <v>0</v>
      </c>
      <c r="M287" s="1114">
        <f t="shared" si="22"/>
        <v>0</v>
      </c>
      <c r="N287" s="967">
        <f t="shared" si="26"/>
        <v>0</v>
      </c>
      <c r="O287" s="880"/>
      <c r="P287" s="58" t="str">
        <f>IF(N285&gt;0,"xx",IF(N285&gt;0,"xy",""))</f>
        <v/>
      </c>
      <c r="Q287" s="317" t="str">
        <f t="shared" si="23"/>
        <v/>
      </c>
      <c r="R287" s="317" t="str">
        <f t="shared" si="24"/>
        <v/>
      </c>
      <c r="S287" s="317" t="str">
        <f t="shared" si="25"/>
        <v/>
      </c>
      <c r="T287" s="317" t="str">
        <f>'REF. DE PREÇOS n editavel'!S287</f>
        <v/>
      </c>
      <c r="W287" s="577">
        <v>0</v>
      </c>
      <c r="X287" s="575"/>
      <c r="Y287" s="578">
        <f>IF('REF. DE PREÇOS n editavel'!W287=0,0,IF('REF. DE PREÇOS n editavel'!W287&gt;0,"c","b"))</f>
        <v>0</v>
      </c>
    </row>
    <row r="288" spans="1:25">
      <c r="A288" s="317">
        <v>584200</v>
      </c>
      <c r="B288" s="973" t="s">
        <v>1627</v>
      </c>
      <c r="C288" s="974" t="s">
        <v>184</v>
      </c>
      <c r="D288" s="988" t="s">
        <v>237</v>
      </c>
      <c r="E288" s="948" t="str">
        <f>'REF. DE PREÇOS n editavel'!E288</f>
        <v>taxa RR-2C</v>
      </c>
      <c r="F288" s="949">
        <f>'REF. DE PREÇOS n editavel'!F288</f>
        <v>3.3E-3</v>
      </c>
      <c r="G288" s="950">
        <f>'REF. DE PREÇOS n editavel'!G288</f>
        <v>1.3858348000000003</v>
      </c>
      <c r="H288" s="951">
        <f>'REF. DE PREÇOS n editavel'!H288</f>
        <v>8.48</v>
      </c>
      <c r="I288" s="951">
        <f>'REF. DE PREÇOS n editavel'!I288</f>
        <v>9.8658348</v>
      </c>
      <c r="J288" s="952">
        <f>'REF. DE PREÇOS n editavel'!J288</f>
        <v>12.06</v>
      </c>
      <c r="K288" s="953" t="s">
        <v>12</v>
      </c>
      <c r="L288" s="1107"/>
      <c r="M288" s="1108">
        <f t="shared" si="22"/>
        <v>0</v>
      </c>
      <c r="N288" s="956">
        <f t="shared" si="26"/>
        <v>0</v>
      </c>
      <c r="O288" s="880"/>
      <c r="Q288" s="317" t="str">
        <f t="shared" si="23"/>
        <v/>
      </c>
      <c r="R288" s="317" t="str">
        <f t="shared" si="24"/>
        <v/>
      </c>
      <c r="S288" s="317" t="str">
        <f t="shared" si="25"/>
        <v/>
      </c>
      <c r="T288" s="317" t="str">
        <f>'REF. DE PREÇOS n editavel'!S288</f>
        <v/>
      </c>
      <c r="W288" s="577">
        <v>0</v>
      </c>
      <c r="X288" s="575"/>
      <c r="Y288" s="578">
        <f>IF('REF. DE PREÇOS n editavel'!W288=0,0,IF('REF. DE PREÇOS n editavel'!W288&gt;0,"c","b"))</f>
        <v>0</v>
      </c>
    </row>
    <row r="289" spans="1:25">
      <c r="A289" s="317" t="s">
        <v>147</v>
      </c>
      <c r="B289" s="870" t="s">
        <v>147</v>
      </c>
      <c r="C289" s="871"/>
      <c r="D289" s="989" t="s">
        <v>233</v>
      </c>
      <c r="E289" s="873">
        <f>'REF. DE PREÇOS n editavel'!E289</f>
        <v>43.1</v>
      </c>
      <c r="F289" s="883">
        <f>'REF. DE PREÇOS n editavel'!F289</f>
        <v>2.8400000000000002E-2</v>
      </c>
      <c r="G289" s="923">
        <f>'REF. DE PREÇOS n editavel'!G289</f>
        <v>1.3858348000000003</v>
      </c>
      <c r="H289" s="876">
        <f>'REF. DE PREÇOS n editavel'!H289</f>
        <v>0</v>
      </c>
      <c r="I289" s="876">
        <f>'REF. DE PREÇOS n editavel'!I289</f>
        <v>0</v>
      </c>
      <c r="J289" s="877">
        <f>'REF. DE PREÇOS n editavel'!J289</f>
        <v>0</v>
      </c>
      <c r="K289" s="878" t="s">
        <v>506</v>
      </c>
      <c r="L289" s="977"/>
      <c r="M289" s="1112">
        <f t="shared" si="22"/>
        <v>0</v>
      </c>
      <c r="N289" s="868">
        <f t="shared" si="26"/>
        <v>0</v>
      </c>
      <c r="O289" s="880"/>
      <c r="P289" s="58" t="str">
        <f>IF(N288&gt;0,"xx",IF(N288&gt;0,"xy",""))</f>
        <v/>
      </c>
      <c r="Q289" s="317" t="str">
        <f t="shared" si="23"/>
        <v/>
      </c>
      <c r="R289" s="317" t="str">
        <f t="shared" si="24"/>
        <v/>
      </c>
      <c r="S289" s="317" t="str">
        <f t="shared" si="25"/>
        <v/>
      </c>
      <c r="T289" s="317" t="str">
        <f>'REF. DE PREÇOS n editavel'!S289</f>
        <v/>
      </c>
      <c r="W289" s="577">
        <v>0</v>
      </c>
      <c r="X289" s="575"/>
      <c r="Y289" s="578">
        <f>IF('REF. DE PREÇOS n editavel'!W289=0,0,IF('REF. DE PREÇOS n editavel'!W289&gt;0,"c","b"))</f>
        <v>0</v>
      </c>
    </row>
    <row r="290" spans="1:25" ht="13.5" thickBot="1">
      <c r="A290" s="317">
        <v>589520</v>
      </c>
      <c r="B290" s="978" t="s">
        <v>1650</v>
      </c>
      <c r="C290" s="958" t="s">
        <v>213</v>
      </c>
      <c r="D290" s="990" t="s">
        <v>552</v>
      </c>
      <c r="E290" s="979">
        <f>'REF. DE PREÇOS n editavel'!E290</f>
        <v>468</v>
      </c>
      <c r="F290" s="980">
        <f>'REF. DE PREÇOS n editavel'!F290</f>
        <v>1</v>
      </c>
      <c r="G290" s="923">
        <f>'REF. DE PREÇOS n editavel'!G290</f>
        <v>434.57</v>
      </c>
      <c r="H290" s="962">
        <f>'REF. DE PREÇOS n editavel'!H290</f>
        <v>4164.04</v>
      </c>
      <c r="I290" s="962">
        <f>'REF. DE PREÇOS n editavel'!I290</f>
        <v>4467.7810554737362</v>
      </c>
      <c r="J290" s="963">
        <f>'REF. DE PREÇOS n editavel'!J290</f>
        <v>5460.52</v>
      </c>
      <c r="K290" s="964" t="s">
        <v>14</v>
      </c>
      <c r="L290" s="1109">
        <f>ROUND(L288*$F288,2)</f>
        <v>0</v>
      </c>
      <c r="M290" s="1114">
        <f t="shared" si="22"/>
        <v>0</v>
      </c>
      <c r="N290" s="967">
        <f t="shared" si="26"/>
        <v>0</v>
      </c>
      <c r="O290" s="880"/>
      <c r="P290" s="58" t="str">
        <f>IF(N288&gt;0,"xx",IF(N288&gt;0,"xy",""))</f>
        <v/>
      </c>
      <c r="Q290" s="317" t="str">
        <f t="shared" si="23"/>
        <v/>
      </c>
      <c r="R290" s="317" t="str">
        <f t="shared" si="24"/>
        <v/>
      </c>
      <c r="S290" s="317" t="str">
        <f t="shared" si="25"/>
        <v/>
      </c>
      <c r="T290" s="317" t="str">
        <f>'REF. DE PREÇOS n editavel'!S290</f>
        <v/>
      </c>
      <c r="W290" s="577">
        <v>0</v>
      </c>
      <c r="X290" s="575"/>
      <c r="Y290" s="578">
        <f>IF('REF. DE PREÇOS n editavel'!W290=0,0,IF('REF. DE PREÇOS n editavel'!W290&gt;0,"c","b"))</f>
        <v>0</v>
      </c>
    </row>
    <row r="291" spans="1:25">
      <c r="A291" s="317">
        <v>584200</v>
      </c>
      <c r="B291" s="973" t="s">
        <v>1628</v>
      </c>
      <c r="C291" s="974" t="s">
        <v>184</v>
      </c>
      <c r="D291" s="988" t="s">
        <v>238</v>
      </c>
      <c r="E291" s="948" t="str">
        <f>'REF. DE PREÇOS n editavel'!E291</f>
        <v>taxa RR-2C</v>
      </c>
      <c r="F291" s="949">
        <f>'REF. DE PREÇOS n editavel'!F291</f>
        <v>3.8E-3</v>
      </c>
      <c r="G291" s="950">
        <f>'REF. DE PREÇOS n editavel'!G291</f>
        <v>1.6932559000000003</v>
      </c>
      <c r="H291" s="951">
        <f>'REF. DE PREÇOS n editavel'!H291</f>
        <v>8.48</v>
      </c>
      <c r="I291" s="951">
        <f>'REF. DE PREÇOS n editavel'!I291</f>
        <v>10.173255900000001</v>
      </c>
      <c r="J291" s="952">
        <f>'REF. DE PREÇOS n editavel'!J291</f>
        <v>12.43</v>
      </c>
      <c r="K291" s="953" t="s">
        <v>12</v>
      </c>
      <c r="L291" s="1107"/>
      <c r="M291" s="1108">
        <f t="shared" si="22"/>
        <v>0</v>
      </c>
      <c r="N291" s="956">
        <f t="shared" si="26"/>
        <v>0</v>
      </c>
      <c r="O291" s="880"/>
      <c r="Q291" s="317" t="str">
        <f t="shared" si="23"/>
        <v/>
      </c>
      <c r="R291" s="317" t="str">
        <f t="shared" si="24"/>
        <v/>
      </c>
      <c r="S291" s="317" t="str">
        <f t="shared" si="25"/>
        <v/>
      </c>
      <c r="T291" s="317" t="str">
        <f>'REF. DE PREÇOS n editavel'!S291</f>
        <v/>
      </c>
      <c r="W291" s="577">
        <v>0</v>
      </c>
      <c r="X291" s="575"/>
      <c r="Y291" s="578">
        <f>IF('REF. DE PREÇOS n editavel'!W291=0,0,IF('REF. DE PREÇOS n editavel'!W291&gt;0,"c","b"))</f>
        <v>0</v>
      </c>
    </row>
    <row r="292" spans="1:25">
      <c r="A292" s="317" t="s">
        <v>147</v>
      </c>
      <c r="B292" s="870" t="s">
        <v>147</v>
      </c>
      <c r="C292" s="871"/>
      <c r="D292" s="989" t="s">
        <v>233</v>
      </c>
      <c r="E292" s="873">
        <f>'REF. DE PREÇOS n editavel'!E292</f>
        <v>43.1</v>
      </c>
      <c r="F292" s="883">
        <f>'REF. DE PREÇOS n editavel'!F292</f>
        <v>3.4700000000000002E-2</v>
      </c>
      <c r="G292" s="923">
        <f>'REF. DE PREÇOS n editavel'!G292</f>
        <v>1.6932559000000003</v>
      </c>
      <c r="H292" s="876">
        <f>'REF. DE PREÇOS n editavel'!H292</f>
        <v>0</v>
      </c>
      <c r="I292" s="876">
        <f>'REF. DE PREÇOS n editavel'!I292</f>
        <v>0</v>
      </c>
      <c r="J292" s="877">
        <f>'REF. DE PREÇOS n editavel'!J292</f>
        <v>0</v>
      </c>
      <c r="K292" s="878" t="s">
        <v>506</v>
      </c>
      <c r="L292" s="977"/>
      <c r="M292" s="1112">
        <f t="shared" si="22"/>
        <v>0</v>
      </c>
      <c r="N292" s="868">
        <f t="shared" si="26"/>
        <v>0</v>
      </c>
      <c r="O292" s="880"/>
      <c r="P292" s="58" t="str">
        <f>IF(N291&gt;0,"xx",IF(N291&gt;0,"xy",""))</f>
        <v/>
      </c>
      <c r="Q292" s="317" t="str">
        <f t="shared" si="23"/>
        <v/>
      </c>
      <c r="R292" s="317" t="str">
        <f t="shared" si="24"/>
        <v/>
      </c>
      <c r="S292" s="317" t="str">
        <f t="shared" si="25"/>
        <v/>
      </c>
      <c r="T292" s="317" t="str">
        <f>'REF. DE PREÇOS n editavel'!S292</f>
        <v/>
      </c>
      <c r="W292" s="577">
        <v>0</v>
      </c>
      <c r="X292" s="575"/>
      <c r="Y292" s="578">
        <f>IF('REF. DE PREÇOS n editavel'!W292=0,0,IF('REF. DE PREÇOS n editavel'!W292&gt;0,"c","b"))</f>
        <v>0</v>
      </c>
    </row>
    <row r="293" spans="1:25" ht="13.5" thickBot="1">
      <c r="A293" s="317">
        <v>589520</v>
      </c>
      <c r="B293" s="978" t="s">
        <v>1651</v>
      </c>
      <c r="C293" s="958" t="s">
        <v>213</v>
      </c>
      <c r="D293" s="990" t="s">
        <v>554</v>
      </c>
      <c r="E293" s="979">
        <f>'REF. DE PREÇOS n editavel'!E293</f>
        <v>468</v>
      </c>
      <c r="F293" s="980">
        <f>'REF. DE PREÇOS n editavel'!F293</f>
        <v>1</v>
      </c>
      <c r="G293" s="923">
        <f>'REF. DE PREÇOS n editavel'!G293</f>
        <v>434.57</v>
      </c>
      <c r="H293" s="962">
        <f>'REF. DE PREÇOS n editavel'!H293</f>
        <v>4164.04</v>
      </c>
      <c r="I293" s="962">
        <f>'REF. DE PREÇOS n editavel'!I293</f>
        <v>4467.7810554737362</v>
      </c>
      <c r="J293" s="963">
        <f>'REF. DE PREÇOS n editavel'!J293</f>
        <v>5460.52</v>
      </c>
      <c r="K293" s="964" t="s">
        <v>14</v>
      </c>
      <c r="L293" s="1109">
        <f>ROUND(L291*$F291,2)</f>
        <v>0</v>
      </c>
      <c r="M293" s="1114">
        <f t="shared" si="22"/>
        <v>0</v>
      </c>
      <c r="N293" s="967">
        <f t="shared" si="26"/>
        <v>0</v>
      </c>
      <c r="O293" s="880"/>
      <c r="P293" s="58" t="str">
        <f>IF(N291&gt;0,"xx",IF(N291&gt;0,"xy",""))</f>
        <v/>
      </c>
      <c r="Q293" s="317" t="str">
        <f t="shared" si="23"/>
        <v/>
      </c>
      <c r="R293" s="317" t="str">
        <f t="shared" si="24"/>
        <v/>
      </c>
      <c r="S293" s="317" t="str">
        <f t="shared" si="25"/>
        <v/>
      </c>
      <c r="T293" s="317" t="str">
        <f>'REF. DE PREÇOS n editavel'!S293</f>
        <v/>
      </c>
      <c r="W293" s="577">
        <v>0</v>
      </c>
      <c r="X293" s="575"/>
      <c r="Y293" s="578">
        <f>IF('REF. DE PREÇOS n editavel'!W293=0,0,IF('REF. DE PREÇOS n editavel'!W293&gt;0,"c","b"))</f>
        <v>0</v>
      </c>
    </row>
    <row r="294" spans="1:25">
      <c r="A294" s="317">
        <v>584200</v>
      </c>
      <c r="B294" s="973" t="s">
        <v>1629</v>
      </c>
      <c r="C294" s="974" t="s">
        <v>184</v>
      </c>
      <c r="D294" s="988" t="s">
        <v>239</v>
      </c>
      <c r="E294" s="948" t="str">
        <f>'REF. DE PREÇOS n editavel'!E294</f>
        <v>taxa RR-2C</v>
      </c>
      <c r="F294" s="949">
        <f>'REF. DE PREÇOS n editavel'!F294</f>
        <v>4.0000000000000001E-3</v>
      </c>
      <c r="G294" s="950">
        <f>'REF. DE PREÇOS n editavel'!G294</f>
        <v>2.3422560000000003</v>
      </c>
      <c r="H294" s="951">
        <f>'REF. DE PREÇOS n editavel'!H294</f>
        <v>8.48</v>
      </c>
      <c r="I294" s="951">
        <f>'REF. DE PREÇOS n editavel'!I294</f>
        <v>10.822256000000001</v>
      </c>
      <c r="J294" s="952">
        <f>'REF. DE PREÇOS n editavel'!J294</f>
        <v>13.23</v>
      </c>
      <c r="K294" s="953" t="s">
        <v>12</v>
      </c>
      <c r="L294" s="1107"/>
      <c r="M294" s="1108">
        <f t="shared" si="22"/>
        <v>0</v>
      </c>
      <c r="N294" s="956">
        <f t="shared" si="26"/>
        <v>0</v>
      </c>
      <c r="O294" s="880"/>
      <c r="Q294" s="317" t="str">
        <f t="shared" si="23"/>
        <v/>
      </c>
      <c r="R294" s="317" t="str">
        <f t="shared" si="24"/>
        <v/>
      </c>
      <c r="S294" s="317" t="str">
        <f t="shared" si="25"/>
        <v/>
      </c>
      <c r="T294" s="317" t="str">
        <f>'REF. DE PREÇOS n editavel'!S294</f>
        <v/>
      </c>
      <c r="W294" s="577">
        <v>0</v>
      </c>
      <c r="X294" s="575"/>
      <c r="Y294" s="578">
        <f>IF('REF. DE PREÇOS n editavel'!W294=0,0,IF('REF. DE PREÇOS n editavel'!W294&gt;0,"c","b"))</f>
        <v>0</v>
      </c>
    </row>
    <row r="295" spans="1:25">
      <c r="A295" s="317" t="s">
        <v>147</v>
      </c>
      <c r="B295" s="870" t="s">
        <v>147</v>
      </c>
      <c r="C295" s="871"/>
      <c r="D295" s="989" t="s">
        <v>233</v>
      </c>
      <c r="E295" s="873">
        <f>'REF. DE PREÇOS n editavel'!E295</f>
        <v>43.1</v>
      </c>
      <c r="F295" s="883">
        <f>'REF. DE PREÇOS n editavel'!F295</f>
        <v>4.8000000000000001E-2</v>
      </c>
      <c r="G295" s="923">
        <f>'REF. DE PREÇOS n editavel'!G295</f>
        <v>2.3422560000000003</v>
      </c>
      <c r="H295" s="876">
        <f>'REF. DE PREÇOS n editavel'!H295</f>
        <v>0</v>
      </c>
      <c r="I295" s="876">
        <f>'REF. DE PREÇOS n editavel'!I295</f>
        <v>0</v>
      </c>
      <c r="J295" s="877">
        <f>'REF. DE PREÇOS n editavel'!J295</f>
        <v>0</v>
      </c>
      <c r="K295" s="878" t="s">
        <v>506</v>
      </c>
      <c r="L295" s="977"/>
      <c r="M295" s="1112">
        <f t="shared" si="22"/>
        <v>0</v>
      </c>
      <c r="N295" s="868">
        <f t="shared" si="26"/>
        <v>0</v>
      </c>
      <c r="O295" s="880"/>
      <c r="P295" s="58" t="str">
        <f>IF(N294&gt;0,"xx",IF(N294&gt;0,"xy",""))</f>
        <v/>
      </c>
      <c r="Q295" s="317" t="str">
        <f t="shared" si="23"/>
        <v/>
      </c>
      <c r="R295" s="317" t="str">
        <f t="shared" si="24"/>
        <v/>
      </c>
      <c r="S295" s="317" t="str">
        <f t="shared" si="25"/>
        <v/>
      </c>
      <c r="T295" s="317" t="str">
        <f>'REF. DE PREÇOS n editavel'!S295</f>
        <v/>
      </c>
      <c r="W295" s="577">
        <v>0</v>
      </c>
      <c r="X295" s="575"/>
      <c r="Y295" s="578">
        <f>IF('REF. DE PREÇOS n editavel'!W295=0,0,IF('REF. DE PREÇOS n editavel'!W295&gt;0,"c","b"))</f>
        <v>0</v>
      </c>
    </row>
    <row r="296" spans="1:25" ht="13.5" thickBot="1">
      <c r="A296" s="317">
        <v>589520</v>
      </c>
      <c r="B296" s="978" t="s">
        <v>1652</v>
      </c>
      <c r="C296" s="958" t="s">
        <v>213</v>
      </c>
      <c r="D296" s="990" t="s">
        <v>555</v>
      </c>
      <c r="E296" s="979">
        <f>'REF. DE PREÇOS n editavel'!E296</f>
        <v>468</v>
      </c>
      <c r="F296" s="980">
        <f>'REF. DE PREÇOS n editavel'!F296</f>
        <v>1</v>
      </c>
      <c r="G296" s="923">
        <f>'REF. DE PREÇOS n editavel'!G296</f>
        <v>434.57</v>
      </c>
      <c r="H296" s="962">
        <f>'REF. DE PREÇOS n editavel'!H296</f>
        <v>4164.04</v>
      </c>
      <c r="I296" s="962">
        <f>'REF. DE PREÇOS n editavel'!I296</f>
        <v>4467.7810554737362</v>
      </c>
      <c r="J296" s="963">
        <f>'REF. DE PREÇOS n editavel'!J296</f>
        <v>5460.52</v>
      </c>
      <c r="K296" s="964" t="s">
        <v>14</v>
      </c>
      <c r="L296" s="1109">
        <f>ROUND(L294*$F294,2)</f>
        <v>0</v>
      </c>
      <c r="M296" s="1114">
        <f t="shared" si="22"/>
        <v>0</v>
      </c>
      <c r="N296" s="967">
        <f t="shared" si="26"/>
        <v>0</v>
      </c>
      <c r="O296" s="880"/>
      <c r="P296" s="58" t="str">
        <f>IF(N294&gt;0,"xx",IF(N294&gt;0,"xy",""))</f>
        <v/>
      </c>
      <c r="Q296" s="317" t="str">
        <f t="shared" si="23"/>
        <v/>
      </c>
      <c r="R296" s="317" t="str">
        <f t="shared" si="24"/>
        <v/>
      </c>
      <c r="S296" s="317" t="str">
        <f t="shared" si="25"/>
        <v/>
      </c>
      <c r="T296" s="317" t="str">
        <f>'REF. DE PREÇOS n editavel'!S296</f>
        <v/>
      </c>
      <c r="W296" s="577">
        <v>0</v>
      </c>
      <c r="X296" s="575"/>
      <c r="Y296" s="578">
        <f>IF('REF. DE PREÇOS n editavel'!W296=0,0,IF('REF. DE PREÇOS n editavel'!W296&gt;0,"c","b"))</f>
        <v>0</v>
      </c>
    </row>
    <row r="297" spans="1:25">
      <c r="A297" s="317">
        <v>564000</v>
      </c>
      <c r="B297" s="973">
        <v>564000</v>
      </c>
      <c r="C297" s="974" t="s">
        <v>184</v>
      </c>
      <c r="D297" s="988" t="s">
        <v>240</v>
      </c>
      <c r="E297" s="948" t="str">
        <f>'REF. DE PREÇOS n editavel'!E297</f>
        <v>taxa RR-2C</v>
      </c>
      <c r="F297" s="949">
        <f>'REF. DE PREÇOS n editavel'!F297</f>
        <v>0.125</v>
      </c>
      <c r="G297" s="950">
        <f>'REF. DE PREÇOS n editavel'!G297</f>
        <v>107.35340000000002</v>
      </c>
      <c r="H297" s="951">
        <f>'REF. DE PREÇOS n editavel'!H297</f>
        <v>122.99</v>
      </c>
      <c r="I297" s="951">
        <f>'REF. DE PREÇOS n editavel'!I297</f>
        <v>230.34340000000003</v>
      </c>
      <c r="J297" s="952">
        <f>'REF. DE PREÇOS n editavel'!J297</f>
        <v>281.52999999999997</v>
      </c>
      <c r="K297" s="953" t="s">
        <v>10</v>
      </c>
      <c r="L297" s="1107"/>
      <c r="M297" s="1108">
        <f t="shared" si="22"/>
        <v>0</v>
      </c>
      <c r="N297" s="956">
        <f t="shared" si="26"/>
        <v>0</v>
      </c>
      <c r="O297" s="880"/>
      <c r="Q297" s="317" t="str">
        <f t="shared" si="23"/>
        <v/>
      </c>
      <c r="R297" s="317" t="str">
        <f t="shared" si="24"/>
        <v/>
      </c>
      <c r="S297" s="317" t="str">
        <f t="shared" si="25"/>
        <v/>
      </c>
      <c r="T297" s="317" t="str">
        <f>'REF. DE PREÇOS n editavel'!S297</f>
        <v/>
      </c>
      <c r="W297" s="577">
        <v>0</v>
      </c>
      <c r="X297" s="575"/>
      <c r="Y297" s="578">
        <f>IF('REF. DE PREÇOS n editavel'!W297=0,0,IF('REF. DE PREÇOS n editavel'!W297&gt;0,"c","b"))</f>
        <v>0</v>
      </c>
    </row>
    <row r="298" spans="1:25">
      <c r="A298" s="317" t="s">
        <v>147</v>
      </c>
      <c r="B298" s="870" t="s">
        <v>147</v>
      </c>
      <c r="C298" s="871"/>
      <c r="D298" s="989" t="s">
        <v>233</v>
      </c>
      <c r="E298" s="873">
        <f>'REF. DE PREÇOS n editavel'!E298</f>
        <v>43.1</v>
      </c>
      <c r="F298" s="883">
        <f>'REF. DE PREÇOS n editavel'!F298</f>
        <v>2.2000000000000002</v>
      </c>
      <c r="G298" s="923">
        <f>'REF. DE PREÇOS n editavel'!G298</f>
        <v>107.35340000000002</v>
      </c>
      <c r="H298" s="876">
        <f>'REF. DE PREÇOS n editavel'!H298</f>
        <v>0</v>
      </c>
      <c r="I298" s="876">
        <f>'REF. DE PREÇOS n editavel'!I298</f>
        <v>0</v>
      </c>
      <c r="J298" s="877">
        <f>'REF. DE PREÇOS n editavel'!J298</f>
        <v>0</v>
      </c>
      <c r="K298" s="878" t="s">
        <v>506</v>
      </c>
      <c r="L298" s="977"/>
      <c r="M298" s="1112">
        <f t="shared" si="22"/>
        <v>0</v>
      </c>
      <c r="N298" s="868">
        <f t="shared" si="26"/>
        <v>0</v>
      </c>
      <c r="O298" s="880"/>
      <c r="P298" s="58" t="str">
        <f>IF(N297&gt;0,"xx",IF(N297&gt;0,"xy",""))</f>
        <v/>
      </c>
      <c r="Q298" s="317" t="str">
        <f t="shared" si="23"/>
        <v/>
      </c>
      <c r="R298" s="317" t="str">
        <f t="shared" si="24"/>
        <v/>
      </c>
      <c r="S298" s="317" t="str">
        <f t="shared" si="25"/>
        <v/>
      </c>
      <c r="T298" s="317" t="str">
        <f>'REF. DE PREÇOS n editavel'!S298</f>
        <v/>
      </c>
      <c r="W298" s="577">
        <v>0</v>
      </c>
      <c r="X298" s="575"/>
      <c r="Y298" s="578">
        <f>IF('REF. DE PREÇOS n editavel'!W298=0,0,IF('REF. DE PREÇOS n editavel'!W298&gt;0,"c","b"))</f>
        <v>0</v>
      </c>
    </row>
    <row r="299" spans="1:25" ht="13.5" thickBot="1">
      <c r="A299" s="317">
        <v>589520</v>
      </c>
      <c r="B299" s="978" t="s">
        <v>1653</v>
      </c>
      <c r="C299" s="958" t="s">
        <v>213</v>
      </c>
      <c r="D299" s="990" t="s">
        <v>556</v>
      </c>
      <c r="E299" s="979">
        <f>'REF. DE PREÇOS n editavel'!E299</f>
        <v>468</v>
      </c>
      <c r="F299" s="980">
        <f>'REF. DE PREÇOS n editavel'!F299</f>
        <v>1</v>
      </c>
      <c r="G299" s="923">
        <f>'REF. DE PREÇOS n editavel'!G299</f>
        <v>434.57</v>
      </c>
      <c r="H299" s="962">
        <f>'REF. DE PREÇOS n editavel'!H299</f>
        <v>4164.04</v>
      </c>
      <c r="I299" s="962">
        <f>'REF. DE PREÇOS n editavel'!I299</f>
        <v>4467.7810554737362</v>
      </c>
      <c r="J299" s="963">
        <f>'REF. DE PREÇOS n editavel'!J299</f>
        <v>5460.52</v>
      </c>
      <c r="K299" s="964" t="s">
        <v>14</v>
      </c>
      <c r="L299" s="1109">
        <f>ROUND(L297*$F297,2)</f>
        <v>0</v>
      </c>
      <c r="M299" s="1114">
        <f t="shared" si="22"/>
        <v>0</v>
      </c>
      <c r="N299" s="967">
        <f t="shared" si="26"/>
        <v>0</v>
      </c>
      <c r="O299" s="880"/>
      <c r="P299" s="58" t="str">
        <f>IF(N297&gt;0,"xx",IF(N297&gt;0,"xy",""))</f>
        <v/>
      </c>
      <c r="Q299" s="317" t="str">
        <f t="shared" si="23"/>
        <v/>
      </c>
      <c r="R299" s="317" t="str">
        <f t="shared" si="24"/>
        <v/>
      </c>
      <c r="S299" s="317" t="str">
        <f t="shared" si="25"/>
        <v/>
      </c>
      <c r="T299" s="317" t="str">
        <f>'REF. DE PREÇOS n editavel'!S299</f>
        <v/>
      </c>
      <c r="W299" s="577">
        <v>0</v>
      </c>
      <c r="X299" s="575"/>
      <c r="Y299" s="578">
        <f>IF('REF. DE PREÇOS n editavel'!W299=0,0,IF('REF. DE PREÇOS n editavel'!W299&gt;0,"c","b"))</f>
        <v>0</v>
      </c>
    </row>
    <row r="300" spans="1:25">
      <c r="A300" s="317">
        <v>564300</v>
      </c>
      <c r="B300" s="973">
        <v>564300</v>
      </c>
      <c r="C300" s="974" t="s">
        <v>184</v>
      </c>
      <c r="D300" s="988" t="s">
        <v>241</v>
      </c>
      <c r="E300" s="948" t="str">
        <f>'REF. DE PREÇOS n editavel'!E300</f>
        <v>taxa CAP</v>
      </c>
      <c r="F300" s="949">
        <f>'REF. DE PREÇOS n editavel'!F300</f>
        <v>0.1</v>
      </c>
      <c r="G300" s="950">
        <f>'REF. DE PREÇOS n editavel'!G300</f>
        <v>107.35340000000002</v>
      </c>
      <c r="H300" s="951">
        <f>'REF. DE PREÇOS n editavel'!H300</f>
        <v>131</v>
      </c>
      <c r="I300" s="951">
        <f>'REF. DE PREÇOS n editavel'!I300</f>
        <v>238.35340000000002</v>
      </c>
      <c r="J300" s="952">
        <f>'REF. DE PREÇOS n editavel'!J300</f>
        <v>291.32</v>
      </c>
      <c r="K300" s="953" t="s">
        <v>10</v>
      </c>
      <c r="L300" s="1107"/>
      <c r="M300" s="1108">
        <f t="shared" si="22"/>
        <v>0</v>
      </c>
      <c r="N300" s="956">
        <f t="shared" si="26"/>
        <v>0</v>
      </c>
      <c r="O300" s="880"/>
      <c r="Q300" s="317" t="str">
        <f t="shared" si="23"/>
        <v/>
      </c>
      <c r="R300" s="317" t="str">
        <f t="shared" si="24"/>
        <v/>
      </c>
      <c r="S300" s="317" t="str">
        <f t="shared" si="25"/>
        <v/>
      </c>
      <c r="T300" s="317" t="str">
        <f>'REF. DE PREÇOS n editavel'!S300</f>
        <v/>
      </c>
      <c r="W300" s="577">
        <v>0</v>
      </c>
      <c r="X300" s="575"/>
      <c r="Y300" s="578">
        <f>IF('REF. DE PREÇOS n editavel'!W300=0,0,IF('REF. DE PREÇOS n editavel'!W300&gt;0,"c","b"))</f>
        <v>0</v>
      </c>
    </row>
    <row r="301" spans="1:25">
      <c r="A301" s="317" t="s">
        <v>147</v>
      </c>
      <c r="B301" s="870" t="s">
        <v>147</v>
      </c>
      <c r="C301" s="871"/>
      <c r="D301" s="989" t="s">
        <v>233</v>
      </c>
      <c r="E301" s="873">
        <f>'REF. DE PREÇOS n editavel'!E301</f>
        <v>43.1</v>
      </c>
      <c r="F301" s="883">
        <f>'REF. DE PREÇOS n editavel'!F301</f>
        <v>2.2000000000000002</v>
      </c>
      <c r="G301" s="923">
        <f>'REF. DE PREÇOS n editavel'!G301</f>
        <v>107.35340000000002</v>
      </c>
      <c r="H301" s="876">
        <f>'REF. DE PREÇOS n editavel'!H301</f>
        <v>0</v>
      </c>
      <c r="I301" s="876">
        <f>'REF. DE PREÇOS n editavel'!I301</f>
        <v>0</v>
      </c>
      <c r="J301" s="877">
        <f>'REF. DE PREÇOS n editavel'!J301</f>
        <v>0</v>
      </c>
      <c r="K301" s="878" t="s">
        <v>506</v>
      </c>
      <c r="L301" s="977"/>
      <c r="M301" s="1112">
        <f t="shared" si="22"/>
        <v>0</v>
      </c>
      <c r="N301" s="868">
        <f t="shared" si="26"/>
        <v>0</v>
      </c>
      <c r="O301" s="880"/>
      <c r="P301" s="58" t="str">
        <f>IF(N300&gt;0,"xx",IF(N300&gt;0,"xy",""))</f>
        <v/>
      </c>
      <c r="Q301" s="317" t="str">
        <f t="shared" si="23"/>
        <v/>
      </c>
      <c r="R301" s="317" t="str">
        <f t="shared" si="24"/>
        <v/>
      </c>
      <c r="S301" s="317" t="str">
        <f t="shared" si="25"/>
        <v/>
      </c>
      <c r="T301" s="317" t="str">
        <f>'REF. DE PREÇOS n editavel'!S301</f>
        <v/>
      </c>
      <c r="W301" s="577">
        <v>0</v>
      </c>
      <c r="X301" s="575"/>
      <c r="Y301" s="578">
        <f>IF('REF. DE PREÇOS n editavel'!W301=0,0,IF('REF. DE PREÇOS n editavel'!W301&gt;0,"c","b"))</f>
        <v>0</v>
      </c>
    </row>
    <row r="302" spans="1:25" ht="13.5" thickBot="1">
      <c r="A302" s="317">
        <v>589000</v>
      </c>
      <c r="B302" s="978" t="s">
        <v>693</v>
      </c>
      <c r="C302" s="958" t="s">
        <v>213</v>
      </c>
      <c r="D302" s="990" t="s">
        <v>557</v>
      </c>
      <c r="E302" s="979">
        <f>'REF. DE PREÇOS n editavel'!E302</f>
        <v>468</v>
      </c>
      <c r="F302" s="980">
        <f>'REF. DE PREÇOS n editavel'!F302</f>
        <v>1</v>
      </c>
      <c r="G302" s="923">
        <f>'REF. DE PREÇOS n editavel'!G302</f>
        <v>434.57</v>
      </c>
      <c r="H302" s="962">
        <f>'REF. DE PREÇOS n editavel'!H302</f>
        <v>4828.8599999999997</v>
      </c>
      <c r="I302" s="962">
        <f>'REF. DE PREÇOS n editavel'!I302</f>
        <v>5111.7132400589098</v>
      </c>
      <c r="J302" s="963">
        <f>'REF. DE PREÇOS n editavel'!J302</f>
        <v>6247.54</v>
      </c>
      <c r="K302" s="964" t="s">
        <v>14</v>
      </c>
      <c r="L302" s="1109">
        <f>ROUND(L300*$F300,2)</f>
        <v>0</v>
      </c>
      <c r="M302" s="1114">
        <f t="shared" si="22"/>
        <v>0</v>
      </c>
      <c r="N302" s="967">
        <f t="shared" si="26"/>
        <v>0</v>
      </c>
      <c r="O302" s="880"/>
      <c r="P302" s="58" t="str">
        <f>IF(N300&gt;0,"xx",IF(N300&gt;0,"xy",""))</f>
        <v/>
      </c>
      <c r="Q302" s="317" t="str">
        <f t="shared" si="23"/>
        <v/>
      </c>
      <c r="R302" s="317" t="str">
        <f t="shared" si="24"/>
        <v/>
      </c>
      <c r="S302" s="317" t="str">
        <f t="shared" si="25"/>
        <v/>
      </c>
      <c r="T302" s="317" t="str">
        <f>'REF. DE PREÇOS n editavel'!S302</f>
        <v/>
      </c>
      <c r="W302" s="577">
        <v>0</v>
      </c>
      <c r="X302" s="575"/>
      <c r="Y302" s="578">
        <f>IF('REF. DE PREÇOS n editavel'!W302=0,0,IF('REF. DE PREÇOS n editavel'!W302&gt;0,"c","b"))</f>
        <v>0</v>
      </c>
    </row>
    <row r="303" spans="1:25">
      <c r="A303" s="317">
        <v>563100</v>
      </c>
      <c r="B303" s="973" t="s">
        <v>1737</v>
      </c>
      <c r="C303" s="974" t="s">
        <v>184</v>
      </c>
      <c r="D303" s="991" t="s">
        <v>242</v>
      </c>
      <c r="E303" s="948" t="str">
        <f>'REF. DE PREÇOS n editavel'!E303</f>
        <v>taxa RR-2C</v>
      </c>
      <c r="F303" s="949">
        <f>'REF. DE PREÇOS n editavel'!F303</f>
        <v>5.0000000000000001E-4</v>
      </c>
      <c r="G303" s="950">
        <f>'REF. DE PREÇOS n editavel'!G303</f>
        <v>0.34157900000000002</v>
      </c>
      <c r="H303" s="951">
        <f>'REF. DE PREÇOS n editavel'!H303</f>
        <v>1.27</v>
      </c>
      <c r="I303" s="951">
        <f>'REF. DE PREÇOS n editavel'!I303</f>
        <v>1.6115790000000001</v>
      </c>
      <c r="J303" s="952">
        <f>'REF. DE PREÇOS n editavel'!J303</f>
        <v>1.97</v>
      </c>
      <c r="K303" s="953" t="s">
        <v>12</v>
      </c>
      <c r="L303" s="1107"/>
      <c r="M303" s="1108">
        <f t="shared" si="22"/>
        <v>0</v>
      </c>
      <c r="N303" s="956">
        <f t="shared" si="26"/>
        <v>0</v>
      </c>
      <c r="O303" s="880"/>
      <c r="Q303" s="317" t="str">
        <f t="shared" si="23"/>
        <v/>
      </c>
      <c r="R303" s="317" t="str">
        <f t="shared" si="24"/>
        <v/>
      </c>
      <c r="S303" s="317" t="str">
        <f t="shared" si="25"/>
        <v/>
      </c>
      <c r="T303" s="317" t="str">
        <f>'REF. DE PREÇOS n editavel'!S303</f>
        <v/>
      </c>
      <c r="W303" s="577">
        <v>0</v>
      </c>
      <c r="X303" s="575"/>
      <c r="Y303" s="578">
        <f>IF('REF. DE PREÇOS n editavel'!W303=0,0,IF('REF. DE PREÇOS n editavel'!W303&gt;0,"c","b"))</f>
        <v>0</v>
      </c>
    </row>
    <row r="304" spans="1:25">
      <c r="A304" s="317" t="s">
        <v>147</v>
      </c>
      <c r="B304" s="870" t="s">
        <v>147</v>
      </c>
      <c r="C304" s="871"/>
      <c r="D304" s="992" t="s">
        <v>233</v>
      </c>
      <c r="E304" s="873">
        <f>'REF. DE PREÇOS n editavel'!E304</f>
        <v>43.1</v>
      </c>
      <c r="F304" s="883">
        <f>'REF. DE PREÇOS n editavel'!F304</f>
        <v>7.0000000000000001E-3</v>
      </c>
      <c r="G304" s="923">
        <f>'REF. DE PREÇOS n editavel'!G304</f>
        <v>0.34157900000000002</v>
      </c>
      <c r="H304" s="876">
        <f>'REF. DE PREÇOS n editavel'!H304</f>
        <v>0</v>
      </c>
      <c r="I304" s="876">
        <f>'REF. DE PREÇOS n editavel'!I304</f>
        <v>0</v>
      </c>
      <c r="J304" s="877">
        <f>'REF. DE PREÇOS n editavel'!J304</f>
        <v>0</v>
      </c>
      <c r="K304" s="878" t="s">
        <v>506</v>
      </c>
      <c r="L304" s="977"/>
      <c r="M304" s="1112">
        <f t="shared" si="22"/>
        <v>0</v>
      </c>
      <c r="N304" s="868">
        <f t="shared" si="26"/>
        <v>0</v>
      </c>
      <c r="O304" s="880"/>
      <c r="P304" s="58" t="str">
        <f>IF(N303&gt;0,"xx",IF(N303&gt;0,"xy",""))</f>
        <v/>
      </c>
      <c r="Q304" s="317" t="str">
        <f t="shared" si="23"/>
        <v/>
      </c>
      <c r="R304" s="317" t="str">
        <f t="shared" si="24"/>
        <v/>
      </c>
      <c r="S304" s="317" t="str">
        <f t="shared" si="25"/>
        <v/>
      </c>
      <c r="T304" s="317" t="str">
        <f>'REF. DE PREÇOS n editavel'!S304</f>
        <v/>
      </c>
      <c r="W304" s="577">
        <v>0</v>
      </c>
      <c r="X304" s="575"/>
      <c r="Y304" s="578">
        <f>IF('REF. DE PREÇOS n editavel'!W304=0,0,IF('REF. DE PREÇOS n editavel'!W304&gt;0,"c","b"))</f>
        <v>0</v>
      </c>
    </row>
    <row r="305" spans="1:25" ht="13.5" thickBot="1">
      <c r="A305" s="317">
        <v>589520</v>
      </c>
      <c r="B305" s="978" t="s">
        <v>1654</v>
      </c>
      <c r="C305" s="958" t="s">
        <v>213</v>
      </c>
      <c r="D305" s="986" t="s">
        <v>558</v>
      </c>
      <c r="E305" s="979">
        <f>'REF. DE PREÇOS n editavel'!E305</f>
        <v>468</v>
      </c>
      <c r="F305" s="980">
        <f>'REF. DE PREÇOS n editavel'!F305</f>
        <v>1</v>
      </c>
      <c r="G305" s="923">
        <f>'REF. DE PREÇOS n editavel'!G305</f>
        <v>434.57</v>
      </c>
      <c r="H305" s="962">
        <f>'REF. DE PREÇOS n editavel'!H305</f>
        <v>4164.04</v>
      </c>
      <c r="I305" s="962">
        <f>'REF. DE PREÇOS n editavel'!I305</f>
        <v>4467.7810554737362</v>
      </c>
      <c r="J305" s="963">
        <f>'REF. DE PREÇOS n editavel'!J305</f>
        <v>5460.52</v>
      </c>
      <c r="K305" s="964" t="s">
        <v>14</v>
      </c>
      <c r="L305" s="1109">
        <f>ROUND(L303*$F303,2)</f>
        <v>0</v>
      </c>
      <c r="M305" s="1114">
        <f t="shared" si="22"/>
        <v>0</v>
      </c>
      <c r="N305" s="967">
        <f t="shared" si="26"/>
        <v>0</v>
      </c>
      <c r="O305" s="880"/>
      <c r="P305" s="58" t="str">
        <f>IF(N303&gt;0,"xx",IF(N303&gt;0,"xy",""))</f>
        <v/>
      </c>
      <c r="Q305" s="317" t="str">
        <f t="shared" si="23"/>
        <v/>
      </c>
      <c r="R305" s="317" t="str">
        <f t="shared" si="24"/>
        <v/>
      </c>
      <c r="S305" s="317" t="str">
        <f t="shared" si="25"/>
        <v/>
      </c>
      <c r="T305" s="317" t="str">
        <f>'REF. DE PREÇOS n editavel'!S305</f>
        <v/>
      </c>
      <c r="W305" s="577">
        <v>0</v>
      </c>
      <c r="X305" s="575"/>
      <c r="Y305" s="578">
        <f>IF('REF. DE PREÇOS n editavel'!W305=0,0,IF('REF. DE PREÇOS n editavel'!W305&gt;0,"c","b"))</f>
        <v>0</v>
      </c>
    </row>
    <row r="306" spans="1:25">
      <c r="A306" s="317">
        <v>534000</v>
      </c>
      <c r="B306" s="973" t="s">
        <v>593</v>
      </c>
      <c r="C306" s="974" t="s">
        <v>184</v>
      </c>
      <c r="D306" s="947" t="s">
        <v>2181</v>
      </c>
      <c r="E306" s="948" t="str">
        <f>'REF. DE PREÇOS n editavel'!E306</f>
        <v>taxa RM-2C</v>
      </c>
      <c r="F306" s="949">
        <f>'REF. DE PREÇOS n editavel'!F306</f>
        <v>0.08</v>
      </c>
      <c r="G306" s="950">
        <f>'REF. DE PREÇOS n editavel'!G306</f>
        <v>119.40668000000001</v>
      </c>
      <c r="H306" s="951">
        <f>'REF. DE PREÇOS n editavel'!H306</f>
        <v>141.84</v>
      </c>
      <c r="I306" s="951">
        <f>'REF. DE PREÇOS n editavel'!I306</f>
        <v>261.24668000000003</v>
      </c>
      <c r="J306" s="952">
        <f>'REF. DE PREÇOS n editavel'!J306</f>
        <v>319.3</v>
      </c>
      <c r="K306" s="953" t="s">
        <v>10</v>
      </c>
      <c r="L306" s="1107"/>
      <c r="M306" s="1108">
        <f t="shared" si="22"/>
        <v>0</v>
      </c>
      <c r="N306" s="956">
        <f t="shared" si="26"/>
        <v>0</v>
      </c>
      <c r="O306" s="880"/>
      <c r="Q306" s="317" t="str">
        <f t="shared" si="23"/>
        <v/>
      </c>
      <c r="R306" s="317" t="str">
        <f t="shared" si="24"/>
        <v/>
      </c>
      <c r="S306" s="317" t="str">
        <f t="shared" si="25"/>
        <v/>
      </c>
      <c r="T306" s="317" t="str">
        <f>'REF. DE PREÇOS n editavel'!S306</f>
        <v/>
      </c>
      <c r="W306" s="577">
        <v>0</v>
      </c>
      <c r="X306" s="575"/>
      <c r="Y306" s="578">
        <f>IF('REF. DE PREÇOS n editavel'!W306=0,0,IF('REF. DE PREÇOS n editavel'!W306&gt;0,"c","b"))</f>
        <v>0</v>
      </c>
    </row>
    <row r="307" spans="1:25">
      <c r="A307" s="317" t="s">
        <v>147</v>
      </c>
      <c r="B307" s="870" t="s">
        <v>147</v>
      </c>
      <c r="C307" s="871"/>
      <c r="D307" s="931" t="s">
        <v>229</v>
      </c>
      <c r="E307" s="882">
        <f>'REF. DE PREÇOS n editavel'!E307</f>
        <v>290</v>
      </c>
      <c r="F307" s="883">
        <f>'REF. DE PREÇOS n editavel'!F307</f>
        <v>0</v>
      </c>
      <c r="G307" s="923">
        <f>'REF. DE PREÇOS n editavel'!G307</f>
        <v>0</v>
      </c>
      <c r="H307" s="876">
        <f>'REF. DE PREÇOS n editavel'!H307</f>
        <v>0</v>
      </c>
      <c r="I307" s="876">
        <f>'REF. DE PREÇOS n editavel'!I307</f>
        <v>0</v>
      </c>
      <c r="J307" s="877">
        <f>'REF. DE PREÇOS n editavel'!J307</f>
        <v>0</v>
      </c>
      <c r="K307" s="878" t="s">
        <v>506</v>
      </c>
      <c r="L307" s="977"/>
      <c r="M307" s="1112">
        <f t="shared" si="22"/>
        <v>0</v>
      </c>
      <c r="N307" s="868">
        <f t="shared" si="26"/>
        <v>0</v>
      </c>
      <c r="O307" s="880"/>
      <c r="P307" s="58" t="str">
        <f>IF(N306&gt;0,"xx",IF(N306&gt;0,"xy",""))</f>
        <v/>
      </c>
      <c r="Q307" s="317" t="str">
        <f t="shared" si="23"/>
        <v/>
      </c>
      <c r="R307" s="317" t="str">
        <f t="shared" si="24"/>
        <v/>
      </c>
      <c r="S307" s="317" t="str">
        <f t="shared" si="25"/>
        <v/>
      </c>
      <c r="T307" s="317" t="str">
        <f>'REF. DE PREÇOS n editavel'!S307</f>
        <v/>
      </c>
      <c r="W307" s="577">
        <v>0</v>
      </c>
      <c r="X307" s="575"/>
      <c r="Y307" s="578">
        <f>IF('REF. DE PREÇOS n editavel'!W307=0,0,IF('REF. DE PREÇOS n editavel'!W307&gt;0,"c","b"))</f>
        <v>0</v>
      </c>
    </row>
    <row r="308" spans="1:25">
      <c r="A308" s="317" t="s">
        <v>147</v>
      </c>
      <c r="B308" s="870" t="s">
        <v>147</v>
      </c>
      <c r="C308" s="871"/>
      <c r="D308" s="931" t="s">
        <v>230</v>
      </c>
      <c r="E308" s="882">
        <f>'REF. DE PREÇOS n editavel'!E308</f>
        <v>445</v>
      </c>
      <c r="F308" s="883">
        <f>'REF. DE PREÇOS n editavel'!F308</f>
        <v>0</v>
      </c>
      <c r="G308" s="884">
        <f>'REF. DE PREÇOS n editavel'!G308</f>
        <v>0</v>
      </c>
      <c r="H308" s="876">
        <f>'REF. DE PREÇOS n editavel'!H308</f>
        <v>0</v>
      </c>
      <c r="I308" s="876">
        <f>'REF. DE PREÇOS n editavel'!I308</f>
        <v>0</v>
      </c>
      <c r="J308" s="877">
        <f>'REF. DE PREÇOS n editavel'!J308</f>
        <v>0</v>
      </c>
      <c r="K308" s="878" t="s">
        <v>506</v>
      </c>
      <c r="L308" s="977"/>
      <c r="M308" s="1112">
        <f t="shared" si="22"/>
        <v>0</v>
      </c>
      <c r="N308" s="868">
        <f t="shared" si="26"/>
        <v>0</v>
      </c>
      <c r="O308" s="880"/>
      <c r="P308" s="58" t="str">
        <f>IF(N306&gt;0,"xx",IF(N306&gt;0,"xy",""))</f>
        <v/>
      </c>
      <c r="Q308" s="317" t="str">
        <f t="shared" si="23"/>
        <v/>
      </c>
      <c r="R308" s="317" t="str">
        <f t="shared" si="24"/>
        <v/>
      </c>
      <c r="S308" s="317" t="str">
        <f t="shared" si="25"/>
        <v/>
      </c>
      <c r="T308" s="317" t="str">
        <f>'REF. DE PREÇOS n editavel'!S308</f>
        <v/>
      </c>
      <c r="W308" s="577">
        <v>0</v>
      </c>
      <c r="X308" s="575"/>
      <c r="Y308" s="578">
        <f>IF('REF. DE PREÇOS n editavel'!W308=0,0,IF('REF. DE PREÇOS n editavel'!W308&gt;0,"c","b"))</f>
        <v>0</v>
      </c>
    </row>
    <row r="309" spans="1:25">
      <c r="A309" s="317" t="s">
        <v>147</v>
      </c>
      <c r="B309" s="870" t="s">
        <v>147</v>
      </c>
      <c r="C309" s="871"/>
      <c r="D309" s="931" t="s">
        <v>243</v>
      </c>
      <c r="E309" s="882">
        <f>'REF. DE PREÇOS n editavel'!E309</f>
        <v>0.2</v>
      </c>
      <c r="F309" s="883">
        <f>'REF. DE PREÇOS n editavel'!F309</f>
        <v>2.12</v>
      </c>
      <c r="G309" s="923">
        <f>'REF. DE PREÇOS n editavel'!G309</f>
        <v>6.1352800000000007</v>
      </c>
      <c r="H309" s="876">
        <f>'REF. DE PREÇOS n editavel'!H309</f>
        <v>0</v>
      </c>
      <c r="I309" s="876">
        <f>'REF. DE PREÇOS n editavel'!I309</f>
        <v>0</v>
      </c>
      <c r="J309" s="877">
        <f>'REF. DE PREÇOS n editavel'!J309</f>
        <v>0</v>
      </c>
      <c r="K309" s="878" t="s">
        <v>506</v>
      </c>
      <c r="L309" s="977"/>
      <c r="M309" s="1112">
        <f t="shared" si="22"/>
        <v>0</v>
      </c>
      <c r="N309" s="868">
        <f t="shared" si="26"/>
        <v>0</v>
      </c>
      <c r="O309" s="880"/>
      <c r="P309" s="58" t="str">
        <f>IF(N306&gt;0,"xx",IF(N306&gt;0,"xy",""))</f>
        <v/>
      </c>
      <c r="Q309" s="317" t="str">
        <f t="shared" si="23"/>
        <v/>
      </c>
      <c r="R309" s="317" t="str">
        <f t="shared" si="24"/>
        <v/>
      </c>
      <c r="S309" s="317" t="str">
        <f t="shared" si="25"/>
        <v/>
      </c>
      <c r="T309" s="317" t="str">
        <f>'REF. DE PREÇOS n editavel'!S309</f>
        <v/>
      </c>
      <c r="W309" s="577">
        <v>0</v>
      </c>
      <c r="X309" s="575"/>
      <c r="Y309" s="578">
        <f>IF('REF. DE PREÇOS n editavel'!W309=0,0,IF('REF. DE PREÇOS n editavel'!W309&gt;0,"c","b"))</f>
        <v>0</v>
      </c>
    </row>
    <row r="310" spans="1:25">
      <c r="A310" s="317" t="s">
        <v>147</v>
      </c>
      <c r="B310" s="870" t="s">
        <v>147</v>
      </c>
      <c r="C310" s="871"/>
      <c r="D310" s="931" t="s">
        <v>244</v>
      </c>
      <c r="E310" s="882">
        <f>'REF. DE PREÇOS n editavel'!E310</f>
        <v>43.1</v>
      </c>
      <c r="F310" s="883">
        <f>'REF. DE PREÇOS n editavel'!F310</f>
        <v>2.2000000000000002</v>
      </c>
      <c r="G310" s="887">
        <f>'REF. DE PREÇOS n editavel'!G310</f>
        <v>113.27140000000001</v>
      </c>
      <c r="H310" s="876">
        <f>'REF. DE PREÇOS n editavel'!H310</f>
        <v>0</v>
      </c>
      <c r="I310" s="876">
        <f>'REF. DE PREÇOS n editavel'!I310</f>
        <v>0</v>
      </c>
      <c r="J310" s="877">
        <f>'REF. DE PREÇOS n editavel'!J310</f>
        <v>0</v>
      </c>
      <c r="K310" s="878" t="s">
        <v>506</v>
      </c>
      <c r="L310" s="977"/>
      <c r="M310" s="1112">
        <f t="shared" si="22"/>
        <v>0</v>
      </c>
      <c r="N310" s="868">
        <f t="shared" si="26"/>
        <v>0</v>
      </c>
      <c r="O310" s="880"/>
      <c r="P310" s="58" t="str">
        <f>IF(N306&gt;0,"xx",IF(N306&gt;0,"xy",""))</f>
        <v/>
      </c>
      <c r="Q310" s="317" t="str">
        <f t="shared" si="23"/>
        <v/>
      </c>
      <c r="R310" s="317" t="str">
        <f t="shared" si="24"/>
        <v/>
      </c>
      <c r="S310" s="317" t="str">
        <f t="shared" si="25"/>
        <v/>
      </c>
      <c r="T310" s="317" t="str">
        <f>'REF. DE PREÇOS n editavel'!S310</f>
        <v/>
      </c>
      <c r="W310" s="577">
        <v>0</v>
      </c>
      <c r="X310" s="575"/>
      <c r="Y310" s="578">
        <f>IF('REF. DE PREÇOS n editavel'!W310=0,0,IF('REF. DE PREÇOS n editavel'!W310&gt;0,"c","b"))</f>
        <v>0</v>
      </c>
    </row>
    <row r="311" spans="1:25" ht="13.5" thickBot="1">
      <c r="A311" s="317">
        <v>589320</v>
      </c>
      <c r="B311" s="978" t="s">
        <v>704</v>
      </c>
      <c r="C311" s="958" t="s">
        <v>213</v>
      </c>
      <c r="D311" s="986" t="s">
        <v>684</v>
      </c>
      <c r="E311" s="979">
        <f>'REF. DE PREÇOS n editavel'!E311</f>
        <v>468</v>
      </c>
      <c r="F311" s="980">
        <f>'REF. DE PREÇOS n editavel'!F311</f>
        <v>1</v>
      </c>
      <c r="G311" s="923">
        <f>'REF. DE PREÇOS n editavel'!G311</f>
        <v>434.57</v>
      </c>
      <c r="H311" s="962">
        <f>'REF. DE PREÇOS n editavel'!H311</f>
        <v>4012.83</v>
      </c>
      <c r="I311" s="962">
        <f>'REF. DE PREÇOS n editavel'!I311</f>
        <v>4321.3218851251841</v>
      </c>
      <c r="J311" s="963">
        <f>'REF. DE PREÇOS n editavel'!J311</f>
        <v>5281.52</v>
      </c>
      <c r="K311" s="964" t="s">
        <v>14</v>
      </c>
      <c r="L311" s="1109">
        <f>ROUND(L306*$F306,2)</f>
        <v>0</v>
      </c>
      <c r="M311" s="1114">
        <f t="shared" si="22"/>
        <v>0</v>
      </c>
      <c r="N311" s="967">
        <f t="shared" si="26"/>
        <v>0</v>
      </c>
      <c r="O311" s="880"/>
      <c r="P311" s="58" t="str">
        <f>IF(N306&gt;0,"xx",IF(N306&gt;0,"xy",""))</f>
        <v/>
      </c>
      <c r="Q311" s="317" t="str">
        <f t="shared" si="23"/>
        <v/>
      </c>
      <c r="R311" s="317" t="str">
        <f t="shared" si="24"/>
        <v/>
      </c>
      <c r="S311" s="317" t="str">
        <f t="shared" si="25"/>
        <v/>
      </c>
      <c r="T311" s="317" t="str">
        <f>'REF. DE PREÇOS n editavel'!S311</f>
        <v/>
      </c>
      <c r="W311" s="577">
        <v>0</v>
      </c>
      <c r="X311" s="575"/>
      <c r="Y311" s="578">
        <f>IF('REF. DE PREÇOS n editavel'!W311=0,0,IF('REF. DE PREÇOS n editavel'!W311&gt;0,"c","b"))</f>
        <v>0</v>
      </c>
    </row>
    <row r="312" spans="1:25">
      <c r="A312" s="317">
        <v>534000</v>
      </c>
      <c r="B312" s="973" t="s">
        <v>594</v>
      </c>
      <c r="C312" s="974" t="s">
        <v>184</v>
      </c>
      <c r="D312" s="947" t="s">
        <v>2182</v>
      </c>
      <c r="E312" s="948" t="str">
        <f>'REF. DE PREÇOS n editavel'!E312</f>
        <v>taxa RM-2C</v>
      </c>
      <c r="F312" s="949">
        <f>'REF. DE PREÇOS n editavel'!F312</f>
        <v>0.08</v>
      </c>
      <c r="G312" s="950">
        <f>'REF. DE PREÇOS n editavel'!G312</f>
        <v>119.40668000000001</v>
      </c>
      <c r="H312" s="951">
        <f>'REF. DE PREÇOS n editavel'!H312</f>
        <v>141.84</v>
      </c>
      <c r="I312" s="951">
        <f>'REF. DE PREÇOS n editavel'!I312</f>
        <v>261.24668000000003</v>
      </c>
      <c r="J312" s="952">
        <f>'REF. DE PREÇOS n editavel'!J312</f>
        <v>319.3</v>
      </c>
      <c r="K312" s="953" t="s">
        <v>10</v>
      </c>
      <c r="L312" s="1107"/>
      <c r="M312" s="1108">
        <f t="shared" si="22"/>
        <v>0</v>
      </c>
      <c r="N312" s="956">
        <f t="shared" si="26"/>
        <v>0</v>
      </c>
      <c r="O312" s="880"/>
      <c r="Q312" s="317" t="str">
        <f t="shared" si="23"/>
        <v/>
      </c>
      <c r="R312" s="317" t="str">
        <f t="shared" si="24"/>
        <v/>
      </c>
      <c r="S312" s="317" t="str">
        <f t="shared" si="25"/>
        <v/>
      </c>
      <c r="T312" s="317" t="str">
        <f>'REF. DE PREÇOS n editavel'!S312</f>
        <v/>
      </c>
      <c r="W312" s="577">
        <v>0</v>
      </c>
      <c r="X312" s="575"/>
      <c r="Y312" s="578">
        <f>IF('REF. DE PREÇOS n editavel'!W312=0,0,IF('REF. DE PREÇOS n editavel'!W312&gt;0,"c","b"))</f>
        <v>0</v>
      </c>
    </row>
    <row r="313" spans="1:25">
      <c r="A313" s="317" t="s">
        <v>147</v>
      </c>
      <c r="B313" s="870" t="s">
        <v>147</v>
      </c>
      <c r="C313" s="871"/>
      <c r="D313" s="931" t="s">
        <v>229</v>
      </c>
      <c r="E313" s="882">
        <f>'REF. DE PREÇOS n editavel'!E313</f>
        <v>290</v>
      </c>
      <c r="F313" s="883">
        <f>'REF. DE PREÇOS n editavel'!F313</f>
        <v>0</v>
      </c>
      <c r="G313" s="923">
        <f>'REF. DE PREÇOS n editavel'!G313</f>
        <v>0</v>
      </c>
      <c r="H313" s="876">
        <f>'REF. DE PREÇOS n editavel'!H313</f>
        <v>0</v>
      </c>
      <c r="I313" s="876">
        <f>'REF. DE PREÇOS n editavel'!I313</f>
        <v>0</v>
      </c>
      <c r="J313" s="877">
        <f>'REF. DE PREÇOS n editavel'!J313</f>
        <v>0</v>
      </c>
      <c r="K313" s="878" t="s">
        <v>506</v>
      </c>
      <c r="L313" s="977"/>
      <c r="M313" s="1112">
        <f t="shared" si="22"/>
        <v>0</v>
      </c>
      <c r="N313" s="868">
        <f t="shared" si="26"/>
        <v>0</v>
      </c>
      <c r="O313" s="880"/>
      <c r="P313" s="58" t="str">
        <f>IF(N312&gt;0,"xx",IF(N312&gt;0,"xy",""))</f>
        <v/>
      </c>
      <c r="Q313" s="317" t="str">
        <f t="shared" si="23"/>
        <v/>
      </c>
      <c r="R313" s="317" t="str">
        <f t="shared" si="24"/>
        <v/>
      </c>
      <c r="S313" s="317" t="str">
        <f t="shared" si="25"/>
        <v/>
      </c>
      <c r="T313" s="317" t="str">
        <f>'REF. DE PREÇOS n editavel'!S313</f>
        <v/>
      </c>
      <c r="W313" s="577">
        <v>0</v>
      </c>
      <c r="X313" s="575"/>
      <c r="Y313" s="578">
        <f>IF('REF. DE PREÇOS n editavel'!W313=0,0,IF('REF. DE PREÇOS n editavel'!W313&gt;0,"c","b"))</f>
        <v>0</v>
      </c>
    </row>
    <row r="314" spans="1:25">
      <c r="A314" s="317" t="s">
        <v>147</v>
      </c>
      <c r="B314" s="870" t="s">
        <v>147</v>
      </c>
      <c r="C314" s="871"/>
      <c r="D314" s="931" t="s">
        <v>230</v>
      </c>
      <c r="E314" s="882">
        <f>'REF. DE PREÇOS n editavel'!E314</f>
        <v>445</v>
      </c>
      <c r="F314" s="883">
        <f>'REF. DE PREÇOS n editavel'!F314</f>
        <v>0</v>
      </c>
      <c r="G314" s="884">
        <f>'REF. DE PREÇOS n editavel'!G314</f>
        <v>0</v>
      </c>
      <c r="H314" s="876">
        <f>'REF. DE PREÇOS n editavel'!H314</f>
        <v>0</v>
      </c>
      <c r="I314" s="876">
        <f>'REF. DE PREÇOS n editavel'!I314</f>
        <v>0</v>
      </c>
      <c r="J314" s="877">
        <f>'REF. DE PREÇOS n editavel'!J314</f>
        <v>0</v>
      </c>
      <c r="K314" s="878" t="s">
        <v>506</v>
      </c>
      <c r="L314" s="977"/>
      <c r="M314" s="1112">
        <f t="shared" si="22"/>
        <v>0</v>
      </c>
      <c r="N314" s="868">
        <f t="shared" si="26"/>
        <v>0</v>
      </c>
      <c r="O314" s="880"/>
      <c r="P314" s="58" t="str">
        <f>IF(N312&gt;0,"xx",IF(N312&gt;0,"xy",""))</f>
        <v/>
      </c>
      <c r="Q314" s="317" t="str">
        <f t="shared" si="23"/>
        <v/>
      </c>
      <c r="R314" s="317" t="str">
        <f t="shared" si="24"/>
        <v/>
      </c>
      <c r="S314" s="317" t="str">
        <f t="shared" si="25"/>
        <v/>
      </c>
      <c r="T314" s="317" t="str">
        <f>'REF. DE PREÇOS n editavel'!S314</f>
        <v/>
      </c>
      <c r="W314" s="577">
        <v>0</v>
      </c>
      <c r="X314" s="575"/>
      <c r="Y314" s="578">
        <f>IF('REF. DE PREÇOS n editavel'!W314=0,0,IF('REF. DE PREÇOS n editavel'!W314&gt;0,"c","b"))</f>
        <v>0</v>
      </c>
    </row>
    <row r="315" spans="1:25">
      <c r="A315" s="317" t="s">
        <v>147</v>
      </c>
      <c r="B315" s="870" t="s">
        <v>147</v>
      </c>
      <c r="C315" s="871"/>
      <c r="D315" s="931" t="s">
        <v>243</v>
      </c>
      <c r="E315" s="882">
        <f>'REF. DE PREÇOS n editavel'!E315</f>
        <v>0.2</v>
      </c>
      <c r="F315" s="883">
        <f>'REF. DE PREÇOS n editavel'!F315</f>
        <v>2.12</v>
      </c>
      <c r="G315" s="923">
        <f>'REF. DE PREÇOS n editavel'!G315</f>
        <v>6.1352800000000007</v>
      </c>
      <c r="H315" s="876">
        <f>'REF. DE PREÇOS n editavel'!H315</f>
        <v>0</v>
      </c>
      <c r="I315" s="876">
        <f>'REF. DE PREÇOS n editavel'!I315</f>
        <v>0</v>
      </c>
      <c r="J315" s="877">
        <f>'REF. DE PREÇOS n editavel'!J315</f>
        <v>0</v>
      </c>
      <c r="K315" s="878" t="s">
        <v>506</v>
      </c>
      <c r="L315" s="977"/>
      <c r="M315" s="1112">
        <f t="shared" si="22"/>
        <v>0</v>
      </c>
      <c r="N315" s="868">
        <f t="shared" si="26"/>
        <v>0</v>
      </c>
      <c r="O315" s="880"/>
      <c r="P315" s="58" t="str">
        <f>IF(N312&gt;0,"xx",IF(N312&gt;0,"xy",""))</f>
        <v/>
      </c>
      <c r="Q315" s="317" t="str">
        <f t="shared" si="23"/>
        <v/>
      </c>
      <c r="R315" s="317" t="str">
        <f t="shared" si="24"/>
        <v/>
      </c>
      <c r="S315" s="317" t="str">
        <f t="shared" si="25"/>
        <v/>
      </c>
      <c r="T315" s="317" t="str">
        <f>'REF. DE PREÇOS n editavel'!S315</f>
        <v/>
      </c>
      <c r="W315" s="577">
        <v>0</v>
      </c>
      <c r="X315" s="575"/>
      <c r="Y315" s="578">
        <f>IF('REF. DE PREÇOS n editavel'!W315=0,0,IF('REF. DE PREÇOS n editavel'!W315&gt;0,"c","b"))</f>
        <v>0</v>
      </c>
    </row>
    <row r="316" spans="1:25">
      <c r="A316" s="317" t="s">
        <v>147</v>
      </c>
      <c r="B316" s="870" t="s">
        <v>147</v>
      </c>
      <c r="C316" s="871"/>
      <c r="D316" s="931" t="s">
        <v>244</v>
      </c>
      <c r="E316" s="882">
        <f>'REF. DE PREÇOS n editavel'!E316</f>
        <v>43.1</v>
      </c>
      <c r="F316" s="883">
        <f>'REF. DE PREÇOS n editavel'!F316</f>
        <v>2.2000000000000002</v>
      </c>
      <c r="G316" s="887">
        <f>'REF. DE PREÇOS n editavel'!G316</f>
        <v>113.27140000000001</v>
      </c>
      <c r="H316" s="876">
        <f>'REF. DE PREÇOS n editavel'!H316</f>
        <v>0</v>
      </c>
      <c r="I316" s="876">
        <f>'REF. DE PREÇOS n editavel'!I316</f>
        <v>0</v>
      </c>
      <c r="J316" s="877">
        <f>'REF. DE PREÇOS n editavel'!J316</f>
        <v>0</v>
      </c>
      <c r="K316" s="878" t="s">
        <v>506</v>
      </c>
      <c r="L316" s="977"/>
      <c r="M316" s="1112">
        <f t="shared" si="22"/>
        <v>0</v>
      </c>
      <c r="N316" s="868">
        <f t="shared" si="26"/>
        <v>0</v>
      </c>
      <c r="O316" s="880"/>
      <c r="P316" s="58" t="str">
        <f>IF(N312&gt;0,"xx",IF(N312&gt;0,"xy",""))</f>
        <v/>
      </c>
      <c r="Q316" s="317" t="str">
        <f t="shared" si="23"/>
        <v/>
      </c>
      <c r="R316" s="317" t="str">
        <f t="shared" si="24"/>
        <v/>
      </c>
      <c r="S316" s="317" t="str">
        <f t="shared" si="25"/>
        <v/>
      </c>
      <c r="T316" s="317" t="str">
        <f>'REF. DE PREÇOS n editavel'!S316</f>
        <v/>
      </c>
      <c r="W316" s="577">
        <v>0</v>
      </c>
      <c r="X316" s="575"/>
      <c r="Y316" s="578">
        <f>IF('REF. DE PREÇOS n editavel'!W316=0,0,IF('REF. DE PREÇOS n editavel'!W316&gt;0,"c","b"))</f>
        <v>0</v>
      </c>
    </row>
    <row r="317" spans="1:25" ht="13.5" thickBot="1">
      <c r="A317" s="317">
        <v>589320</v>
      </c>
      <c r="B317" s="978" t="s">
        <v>705</v>
      </c>
      <c r="C317" s="958" t="s">
        <v>213</v>
      </c>
      <c r="D317" s="986" t="s">
        <v>684</v>
      </c>
      <c r="E317" s="979">
        <f>'REF. DE PREÇOS n editavel'!E317</f>
        <v>468</v>
      </c>
      <c r="F317" s="980">
        <f>'REF. DE PREÇOS n editavel'!F317</f>
        <v>1</v>
      </c>
      <c r="G317" s="923">
        <f>'REF. DE PREÇOS n editavel'!G317</f>
        <v>434.57</v>
      </c>
      <c r="H317" s="962">
        <f>'REF. DE PREÇOS n editavel'!H317</f>
        <v>4012.83</v>
      </c>
      <c r="I317" s="962">
        <f>'REF. DE PREÇOS n editavel'!I317</f>
        <v>4321.3218851251841</v>
      </c>
      <c r="J317" s="963">
        <f>'REF. DE PREÇOS n editavel'!J317</f>
        <v>5281.52</v>
      </c>
      <c r="K317" s="964" t="s">
        <v>14</v>
      </c>
      <c r="L317" s="1109">
        <f>ROUND(L312*$F312,2)</f>
        <v>0</v>
      </c>
      <c r="M317" s="1114">
        <f t="shared" si="22"/>
        <v>0</v>
      </c>
      <c r="N317" s="967">
        <f t="shared" si="26"/>
        <v>0</v>
      </c>
      <c r="O317" s="880"/>
      <c r="P317" s="58" t="str">
        <f>IF(N312&gt;0,"xx",IF(N312&gt;0,"xy",""))</f>
        <v/>
      </c>
      <c r="Q317" s="317" t="str">
        <f t="shared" si="23"/>
        <v/>
      </c>
      <c r="R317" s="317" t="str">
        <f t="shared" si="24"/>
        <v/>
      </c>
      <c r="S317" s="317" t="str">
        <f t="shared" si="25"/>
        <v/>
      </c>
      <c r="T317" s="317" t="str">
        <f>'REF. DE PREÇOS n editavel'!S317</f>
        <v/>
      </c>
      <c r="W317" s="577">
        <v>0</v>
      </c>
      <c r="X317" s="575"/>
      <c r="Y317" s="578">
        <f>IF('REF. DE PREÇOS n editavel'!W317=0,0,IF('REF. DE PREÇOS n editavel'!W317&gt;0,"c","b"))</f>
        <v>0</v>
      </c>
    </row>
    <row r="318" spans="1:25">
      <c r="A318" s="317">
        <v>534000</v>
      </c>
      <c r="B318" s="973" t="s">
        <v>1630</v>
      </c>
      <c r="C318" s="974" t="s">
        <v>184</v>
      </c>
      <c r="D318" s="947" t="s">
        <v>2183</v>
      </c>
      <c r="E318" s="948" t="str">
        <f>'REF. DE PREÇOS n editavel'!E318</f>
        <v>taxa RM-2C</v>
      </c>
      <c r="F318" s="949">
        <f>'REF. DE PREÇOS n editavel'!F318</f>
        <v>0.08</v>
      </c>
      <c r="G318" s="950">
        <f>'REF. DE PREÇOS n editavel'!G318</f>
        <v>119.40668000000001</v>
      </c>
      <c r="H318" s="951">
        <f>'REF. DE PREÇOS n editavel'!H318</f>
        <v>141.84</v>
      </c>
      <c r="I318" s="951">
        <f>'REF. DE PREÇOS n editavel'!I318</f>
        <v>261.24668000000003</v>
      </c>
      <c r="J318" s="952">
        <f>'REF. DE PREÇOS n editavel'!J318</f>
        <v>319.3</v>
      </c>
      <c r="K318" s="953" t="s">
        <v>10</v>
      </c>
      <c r="L318" s="1107"/>
      <c r="M318" s="1108">
        <f t="shared" si="22"/>
        <v>0</v>
      </c>
      <c r="N318" s="956">
        <f t="shared" si="26"/>
        <v>0</v>
      </c>
      <c r="O318" s="880"/>
      <c r="Q318" s="317" t="str">
        <f t="shared" si="23"/>
        <v/>
      </c>
      <c r="R318" s="317" t="str">
        <f t="shared" si="24"/>
        <v/>
      </c>
      <c r="S318" s="317" t="str">
        <f t="shared" si="25"/>
        <v/>
      </c>
      <c r="T318" s="317" t="str">
        <f>'REF. DE PREÇOS n editavel'!S318</f>
        <v/>
      </c>
      <c r="W318" s="577">
        <v>0</v>
      </c>
      <c r="X318" s="575"/>
      <c r="Y318" s="578">
        <f>IF('REF. DE PREÇOS n editavel'!W318=0,0,IF('REF. DE PREÇOS n editavel'!W318&gt;0,"c","b"))</f>
        <v>0</v>
      </c>
    </row>
    <row r="319" spans="1:25">
      <c r="A319" s="317" t="s">
        <v>147</v>
      </c>
      <c r="B319" s="870" t="s">
        <v>147</v>
      </c>
      <c r="C319" s="871"/>
      <c r="D319" s="931" t="s">
        <v>229</v>
      </c>
      <c r="E319" s="882">
        <f>'REF. DE PREÇOS n editavel'!E319</f>
        <v>290</v>
      </c>
      <c r="F319" s="883">
        <f>'REF. DE PREÇOS n editavel'!F319</f>
        <v>0</v>
      </c>
      <c r="G319" s="923">
        <f>'REF. DE PREÇOS n editavel'!G319</f>
        <v>0</v>
      </c>
      <c r="H319" s="876">
        <f>'REF. DE PREÇOS n editavel'!H319</f>
        <v>0</v>
      </c>
      <c r="I319" s="876">
        <f>'REF. DE PREÇOS n editavel'!I319</f>
        <v>0</v>
      </c>
      <c r="J319" s="877">
        <f>'REF. DE PREÇOS n editavel'!J319</f>
        <v>0</v>
      </c>
      <c r="K319" s="878" t="s">
        <v>506</v>
      </c>
      <c r="L319" s="977"/>
      <c r="M319" s="1112">
        <f t="shared" si="22"/>
        <v>0</v>
      </c>
      <c r="N319" s="868">
        <f t="shared" si="26"/>
        <v>0</v>
      </c>
      <c r="O319" s="880"/>
      <c r="P319" s="58" t="str">
        <f>IF(N318&gt;0,"xx",IF(N318&gt;0,"xy",""))</f>
        <v/>
      </c>
      <c r="Q319" s="317" t="str">
        <f t="shared" si="23"/>
        <v/>
      </c>
      <c r="R319" s="317" t="str">
        <f t="shared" si="24"/>
        <v/>
      </c>
      <c r="S319" s="317" t="str">
        <f t="shared" si="25"/>
        <v/>
      </c>
      <c r="T319" s="317" t="str">
        <f>'REF. DE PREÇOS n editavel'!S319</f>
        <v/>
      </c>
      <c r="W319" s="577">
        <v>0</v>
      </c>
      <c r="X319" s="575"/>
      <c r="Y319" s="578">
        <f>IF('REF. DE PREÇOS n editavel'!W319=0,0,IF('REF. DE PREÇOS n editavel'!W319&gt;0,"c","b"))</f>
        <v>0</v>
      </c>
    </row>
    <row r="320" spans="1:25">
      <c r="A320" s="317" t="s">
        <v>147</v>
      </c>
      <c r="B320" s="870" t="s">
        <v>147</v>
      </c>
      <c r="C320" s="871"/>
      <c r="D320" s="931" t="s">
        <v>230</v>
      </c>
      <c r="E320" s="882">
        <f>'REF. DE PREÇOS n editavel'!E320</f>
        <v>445</v>
      </c>
      <c r="F320" s="883">
        <f>'REF. DE PREÇOS n editavel'!F320</f>
        <v>0</v>
      </c>
      <c r="G320" s="884">
        <f>'REF. DE PREÇOS n editavel'!G320</f>
        <v>0</v>
      </c>
      <c r="H320" s="876">
        <f>'REF. DE PREÇOS n editavel'!H320</f>
        <v>0</v>
      </c>
      <c r="I320" s="876">
        <f>'REF. DE PREÇOS n editavel'!I320</f>
        <v>0</v>
      </c>
      <c r="J320" s="877">
        <f>'REF. DE PREÇOS n editavel'!J320</f>
        <v>0</v>
      </c>
      <c r="K320" s="878" t="s">
        <v>506</v>
      </c>
      <c r="L320" s="977"/>
      <c r="M320" s="1112">
        <f t="shared" si="22"/>
        <v>0</v>
      </c>
      <c r="N320" s="868">
        <f t="shared" si="26"/>
        <v>0</v>
      </c>
      <c r="O320" s="880"/>
      <c r="P320" s="58" t="str">
        <f>IF(N318&gt;0,"xx",IF(N318&gt;0,"xy",""))</f>
        <v/>
      </c>
      <c r="Q320" s="317" t="str">
        <f t="shared" si="23"/>
        <v/>
      </c>
      <c r="R320" s="317" t="str">
        <f t="shared" si="24"/>
        <v/>
      </c>
      <c r="S320" s="317" t="str">
        <f t="shared" si="25"/>
        <v/>
      </c>
      <c r="T320" s="317" t="str">
        <f>'REF. DE PREÇOS n editavel'!S320</f>
        <v/>
      </c>
      <c r="W320" s="577">
        <v>0</v>
      </c>
      <c r="X320" s="575"/>
      <c r="Y320" s="578">
        <f>IF('REF. DE PREÇOS n editavel'!W320=0,0,IF('REF. DE PREÇOS n editavel'!W320&gt;0,"c","b"))</f>
        <v>0</v>
      </c>
    </row>
    <row r="321" spans="1:25">
      <c r="A321" s="317" t="s">
        <v>147</v>
      </c>
      <c r="B321" s="870" t="s">
        <v>147</v>
      </c>
      <c r="C321" s="871"/>
      <c r="D321" s="931" t="s">
        <v>243</v>
      </c>
      <c r="E321" s="882">
        <f>'REF. DE PREÇOS n editavel'!E321</f>
        <v>0.2</v>
      </c>
      <c r="F321" s="883">
        <f>'REF. DE PREÇOS n editavel'!F321</f>
        <v>2.12</v>
      </c>
      <c r="G321" s="923">
        <f>'REF. DE PREÇOS n editavel'!G321</f>
        <v>6.1352800000000007</v>
      </c>
      <c r="H321" s="876">
        <f>'REF. DE PREÇOS n editavel'!H321</f>
        <v>0</v>
      </c>
      <c r="I321" s="876">
        <f>'REF. DE PREÇOS n editavel'!I321</f>
        <v>0</v>
      </c>
      <c r="J321" s="877">
        <f>'REF. DE PREÇOS n editavel'!J321</f>
        <v>0</v>
      </c>
      <c r="K321" s="878" t="s">
        <v>506</v>
      </c>
      <c r="L321" s="977"/>
      <c r="M321" s="1112">
        <f t="shared" si="22"/>
        <v>0</v>
      </c>
      <c r="N321" s="868">
        <f t="shared" si="26"/>
        <v>0</v>
      </c>
      <c r="O321" s="880"/>
      <c r="P321" s="58" t="str">
        <f>IF(N318&gt;0,"xx",IF(N318&gt;0,"xy",""))</f>
        <v/>
      </c>
      <c r="Q321" s="317" t="str">
        <f t="shared" si="23"/>
        <v/>
      </c>
      <c r="R321" s="317" t="str">
        <f t="shared" si="24"/>
        <v/>
      </c>
      <c r="S321" s="317" t="str">
        <f t="shared" si="25"/>
        <v/>
      </c>
      <c r="T321" s="317" t="str">
        <f>'REF. DE PREÇOS n editavel'!S321</f>
        <v/>
      </c>
      <c r="W321" s="577">
        <v>0</v>
      </c>
      <c r="X321" s="575"/>
      <c r="Y321" s="578">
        <f>IF('REF. DE PREÇOS n editavel'!W321=0,0,IF('REF. DE PREÇOS n editavel'!W321&gt;0,"c","b"))</f>
        <v>0</v>
      </c>
    </row>
    <row r="322" spans="1:25">
      <c r="A322" s="317" t="s">
        <v>147</v>
      </c>
      <c r="B322" s="870" t="s">
        <v>147</v>
      </c>
      <c r="C322" s="871"/>
      <c r="D322" s="931" t="s">
        <v>244</v>
      </c>
      <c r="E322" s="882">
        <f>'REF. DE PREÇOS n editavel'!E322</f>
        <v>43.1</v>
      </c>
      <c r="F322" s="883">
        <f>'REF. DE PREÇOS n editavel'!F322</f>
        <v>2.2000000000000002</v>
      </c>
      <c r="G322" s="887">
        <f>'REF. DE PREÇOS n editavel'!G322</f>
        <v>113.27140000000001</v>
      </c>
      <c r="H322" s="876">
        <f>'REF. DE PREÇOS n editavel'!H322</f>
        <v>0</v>
      </c>
      <c r="I322" s="876">
        <f>'REF. DE PREÇOS n editavel'!I322</f>
        <v>0</v>
      </c>
      <c r="J322" s="877">
        <f>'REF. DE PREÇOS n editavel'!J322</f>
        <v>0</v>
      </c>
      <c r="K322" s="878" t="s">
        <v>506</v>
      </c>
      <c r="L322" s="977"/>
      <c r="M322" s="1112">
        <f t="shared" si="22"/>
        <v>0</v>
      </c>
      <c r="N322" s="868">
        <f t="shared" si="26"/>
        <v>0</v>
      </c>
      <c r="O322" s="880"/>
      <c r="P322" s="58" t="str">
        <f>IF(N318&gt;0,"xx",IF(N318&gt;0,"xy",""))</f>
        <v/>
      </c>
      <c r="Q322" s="317" t="str">
        <f t="shared" si="23"/>
        <v/>
      </c>
      <c r="R322" s="317" t="str">
        <f t="shared" si="24"/>
        <v/>
      </c>
      <c r="S322" s="317" t="str">
        <f t="shared" si="25"/>
        <v/>
      </c>
      <c r="T322" s="317" t="str">
        <f>'REF. DE PREÇOS n editavel'!S322</f>
        <v/>
      </c>
      <c r="W322" s="577">
        <v>0</v>
      </c>
      <c r="X322" s="575"/>
      <c r="Y322" s="578">
        <f>IF('REF. DE PREÇOS n editavel'!W322=0,0,IF('REF. DE PREÇOS n editavel'!W322&gt;0,"c","b"))</f>
        <v>0</v>
      </c>
    </row>
    <row r="323" spans="1:25" ht="13.5" thickBot="1">
      <c r="A323" s="317">
        <v>589320</v>
      </c>
      <c r="B323" s="978" t="s">
        <v>706</v>
      </c>
      <c r="C323" s="958" t="s">
        <v>213</v>
      </c>
      <c r="D323" s="986" t="s">
        <v>684</v>
      </c>
      <c r="E323" s="979">
        <f>'REF. DE PREÇOS n editavel'!E323</f>
        <v>468</v>
      </c>
      <c r="F323" s="980">
        <f>'REF. DE PREÇOS n editavel'!F323</f>
        <v>1</v>
      </c>
      <c r="G323" s="923">
        <f>'REF. DE PREÇOS n editavel'!G323</f>
        <v>434.57</v>
      </c>
      <c r="H323" s="962">
        <f>'REF. DE PREÇOS n editavel'!H323</f>
        <v>4012.83</v>
      </c>
      <c r="I323" s="962">
        <f>'REF. DE PREÇOS n editavel'!I323</f>
        <v>4321.3218851251841</v>
      </c>
      <c r="J323" s="963">
        <f>'REF. DE PREÇOS n editavel'!J323</f>
        <v>5281.52</v>
      </c>
      <c r="K323" s="964" t="s">
        <v>14</v>
      </c>
      <c r="L323" s="1109">
        <f>ROUND(L318*$F318,2)</f>
        <v>0</v>
      </c>
      <c r="M323" s="1114">
        <f t="shared" si="22"/>
        <v>0</v>
      </c>
      <c r="N323" s="967">
        <f t="shared" si="26"/>
        <v>0</v>
      </c>
      <c r="O323" s="880"/>
      <c r="P323" s="58" t="str">
        <f>IF(N318&gt;0,"xx",IF(N318&gt;0,"xy",""))</f>
        <v/>
      </c>
      <c r="Q323" s="317" t="str">
        <f t="shared" si="23"/>
        <v/>
      </c>
      <c r="R323" s="317" t="str">
        <f t="shared" si="24"/>
        <v/>
      </c>
      <c r="S323" s="317" t="str">
        <f t="shared" si="25"/>
        <v/>
      </c>
      <c r="T323" s="317" t="str">
        <f>'REF. DE PREÇOS n editavel'!S323</f>
        <v/>
      </c>
      <c r="W323" s="577">
        <v>0</v>
      </c>
      <c r="X323" s="575"/>
      <c r="Y323" s="578">
        <f>IF('REF. DE PREÇOS n editavel'!W323=0,0,IF('REF. DE PREÇOS n editavel'!W323&gt;0,"c","b"))</f>
        <v>0</v>
      </c>
    </row>
    <row r="324" spans="1:25">
      <c r="A324" s="317">
        <v>534300</v>
      </c>
      <c r="B324" s="973" t="s">
        <v>1742</v>
      </c>
      <c r="C324" s="974" t="s">
        <v>184</v>
      </c>
      <c r="D324" s="947" t="s">
        <v>2182</v>
      </c>
      <c r="E324" s="948" t="str">
        <f>'REF. DE PREÇOS n editavel'!E324</f>
        <v>taxa RM-2C</v>
      </c>
      <c r="F324" s="949">
        <f>'REF. DE PREÇOS n editavel'!F324</f>
        <v>0.11</v>
      </c>
      <c r="G324" s="950">
        <f>'REF. DE PREÇOS n editavel'!G324</f>
        <v>119.31985999999999</v>
      </c>
      <c r="H324" s="951">
        <f>'REF. DE PREÇOS n editavel'!H324</f>
        <v>140.30000000000001</v>
      </c>
      <c r="I324" s="951">
        <f>'REF. DE PREÇOS n editavel'!I324</f>
        <v>259.61986000000002</v>
      </c>
      <c r="J324" s="952">
        <f>'REF. DE PREÇOS n editavel'!J324</f>
        <v>317.31</v>
      </c>
      <c r="K324" s="953" t="s">
        <v>10</v>
      </c>
      <c r="L324" s="1107"/>
      <c r="M324" s="1108">
        <f t="shared" si="22"/>
        <v>0</v>
      </c>
      <c r="N324" s="956">
        <f t="shared" si="26"/>
        <v>0</v>
      </c>
      <c r="O324" s="880"/>
      <c r="Q324" s="317" t="str">
        <f t="shared" si="23"/>
        <v/>
      </c>
      <c r="R324" s="317" t="str">
        <f t="shared" si="24"/>
        <v/>
      </c>
      <c r="S324" s="317" t="str">
        <f t="shared" si="25"/>
        <v/>
      </c>
      <c r="T324" s="317" t="str">
        <f>'REF. DE PREÇOS n editavel'!S324</f>
        <v/>
      </c>
      <c r="W324" s="577">
        <v>0</v>
      </c>
      <c r="X324" s="575"/>
      <c r="Y324" s="578">
        <f>IF('REF. DE PREÇOS n editavel'!W324=0,0,IF('REF. DE PREÇOS n editavel'!W324&gt;0,"c","b"))</f>
        <v>0</v>
      </c>
    </row>
    <row r="325" spans="1:25">
      <c r="A325" s="317" t="s">
        <v>147</v>
      </c>
      <c r="B325" s="870" t="s">
        <v>147</v>
      </c>
      <c r="C325" s="871"/>
      <c r="D325" s="931" t="s">
        <v>229</v>
      </c>
      <c r="E325" s="882">
        <f>'REF. DE PREÇOS n editavel'!E325</f>
        <v>290</v>
      </c>
      <c r="F325" s="883">
        <f>'REF. DE PREÇOS n editavel'!F325</f>
        <v>0</v>
      </c>
      <c r="G325" s="923">
        <f>'REF. DE PREÇOS n editavel'!G325</f>
        <v>0</v>
      </c>
      <c r="H325" s="876">
        <f>'REF. DE PREÇOS n editavel'!H325</f>
        <v>0</v>
      </c>
      <c r="I325" s="876">
        <f>'REF. DE PREÇOS n editavel'!I325</f>
        <v>0</v>
      </c>
      <c r="J325" s="877">
        <f>'REF. DE PREÇOS n editavel'!J325</f>
        <v>0</v>
      </c>
      <c r="K325" s="878" t="s">
        <v>506</v>
      </c>
      <c r="L325" s="977"/>
      <c r="M325" s="1112">
        <f t="shared" si="22"/>
        <v>0</v>
      </c>
      <c r="N325" s="868">
        <f t="shared" si="26"/>
        <v>0</v>
      </c>
      <c r="O325" s="880"/>
      <c r="P325" s="58" t="str">
        <f>IF(N324&gt;0,"xx",IF(N324&gt;0,"xy",""))</f>
        <v/>
      </c>
      <c r="Q325" s="317" t="str">
        <f t="shared" si="23"/>
        <v/>
      </c>
      <c r="R325" s="317" t="str">
        <f t="shared" si="24"/>
        <v/>
      </c>
      <c r="S325" s="317" t="str">
        <f t="shared" si="25"/>
        <v/>
      </c>
      <c r="T325" s="317" t="str">
        <f>'REF. DE PREÇOS n editavel'!S325</f>
        <v/>
      </c>
      <c r="W325" s="577">
        <v>0</v>
      </c>
      <c r="X325" s="575"/>
      <c r="Y325" s="578">
        <f>IF('REF. DE PREÇOS n editavel'!W325=0,0,IF('REF. DE PREÇOS n editavel'!W325&gt;0,"c","b"))</f>
        <v>0</v>
      </c>
    </row>
    <row r="326" spans="1:25">
      <c r="A326" s="317" t="s">
        <v>147</v>
      </c>
      <c r="B326" s="870" t="s">
        <v>147</v>
      </c>
      <c r="C326" s="871"/>
      <c r="D326" s="931" t="s">
        <v>230</v>
      </c>
      <c r="E326" s="882">
        <f>'REF. DE PREÇOS n editavel'!E326</f>
        <v>445</v>
      </c>
      <c r="F326" s="883">
        <f>'REF. DE PREÇOS n editavel'!F326</f>
        <v>0</v>
      </c>
      <c r="G326" s="884">
        <f>'REF. DE PREÇOS n editavel'!G326</f>
        <v>0</v>
      </c>
      <c r="H326" s="876">
        <f>'REF. DE PREÇOS n editavel'!H326</f>
        <v>0</v>
      </c>
      <c r="I326" s="876">
        <f>'REF. DE PREÇOS n editavel'!I326</f>
        <v>0</v>
      </c>
      <c r="J326" s="877">
        <f>'REF. DE PREÇOS n editavel'!J326</f>
        <v>0</v>
      </c>
      <c r="K326" s="878" t="s">
        <v>506</v>
      </c>
      <c r="L326" s="977"/>
      <c r="M326" s="1112">
        <f t="shared" si="22"/>
        <v>0</v>
      </c>
      <c r="N326" s="868">
        <f t="shared" si="26"/>
        <v>0</v>
      </c>
      <c r="O326" s="880"/>
      <c r="P326" s="58" t="str">
        <f>IF(N324&gt;0,"xx",IF(N324&gt;0,"xy",""))</f>
        <v/>
      </c>
      <c r="Q326" s="317" t="str">
        <f t="shared" si="23"/>
        <v/>
      </c>
      <c r="R326" s="317" t="str">
        <f t="shared" si="24"/>
        <v/>
      </c>
      <c r="S326" s="317" t="str">
        <f t="shared" si="25"/>
        <v/>
      </c>
      <c r="T326" s="317" t="str">
        <f>'REF. DE PREÇOS n editavel'!S326</f>
        <v/>
      </c>
      <c r="W326" s="577">
        <v>0</v>
      </c>
      <c r="X326" s="575"/>
      <c r="Y326" s="578">
        <f>IF('REF. DE PREÇOS n editavel'!W326=0,0,IF('REF. DE PREÇOS n editavel'!W326&gt;0,"c","b"))</f>
        <v>0</v>
      </c>
    </row>
    <row r="327" spans="1:25">
      <c r="A327" s="317" t="s">
        <v>147</v>
      </c>
      <c r="B327" s="870" t="s">
        <v>147</v>
      </c>
      <c r="C327" s="871"/>
      <c r="D327" s="931" t="s">
        <v>243</v>
      </c>
      <c r="E327" s="882">
        <f>'REF. DE PREÇOS n editavel'!E327</f>
        <v>0.2</v>
      </c>
      <c r="F327" s="883">
        <f>'REF. DE PREÇOS n editavel'!F327</f>
        <v>2.09</v>
      </c>
      <c r="G327" s="923">
        <f>'REF. DE PREÇOS n editavel'!G327</f>
        <v>6.0484599999999995</v>
      </c>
      <c r="H327" s="876">
        <f>'REF. DE PREÇOS n editavel'!H327</f>
        <v>0</v>
      </c>
      <c r="I327" s="876">
        <f>'REF. DE PREÇOS n editavel'!I327</f>
        <v>0</v>
      </c>
      <c r="J327" s="877">
        <f>'REF. DE PREÇOS n editavel'!J327</f>
        <v>0</v>
      </c>
      <c r="K327" s="878" t="s">
        <v>506</v>
      </c>
      <c r="L327" s="977"/>
      <c r="M327" s="1112">
        <f t="shared" si="22"/>
        <v>0</v>
      </c>
      <c r="N327" s="868">
        <f t="shared" si="26"/>
        <v>0</v>
      </c>
      <c r="O327" s="880"/>
      <c r="P327" s="58" t="str">
        <f>IF(N324&gt;0,"xx",IF(N324&gt;0,"xy",""))</f>
        <v/>
      </c>
      <c r="Q327" s="317" t="str">
        <f t="shared" si="23"/>
        <v/>
      </c>
      <c r="R327" s="317" t="str">
        <f t="shared" si="24"/>
        <v/>
      </c>
      <c r="S327" s="317" t="str">
        <f t="shared" si="25"/>
        <v/>
      </c>
      <c r="T327" s="317" t="str">
        <f>'REF. DE PREÇOS n editavel'!S327</f>
        <v/>
      </c>
      <c r="W327" s="577">
        <v>0</v>
      </c>
      <c r="X327" s="575"/>
      <c r="Y327" s="578">
        <f>IF('REF. DE PREÇOS n editavel'!W327=0,0,IF('REF. DE PREÇOS n editavel'!W327&gt;0,"c","b"))</f>
        <v>0</v>
      </c>
    </row>
    <row r="328" spans="1:25">
      <c r="A328" s="317" t="s">
        <v>147</v>
      </c>
      <c r="B328" s="870" t="s">
        <v>147</v>
      </c>
      <c r="C328" s="871"/>
      <c r="D328" s="931" t="s">
        <v>244</v>
      </c>
      <c r="E328" s="882">
        <f>'REF. DE PREÇOS n editavel'!E328</f>
        <v>43.1</v>
      </c>
      <c r="F328" s="883">
        <f>'REF. DE PREÇOS n editavel'!F328</f>
        <v>2.1999999999999997</v>
      </c>
      <c r="G328" s="887">
        <f>'REF. DE PREÇOS n editavel'!G328</f>
        <v>113.27139999999999</v>
      </c>
      <c r="H328" s="876">
        <f>'REF. DE PREÇOS n editavel'!H328</f>
        <v>0</v>
      </c>
      <c r="I328" s="876">
        <f>'REF. DE PREÇOS n editavel'!I328</f>
        <v>0</v>
      </c>
      <c r="J328" s="877">
        <f>'REF. DE PREÇOS n editavel'!J328</f>
        <v>0</v>
      </c>
      <c r="K328" s="878" t="s">
        <v>506</v>
      </c>
      <c r="L328" s="977"/>
      <c r="M328" s="1112">
        <f t="shared" si="22"/>
        <v>0</v>
      </c>
      <c r="N328" s="868">
        <f t="shared" si="26"/>
        <v>0</v>
      </c>
      <c r="O328" s="880"/>
      <c r="P328" s="58" t="str">
        <f>IF(N324&gt;0,"xx",IF(N324&gt;0,"xy",""))</f>
        <v/>
      </c>
      <c r="Q328" s="317" t="str">
        <f t="shared" si="23"/>
        <v/>
      </c>
      <c r="R328" s="317" t="str">
        <f t="shared" si="24"/>
        <v/>
      </c>
      <c r="S328" s="317" t="str">
        <f t="shared" si="25"/>
        <v/>
      </c>
      <c r="T328" s="317" t="str">
        <f>'REF. DE PREÇOS n editavel'!S328</f>
        <v/>
      </c>
      <c r="W328" s="577">
        <v>0</v>
      </c>
      <c r="X328" s="575"/>
      <c r="Y328" s="578">
        <f>IF('REF. DE PREÇOS n editavel'!W328=0,0,IF('REF. DE PREÇOS n editavel'!W328&gt;0,"c","b"))</f>
        <v>0</v>
      </c>
    </row>
    <row r="329" spans="1:25" ht="13.5" thickBot="1">
      <c r="A329" s="317">
        <v>589320</v>
      </c>
      <c r="B329" s="978" t="s">
        <v>707</v>
      </c>
      <c r="C329" s="958" t="s">
        <v>213</v>
      </c>
      <c r="D329" s="986" t="s">
        <v>684</v>
      </c>
      <c r="E329" s="979">
        <f>'REF. DE PREÇOS n editavel'!E329</f>
        <v>468</v>
      </c>
      <c r="F329" s="980">
        <f>'REF. DE PREÇOS n editavel'!F329</f>
        <v>1</v>
      </c>
      <c r="G329" s="923">
        <f>'REF. DE PREÇOS n editavel'!G329</f>
        <v>434.57</v>
      </c>
      <c r="H329" s="962">
        <f>'REF. DE PREÇOS n editavel'!H329</f>
        <v>4012.83</v>
      </c>
      <c r="I329" s="962">
        <f>'REF. DE PREÇOS n editavel'!I329</f>
        <v>4321.3218851251841</v>
      </c>
      <c r="J329" s="963">
        <f>'REF. DE PREÇOS n editavel'!J329</f>
        <v>5281.52</v>
      </c>
      <c r="K329" s="964" t="s">
        <v>14</v>
      </c>
      <c r="L329" s="1109">
        <f>ROUND(L324*$F324,2)</f>
        <v>0</v>
      </c>
      <c r="M329" s="1114">
        <f t="shared" si="22"/>
        <v>0</v>
      </c>
      <c r="N329" s="967">
        <f t="shared" si="26"/>
        <v>0</v>
      </c>
      <c r="O329" s="880"/>
      <c r="P329" s="58" t="str">
        <f>IF(N324&gt;0,"xx",IF(N324&gt;0,"xy",""))</f>
        <v/>
      </c>
      <c r="Q329" s="317" t="str">
        <f t="shared" si="23"/>
        <v/>
      </c>
      <c r="R329" s="317" t="str">
        <f t="shared" si="24"/>
        <v/>
      </c>
      <c r="S329" s="317" t="str">
        <f t="shared" si="25"/>
        <v/>
      </c>
      <c r="T329" s="317" t="str">
        <f>'REF. DE PREÇOS n editavel'!S329</f>
        <v/>
      </c>
      <c r="W329" s="577">
        <v>0</v>
      </c>
      <c r="X329" s="575"/>
      <c r="Y329" s="578">
        <f>IF('REF. DE PREÇOS n editavel'!W329=0,0,IF('REF. DE PREÇOS n editavel'!W329&gt;0,"c","b"))</f>
        <v>0</v>
      </c>
    </row>
    <row r="330" spans="1:25">
      <c r="A330" s="317">
        <v>534300</v>
      </c>
      <c r="B330" s="973" t="s">
        <v>1743</v>
      </c>
      <c r="C330" s="974" t="s">
        <v>184</v>
      </c>
      <c r="D330" s="947" t="s">
        <v>2184</v>
      </c>
      <c r="E330" s="948" t="str">
        <f>'REF. DE PREÇOS n editavel'!E330</f>
        <v>taxa RM-2C</v>
      </c>
      <c r="F330" s="949">
        <f>'REF. DE PREÇOS n editavel'!F330</f>
        <v>0.11</v>
      </c>
      <c r="G330" s="950">
        <f>'REF. DE PREÇOS n editavel'!G330</f>
        <v>119.31985999999999</v>
      </c>
      <c r="H330" s="951">
        <f>'REF. DE PREÇOS n editavel'!H330</f>
        <v>140.30000000000001</v>
      </c>
      <c r="I330" s="951">
        <f>'REF. DE PREÇOS n editavel'!I330</f>
        <v>259.61986000000002</v>
      </c>
      <c r="J330" s="952">
        <f>'REF. DE PREÇOS n editavel'!J330</f>
        <v>317.31</v>
      </c>
      <c r="K330" s="953" t="s">
        <v>10</v>
      </c>
      <c r="L330" s="1107"/>
      <c r="M330" s="1108">
        <f t="shared" si="22"/>
        <v>0</v>
      </c>
      <c r="N330" s="956">
        <f t="shared" si="26"/>
        <v>0</v>
      </c>
      <c r="O330" s="880"/>
      <c r="Q330" s="317" t="str">
        <f t="shared" si="23"/>
        <v/>
      </c>
      <c r="R330" s="317" t="str">
        <f t="shared" si="24"/>
        <v/>
      </c>
      <c r="S330" s="317" t="str">
        <f t="shared" si="25"/>
        <v/>
      </c>
      <c r="T330" s="317" t="str">
        <f>'REF. DE PREÇOS n editavel'!S330</f>
        <v/>
      </c>
      <c r="W330" s="577">
        <v>0</v>
      </c>
      <c r="X330" s="575"/>
      <c r="Y330" s="578">
        <f>IF('REF. DE PREÇOS n editavel'!W330=0,0,IF('REF. DE PREÇOS n editavel'!W330&gt;0,"c","b"))</f>
        <v>0</v>
      </c>
    </row>
    <row r="331" spans="1:25">
      <c r="A331" s="317" t="s">
        <v>147</v>
      </c>
      <c r="B331" s="870" t="s">
        <v>147</v>
      </c>
      <c r="C331" s="871"/>
      <c r="D331" s="931" t="s">
        <v>229</v>
      </c>
      <c r="E331" s="882">
        <f>'REF. DE PREÇOS n editavel'!E331</f>
        <v>290</v>
      </c>
      <c r="F331" s="883">
        <f>'REF. DE PREÇOS n editavel'!F331</f>
        <v>0</v>
      </c>
      <c r="G331" s="923">
        <f>'REF. DE PREÇOS n editavel'!G331</f>
        <v>0</v>
      </c>
      <c r="H331" s="876">
        <f>'REF. DE PREÇOS n editavel'!H331</f>
        <v>0</v>
      </c>
      <c r="I331" s="876">
        <f>'REF. DE PREÇOS n editavel'!I331</f>
        <v>0</v>
      </c>
      <c r="J331" s="877">
        <f>'REF. DE PREÇOS n editavel'!J331</f>
        <v>0</v>
      </c>
      <c r="K331" s="878" t="s">
        <v>506</v>
      </c>
      <c r="L331" s="977"/>
      <c r="M331" s="1112">
        <f t="shared" si="22"/>
        <v>0</v>
      </c>
      <c r="N331" s="868">
        <f t="shared" si="26"/>
        <v>0</v>
      </c>
      <c r="O331" s="880"/>
      <c r="P331" s="58" t="str">
        <f>IF(N330&gt;0,"xx",IF(N330&gt;0,"xy",""))</f>
        <v/>
      </c>
      <c r="Q331" s="317" t="str">
        <f t="shared" si="23"/>
        <v/>
      </c>
      <c r="R331" s="317" t="str">
        <f t="shared" si="24"/>
        <v/>
      </c>
      <c r="S331" s="317" t="str">
        <f t="shared" si="25"/>
        <v/>
      </c>
      <c r="T331" s="317" t="str">
        <f>'REF. DE PREÇOS n editavel'!S331</f>
        <v/>
      </c>
      <c r="W331" s="577">
        <v>0</v>
      </c>
      <c r="X331" s="575"/>
      <c r="Y331" s="578">
        <f>IF('REF. DE PREÇOS n editavel'!W331=0,0,IF('REF. DE PREÇOS n editavel'!W331&gt;0,"c","b"))</f>
        <v>0</v>
      </c>
    </row>
    <row r="332" spans="1:25">
      <c r="A332" s="317" t="s">
        <v>147</v>
      </c>
      <c r="B332" s="870" t="s">
        <v>147</v>
      </c>
      <c r="C332" s="871"/>
      <c r="D332" s="931" t="s">
        <v>230</v>
      </c>
      <c r="E332" s="882">
        <f>'REF. DE PREÇOS n editavel'!E332</f>
        <v>445</v>
      </c>
      <c r="F332" s="883">
        <f>'REF. DE PREÇOS n editavel'!F332</f>
        <v>0</v>
      </c>
      <c r="G332" s="884">
        <f>'REF. DE PREÇOS n editavel'!G332</f>
        <v>0</v>
      </c>
      <c r="H332" s="876">
        <f>'REF. DE PREÇOS n editavel'!H332</f>
        <v>0</v>
      </c>
      <c r="I332" s="876">
        <f>'REF. DE PREÇOS n editavel'!I332</f>
        <v>0</v>
      </c>
      <c r="J332" s="877">
        <f>'REF. DE PREÇOS n editavel'!J332</f>
        <v>0</v>
      </c>
      <c r="K332" s="878" t="s">
        <v>506</v>
      </c>
      <c r="L332" s="977"/>
      <c r="M332" s="1112">
        <f t="shared" si="22"/>
        <v>0</v>
      </c>
      <c r="N332" s="868">
        <f t="shared" si="26"/>
        <v>0</v>
      </c>
      <c r="O332" s="880"/>
      <c r="P332" s="58" t="str">
        <f>IF(N330&gt;0,"xx",IF(N330&gt;0,"xy",""))</f>
        <v/>
      </c>
      <c r="Q332" s="317" t="str">
        <f t="shared" si="23"/>
        <v/>
      </c>
      <c r="R332" s="317" t="str">
        <f t="shared" si="24"/>
        <v/>
      </c>
      <c r="S332" s="317" t="str">
        <f t="shared" si="25"/>
        <v/>
      </c>
      <c r="T332" s="317" t="str">
        <f>'REF. DE PREÇOS n editavel'!S332</f>
        <v/>
      </c>
      <c r="W332" s="577">
        <v>0</v>
      </c>
      <c r="X332" s="575"/>
      <c r="Y332" s="578">
        <f>IF('REF. DE PREÇOS n editavel'!W332=0,0,IF('REF. DE PREÇOS n editavel'!W332&gt;0,"c","b"))</f>
        <v>0</v>
      </c>
    </row>
    <row r="333" spans="1:25">
      <c r="A333" s="317" t="s">
        <v>147</v>
      </c>
      <c r="B333" s="870" t="s">
        <v>147</v>
      </c>
      <c r="C333" s="871"/>
      <c r="D333" s="931" t="s">
        <v>243</v>
      </c>
      <c r="E333" s="882">
        <f>'REF. DE PREÇOS n editavel'!E333</f>
        <v>0.2</v>
      </c>
      <c r="F333" s="883">
        <f>'REF. DE PREÇOS n editavel'!F333</f>
        <v>2.09</v>
      </c>
      <c r="G333" s="923">
        <f>'REF. DE PREÇOS n editavel'!G333</f>
        <v>6.0484599999999995</v>
      </c>
      <c r="H333" s="876">
        <f>'REF. DE PREÇOS n editavel'!H333</f>
        <v>0</v>
      </c>
      <c r="I333" s="876">
        <f>'REF. DE PREÇOS n editavel'!I333</f>
        <v>0</v>
      </c>
      <c r="J333" s="877">
        <f>'REF. DE PREÇOS n editavel'!J333</f>
        <v>0</v>
      </c>
      <c r="K333" s="878" t="s">
        <v>506</v>
      </c>
      <c r="L333" s="977"/>
      <c r="M333" s="1112">
        <f t="shared" si="22"/>
        <v>0</v>
      </c>
      <c r="N333" s="868">
        <f t="shared" si="26"/>
        <v>0</v>
      </c>
      <c r="O333" s="880"/>
      <c r="P333" s="58" t="str">
        <f>IF(N330&gt;0,"xx",IF(N330&gt;0,"xy",""))</f>
        <v/>
      </c>
      <c r="Q333" s="317" t="str">
        <f t="shared" si="23"/>
        <v/>
      </c>
      <c r="R333" s="317" t="str">
        <f t="shared" si="24"/>
        <v/>
      </c>
      <c r="S333" s="317" t="str">
        <f t="shared" si="25"/>
        <v/>
      </c>
      <c r="T333" s="317" t="str">
        <f>'REF. DE PREÇOS n editavel'!S333</f>
        <v/>
      </c>
      <c r="W333" s="577">
        <v>0</v>
      </c>
      <c r="X333" s="575"/>
      <c r="Y333" s="578">
        <f>IF('REF. DE PREÇOS n editavel'!W333=0,0,IF('REF. DE PREÇOS n editavel'!W333&gt;0,"c","b"))</f>
        <v>0</v>
      </c>
    </row>
    <row r="334" spans="1:25">
      <c r="A334" s="317" t="s">
        <v>147</v>
      </c>
      <c r="B334" s="870" t="s">
        <v>147</v>
      </c>
      <c r="C334" s="871"/>
      <c r="D334" s="931" t="s">
        <v>244</v>
      </c>
      <c r="E334" s="882">
        <f>'REF. DE PREÇOS n editavel'!E334</f>
        <v>43.1</v>
      </c>
      <c r="F334" s="883">
        <f>'REF. DE PREÇOS n editavel'!F334</f>
        <v>2.1999999999999997</v>
      </c>
      <c r="G334" s="887">
        <f>'REF. DE PREÇOS n editavel'!G334</f>
        <v>113.27139999999999</v>
      </c>
      <c r="H334" s="876">
        <f>'REF. DE PREÇOS n editavel'!H334</f>
        <v>0</v>
      </c>
      <c r="I334" s="876">
        <f>'REF. DE PREÇOS n editavel'!I334</f>
        <v>0</v>
      </c>
      <c r="J334" s="877">
        <f>'REF. DE PREÇOS n editavel'!J334</f>
        <v>0</v>
      </c>
      <c r="K334" s="878" t="s">
        <v>506</v>
      </c>
      <c r="L334" s="977"/>
      <c r="M334" s="1112">
        <f t="shared" si="22"/>
        <v>0</v>
      </c>
      <c r="N334" s="868">
        <f t="shared" si="26"/>
        <v>0</v>
      </c>
      <c r="O334" s="880"/>
      <c r="P334" s="58" t="str">
        <f>IF(N330&gt;0,"xx",IF(N330&gt;0,"xy",""))</f>
        <v/>
      </c>
      <c r="Q334" s="317" t="str">
        <f t="shared" si="23"/>
        <v/>
      </c>
      <c r="R334" s="317" t="str">
        <f t="shared" si="24"/>
        <v/>
      </c>
      <c r="S334" s="317" t="str">
        <f t="shared" si="25"/>
        <v/>
      </c>
      <c r="T334" s="317" t="str">
        <f>'REF. DE PREÇOS n editavel'!S334</f>
        <v/>
      </c>
      <c r="W334" s="577">
        <v>0</v>
      </c>
      <c r="X334" s="575"/>
      <c r="Y334" s="578">
        <f>IF('REF. DE PREÇOS n editavel'!W334=0,0,IF('REF. DE PREÇOS n editavel'!W334&gt;0,"c","b"))</f>
        <v>0</v>
      </c>
    </row>
    <row r="335" spans="1:25" ht="13.5" thickBot="1">
      <c r="A335" s="317">
        <v>589320</v>
      </c>
      <c r="B335" s="978" t="s">
        <v>708</v>
      </c>
      <c r="C335" s="958" t="s">
        <v>213</v>
      </c>
      <c r="D335" s="986" t="s">
        <v>685</v>
      </c>
      <c r="E335" s="979">
        <f>'REF. DE PREÇOS n editavel'!E335</f>
        <v>468</v>
      </c>
      <c r="F335" s="980">
        <f>'REF. DE PREÇOS n editavel'!F335</f>
        <v>1</v>
      </c>
      <c r="G335" s="923">
        <f>'REF. DE PREÇOS n editavel'!G335</f>
        <v>434.57</v>
      </c>
      <c r="H335" s="962">
        <f>'REF. DE PREÇOS n editavel'!H335</f>
        <v>4012.83</v>
      </c>
      <c r="I335" s="962">
        <f>'REF. DE PREÇOS n editavel'!I335</f>
        <v>4321.3218851251841</v>
      </c>
      <c r="J335" s="963">
        <f>'REF. DE PREÇOS n editavel'!J335</f>
        <v>5281.52</v>
      </c>
      <c r="K335" s="964" t="s">
        <v>14</v>
      </c>
      <c r="L335" s="1109">
        <f>ROUND(L330*$F330,2)</f>
        <v>0</v>
      </c>
      <c r="M335" s="1114">
        <f t="shared" si="22"/>
        <v>0</v>
      </c>
      <c r="N335" s="967">
        <f t="shared" si="26"/>
        <v>0</v>
      </c>
      <c r="O335" s="880"/>
      <c r="P335" s="58" t="str">
        <f>IF(N330&gt;0,"xx",IF(N330&gt;0,"xy",""))</f>
        <v/>
      </c>
      <c r="Q335" s="317" t="str">
        <f t="shared" si="23"/>
        <v/>
      </c>
      <c r="R335" s="317" t="str">
        <f t="shared" si="24"/>
        <v/>
      </c>
      <c r="S335" s="317" t="str">
        <f t="shared" si="25"/>
        <v/>
      </c>
      <c r="T335" s="317" t="str">
        <f>'REF. DE PREÇOS n editavel'!S335</f>
        <v/>
      </c>
      <c r="W335" s="577">
        <v>0</v>
      </c>
      <c r="X335" s="575"/>
      <c r="Y335" s="578">
        <f>IF('REF. DE PREÇOS n editavel'!W335=0,0,IF('REF. DE PREÇOS n editavel'!W335&gt;0,"c","b"))</f>
        <v>0</v>
      </c>
    </row>
    <row r="336" spans="1:25">
      <c r="A336" s="317">
        <v>534300</v>
      </c>
      <c r="B336" s="973" t="s">
        <v>1744</v>
      </c>
      <c r="C336" s="974" t="s">
        <v>184</v>
      </c>
      <c r="D336" s="947" t="s">
        <v>2185</v>
      </c>
      <c r="E336" s="948" t="str">
        <f>'REF. DE PREÇOS n editavel'!E336</f>
        <v>taxa RM-2C</v>
      </c>
      <c r="F336" s="949">
        <f>'REF. DE PREÇOS n editavel'!F336</f>
        <v>0.14000000000000001</v>
      </c>
      <c r="G336" s="950">
        <f>'REF. DE PREÇOS n editavel'!G336</f>
        <v>208.39436000000001</v>
      </c>
      <c r="H336" s="951">
        <f>'REF. DE PREÇOS n editavel'!H336</f>
        <v>140.30000000000001</v>
      </c>
      <c r="I336" s="951">
        <f>'REF. DE PREÇOS n editavel'!I336</f>
        <v>348.69436000000002</v>
      </c>
      <c r="J336" s="952">
        <f>'REF. DE PREÇOS n editavel'!J336</f>
        <v>426.17</v>
      </c>
      <c r="K336" s="953" t="s">
        <v>10</v>
      </c>
      <c r="L336" s="1107"/>
      <c r="M336" s="1108">
        <f t="shared" si="22"/>
        <v>0</v>
      </c>
      <c r="N336" s="956">
        <f t="shared" si="26"/>
        <v>0</v>
      </c>
      <c r="O336" s="880"/>
      <c r="Q336" s="317" t="str">
        <f t="shared" si="23"/>
        <v/>
      </c>
      <c r="R336" s="317" t="str">
        <f t="shared" si="24"/>
        <v/>
      </c>
      <c r="S336" s="317" t="str">
        <f t="shared" si="25"/>
        <v/>
      </c>
      <c r="T336" s="317" t="str">
        <f>'REF. DE PREÇOS n editavel'!S336</f>
        <v/>
      </c>
      <c r="W336" s="577">
        <v>0</v>
      </c>
      <c r="X336" s="575"/>
      <c r="Y336" s="578">
        <f>IF('REF. DE PREÇOS n editavel'!W336=0,0,IF('REF. DE PREÇOS n editavel'!W336&gt;0,"c","b"))</f>
        <v>0</v>
      </c>
    </row>
    <row r="337" spans="1:25">
      <c r="A337" s="317" t="s">
        <v>147</v>
      </c>
      <c r="B337" s="870" t="s">
        <v>147</v>
      </c>
      <c r="C337" s="871"/>
      <c r="D337" s="931" t="s">
        <v>229</v>
      </c>
      <c r="E337" s="882">
        <f>'REF. DE PREÇOS n editavel'!E337</f>
        <v>290</v>
      </c>
      <c r="F337" s="883">
        <f>'REF. DE PREÇOS n editavel'!F337</f>
        <v>0.27</v>
      </c>
      <c r="G337" s="923">
        <f>'REF. DE PREÇOS n editavel'!G337</f>
        <v>84.504600000000011</v>
      </c>
      <c r="H337" s="876">
        <f>'REF. DE PREÇOS n editavel'!H337</f>
        <v>0</v>
      </c>
      <c r="I337" s="876">
        <f>'REF. DE PREÇOS n editavel'!I337</f>
        <v>0</v>
      </c>
      <c r="J337" s="877">
        <f>'REF. DE PREÇOS n editavel'!J337</f>
        <v>0</v>
      </c>
      <c r="K337" s="878" t="s">
        <v>506</v>
      </c>
      <c r="L337" s="977"/>
      <c r="M337" s="1112">
        <f t="shared" ref="M337:M424" si="27">IF(L337=0,0,ROUND(J337,2))</f>
        <v>0</v>
      </c>
      <c r="N337" s="868">
        <f t="shared" si="26"/>
        <v>0</v>
      </c>
      <c r="O337" s="880"/>
      <c r="P337" s="58" t="str">
        <f>IF(N336&gt;0,"xx",IF(N336&gt;0,"xy",""))</f>
        <v/>
      </c>
      <c r="Q337" s="317" t="str">
        <f t="shared" si="23"/>
        <v/>
      </c>
      <c r="R337" s="317" t="str">
        <f t="shared" si="24"/>
        <v/>
      </c>
      <c r="S337" s="317" t="str">
        <f t="shared" si="25"/>
        <v/>
      </c>
      <c r="T337" s="317" t="str">
        <f>'REF. DE PREÇOS n editavel'!S337</f>
        <v/>
      </c>
      <c r="W337" s="577">
        <v>0</v>
      </c>
      <c r="X337" s="575"/>
      <c r="Y337" s="578">
        <f>IF('REF. DE PREÇOS n editavel'!W337=0,0,IF('REF. DE PREÇOS n editavel'!W337&gt;0,"c","b"))</f>
        <v>0</v>
      </c>
    </row>
    <row r="338" spans="1:25">
      <c r="A338" s="317" t="s">
        <v>147</v>
      </c>
      <c r="B338" s="870" t="s">
        <v>147</v>
      </c>
      <c r="C338" s="871"/>
      <c r="D338" s="931" t="s">
        <v>230</v>
      </c>
      <c r="E338" s="882">
        <f>'REF. DE PREÇOS n editavel'!E338</f>
        <v>445</v>
      </c>
      <c r="F338" s="883">
        <f>'REF. DE PREÇOS n editavel'!F338</f>
        <v>0</v>
      </c>
      <c r="G338" s="884">
        <f>'REF. DE PREÇOS n editavel'!G338</f>
        <v>0</v>
      </c>
      <c r="H338" s="876">
        <f>'REF. DE PREÇOS n editavel'!H338</f>
        <v>0</v>
      </c>
      <c r="I338" s="876">
        <f>'REF. DE PREÇOS n editavel'!I338</f>
        <v>0</v>
      </c>
      <c r="J338" s="877">
        <f>'REF. DE PREÇOS n editavel'!J338</f>
        <v>0</v>
      </c>
      <c r="K338" s="878" t="s">
        <v>506</v>
      </c>
      <c r="L338" s="977"/>
      <c r="M338" s="1112">
        <f t="shared" si="27"/>
        <v>0</v>
      </c>
      <c r="N338" s="868">
        <f t="shared" si="26"/>
        <v>0</v>
      </c>
      <c r="O338" s="880"/>
      <c r="P338" s="58" t="str">
        <f>IF(N336&gt;0,"xx",IF(N336&gt;0,"xy",""))</f>
        <v/>
      </c>
      <c r="Q338" s="317" t="str">
        <f t="shared" si="23"/>
        <v/>
      </c>
      <c r="R338" s="317" t="str">
        <f t="shared" si="24"/>
        <v/>
      </c>
      <c r="S338" s="317" t="str">
        <f t="shared" si="25"/>
        <v/>
      </c>
      <c r="T338" s="317" t="str">
        <f>'REF. DE PREÇOS n editavel'!S338</f>
        <v/>
      </c>
      <c r="W338" s="577">
        <v>0</v>
      </c>
      <c r="X338" s="575"/>
      <c r="Y338" s="578">
        <f>IF('REF. DE PREÇOS n editavel'!W338=0,0,IF('REF. DE PREÇOS n editavel'!W338&gt;0,"c","b"))</f>
        <v>0</v>
      </c>
    </row>
    <row r="339" spans="1:25">
      <c r="A339" s="317" t="s">
        <v>147</v>
      </c>
      <c r="B339" s="870" t="s">
        <v>147</v>
      </c>
      <c r="C339" s="871"/>
      <c r="D339" s="931" t="s">
        <v>243</v>
      </c>
      <c r="E339" s="882">
        <f>'REF. DE PREÇOS n editavel'!E339</f>
        <v>0.2</v>
      </c>
      <c r="F339" s="883">
        <f>'REF. DE PREÇOS n editavel'!F339</f>
        <v>1.89</v>
      </c>
      <c r="G339" s="923">
        <f>'REF. DE PREÇOS n editavel'!G339</f>
        <v>5.4696600000000002</v>
      </c>
      <c r="H339" s="876">
        <f>'REF. DE PREÇOS n editavel'!H339</f>
        <v>0</v>
      </c>
      <c r="I339" s="876">
        <f>'REF. DE PREÇOS n editavel'!I339</f>
        <v>0</v>
      </c>
      <c r="J339" s="877">
        <f>'REF. DE PREÇOS n editavel'!J339</f>
        <v>0</v>
      </c>
      <c r="K339" s="878" t="s">
        <v>506</v>
      </c>
      <c r="L339" s="977"/>
      <c r="M339" s="1112">
        <f t="shared" si="27"/>
        <v>0</v>
      </c>
      <c r="N339" s="868">
        <f t="shared" si="26"/>
        <v>0</v>
      </c>
      <c r="O339" s="880"/>
      <c r="P339" s="58" t="str">
        <f>IF(N336&gt;0,"xx",IF(N336&gt;0,"xy",""))</f>
        <v/>
      </c>
      <c r="Q339" s="317" t="str">
        <f t="shared" ref="Q339:Q426" si="28">IF(P339="X","x",IF(P339="xx","x",IF(P339="xy","x",IF(P339="y","x",IF(OR(N339&gt;0,N339&gt;0),"x","")))))</f>
        <v/>
      </c>
      <c r="R339" s="317" t="str">
        <f t="shared" si="24"/>
        <v/>
      </c>
      <c r="S339" s="317" t="str">
        <f t="shared" si="25"/>
        <v/>
      </c>
      <c r="T339" s="317" t="str">
        <f>'REF. DE PREÇOS n editavel'!S339</f>
        <v/>
      </c>
      <c r="W339" s="577">
        <v>0</v>
      </c>
      <c r="X339" s="575"/>
      <c r="Y339" s="578">
        <f>IF('REF. DE PREÇOS n editavel'!W339=0,0,IF('REF. DE PREÇOS n editavel'!W339&gt;0,"c","b"))</f>
        <v>0</v>
      </c>
    </row>
    <row r="340" spans="1:25">
      <c r="A340" s="317" t="s">
        <v>147</v>
      </c>
      <c r="B340" s="870" t="s">
        <v>147</v>
      </c>
      <c r="C340" s="871"/>
      <c r="D340" s="931" t="s">
        <v>244</v>
      </c>
      <c r="E340" s="882">
        <f>'REF. DE PREÇOS n editavel'!E340</f>
        <v>43.1</v>
      </c>
      <c r="F340" s="883">
        <f>'REF. DE PREÇOS n editavel'!F340</f>
        <v>2.2999999999999998</v>
      </c>
      <c r="G340" s="887">
        <f>'REF. DE PREÇOS n editavel'!G340</f>
        <v>118.42009999999999</v>
      </c>
      <c r="H340" s="876">
        <f>'REF. DE PREÇOS n editavel'!H340</f>
        <v>0</v>
      </c>
      <c r="I340" s="876">
        <f>'REF. DE PREÇOS n editavel'!I340</f>
        <v>0</v>
      </c>
      <c r="J340" s="877">
        <f>'REF. DE PREÇOS n editavel'!J340</f>
        <v>0</v>
      </c>
      <c r="K340" s="878" t="s">
        <v>506</v>
      </c>
      <c r="L340" s="977"/>
      <c r="M340" s="1112">
        <f t="shared" si="27"/>
        <v>0</v>
      </c>
      <c r="N340" s="868">
        <f t="shared" si="26"/>
        <v>0</v>
      </c>
      <c r="O340" s="880"/>
      <c r="P340" s="58" t="str">
        <f>IF(N336&gt;0,"xx",IF(N336&gt;0,"xy",""))</f>
        <v/>
      </c>
      <c r="Q340" s="317" t="str">
        <f t="shared" si="28"/>
        <v/>
      </c>
      <c r="R340" s="317" t="str">
        <f t="shared" si="24"/>
        <v/>
      </c>
      <c r="S340" s="317" t="str">
        <f t="shared" si="25"/>
        <v/>
      </c>
      <c r="T340" s="317" t="str">
        <f>'REF. DE PREÇOS n editavel'!S340</f>
        <v/>
      </c>
      <c r="W340" s="577">
        <v>0</v>
      </c>
      <c r="X340" s="575"/>
      <c r="Y340" s="578">
        <f>IF('REF. DE PREÇOS n editavel'!W340=0,0,IF('REF. DE PREÇOS n editavel'!W340&gt;0,"c","b"))</f>
        <v>0</v>
      </c>
    </row>
    <row r="341" spans="1:25" ht="13.5" thickBot="1">
      <c r="A341" s="317">
        <v>589320</v>
      </c>
      <c r="B341" s="978" t="s">
        <v>1670</v>
      </c>
      <c r="C341" s="958" t="s">
        <v>213</v>
      </c>
      <c r="D341" s="986" t="s">
        <v>685</v>
      </c>
      <c r="E341" s="979">
        <f>'REF. DE PREÇOS n editavel'!E341</f>
        <v>468</v>
      </c>
      <c r="F341" s="980">
        <f>'REF. DE PREÇOS n editavel'!F341</f>
        <v>1</v>
      </c>
      <c r="G341" s="923">
        <f>'REF. DE PREÇOS n editavel'!G341</f>
        <v>434.57</v>
      </c>
      <c r="H341" s="962">
        <f>'REF. DE PREÇOS n editavel'!H341</f>
        <v>4012.83</v>
      </c>
      <c r="I341" s="962">
        <f>'REF. DE PREÇOS n editavel'!I341</f>
        <v>4321.3218851251841</v>
      </c>
      <c r="J341" s="963">
        <f>'REF. DE PREÇOS n editavel'!J341</f>
        <v>5281.52</v>
      </c>
      <c r="K341" s="964" t="s">
        <v>14</v>
      </c>
      <c r="L341" s="1109">
        <f>ROUND(L336*$F336,2)</f>
        <v>0</v>
      </c>
      <c r="M341" s="1114">
        <f t="shared" si="27"/>
        <v>0</v>
      </c>
      <c r="N341" s="967">
        <f t="shared" si="26"/>
        <v>0</v>
      </c>
      <c r="O341" s="880"/>
      <c r="P341" s="58" t="str">
        <f>IF(N336&gt;0,"xx",IF(N336&gt;0,"xy",""))</f>
        <v/>
      </c>
      <c r="Q341" s="317" t="str">
        <f t="shared" si="28"/>
        <v/>
      </c>
      <c r="R341" s="317" t="str">
        <f t="shared" ref="R341:R428" si="29">IF(P341="X","x",IF(P341="y","x",IF(P341="xx","x",IF(N341&gt;0,"x",""))))</f>
        <v/>
      </c>
      <c r="S341" s="317" t="str">
        <f t="shared" ref="S341:S428" si="30">IF(P341="X","x",IF(N341&gt;0,"x",""))</f>
        <v/>
      </c>
      <c r="T341" s="317" t="str">
        <f>'REF. DE PREÇOS n editavel'!S341</f>
        <v/>
      </c>
      <c r="W341" s="577">
        <v>0</v>
      </c>
      <c r="X341" s="575"/>
      <c r="Y341" s="578">
        <f>IF('REF. DE PREÇOS n editavel'!W341=0,0,IF('REF. DE PREÇOS n editavel'!W341&gt;0,"c","b"))</f>
        <v>0</v>
      </c>
    </row>
    <row r="342" spans="1:25">
      <c r="A342" s="317">
        <v>534300</v>
      </c>
      <c r="B342" s="973" t="s">
        <v>1631</v>
      </c>
      <c r="C342" s="974" t="s">
        <v>184</v>
      </c>
      <c r="D342" s="947" t="s">
        <v>2184</v>
      </c>
      <c r="E342" s="948" t="str">
        <f>'REF. DE PREÇOS n editavel'!E342</f>
        <v>taxa RM-2C</v>
      </c>
      <c r="F342" s="949">
        <f>'REF. DE PREÇOS n editavel'!F342</f>
        <v>0.14000000000000001</v>
      </c>
      <c r="G342" s="950">
        <f>'REF. DE PREÇOS n editavel'!G342</f>
        <v>208.39436000000001</v>
      </c>
      <c r="H342" s="951">
        <f>'REF. DE PREÇOS n editavel'!H342</f>
        <v>140.30000000000001</v>
      </c>
      <c r="I342" s="951">
        <f>'REF. DE PREÇOS n editavel'!I342</f>
        <v>348.69436000000002</v>
      </c>
      <c r="J342" s="952">
        <f>'REF. DE PREÇOS n editavel'!J342</f>
        <v>426.17</v>
      </c>
      <c r="K342" s="953" t="s">
        <v>10</v>
      </c>
      <c r="L342" s="1107"/>
      <c r="M342" s="1108">
        <f t="shared" si="27"/>
        <v>0</v>
      </c>
      <c r="N342" s="956">
        <f t="shared" si="26"/>
        <v>0</v>
      </c>
      <c r="O342" s="880"/>
      <c r="Q342" s="317" t="str">
        <f t="shared" si="28"/>
        <v/>
      </c>
      <c r="R342" s="317" t="str">
        <f t="shared" si="29"/>
        <v/>
      </c>
      <c r="S342" s="317" t="str">
        <f t="shared" si="30"/>
        <v/>
      </c>
      <c r="T342" s="317" t="str">
        <f>'REF. DE PREÇOS n editavel'!S342</f>
        <v/>
      </c>
      <c r="W342" s="577">
        <v>0</v>
      </c>
      <c r="X342" s="575"/>
      <c r="Y342" s="578">
        <f>IF('REF. DE PREÇOS n editavel'!W342=0,0,IF('REF. DE PREÇOS n editavel'!W342&gt;0,"c","b"))</f>
        <v>0</v>
      </c>
    </row>
    <row r="343" spans="1:25">
      <c r="A343" s="317" t="s">
        <v>147</v>
      </c>
      <c r="B343" s="870" t="s">
        <v>147</v>
      </c>
      <c r="C343" s="871"/>
      <c r="D343" s="931" t="s">
        <v>229</v>
      </c>
      <c r="E343" s="882">
        <f>'REF. DE PREÇOS n editavel'!E343</f>
        <v>290</v>
      </c>
      <c r="F343" s="883">
        <f>'REF. DE PREÇOS n editavel'!F343</f>
        <v>0.27</v>
      </c>
      <c r="G343" s="923">
        <f>'REF. DE PREÇOS n editavel'!G343</f>
        <v>84.504600000000011</v>
      </c>
      <c r="H343" s="876">
        <f>'REF. DE PREÇOS n editavel'!H343</f>
        <v>0</v>
      </c>
      <c r="I343" s="876">
        <f>'REF. DE PREÇOS n editavel'!I343</f>
        <v>0</v>
      </c>
      <c r="J343" s="877">
        <f>'REF. DE PREÇOS n editavel'!J343</f>
        <v>0</v>
      </c>
      <c r="K343" s="878" t="s">
        <v>506</v>
      </c>
      <c r="L343" s="977"/>
      <c r="M343" s="1112">
        <f t="shared" si="27"/>
        <v>0</v>
      </c>
      <c r="N343" s="868">
        <f t="shared" si="26"/>
        <v>0</v>
      </c>
      <c r="O343" s="880"/>
      <c r="P343" s="58" t="str">
        <f>IF(N342&gt;0,"xx",IF(N342&gt;0,"xy",""))</f>
        <v/>
      </c>
      <c r="Q343" s="317" t="str">
        <f t="shared" si="28"/>
        <v/>
      </c>
      <c r="R343" s="317" t="str">
        <f t="shared" si="29"/>
        <v/>
      </c>
      <c r="S343" s="317" t="str">
        <f t="shared" si="30"/>
        <v/>
      </c>
      <c r="T343" s="317" t="str">
        <f>'REF. DE PREÇOS n editavel'!S343</f>
        <v/>
      </c>
      <c r="W343" s="577">
        <v>0</v>
      </c>
      <c r="X343" s="575"/>
      <c r="Y343" s="578">
        <f>IF('REF. DE PREÇOS n editavel'!W343=0,0,IF('REF. DE PREÇOS n editavel'!W343&gt;0,"c","b"))</f>
        <v>0</v>
      </c>
    </row>
    <row r="344" spans="1:25">
      <c r="A344" s="317" t="s">
        <v>147</v>
      </c>
      <c r="B344" s="870" t="s">
        <v>147</v>
      </c>
      <c r="C344" s="871"/>
      <c r="D344" s="931" t="s">
        <v>230</v>
      </c>
      <c r="E344" s="882">
        <f>'REF. DE PREÇOS n editavel'!E344</f>
        <v>445</v>
      </c>
      <c r="F344" s="883">
        <f>'REF. DE PREÇOS n editavel'!F344</f>
        <v>0</v>
      </c>
      <c r="G344" s="884">
        <f>'REF. DE PREÇOS n editavel'!G344</f>
        <v>0</v>
      </c>
      <c r="H344" s="876">
        <f>'REF. DE PREÇOS n editavel'!H344</f>
        <v>0</v>
      </c>
      <c r="I344" s="876">
        <f>'REF. DE PREÇOS n editavel'!I344</f>
        <v>0</v>
      </c>
      <c r="J344" s="877">
        <f>'REF. DE PREÇOS n editavel'!J344</f>
        <v>0</v>
      </c>
      <c r="K344" s="878" t="s">
        <v>506</v>
      </c>
      <c r="L344" s="977"/>
      <c r="M344" s="1112">
        <f t="shared" si="27"/>
        <v>0</v>
      </c>
      <c r="N344" s="868">
        <f t="shared" si="26"/>
        <v>0</v>
      </c>
      <c r="O344" s="880"/>
      <c r="P344" s="58" t="str">
        <f>IF(N342&gt;0,"xx",IF(N342&gt;0,"xy",""))</f>
        <v/>
      </c>
      <c r="Q344" s="317" t="str">
        <f t="shared" si="28"/>
        <v/>
      </c>
      <c r="R344" s="317" t="str">
        <f t="shared" si="29"/>
        <v/>
      </c>
      <c r="S344" s="317" t="str">
        <f t="shared" si="30"/>
        <v/>
      </c>
      <c r="T344" s="317" t="str">
        <f>'REF. DE PREÇOS n editavel'!S344</f>
        <v/>
      </c>
      <c r="W344" s="577">
        <v>0</v>
      </c>
      <c r="X344" s="575"/>
      <c r="Y344" s="578">
        <f>IF('REF. DE PREÇOS n editavel'!W344=0,0,IF('REF. DE PREÇOS n editavel'!W344&gt;0,"c","b"))</f>
        <v>0</v>
      </c>
    </row>
    <row r="345" spans="1:25">
      <c r="A345" s="317" t="s">
        <v>147</v>
      </c>
      <c r="B345" s="870" t="s">
        <v>147</v>
      </c>
      <c r="C345" s="871"/>
      <c r="D345" s="931" t="s">
        <v>243</v>
      </c>
      <c r="E345" s="882">
        <f>'REF. DE PREÇOS n editavel'!E345</f>
        <v>0.2</v>
      </c>
      <c r="F345" s="883">
        <f>'REF. DE PREÇOS n editavel'!F345</f>
        <v>1.89</v>
      </c>
      <c r="G345" s="923">
        <f>'REF. DE PREÇOS n editavel'!G345</f>
        <v>5.4696600000000002</v>
      </c>
      <c r="H345" s="876">
        <f>'REF. DE PREÇOS n editavel'!H345</f>
        <v>0</v>
      </c>
      <c r="I345" s="876">
        <f>'REF. DE PREÇOS n editavel'!I345</f>
        <v>0</v>
      </c>
      <c r="J345" s="877">
        <f>'REF. DE PREÇOS n editavel'!J345</f>
        <v>0</v>
      </c>
      <c r="K345" s="878" t="s">
        <v>506</v>
      </c>
      <c r="L345" s="977"/>
      <c r="M345" s="1112">
        <f t="shared" si="27"/>
        <v>0</v>
      </c>
      <c r="N345" s="868">
        <f t="shared" ref="N345:N432" si="31">IF(ISBLANK(L345),0,IF(W345=0,ROUND(L345*M345,2),IF(W345="b",ROUNDDOWN(L345*M345,2),ROUNDUP(L345*M345,2))))</f>
        <v>0</v>
      </c>
      <c r="O345" s="880"/>
      <c r="P345" s="58" t="str">
        <f>IF(N342&gt;0,"xx",IF(N342&gt;0,"xy",""))</f>
        <v/>
      </c>
      <c r="Q345" s="317" t="str">
        <f t="shared" si="28"/>
        <v/>
      </c>
      <c r="R345" s="317" t="str">
        <f t="shared" si="29"/>
        <v/>
      </c>
      <c r="S345" s="317" t="str">
        <f t="shared" si="30"/>
        <v/>
      </c>
      <c r="T345" s="317" t="str">
        <f>'REF. DE PREÇOS n editavel'!S345</f>
        <v/>
      </c>
      <c r="W345" s="577">
        <v>0</v>
      </c>
      <c r="X345" s="575"/>
      <c r="Y345" s="578">
        <f>IF('REF. DE PREÇOS n editavel'!W345=0,0,IF('REF. DE PREÇOS n editavel'!W345&gt;0,"c","b"))</f>
        <v>0</v>
      </c>
    </row>
    <row r="346" spans="1:25">
      <c r="A346" s="317" t="s">
        <v>147</v>
      </c>
      <c r="B346" s="870" t="s">
        <v>147</v>
      </c>
      <c r="C346" s="871"/>
      <c r="D346" s="931" t="s">
        <v>244</v>
      </c>
      <c r="E346" s="882">
        <f>'REF. DE PREÇOS n editavel'!E346</f>
        <v>43.1</v>
      </c>
      <c r="F346" s="883">
        <f>'REF. DE PREÇOS n editavel'!F346</f>
        <v>2.2999999999999998</v>
      </c>
      <c r="G346" s="887">
        <f>'REF. DE PREÇOS n editavel'!G346</f>
        <v>118.42009999999999</v>
      </c>
      <c r="H346" s="876">
        <f>'REF. DE PREÇOS n editavel'!H346</f>
        <v>0</v>
      </c>
      <c r="I346" s="876">
        <f>'REF. DE PREÇOS n editavel'!I346</f>
        <v>0</v>
      </c>
      <c r="J346" s="877">
        <f>'REF. DE PREÇOS n editavel'!J346</f>
        <v>0</v>
      </c>
      <c r="K346" s="878" t="s">
        <v>506</v>
      </c>
      <c r="L346" s="977"/>
      <c r="M346" s="1112">
        <f t="shared" si="27"/>
        <v>0</v>
      </c>
      <c r="N346" s="868">
        <f t="shared" si="31"/>
        <v>0</v>
      </c>
      <c r="O346" s="880"/>
      <c r="P346" s="58" t="str">
        <f>IF(N342&gt;0,"xx",IF(N342&gt;0,"xy",""))</f>
        <v/>
      </c>
      <c r="Q346" s="317" t="str">
        <f t="shared" si="28"/>
        <v/>
      </c>
      <c r="R346" s="317" t="str">
        <f t="shared" si="29"/>
        <v/>
      </c>
      <c r="S346" s="317" t="str">
        <f t="shared" si="30"/>
        <v/>
      </c>
      <c r="T346" s="317" t="str">
        <f>'REF. DE PREÇOS n editavel'!S346</f>
        <v/>
      </c>
      <c r="W346" s="577">
        <v>0</v>
      </c>
      <c r="X346" s="575"/>
      <c r="Y346" s="578">
        <f>IF('REF. DE PREÇOS n editavel'!W346=0,0,IF('REF. DE PREÇOS n editavel'!W346&gt;0,"c","b"))</f>
        <v>0</v>
      </c>
    </row>
    <row r="347" spans="1:25" ht="13.5" thickBot="1">
      <c r="A347" s="317">
        <v>589320</v>
      </c>
      <c r="B347" s="978" t="s">
        <v>1671</v>
      </c>
      <c r="C347" s="958" t="s">
        <v>213</v>
      </c>
      <c r="D347" s="986" t="s">
        <v>685</v>
      </c>
      <c r="E347" s="979">
        <f>'REF. DE PREÇOS n editavel'!E347</f>
        <v>468</v>
      </c>
      <c r="F347" s="980">
        <f>'REF. DE PREÇOS n editavel'!F347</f>
        <v>1</v>
      </c>
      <c r="G347" s="923">
        <f>'REF. DE PREÇOS n editavel'!G347</f>
        <v>434.57</v>
      </c>
      <c r="H347" s="962">
        <f>'REF. DE PREÇOS n editavel'!H347</f>
        <v>4012.83</v>
      </c>
      <c r="I347" s="962">
        <f>'REF. DE PREÇOS n editavel'!I347</f>
        <v>4321.3218851251841</v>
      </c>
      <c r="J347" s="963">
        <f>'REF. DE PREÇOS n editavel'!J347</f>
        <v>5281.52</v>
      </c>
      <c r="K347" s="964" t="s">
        <v>14</v>
      </c>
      <c r="L347" s="1109">
        <f>ROUND(L342*$F342,2)</f>
        <v>0</v>
      </c>
      <c r="M347" s="1114">
        <f t="shared" si="27"/>
        <v>0</v>
      </c>
      <c r="N347" s="967">
        <f t="shared" si="31"/>
        <v>0</v>
      </c>
      <c r="O347" s="880"/>
      <c r="P347" s="58" t="str">
        <f>IF(N342&gt;0,"xx",IF(N342&gt;0,"xy",""))</f>
        <v/>
      </c>
      <c r="Q347" s="317" t="str">
        <f t="shared" si="28"/>
        <v/>
      </c>
      <c r="R347" s="317" t="str">
        <f t="shared" si="29"/>
        <v/>
      </c>
      <c r="S347" s="317" t="str">
        <f t="shared" si="30"/>
        <v/>
      </c>
      <c r="T347" s="317" t="str">
        <f>'REF. DE PREÇOS n editavel'!S347</f>
        <v/>
      </c>
      <c r="W347" s="577">
        <v>0</v>
      </c>
      <c r="X347" s="575"/>
      <c r="Y347" s="578">
        <f>IF('REF. DE PREÇOS n editavel'!W347=0,0,IF('REF. DE PREÇOS n editavel'!W347&gt;0,"c","b"))</f>
        <v>0</v>
      </c>
    </row>
    <row r="348" spans="1:25">
      <c r="A348" s="317">
        <v>534300</v>
      </c>
      <c r="B348" s="973" t="s">
        <v>1632</v>
      </c>
      <c r="C348" s="974" t="s">
        <v>184</v>
      </c>
      <c r="D348" s="947" t="s">
        <v>2186</v>
      </c>
      <c r="E348" s="948" t="str">
        <f>'REF. DE PREÇOS n editavel'!E348</f>
        <v>taxa RM-2C</v>
      </c>
      <c r="F348" s="949">
        <f>'REF. DE PREÇOS n editavel'!F348</f>
        <v>0.18240000000000001</v>
      </c>
      <c r="G348" s="950">
        <f>'REF. DE PREÇOS n editavel'!G348</f>
        <v>336.01171920000002</v>
      </c>
      <c r="H348" s="951">
        <f>'REF. DE PREÇOS n editavel'!H348</f>
        <v>140.30000000000001</v>
      </c>
      <c r="I348" s="951">
        <f>'REF. DE PREÇOS n editavel'!I348</f>
        <v>476.31171920000003</v>
      </c>
      <c r="J348" s="952">
        <f>'REF. DE PREÇOS n editavel'!J348</f>
        <v>582.15</v>
      </c>
      <c r="K348" s="953" t="s">
        <v>10</v>
      </c>
      <c r="L348" s="1107"/>
      <c r="M348" s="1108">
        <f t="shared" si="27"/>
        <v>0</v>
      </c>
      <c r="N348" s="956">
        <f t="shared" si="31"/>
        <v>0</v>
      </c>
      <c r="O348" s="880"/>
      <c r="Q348" s="317" t="str">
        <f t="shared" si="28"/>
        <v/>
      </c>
      <c r="R348" s="317" t="str">
        <f t="shared" si="29"/>
        <v/>
      </c>
      <c r="S348" s="317" t="str">
        <f t="shared" si="30"/>
        <v/>
      </c>
      <c r="T348" s="317" t="str">
        <f>'REF. DE PREÇOS n editavel'!S348</f>
        <v/>
      </c>
      <c r="W348" s="577">
        <v>0</v>
      </c>
      <c r="X348" s="575"/>
      <c r="Y348" s="578">
        <f>IF('REF. DE PREÇOS n editavel'!W348=0,0,IF('REF. DE PREÇOS n editavel'!W348&gt;0,"c","b"))</f>
        <v>0</v>
      </c>
    </row>
    <row r="349" spans="1:25">
      <c r="A349" s="317" t="s">
        <v>147</v>
      </c>
      <c r="B349" s="870" t="s">
        <v>147</v>
      </c>
      <c r="C349" s="871"/>
      <c r="D349" s="931" t="s">
        <v>229</v>
      </c>
      <c r="E349" s="882">
        <f>'REF. DE PREÇOS n editavel'!E349</f>
        <v>290</v>
      </c>
      <c r="F349" s="883">
        <f>'REF. DE PREÇOS n editavel'!F349</f>
        <v>0.56969999999999998</v>
      </c>
      <c r="G349" s="923">
        <f>'REF. DE PREÇOS n editavel'!G349</f>
        <v>178.30470600000001</v>
      </c>
      <c r="H349" s="876">
        <f>'REF. DE PREÇOS n editavel'!H349</f>
        <v>0</v>
      </c>
      <c r="I349" s="876">
        <f>'REF. DE PREÇOS n editavel'!I349</f>
        <v>0</v>
      </c>
      <c r="J349" s="877">
        <f>'REF. DE PREÇOS n editavel'!J349</f>
        <v>0</v>
      </c>
      <c r="K349" s="878" t="s">
        <v>506</v>
      </c>
      <c r="L349" s="977"/>
      <c r="M349" s="1112">
        <f t="shared" si="27"/>
        <v>0</v>
      </c>
      <c r="N349" s="868">
        <f t="shared" si="31"/>
        <v>0</v>
      </c>
      <c r="O349" s="880"/>
      <c r="P349" s="58" t="str">
        <f>IF(N348&gt;0,"xx",IF(N348&gt;0,"xy",""))</f>
        <v/>
      </c>
      <c r="Q349" s="317" t="str">
        <f t="shared" si="28"/>
        <v/>
      </c>
      <c r="R349" s="317" t="str">
        <f t="shared" si="29"/>
        <v/>
      </c>
      <c r="S349" s="317" t="str">
        <f t="shared" si="30"/>
        <v/>
      </c>
      <c r="T349" s="317" t="str">
        <f>'REF. DE PREÇOS n editavel'!S349</f>
        <v/>
      </c>
      <c r="W349" s="577">
        <v>0</v>
      </c>
      <c r="X349" s="575"/>
      <c r="Y349" s="578">
        <f>IF('REF. DE PREÇOS n editavel'!W349=0,0,IF('REF. DE PREÇOS n editavel'!W349&gt;0,"c","b"))</f>
        <v>0</v>
      </c>
    </row>
    <row r="350" spans="1:25">
      <c r="A350" s="317" t="s">
        <v>147</v>
      </c>
      <c r="B350" s="870" t="s">
        <v>147</v>
      </c>
      <c r="C350" s="871"/>
      <c r="D350" s="931" t="s">
        <v>230</v>
      </c>
      <c r="E350" s="882">
        <f>'REF. DE PREÇOS n editavel'!E350</f>
        <v>445</v>
      </c>
      <c r="F350" s="883">
        <f>'REF. DE PREÇOS n editavel'!F350</f>
        <v>8.7599999999999997E-2</v>
      </c>
      <c r="G350" s="884">
        <f>'REF. DE PREÇOS n editavel'!G350</f>
        <v>31.090992</v>
      </c>
      <c r="H350" s="876">
        <f>'REF. DE PREÇOS n editavel'!H350</f>
        <v>0</v>
      </c>
      <c r="I350" s="876">
        <f>'REF. DE PREÇOS n editavel'!I350</f>
        <v>0</v>
      </c>
      <c r="J350" s="877">
        <f>'REF. DE PREÇOS n editavel'!J350</f>
        <v>0</v>
      </c>
      <c r="K350" s="878" t="s">
        <v>506</v>
      </c>
      <c r="L350" s="977"/>
      <c r="M350" s="1112">
        <f t="shared" si="27"/>
        <v>0</v>
      </c>
      <c r="N350" s="868">
        <f t="shared" si="31"/>
        <v>0</v>
      </c>
      <c r="O350" s="880"/>
      <c r="P350" s="58" t="str">
        <f>IF(N348&gt;0,"xx",IF(N348&gt;0,"xy",""))</f>
        <v/>
      </c>
      <c r="Q350" s="317" t="str">
        <f t="shared" si="28"/>
        <v/>
      </c>
      <c r="R350" s="317" t="str">
        <f t="shared" si="29"/>
        <v/>
      </c>
      <c r="S350" s="317" t="str">
        <f t="shared" si="30"/>
        <v/>
      </c>
      <c r="T350" s="317" t="str">
        <f>'REF. DE PREÇOS n editavel'!S350</f>
        <v/>
      </c>
      <c r="W350" s="577">
        <v>0</v>
      </c>
      <c r="X350" s="575"/>
      <c r="Y350" s="578">
        <f>IF('REF. DE PREÇOS n editavel'!W350=0,0,IF('REF. DE PREÇOS n editavel'!W350&gt;0,"c","b"))</f>
        <v>0</v>
      </c>
    </row>
    <row r="351" spans="1:25">
      <c r="A351" s="317" t="s">
        <v>147</v>
      </c>
      <c r="B351" s="870" t="s">
        <v>147</v>
      </c>
      <c r="C351" s="871"/>
      <c r="D351" s="931" t="s">
        <v>243</v>
      </c>
      <c r="E351" s="882">
        <f>'REF. DE PREÇOS n editavel'!E351</f>
        <v>0.2</v>
      </c>
      <c r="F351" s="883">
        <f>'REF. DE PREÇOS n editavel'!F351</f>
        <v>1.5333000000000001</v>
      </c>
      <c r="G351" s="923">
        <f>'REF. DE PREÇOS n editavel'!G351</f>
        <v>4.4373702000000002</v>
      </c>
      <c r="H351" s="876">
        <f>'REF. DE PREÇOS n editavel'!H351</f>
        <v>0</v>
      </c>
      <c r="I351" s="876">
        <f>'REF. DE PREÇOS n editavel'!I351</f>
        <v>0</v>
      </c>
      <c r="J351" s="877">
        <f>'REF. DE PREÇOS n editavel'!J351</f>
        <v>0</v>
      </c>
      <c r="K351" s="878" t="s">
        <v>506</v>
      </c>
      <c r="L351" s="977"/>
      <c r="M351" s="1112">
        <f t="shared" si="27"/>
        <v>0</v>
      </c>
      <c r="N351" s="868">
        <f t="shared" si="31"/>
        <v>0</v>
      </c>
      <c r="O351" s="880"/>
      <c r="P351" s="58" t="str">
        <f>IF(N348&gt;0,"xx",IF(N348&gt;0,"xy",""))</f>
        <v/>
      </c>
      <c r="Q351" s="317" t="str">
        <f t="shared" si="28"/>
        <v/>
      </c>
      <c r="R351" s="317" t="str">
        <f t="shared" si="29"/>
        <v/>
      </c>
      <c r="S351" s="317" t="str">
        <f t="shared" si="30"/>
        <v/>
      </c>
      <c r="T351" s="317" t="str">
        <f>'REF. DE PREÇOS n editavel'!S351</f>
        <v/>
      </c>
      <c r="W351" s="577">
        <v>0</v>
      </c>
      <c r="X351" s="575"/>
      <c r="Y351" s="578">
        <f>IF('REF. DE PREÇOS n editavel'!W351=0,0,IF('REF. DE PREÇOS n editavel'!W351&gt;0,"c","b"))</f>
        <v>0</v>
      </c>
    </row>
    <row r="352" spans="1:25">
      <c r="A352" s="317" t="s">
        <v>147</v>
      </c>
      <c r="B352" s="870" t="s">
        <v>147</v>
      </c>
      <c r="C352" s="871"/>
      <c r="D352" s="931" t="s">
        <v>244</v>
      </c>
      <c r="E352" s="882">
        <f>'REF. DE PREÇOS n editavel'!E352</f>
        <v>43.1</v>
      </c>
      <c r="F352" s="883">
        <f>'REF. DE PREÇOS n editavel'!F352</f>
        <v>2.3730000000000002</v>
      </c>
      <c r="G352" s="887">
        <f>'REF. DE PREÇOS n editavel'!G352</f>
        <v>122.17865100000002</v>
      </c>
      <c r="H352" s="876">
        <f>'REF. DE PREÇOS n editavel'!H352</f>
        <v>0</v>
      </c>
      <c r="I352" s="876">
        <f>'REF. DE PREÇOS n editavel'!I352</f>
        <v>0</v>
      </c>
      <c r="J352" s="877">
        <f>'REF. DE PREÇOS n editavel'!J352</f>
        <v>0</v>
      </c>
      <c r="K352" s="878" t="s">
        <v>506</v>
      </c>
      <c r="L352" s="977"/>
      <c r="M352" s="1112">
        <f t="shared" si="27"/>
        <v>0</v>
      </c>
      <c r="N352" s="868">
        <f t="shared" si="31"/>
        <v>0</v>
      </c>
      <c r="O352" s="880"/>
      <c r="P352" s="58" t="str">
        <f>IF(N348&gt;0,"xx",IF(N348&gt;0,"xy",""))</f>
        <v/>
      </c>
      <c r="Q352" s="317" t="str">
        <f t="shared" si="28"/>
        <v/>
      </c>
      <c r="R352" s="317" t="str">
        <f t="shared" si="29"/>
        <v/>
      </c>
      <c r="S352" s="317" t="str">
        <f t="shared" si="30"/>
        <v/>
      </c>
      <c r="T352" s="317" t="str">
        <f>'REF. DE PREÇOS n editavel'!S352</f>
        <v/>
      </c>
      <c r="W352" s="577">
        <v>0</v>
      </c>
      <c r="X352" s="575"/>
      <c r="Y352" s="578">
        <f>IF('REF. DE PREÇOS n editavel'!W352=0,0,IF('REF. DE PREÇOS n editavel'!W352&gt;0,"c","b"))</f>
        <v>0</v>
      </c>
    </row>
    <row r="353" spans="1:25" ht="13.5" thickBot="1">
      <c r="A353" s="317">
        <v>589320</v>
      </c>
      <c r="B353" s="978" t="s">
        <v>1672</v>
      </c>
      <c r="C353" s="958" t="s">
        <v>213</v>
      </c>
      <c r="D353" s="986" t="s">
        <v>1666</v>
      </c>
      <c r="E353" s="979">
        <f>'REF. DE PREÇOS n editavel'!E353</f>
        <v>468</v>
      </c>
      <c r="F353" s="980">
        <f>'REF. DE PREÇOS n editavel'!F353</f>
        <v>1</v>
      </c>
      <c r="G353" s="923">
        <f>'REF. DE PREÇOS n editavel'!G353</f>
        <v>434.57</v>
      </c>
      <c r="H353" s="962">
        <f>'REF. DE PREÇOS n editavel'!H353</f>
        <v>4012.83</v>
      </c>
      <c r="I353" s="962">
        <f>'REF. DE PREÇOS n editavel'!I353</f>
        <v>4321.3218851251841</v>
      </c>
      <c r="J353" s="963">
        <f>'REF. DE PREÇOS n editavel'!J353</f>
        <v>5281.52</v>
      </c>
      <c r="K353" s="964" t="s">
        <v>14</v>
      </c>
      <c r="L353" s="1109">
        <f>ROUND(L348*$F348,2)</f>
        <v>0</v>
      </c>
      <c r="M353" s="1114">
        <f t="shared" si="27"/>
        <v>0</v>
      </c>
      <c r="N353" s="967">
        <f t="shared" si="31"/>
        <v>0</v>
      </c>
      <c r="O353" s="880"/>
      <c r="P353" s="58" t="str">
        <f>IF(N348&gt;0,"xx",IF(N348&gt;0,"xy",""))</f>
        <v/>
      </c>
      <c r="Q353" s="317" t="str">
        <f t="shared" si="28"/>
        <v/>
      </c>
      <c r="R353" s="317" t="str">
        <f t="shared" si="29"/>
        <v/>
      </c>
      <c r="S353" s="317" t="str">
        <f t="shared" si="30"/>
        <v/>
      </c>
      <c r="T353" s="317" t="str">
        <f>'REF. DE PREÇOS n editavel'!S353</f>
        <v/>
      </c>
      <c r="W353" s="577">
        <v>0</v>
      </c>
      <c r="X353" s="575"/>
      <c r="Y353" s="578">
        <f>IF('REF. DE PREÇOS n editavel'!W353=0,0,IF('REF. DE PREÇOS n editavel'!W353&gt;0,"c","b"))</f>
        <v>0</v>
      </c>
    </row>
    <row r="354" spans="1:25">
      <c r="A354" s="317">
        <v>570300</v>
      </c>
      <c r="B354" s="973" t="s">
        <v>1633</v>
      </c>
      <c r="C354" s="974" t="s">
        <v>184</v>
      </c>
      <c r="D354" s="993" t="s">
        <v>754</v>
      </c>
      <c r="E354" s="948" t="str">
        <f>'REF. DE PREÇOS n editavel'!E354</f>
        <v>taxa CAP</v>
      </c>
      <c r="F354" s="949">
        <f>'REF. DE PREÇOS n editavel'!F354</f>
        <v>0.04</v>
      </c>
      <c r="G354" s="950">
        <f>'REF. DE PREÇOS n editavel'!G354</f>
        <v>60.625630000000008</v>
      </c>
      <c r="H354" s="951">
        <f>'REF. DE PREÇOS n editavel'!H354</f>
        <v>178.78</v>
      </c>
      <c r="I354" s="951">
        <f>'REF. DE PREÇOS n editavel'!I354</f>
        <v>239.40563</v>
      </c>
      <c r="J354" s="952">
        <f>'REF. DE PREÇOS n editavel'!J354</f>
        <v>292.60000000000002</v>
      </c>
      <c r="K354" s="953" t="s">
        <v>14</v>
      </c>
      <c r="L354" s="1107"/>
      <c r="M354" s="1108">
        <f t="shared" si="27"/>
        <v>0</v>
      </c>
      <c r="N354" s="956">
        <f t="shared" si="31"/>
        <v>0</v>
      </c>
      <c r="O354" s="880"/>
      <c r="Q354" s="317" t="str">
        <f t="shared" si="28"/>
        <v/>
      </c>
      <c r="R354" s="317" t="str">
        <f t="shared" si="29"/>
        <v/>
      </c>
      <c r="S354" s="317" t="str">
        <f t="shared" si="30"/>
        <v/>
      </c>
      <c r="T354" s="317" t="str">
        <f>'REF. DE PREÇOS n editavel'!S354</f>
        <v/>
      </c>
      <c r="W354" s="577">
        <v>0</v>
      </c>
      <c r="X354" s="575"/>
      <c r="Y354" s="578">
        <f>IF('REF. DE PREÇOS n editavel'!W354=0,0,IF('REF. DE PREÇOS n editavel'!W354&gt;0,"c","b"))</f>
        <v>0</v>
      </c>
    </row>
    <row r="355" spans="1:25">
      <c r="A355" s="317" t="s">
        <v>147</v>
      </c>
      <c r="B355" s="870" t="s">
        <v>147</v>
      </c>
      <c r="C355" s="871"/>
      <c r="D355" s="931" t="s">
        <v>229</v>
      </c>
      <c r="E355" s="882">
        <f>'REF. DE PREÇOS n editavel'!E355</f>
        <v>290</v>
      </c>
      <c r="F355" s="883">
        <f>'REF. DE PREÇOS n editavel'!F355</f>
        <v>0</v>
      </c>
      <c r="G355" s="923">
        <f>'REF. DE PREÇOS n editavel'!G355</f>
        <v>0</v>
      </c>
      <c r="H355" s="876">
        <f>'REF. DE PREÇOS n editavel'!H355</f>
        <v>0</v>
      </c>
      <c r="I355" s="876">
        <f>'REF. DE PREÇOS n editavel'!I355</f>
        <v>0</v>
      </c>
      <c r="J355" s="877">
        <f>'REF. DE PREÇOS n editavel'!J355</f>
        <v>0</v>
      </c>
      <c r="K355" s="878" t="s">
        <v>506</v>
      </c>
      <c r="L355" s="977"/>
      <c r="M355" s="1112">
        <f t="shared" si="27"/>
        <v>0</v>
      </c>
      <c r="N355" s="868">
        <f t="shared" si="31"/>
        <v>0</v>
      </c>
      <c r="O355" s="880"/>
      <c r="P355" s="58" t="str">
        <f>IF(N354&gt;0,"xx",IF(N354&gt;0,"xy",""))</f>
        <v/>
      </c>
      <c r="Q355" s="317" t="str">
        <f t="shared" si="28"/>
        <v/>
      </c>
      <c r="R355" s="317" t="str">
        <f t="shared" si="29"/>
        <v/>
      </c>
      <c r="S355" s="317" t="str">
        <f t="shared" si="30"/>
        <v/>
      </c>
      <c r="T355" s="317" t="str">
        <f>'REF. DE PREÇOS n editavel'!S355</f>
        <v/>
      </c>
      <c r="W355" s="577">
        <v>0</v>
      </c>
      <c r="X355" s="575"/>
      <c r="Y355" s="578">
        <f>IF('REF. DE PREÇOS n editavel'!W355=0,0,IF('REF. DE PREÇOS n editavel'!W355&gt;0,"c","b"))</f>
        <v>0</v>
      </c>
    </row>
    <row r="356" spans="1:25">
      <c r="A356" s="317" t="s">
        <v>147</v>
      </c>
      <c r="B356" s="870" t="s">
        <v>147</v>
      </c>
      <c r="C356" s="871"/>
      <c r="D356" s="931" t="s">
        <v>230</v>
      </c>
      <c r="E356" s="882">
        <f>'REF. DE PREÇOS n editavel'!E356</f>
        <v>445</v>
      </c>
      <c r="F356" s="883">
        <f>'REF. DE PREÇOS n editavel'!F356</f>
        <v>1.4999999999999999E-2</v>
      </c>
      <c r="G356" s="884">
        <f>'REF. DE PREÇOS n editavel'!G356</f>
        <v>5.3238000000000003</v>
      </c>
      <c r="H356" s="876">
        <f>'REF. DE PREÇOS n editavel'!H356</f>
        <v>0</v>
      </c>
      <c r="I356" s="876">
        <f>'REF. DE PREÇOS n editavel'!I356</f>
        <v>0</v>
      </c>
      <c r="J356" s="877">
        <f>'REF. DE PREÇOS n editavel'!J356</f>
        <v>0</v>
      </c>
      <c r="K356" s="878" t="s">
        <v>506</v>
      </c>
      <c r="L356" s="977"/>
      <c r="M356" s="1112">
        <f t="shared" si="27"/>
        <v>0</v>
      </c>
      <c r="N356" s="868">
        <f t="shared" si="31"/>
        <v>0</v>
      </c>
      <c r="O356" s="880"/>
      <c r="P356" s="58" t="str">
        <f>IF(N354&gt;0,"xx",IF(N354&gt;0,"xy",""))</f>
        <v/>
      </c>
      <c r="Q356" s="317" t="str">
        <f t="shared" si="28"/>
        <v/>
      </c>
      <c r="R356" s="317" t="str">
        <f t="shared" si="29"/>
        <v/>
      </c>
      <c r="S356" s="317" t="str">
        <f t="shared" si="30"/>
        <v/>
      </c>
      <c r="T356" s="317" t="str">
        <f>'REF. DE PREÇOS n editavel'!S356</f>
        <v/>
      </c>
      <c r="W356" s="577">
        <v>0</v>
      </c>
      <c r="X356" s="575"/>
      <c r="Y356" s="578">
        <f>IF('REF. DE PREÇOS n editavel'!W356=0,0,IF('REF. DE PREÇOS n editavel'!W356&gt;0,"c","b"))</f>
        <v>0</v>
      </c>
    </row>
    <row r="357" spans="1:25">
      <c r="A357" s="317" t="s">
        <v>147</v>
      </c>
      <c r="B357" s="870" t="s">
        <v>147</v>
      </c>
      <c r="C357" s="871"/>
      <c r="D357" s="931" t="s">
        <v>243</v>
      </c>
      <c r="E357" s="882">
        <f>'REF. DE PREÇOS n editavel'!E357</f>
        <v>0.2</v>
      </c>
      <c r="F357" s="883">
        <f>'REF. DE PREÇOS n editavel'!F357</f>
        <v>0.94499999999999995</v>
      </c>
      <c r="G357" s="923">
        <f>'REF. DE PREÇOS n editavel'!G357</f>
        <v>2.7348300000000001</v>
      </c>
      <c r="H357" s="876">
        <f>'REF. DE PREÇOS n editavel'!H357</f>
        <v>0</v>
      </c>
      <c r="I357" s="876">
        <f>'REF. DE PREÇOS n editavel'!I357</f>
        <v>0</v>
      </c>
      <c r="J357" s="877">
        <f>'REF. DE PREÇOS n editavel'!J357</f>
        <v>0</v>
      </c>
      <c r="K357" s="878" t="s">
        <v>506</v>
      </c>
      <c r="L357" s="977"/>
      <c r="M357" s="1112">
        <f t="shared" si="27"/>
        <v>0</v>
      </c>
      <c r="N357" s="868">
        <f t="shared" si="31"/>
        <v>0</v>
      </c>
      <c r="O357" s="880"/>
      <c r="P357" s="58" t="str">
        <f>IF(N354&gt;0,"xx",IF(N354&gt;0,"xy",""))</f>
        <v/>
      </c>
      <c r="Q357" s="317" t="str">
        <f t="shared" si="28"/>
        <v/>
      </c>
      <c r="R357" s="317" t="str">
        <f t="shared" si="29"/>
        <v/>
      </c>
      <c r="S357" s="317" t="str">
        <f t="shared" si="30"/>
        <v/>
      </c>
      <c r="T357" s="317" t="str">
        <f>'REF. DE PREÇOS n editavel'!S357</f>
        <v/>
      </c>
      <c r="W357" s="577">
        <v>0</v>
      </c>
      <c r="X357" s="575"/>
      <c r="Y357" s="578">
        <f>IF('REF. DE PREÇOS n editavel'!W357=0,0,IF('REF. DE PREÇOS n editavel'!W357&gt;0,"c","b"))</f>
        <v>0</v>
      </c>
    </row>
    <row r="358" spans="1:25">
      <c r="A358" s="317" t="s">
        <v>147</v>
      </c>
      <c r="B358" s="870" t="s">
        <v>147</v>
      </c>
      <c r="C358" s="871"/>
      <c r="D358" s="931" t="s">
        <v>244</v>
      </c>
      <c r="E358" s="882">
        <f>'REF. DE PREÇOS n editavel'!E358</f>
        <v>43.1</v>
      </c>
      <c r="F358" s="883">
        <f>'REF. DE PREÇOS n editavel'!F358</f>
        <v>1</v>
      </c>
      <c r="G358" s="887">
        <f>'REF. DE PREÇOS n editavel'!G358</f>
        <v>52.567000000000007</v>
      </c>
      <c r="H358" s="876">
        <f>'REF. DE PREÇOS n editavel'!H358</f>
        <v>0</v>
      </c>
      <c r="I358" s="876">
        <f>'REF. DE PREÇOS n editavel'!I358</f>
        <v>0</v>
      </c>
      <c r="J358" s="877">
        <f>'REF. DE PREÇOS n editavel'!J358</f>
        <v>0</v>
      </c>
      <c r="K358" s="878" t="s">
        <v>506</v>
      </c>
      <c r="L358" s="977"/>
      <c r="M358" s="1112">
        <f t="shared" si="27"/>
        <v>0</v>
      </c>
      <c r="N358" s="868">
        <f t="shared" si="31"/>
        <v>0</v>
      </c>
      <c r="O358" s="880"/>
      <c r="P358" s="58" t="str">
        <f>IF(N354&gt;0,"xx",IF(N354&gt;0,"xy",""))</f>
        <v/>
      </c>
      <c r="Q358" s="317" t="str">
        <f t="shared" si="28"/>
        <v/>
      </c>
      <c r="R358" s="317" t="str">
        <f t="shared" si="29"/>
        <v/>
      </c>
      <c r="S358" s="317" t="str">
        <f t="shared" si="30"/>
        <v/>
      </c>
      <c r="T358" s="317" t="str">
        <f>'REF. DE PREÇOS n editavel'!S358</f>
        <v/>
      </c>
      <c r="W358" s="577">
        <v>0</v>
      </c>
      <c r="X358" s="575"/>
      <c r="Y358" s="578">
        <f>IF('REF. DE PREÇOS n editavel'!W358=0,0,IF('REF. DE PREÇOS n editavel'!W358&gt;0,"c","b"))</f>
        <v>0</v>
      </c>
    </row>
    <row r="359" spans="1:25" ht="13.5" thickBot="1">
      <c r="A359" s="317">
        <v>589000</v>
      </c>
      <c r="B359" s="983" t="s">
        <v>694</v>
      </c>
      <c r="C359" s="835" t="s">
        <v>213</v>
      </c>
      <c r="D359" s="986" t="s">
        <v>2155</v>
      </c>
      <c r="E359" s="994">
        <f>'REF. DE PREÇOS n editavel'!E359</f>
        <v>468</v>
      </c>
      <c r="F359" s="980">
        <f>'REF. DE PREÇOS n editavel'!F359</f>
        <v>1</v>
      </c>
      <c r="G359" s="923">
        <f>'REF. DE PREÇOS n editavel'!G359</f>
        <v>485.97999999999996</v>
      </c>
      <c r="H359" s="962">
        <f>'REF. DE PREÇOS n editavel'!H359</f>
        <v>4828.8599999999997</v>
      </c>
      <c r="I359" s="962">
        <f>'REF. DE PREÇOS n editavel'!I359</f>
        <v>5163.1232400589097</v>
      </c>
      <c r="J359" s="985">
        <f>'REF. DE PREÇOS n editavel'!J359</f>
        <v>6310.37</v>
      </c>
      <c r="K359" s="842" t="s">
        <v>14</v>
      </c>
      <c r="L359" s="1109">
        <f>ROUND(L354*$F354,2)</f>
        <v>0</v>
      </c>
      <c r="M359" s="1114">
        <f t="shared" si="27"/>
        <v>0</v>
      </c>
      <c r="N359" s="967">
        <f t="shared" si="31"/>
        <v>0</v>
      </c>
      <c r="O359" s="880"/>
      <c r="P359" s="58" t="str">
        <f>IF(N354&gt;0,"xx",IF(N354&gt;0,"xy",""))</f>
        <v/>
      </c>
      <c r="Q359" s="317" t="str">
        <f t="shared" si="28"/>
        <v/>
      </c>
      <c r="R359" s="317" t="str">
        <f t="shared" si="29"/>
        <v/>
      </c>
      <c r="S359" s="317" t="str">
        <f t="shared" si="30"/>
        <v/>
      </c>
      <c r="T359" s="317" t="str">
        <f>'REF. DE PREÇOS n editavel'!S359</f>
        <v/>
      </c>
      <c r="W359" s="577">
        <v>0</v>
      </c>
      <c r="X359" s="575"/>
      <c r="Y359" s="578">
        <f>IF('REF. DE PREÇOS n editavel'!W359=0,0,IF('REF. DE PREÇOS n editavel'!W359&gt;0,"c","b"))</f>
        <v>0</v>
      </c>
    </row>
    <row r="360" spans="1:25">
      <c r="A360" s="317">
        <v>570310</v>
      </c>
      <c r="B360" s="973" t="s">
        <v>1748</v>
      </c>
      <c r="C360" s="974" t="s">
        <v>184</v>
      </c>
      <c r="D360" s="993" t="s">
        <v>755</v>
      </c>
      <c r="E360" s="948" t="str">
        <f>'REF. DE PREÇOS n editavel'!E360</f>
        <v>taxa CAP</v>
      </c>
      <c r="F360" s="949">
        <f>'REF. DE PREÇOS n editavel'!F360</f>
        <v>0.04</v>
      </c>
      <c r="G360" s="950">
        <f>'REF. DE PREÇOS n editavel'!G360</f>
        <v>60.625630000000008</v>
      </c>
      <c r="H360" s="951">
        <f>'REF. DE PREÇOS n editavel'!H360</f>
        <v>158.85</v>
      </c>
      <c r="I360" s="951">
        <f>'REF. DE PREÇOS n editavel'!I360</f>
        <v>219.47563</v>
      </c>
      <c r="J360" s="952">
        <f>'REF. DE PREÇOS n editavel'!J360</f>
        <v>268.24</v>
      </c>
      <c r="K360" s="953" t="s">
        <v>14</v>
      </c>
      <c r="L360" s="1107"/>
      <c r="M360" s="1108">
        <f t="shared" si="27"/>
        <v>0</v>
      </c>
      <c r="N360" s="956">
        <f t="shared" si="31"/>
        <v>0</v>
      </c>
      <c r="O360" s="880"/>
      <c r="Q360" s="317" t="str">
        <f t="shared" si="28"/>
        <v/>
      </c>
      <c r="R360" s="317" t="str">
        <f t="shared" si="29"/>
        <v/>
      </c>
      <c r="S360" s="317" t="str">
        <f t="shared" si="30"/>
        <v/>
      </c>
      <c r="T360" s="317" t="str">
        <f>'REF. DE PREÇOS n editavel'!S360</f>
        <v/>
      </c>
      <c r="W360" s="577">
        <v>0</v>
      </c>
      <c r="X360" s="575"/>
      <c r="Y360" s="578">
        <f>IF('REF. DE PREÇOS n editavel'!W360=0,0,IF('REF. DE PREÇOS n editavel'!W360&gt;0,"c","b"))</f>
        <v>0</v>
      </c>
    </row>
    <row r="361" spans="1:25">
      <c r="A361" s="317" t="s">
        <v>147</v>
      </c>
      <c r="B361" s="870" t="s">
        <v>147</v>
      </c>
      <c r="C361" s="871"/>
      <c r="D361" s="931" t="s">
        <v>229</v>
      </c>
      <c r="E361" s="882">
        <f>'REF. DE PREÇOS n editavel'!E361</f>
        <v>290</v>
      </c>
      <c r="F361" s="883">
        <f>'REF. DE PREÇOS n editavel'!F361</f>
        <v>0</v>
      </c>
      <c r="G361" s="923">
        <f>'REF. DE PREÇOS n editavel'!G361</f>
        <v>0</v>
      </c>
      <c r="H361" s="876">
        <f>'REF. DE PREÇOS n editavel'!H361</f>
        <v>0</v>
      </c>
      <c r="I361" s="876">
        <f>'REF. DE PREÇOS n editavel'!I361</f>
        <v>0</v>
      </c>
      <c r="J361" s="877">
        <f>'REF. DE PREÇOS n editavel'!J361</f>
        <v>0</v>
      </c>
      <c r="K361" s="878" t="s">
        <v>506</v>
      </c>
      <c r="L361" s="977"/>
      <c r="M361" s="1112">
        <f t="shared" si="27"/>
        <v>0</v>
      </c>
      <c r="N361" s="868">
        <f t="shared" si="31"/>
        <v>0</v>
      </c>
      <c r="O361" s="880"/>
      <c r="P361" s="58" t="str">
        <f>IF(N360&gt;0,"xx",IF(N360&gt;0,"xy",""))</f>
        <v/>
      </c>
      <c r="Q361" s="317" t="str">
        <f t="shared" si="28"/>
        <v/>
      </c>
      <c r="R361" s="317" t="str">
        <f t="shared" si="29"/>
        <v/>
      </c>
      <c r="S361" s="317" t="str">
        <f t="shared" si="30"/>
        <v/>
      </c>
      <c r="T361" s="317" t="str">
        <f>'REF. DE PREÇOS n editavel'!S361</f>
        <v/>
      </c>
      <c r="W361" s="577">
        <v>0</v>
      </c>
      <c r="X361" s="575"/>
      <c r="Y361" s="578">
        <f>IF('REF. DE PREÇOS n editavel'!W361=0,0,IF('REF. DE PREÇOS n editavel'!W361&gt;0,"c","b"))</f>
        <v>0</v>
      </c>
    </row>
    <row r="362" spans="1:25">
      <c r="A362" s="317" t="s">
        <v>147</v>
      </c>
      <c r="B362" s="870" t="s">
        <v>147</v>
      </c>
      <c r="C362" s="871"/>
      <c r="D362" s="931" t="s">
        <v>230</v>
      </c>
      <c r="E362" s="882">
        <f>'REF. DE PREÇOS n editavel'!E362</f>
        <v>445</v>
      </c>
      <c r="F362" s="883">
        <f>'REF. DE PREÇOS n editavel'!F362</f>
        <v>1.4999999999999999E-2</v>
      </c>
      <c r="G362" s="884">
        <f>'REF. DE PREÇOS n editavel'!G362</f>
        <v>5.3238000000000003</v>
      </c>
      <c r="H362" s="876">
        <f>'REF. DE PREÇOS n editavel'!H362</f>
        <v>0</v>
      </c>
      <c r="I362" s="876">
        <f>'REF. DE PREÇOS n editavel'!I362</f>
        <v>0</v>
      </c>
      <c r="J362" s="877">
        <f>'REF. DE PREÇOS n editavel'!J362</f>
        <v>0</v>
      </c>
      <c r="K362" s="878" t="s">
        <v>506</v>
      </c>
      <c r="L362" s="977"/>
      <c r="M362" s="1112">
        <f t="shared" si="27"/>
        <v>0</v>
      </c>
      <c r="N362" s="868">
        <f t="shared" si="31"/>
        <v>0</v>
      </c>
      <c r="O362" s="880"/>
      <c r="P362" s="58" t="str">
        <f>IF(N360&gt;0,"xx",IF(N360&gt;0,"xy",""))</f>
        <v/>
      </c>
      <c r="Q362" s="317" t="str">
        <f t="shared" si="28"/>
        <v/>
      </c>
      <c r="R362" s="317" t="str">
        <f t="shared" si="29"/>
        <v/>
      </c>
      <c r="S362" s="317" t="str">
        <f t="shared" si="30"/>
        <v/>
      </c>
      <c r="T362" s="317" t="str">
        <f>'REF. DE PREÇOS n editavel'!S362</f>
        <v/>
      </c>
      <c r="W362" s="577">
        <v>0</v>
      </c>
      <c r="X362" s="575"/>
      <c r="Y362" s="578">
        <f>IF('REF. DE PREÇOS n editavel'!W362=0,0,IF('REF. DE PREÇOS n editavel'!W362&gt;0,"c","b"))</f>
        <v>0</v>
      </c>
    </row>
    <row r="363" spans="1:25">
      <c r="A363" s="317" t="s">
        <v>147</v>
      </c>
      <c r="B363" s="870" t="s">
        <v>147</v>
      </c>
      <c r="C363" s="871"/>
      <c r="D363" s="931" t="s">
        <v>243</v>
      </c>
      <c r="E363" s="882">
        <f>'REF. DE PREÇOS n editavel'!E363</f>
        <v>0.2</v>
      </c>
      <c r="F363" s="883">
        <f>'REF. DE PREÇOS n editavel'!F363</f>
        <v>0.94499999999999995</v>
      </c>
      <c r="G363" s="923">
        <f>'REF. DE PREÇOS n editavel'!G363</f>
        <v>2.7348300000000001</v>
      </c>
      <c r="H363" s="876">
        <f>'REF. DE PREÇOS n editavel'!H363</f>
        <v>0</v>
      </c>
      <c r="I363" s="876">
        <f>'REF. DE PREÇOS n editavel'!I363</f>
        <v>0</v>
      </c>
      <c r="J363" s="877">
        <f>'REF. DE PREÇOS n editavel'!J363</f>
        <v>0</v>
      </c>
      <c r="K363" s="878" t="s">
        <v>506</v>
      </c>
      <c r="L363" s="977"/>
      <c r="M363" s="1112">
        <f t="shared" si="27"/>
        <v>0</v>
      </c>
      <c r="N363" s="868">
        <f t="shared" si="31"/>
        <v>0</v>
      </c>
      <c r="O363" s="880"/>
      <c r="P363" s="58" t="str">
        <f>IF(N360&gt;0,"xx",IF(N360&gt;0,"xy",""))</f>
        <v/>
      </c>
      <c r="Q363" s="317" t="str">
        <f t="shared" si="28"/>
        <v/>
      </c>
      <c r="R363" s="317" t="str">
        <f t="shared" si="29"/>
        <v/>
      </c>
      <c r="S363" s="317" t="str">
        <f t="shared" si="30"/>
        <v/>
      </c>
      <c r="T363" s="317" t="str">
        <f>'REF. DE PREÇOS n editavel'!S363</f>
        <v/>
      </c>
      <c r="W363" s="577">
        <v>0</v>
      </c>
      <c r="X363" s="575"/>
      <c r="Y363" s="578">
        <f>IF('REF. DE PREÇOS n editavel'!W363=0,0,IF('REF. DE PREÇOS n editavel'!W363&gt;0,"c","b"))</f>
        <v>0</v>
      </c>
    </row>
    <row r="364" spans="1:25">
      <c r="A364" s="317" t="s">
        <v>147</v>
      </c>
      <c r="B364" s="870" t="s">
        <v>147</v>
      </c>
      <c r="C364" s="871"/>
      <c r="D364" s="931" t="s">
        <v>244</v>
      </c>
      <c r="E364" s="882">
        <f>'REF. DE PREÇOS n editavel'!E364</f>
        <v>43.1</v>
      </c>
      <c r="F364" s="883">
        <f>'REF. DE PREÇOS n editavel'!F364</f>
        <v>1</v>
      </c>
      <c r="G364" s="887">
        <f>'REF. DE PREÇOS n editavel'!G364</f>
        <v>52.567000000000007</v>
      </c>
      <c r="H364" s="876">
        <f>'REF. DE PREÇOS n editavel'!H364</f>
        <v>0</v>
      </c>
      <c r="I364" s="876">
        <f>'REF. DE PREÇOS n editavel'!I364</f>
        <v>0</v>
      </c>
      <c r="J364" s="877">
        <f>'REF. DE PREÇOS n editavel'!J364</f>
        <v>0</v>
      </c>
      <c r="K364" s="878" t="s">
        <v>506</v>
      </c>
      <c r="L364" s="977"/>
      <c r="M364" s="1112">
        <f t="shared" si="27"/>
        <v>0</v>
      </c>
      <c r="N364" s="868">
        <f t="shared" si="31"/>
        <v>0</v>
      </c>
      <c r="O364" s="880"/>
      <c r="P364" s="58" t="str">
        <f>IF(N360&gt;0,"xx",IF(N360&gt;0,"xy",""))</f>
        <v/>
      </c>
      <c r="Q364" s="317" t="str">
        <f t="shared" si="28"/>
        <v/>
      </c>
      <c r="R364" s="317" t="str">
        <f t="shared" si="29"/>
        <v/>
      </c>
      <c r="S364" s="317" t="str">
        <f t="shared" si="30"/>
        <v/>
      </c>
      <c r="T364" s="317" t="str">
        <f>'REF. DE PREÇOS n editavel'!S364</f>
        <v/>
      </c>
      <c r="W364" s="577">
        <v>0</v>
      </c>
      <c r="X364" s="575"/>
      <c r="Y364" s="578">
        <f>IF('REF. DE PREÇOS n editavel'!W364=0,0,IF('REF. DE PREÇOS n editavel'!W364&gt;0,"c","b"))</f>
        <v>0</v>
      </c>
    </row>
    <row r="365" spans="1:25" ht="13.5" thickBot="1">
      <c r="A365" s="317">
        <v>589000</v>
      </c>
      <c r="B365" s="978" t="s">
        <v>695</v>
      </c>
      <c r="C365" s="958" t="s">
        <v>213</v>
      </c>
      <c r="D365" s="986" t="s">
        <v>2154</v>
      </c>
      <c r="E365" s="994">
        <f>'REF. DE PREÇOS n editavel'!E365</f>
        <v>468</v>
      </c>
      <c r="F365" s="980">
        <f>'REF. DE PREÇOS n editavel'!F365</f>
        <v>1</v>
      </c>
      <c r="G365" s="923">
        <f>'REF. DE PREÇOS n editavel'!G365</f>
        <v>485.97999999999996</v>
      </c>
      <c r="H365" s="962">
        <f>'REF. DE PREÇOS n editavel'!H365</f>
        <v>4828.8599999999997</v>
      </c>
      <c r="I365" s="962">
        <f>'REF. DE PREÇOS n editavel'!I365</f>
        <v>5163.1232400589097</v>
      </c>
      <c r="J365" s="963">
        <f>'REF. DE PREÇOS n editavel'!J365</f>
        <v>6310.37</v>
      </c>
      <c r="K365" s="964" t="s">
        <v>14</v>
      </c>
      <c r="L365" s="1109">
        <f>ROUND(L360*$F360,2)</f>
        <v>0</v>
      </c>
      <c r="M365" s="1114">
        <f t="shared" si="27"/>
        <v>0</v>
      </c>
      <c r="N365" s="967">
        <f t="shared" si="31"/>
        <v>0</v>
      </c>
      <c r="O365" s="880"/>
      <c r="P365" s="58" t="str">
        <f>IF(N360&gt;0,"xx",IF(N360&gt;0,"xy",""))</f>
        <v/>
      </c>
      <c r="Q365" s="317" t="str">
        <f t="shared" si="28"/>
        <v/>
      </c>
      <c r="R365" s="317" t="str">
        <f t="shared" si="29"/>
        <v/>
      </c>
      <c r="S365" s="317" t="str">
        <f t="shared" si="30"/>
        <v/>
      </c>
      <c r="T365" s="317" t="str">
        <f>'REF. DE PREÇOS n editavel'!S365</f>
        <v/>
      </c>
      <c r="W365" s="577">
        <v>0</v>
      </c>
      <c r="X365" s="575"/>
      <c r="Y365" s="578">
        <f>IF('REF. DE PREÇOS n editavel'!W365=0,0,IF('REF. DE PREÇOS n editavel'!W365&gt;0,"c","b"))</f>
        <v>0</v>
      </c>
    </row>
    <row r="366" spans="1:25">
      <c r="A366" s="317">
        <v>570140</v>
      </c>
      <c r="B366" s="973">
        <v>570140</v>
      </c>
      <c r="C366" s="974" t="s">
        <v>184</v>
      </c>
      <c r="D366" s="993" t="s">
        <v>591</v>
      </c>
      <c r="E366" s="948" t="str">
        <f>'REF. DE PREÇOS n editavel'!E366</f>
        <v>taxa CAP</v>
      </c>
      <c r="F366" s="949">
        <f>'REF. DE PREÇOS n editavel'!F366</f>
        <v>0.05</v>
      </c>
      <c r="G366" s="950">
        <f>'REF. DE PREÇOS n editavel'!G366</f>
        <v>91.892755399999999</v>
      </c>
      <c r="H366" s="951">
        <f>'REF. DE PREÇOS n editavel'!H366</f>
        <v>281.31</v>
      </c>
      <c r="I366" s="951">
        <f>'REF. DE PREÇOS n editavel'!I366</f>
        <v>373.2027554</v>
      </c>
      <c r="J366" s="952">
        <f>'REF. DE PREÇOS n editavel'!J366</f>
        <v>456.13</v>
      </c>
      <c r="K366" s="953" t="s">
        <v>14</v>
      </c>
      <c r="L366" s="1107"/>
      <c r="M366" s="1108">
        <f t="shared" si="27"/>
        <v>0</v>
      </c>
      <c r="N366" s="956">
        <f t="shared" si="31"/>
        <v>0</v>
      </c>
      <c r="O366" s="880"/>
      <c r="Q366" s="317" t="str">
        <f t="shared" si="28"/>
        <v/>
      </c>
      <c r="R366" s="317" t="str">
        <f t="shared" si="29"/>
        <v/>
      </c>
      <c r="S366" s="317" t="str">
        <f t="shared" si="30"/>
        <v/>
      </c>
      <c r="T366" s="317" t="str">
        <f>'REF. DE PREÇOS n editavel'!S366</f>
        <v/>
      </c>
      <c r="W366" s="577">
        <v>0</v>
      </c>
      <c r="X366" s="575"/>
      <c r="Y366" s="578">
        <f>IF('REF. DE PREÇOS n editavel'!W366=0,0,IF('REF. DE PREÇOS n editavel'!W366&gt;0,"c","b"))</f>
        <v>0</v>
      </c>
    </row>
    <row r="367" spans="1:25">
      <c r="A367" s="317" t="s">
        <v>147</v>
      </c>
      <c r="B367" s="870" t="s">
        <v>147</v>
      </c>
      <c r="C367" s="871"/>
      <c r="D367" s="931" t="s">
        <v>229</v>
      </c>
      <c r="E367" s="882">
        <f>'REF. DE PREÇOS n editavel'!E367</f>
        <v>290</v>
      </c>
      <c r="F367" s="883">
        <f>'REF. DE PREÇOS n editavel'!F367</f>
        <v>0.1007</v>
      </c>
      <c r="G367" s="923">
        <f>'REF. DE PREÇOS n editavel'!G367</f>
        <v>31.517086000000003</v>
      </c>
      <c r="H367" s="876">
        <f>'REF. DE PREÇOS n editavel'!H367</f>
        <v>0</v>
      </c>
      <c r="I367" s="876">
        <f>'REF. DE PREÇOS n editavel'!I367</f>
        <v>0</v>
      </c>
      <c r="J367" s="877">
        <f>'REF. DE PREÇOS n editavel'!J367</f>
        <v>0</v>
      </c>
      <c r="K367" s="932" t="s">
        <v>506</v>
      </c>
      <c r="L367" s="977"/>
      <c r="M367" s="1112">
        <f t="shared" si="27"/>
        <v>0</v>
      </c>
      <c r="N367" s="868">
        <f t="shared" si="31"/>
        <v>0</v>
      </c>
      <c r="O367" s="880"/>
      <c r="P367" s="58" t="str">
        <f>IF(N366&gt;0,"xx",IF(N366&gt;0,"xy",""))</f>
        <v/>
      </c>
      <c r="Q367" s="317" t="str">
        <f t="shared" si="28"/>
        <v/>
      </c>
      <c r="R367" s="317" t="str">
        <f t="shared" si="29"/>
        <v/>
      </c>
      <c r="S367" s="317" t="str">
        <f t="shared" si="30"/>
        <v/>
      </c>
      <c r="T367" s="317" t="str">
        <f>'REF. DE PREÇOS n editavel'!S367</f>
        <v/>
      </c>
      <c r="W367" s="577">
        <v>0</v>
      </c>
      <c r="X367" s="575"/>
      <c r="Y367" s="578">
        <f>IF('REF. DE PREÇOS n editavel'!W367=0,0,IF('REF. DE PREÇOS n editavel'!W367&gt;0,"c","b"))</f>
        <v>0</v>
      </c>
    </row>
    <row r="368" spans="1:25">
      <c r="A368" s="317" t="s">
        <v>147</v>
      </c>
      <c r="B368" s="870" t="s">
        <v>147</v>
      </c>
      <c r="C368" s="871"/>
      <c r="D368" s="931" t="s">
        <v>230</v>
      </c>
      <c r="E368" s="882">
        <f>'REF. DE PREÇOS n editavel'!E368</f>
        <v>445</v>
      </c>
      <c r="F368" s="883">
        <f>'REF. DE PREÇOS n editavel'!F368</f>
        <v>1.52E-2</v>
      </c>
      <c r="G368" s="884">
        <f>'REF. DE PREÇOS n editavel'!G368</f>
        <v>5.3947840000000005</v>
      </c>
      <c r="H368" s="876">
        <f>'REF. DE PREÇOS n editavel'!H368</f>
        <v>0</v>
      </c>
      <c r="I368" s="876">
        <f>'REF. DE PREÇOS n editavel'!I368</f>
        <v>0</v>
      </c>
      <c r="J368" s="877">
        <f>'REF. DE PREÇOS n editavel'!J368</f>
        <v>0</v>
      </c>
      <c r="K368" s="932" t="s">
        <v>506</v>
      </c>
      <c r="L368" s="977"/>
      <c r="M368" s="1112">
        <f t="shared" si="27"/>
        <v>0</v>
      </c>
      <c r="N368" s="868">
        <f t="shared" si="31"/>
        <v>0</v>
      </c>
      <c r="O368" s="880"/>
      <c r="P368" s="58" t="str">
        <f>IF(N366&gt;0,"xx",IF(N366&gt;0,"xy",""))</f>
        <v/>
      </c>
      <c r="Q368" s="317" t="str">
        <f t="shared" si="28"/>
        <v/>
      </c>
      <c r="R368" s="317" t="str">
        <f t="shared" si="29"/>
        <v/>
      </c>
      <c r="S368" s="317" t="str">
        <f t="shared" si="30"/>
        <v/>
      </c>
      <c r="T368" s="317" t="str">
        <f>'REF. DE PREÇOS n editavel'!S368</f>
        <v/>
      </c>
      <c r="W368" s="577">
        <v>0</v>
      </c>
      <c r="X368" s="575"/>
      <c r="Y368" s="578">
        <f>IF('REF. DE PREÇOS n editavel'!W368=0,0,IF('REF. DE PREÇOS n editavel'!W368&gt;0,"c","b"))</f>
        <v>0</v>
      </c>
    </row>
    <row r="369" spans="1:25">
      <c r="A369" s="317" t="s">
        <v>147</v>
      </c>
      <c r="B369" s="870" t="s">
        <v>147</v>
      </c>
      <c r="C369" s="871"/>
      <c r="D369" s="931" t="s">
        <v>243</v>
      </c>
      <c r="E369" s="882">
        <f>'REF. DE PREÇOS n editavel'!E369</f>
        <v>0.2</v>
      </c>
      <c r="F369" s="883">
        <f>'REF. DE PREÇOS n editavel'!F369</f>
        <v>0.83409999999999995</v>
      </c>
      <c r="G369" s="923">
        <f>'REF. DE PREÇOS n editavel'!G369</f>
        <v>2.4138853999999998</v>
      </c>
      <c r="H369" s="876">
        <f>'REF. DE PREÇOS n editavel'!H369</f>
        <v>0</v>
      </c>
      <c r="I369" s="876">
        <f>'REF. DE PREÇOS n editavel'!I369</f>
        <v>0</v>
      </c>
      <c r="J369" s="877">
        <f>'REF. DE PREÇOS n editavel'!J369</f>
        <v>0</v>
      </c>
      <c r="K369" s="932" t="s">
        <v>506</v>
      </c>
      <c r="L369" s="977"/>
      <c r="M369" s="1112">
        <f t="shared" si="27"/>
        <v>0</v>
      </c>
      <c r="N369" s="868">
        <f t="shared" si="31"/>
        <v>0</v>
      </c>
      <c r="O369" s="880"/>
      <c r="P369" s="58" t="str">
        <f>IF(N366&gt;0,"xx",IF(N366&gt;0,"xy",""))</f>
        <v/>
      </c>
      <c r="Q369" s="317" t="str">
        <f t="shared" si="28"/>
        <v/>
      </c>
      <c r="R369" s="317" t="str">
        <f t="shared" si="29"/>
        <v/>
      </c>
      <c r="S369" s="317" t="str">
        <f t="shared" si="30"/>
        <v/>
      </c>
      <c r="T369" s="317" t="str">
        <f>'REF. DE PREÇOS n editavel'!S369</f>
        <v/>
      </c>
      <c r="W369" s="577">
        <v>0</v>
      </c>
      <c r="X369" s="575"/>
      <c r="Y369" s="578">
        <f>IF('REF. DE PREÇOS n editavel'!W369=0,0,IF('REF. DE PREÇOS n editavel'!W369&gt;0,"c","b"))</f>
        <v>0</v>
      </c>
    </row>
    <row r="370" spans="1:25">
      <c r="A370" s="317" t="s">
        <v>147</v>
      </c>
      <c r="B370" s="870" t="s">
        <v>147</v>
      </c>
      <c r="C370" s="871"/>
      <c r="D370" s="931" t="s">
        <v>244</v>
      </c>
      <c r="E370" s="882">
        <f>'REF. DE PREÇOS n editavel'!E370</f>
        <v>43.1</v>
      </c>
      <c r="F370" s="883">
        <f>'REF. DE PREÇOS n editavel'!F370</f>
        <v>1</v>
      </c>
      <c r="G370" s="887">
        <f>'REF. DE PREÇOS n editavel'!G370</f>
        <v>52.567000000000007</v>
      </c>
      <c r="H370" s="876">
        <f>'REF. DE PREÇOS n editavel'!H370</f>
        <v>0</v>
      </c>
      <c r="I370" s="876">
        <f>'REF. DE PREÇOS n editavel'!I370</f>
        <v>0</v>
      </c>
      <c r="J370" s="877">
        <f>'REF. DE PREÇOS n editavel'!J370</f>
        <v>0</v>
      </c>
      <c r="K370" s="932" t="s">
        <v>506</v>
      </c>
      <c r="L370" s="977"/>
      <c r="M370" s="1112">
        <f t="shared" si="27"/>
        <v>0</v>
      </c>
      <c r="N370" s="868">
        <f t="shared" si="31"/>
        <v>0</v>
      </c>
      <c r="O370" s="880"/>
      <c r="P370" s="58" t="str">
        <f>IF(N366&gt;0,"xx",IF(N366&gt;0,"xy",""))</f>
        <v/>
      </c>
      <c r="Q370" s="317" t="str">
        <f t="shared" si="28"/>
        <v/>
      </c>
      <c r="R370" s="317" t="str">
        <f t="shared" si="29"/>
        <v/>
      </c>
      <c r="S370" s="317" t="str">
        <f t="shared" si="30"/>
        <v/>
      </c>
      <c r="T370" s="317" t="str">
        <f>'REF. DE PREÇOS n editavel'!S370</f>
        <v/>
      </c>
      <c r="W370" s="577">
        <v>0</v>
      </c>
      <c r="X370" s="575"/>
      <c r="Y370" s="578">
        <f>IF('REF. DE PREÇOS n editavel'!W370=0,0,IF('REF. DE PREÇOS n editavel'!W370&gt;0,"c","b"))</f>
        <v>0</v>
      </c>
    </row>
    <row r="371" spans="1:25" ht="13.5" thickBot="1">
      <c r="A371" s="317">
        <v>589000</v>
      </c>
      <c r="B371" s="978" t="s">
        <v>696</v>
      </c>
      <c r="C371" s="958" t="s">
        <v>213</v>
      </c>
      <c r="D371" s="986" t="s">
        <v>2149</v>
      </c>
      <c r="E371" s="979">
        <f>'REF. DE PREÇOS n editavel'!E371</f>
        <v>468</v>
      </c>
      <c r="F371" s="980">
        <f>'REF. DE PREÇOS n editavel'!F371</f>
        <v>1</v>
      </c>
      <c r="G371" s="923">
        <f>'REF. DE PREÇOS n editavel'!G371</f>
        <v>485.97999999999996</v>
      </c>
      <c r="H371" s="962">
        <f>'REF. DE PREÇOS n editavel'!H371</f>
        <v>4828.8599999999997</v>
      </c>
      <c r="I371" s="962">
        <f>'REF. DE PREÇOS n editavel'!I371</f>
        <v>5163.1232400589097</v>
      </c>
      <c r="J371" s="963">
        <f>'REF. DE PREÇOS n editavel'!J371</f>
        <v>6310.37</v>
      </c>
      <c r="K371" s="964" t="s">
        <v>14</v>
      </c>
      <c r="L371" s="1109">
        <f>ROUND(L366*$F366,2)</f>
        <v>0</v>
      </c>
      <c r="M371" s="1114">
        <f t="shared" si="27"/>
        <v>0</v>
      </c>
      <c r="N371" s="967">
        <f t="shared" si="31"/>
        <v>0</v>
      </c>
      <c r="O371" s="880"/>
      <c r="P371" s="58" t="str">
        <f>IF(N366&gt;0,"xx",IF(N366&gt;0,"xy",""))</f>
        <v/>
      </c>
      <c r="Q371" s="317" t="str">
        <f t="shared" si="28"/>
        <v/>
      </c>
      <c r="R371" s="317" t="str">
        <f t="shared" si="29"/>
        <v/>
      </c>
      <c r="S371" s="317" t="str">
        <f t="shared" si="30"/>
        <v/>
      </c>
      <c r="T371" s="317" t="str">
        <f>'REF. DE PREÇOS n editavel'!S371</f>
        <v/>
      </c>
      <c r="W371" s="577">
        <v>0</v>
      </c>
      <c r="X371" s="575"/>
      <c r="Y371" s="578">
        <f>IF('REF. DE PREÇOS n editavel'!W371=0,0,IF('REF. DE PREÇOS n editavel'!W371&gt;0,"c","b"))</f>
        <v>0</v>
      </c>
    </row>
    <row r="372" spans="1:25">
      <c r="A372" s="317">
        <v>570170</v>
      </c>
      <c r="B372" s="973">
        <v>570170</v>
      </c>
      <c r="C372" s="974" t="s">
        <v>184</v>
      </c>
      <c r="D372" s="993" t="s">
        <v>592</v>
      </c>
      <c r="E372" s="948" t="str">
        <f>'REF. DE PREÇOS n editavel'!E372</f>
        <v>taxa CAP</v>
      </c>
      <c r="F372" s="949">
        <f>'REF. DE PREÇOS n editavel'!F372</f>
        <v>0.05</v>
      </c>
      <c r="G372" s="950">
        <f>'REF. DE PREÇOS n editavel'!G372</f>
        <v>91.892755399999999</v>
      </c>
      <c r="H372" s="951">
        <f>'REF. DE PREÇOS n editavel'!H372</f>
        <v>209.01</v>
      </c>
      <c r="I372" s="951">
        <f>'REF. DE PREÇOS n editavel'!I372</f>
        <v>300.90275539999999</v>
      </c>
      <c r="J372" s="952">
        <f>'REF. DE PREÇOS n editavel'!J372</f>
        <v>367.76</v>
      </c>
      <c r="K372" s="953" t="s">
        <v>14</v>
      </c>
      <c r="L372" s="1107"/>
      <c r="M372" s="1108">
        <f t="shared" si="27"/>
        <v>0</v>
      </c>
      <c r="N372" s="956">
        <f t="shared" si="31"/>
        <v>0</v>
      </c>
      <c r="O372" s="880"/>
      <c r="Q372" s="317" t="str">
        <f t="shared" si="28"/>
        <v/>
      </c>
      <c r="R372" s="317" t="str">
        <f t="shared" si="29"/>
        <v/>
      </c>
      <c r="S372" s="317" t="str">
        <f t="shared" si="30"/>
        <v/>
      </c>
      <c r="T372" s="317" t="str">
        <f>'REF. DE PREÇOS n editavel'!S372</f>
        <v/>
      </c>
      <c r="W372" s="577">
        <v>0</v>
      </c>
      <c r="X372" s="575"/>
      <c r="Y372" s="578">
        <f>IF('REF. DE PREÇOS n editavel'!W372=0,0,IF('REF. DE PREÇOS n editavel'!W372&gt;0,"c","b"))</f>
        <v>0</v>
      </c>
    </row>
    <row r="373" spans="1:25">
      <c r="A373" s="317" t="s">
        <v>147</v>
      </c>
      <c r="B373" s="870" t="s">
        <v>147</v>
      </c>
      <c r="C373" s="871"/>
      <c r="D373" s="931" t="s">
        <v>229</v>
      </c>
      <c r="E373" s="882">
        <f>'REF. DE PREÇOS n editavel'!E373</f>
        <v>290</v>
      </c>
      <c r="F373" s="883">
        <f>'REF. DE PREÇOS n editavel'!F373</f>
        <v>0.1007</v>
      </c>
      <c r="G373" s="923">
        <f>'REF. DE PREÇOS n editavel'!G373</f>
        <v>31.517086000000003</v>
      </c>
      <c r="H373" s="876">
        <f>'REF. DE PREÇOS n editavel'!H373</f>
        <v>0</v>
      </c>
      <c r="I373" s="876">
        <f>'REF. DE PREÇOS n editavel'!I373</f>
        <v>0</v>
      </c>
      <c r="J373" s="877">
        <f>'REF. DE PREÇOS n editavel'!J373</f>
        <v>0</v>
      </c>
      <c r="K373" s="932" t="s">
        <v>506</v>
      </c>
      <c r="L373" s="977"/>
      <c r="M373" s="1112">
        <f t="shared" si="27"/>
        <v>0</v>
      </c>
      <c r="N373" s="868">
        <f t="shared" si="31"/>
        <v>0</v>
      </c>
      <c r="O373" s="880"/>
      <c r="P373" s="58" t="str">
        <f>IF(N372&gt;0,"xx",IF(N372&gt;0,"xy",""))</f>
        <v/>
      </c>
      <c r="Q373" s="317" t="str">
        <f t="shared" si="28"/>
        <v/>
      </c>
      <c r="R373" s="317" t="str">
        <f t="shared" si="29"/>
        <v/>
      </c>
      <c r="S373" s="317" t="str">
        <f t="shared" si="30"/>
        <v/>
      </c>
      <c r="T373" s="317" t="str">
        <f>'REF. DE PREÇOS n editavel'!S373</f>
        <v/>
      </c>
      <c r="W373" s="577">
        <v>0</v>
      </c>
      <c r="X373" s="575"/>
      <c r="Y373" s="578">
        <f>IF('REF. DE PREÇOS n editavel'!W373=0,0,IF('REF. DE PREÇOS n editavel'!W373&gt;0,"c","b"))</f>
        <v>0</v>
      </c>
    </row>
    <row r="374" spans="1:25">
      <c r="A374" s="317" t="s">
        <v>147</v>
      </c>
      <c r="B374" s="870" t="s">
        <v>147</v>
      </c>
      <c r="C374" s="871"/>
      <c r="D374" s="931" t="s">
        <v>230</v>
      </c>
      <c r="E374" s="882">
        <f>'REF. DE PREÇOS n editavel'!E374</f>
        <v>445</v>
      </c>
      <c r="F374" s="883">
        <f>'REF. DE PREÇOS n editavel'!F374</f>
        <v>1.52E-2</v>
      </c>
      <c r="G374" s="884">
        <f>'REF. DE PREÇOS n editavel'!G374</f>
        <v>5.3947840000000005</v>
      </c>
      <c r="H374" s="876">
        <f>'REF. DE PREÇOS n editavel'!H374</f>
        <v>0</v>
      </c>
      <c r="I374" s="876">
        <f>'REF. DE PREÇOS n editavel'!I374</f>
        <v>0</v>
      </c>
      <c r="J374" s="877">
        <f>'REF. DE PREÇOS n editavel'!J374</f>
        <v>0</v>
      </c>
      <c r="K374" s="932" t="s">
        <v>506</v>
      </c>
      <c r="L374" s="977"/>
      <c r="M374" s="1112">
        <f t="shared" si="27"/>
        <v>0</v>
      </c>
      <c r="N374" s="868">
        <f t="shared" si="31"/>
        <v>0</v>
      </c>
      <c r="O374" s="880"/>
      <c r="P374" s="58" t="str">
        <f>IF(N372&gt;0,"xx",IF(N372&gt;0,"xy",""))</f>
        <v/>
      </c>
      <c r="Q374" s="317" t="str">
        <f t="shared" si="28"/>
        <v/>
      </c>
      <c r="R374" s="317" t="str">
        <f t="shared" si="29"/>
        <v/>
      </c>
      <c r="S374" s="317" t="str">
        <f t="shared" si="30"/>
        <v/>
      </c>
      <c r="T374" s="317" t="str">
        <f>'REF. DE PREÇOS n editavel'!S374</f>
        <v/>
      </c>
      <c r="W374" s="577">
        <v>0</v>
      </c>
      <c r="X374" s="575"/>
      <c r="Y374" s="578">
        <f>IF('REF. DE PREÇOS n editavel'!W374=0,0,IF('REF. DE PREÇOS n editavel'!W374&gt;0,"c","b"))</f>
        <v>0</v>
      </c>
    </row>
    <row r="375" spans="1:25">
      <c r="A375" s="317" t="s">
        <v>147</v>
      </c>
      <c r="B375" s="870" t="s">
        <v>147</v>
      </c>
      <c r="C375" s="871"/>
      <c r="D375" s="931" t="s">
        <v>243</v>
      </c>
      <c r="E375" s="882">
        <f>'REF. DE PREÇOS n editavel'!E375</f>
        <v>0.2</v>
      </c>
      <c r="F375" s="883">
        <f>'REF. DE PREÇOS n editavel'!F375</f>
        <v>0.83409999999999995</v>
      </c>
      <c r="G375" s="923">
        <f>'REF. DE PREÇOS n editavel'!G375</f>
        <v>2.4138853999999998</v>
      </c>
      <c r="H375" s="876">
        <f>'REF. DE PREÇOS n editavel'!H375</f>
        <v>0</v>
      </c>
      <c r="I375" s="876">
        <f>'REF. DE PREÇOS n editavel'!I375</f>
        <v>0</v>
      </c>
      <c r="J375" s="877">
        <f>'REF. DE PREÇOS n editavel'!J375</f>
        <v>0</v>
      </c>
      <c r="K375" s="932" t="s">
        <v>506</v>
      </c>
      <c r="L375" s="977"/>
      <c r="M375" s="1112">
        <f t="shared" si="27"/>
        <v>0</v>
      </c>
      <c r="N375" s="868">
        <f t="shared" si="31"/>
        <v>0</v>
      </c>
      <c r="O375" s="880"/>
      <c r="P375" s="58" t="str">
        <f>IF(N372&gt;0,"xx",IF(N372&gt;0,"xy",""))</f>
        <v/>
      </c>
      <c r="Q375" s="317" t="str">
        <f t="shared" si="28"/>
        <v/>
      </c>
      <c r="R375" s="317" t="str">
        <f t="shared" si="29"/>
        <v/>
      </c>
      <c r="S375" s="317" t="str">
        <f t="shared" si="30"/>
        <v/>
      </c>
      <c r="T375" s="317" t="str">
        <f>'REF. DE PREÇOS n editavel'!S375</f>
        <v/>
      </c>
      <c r="W375" s="577">
        <v>0</v>
      </c>
      <c r="X375" s="575"/>
      <c r="Y375" s="578">
        <f>IF('REF. DE PREÇOS n editavel'!W375=0,0,IF('REF. DE PREÇOS n editavel'!W375&gt;0,"c","b"))</f>
        <v>0</v>
      </c>
    </row>
    <row r="376" spans="1:25">
      <c r="A376" s="317" t="s">
        <v>147</v>
      </c>
      <c r="B376" s="870" t="s">
        <v>147</v>
      </c>
      <c r="C376" s="871"/>
      <c r="D376" s="931" t="s">
        <v>244</v>
      </c>
      <c r="E376" s="882">
        <f>'REF. DE PREÇOS n editavel'!E376</f>
        <v>43.1</v>
      </c>
      <c r="F376" s="883">
        <f>'REF. DE PREÇOS n editavel'!F376</f>
        <v>1</v>
      </c>
      <c r="G376" s="887">
        <f>'REF. DE PREÇOS n editavel'!G376</f>
        <v>52.567000000000007</v>
      </c>
      <c r="H376" s="876">
        <f>'REF. DE PREÇOS n editavel'!H376</f>
        <v>0</v>
      </c>
      <c r="I376" s="876">
        <f>'REF. DE PREÇOS n editavel'!I376</f>
        <v>0</v>
      </c>
      <c r="J376" s="877">
        <f>'REF. DE PREÇOS n editavel'!J376</f>
        <v>0</v>
      </c>
      <c r="K376" s="932" t="s">
        <v>506</v>
      </c>
      <c r="L376" s="977"/>
      <c r="M376" s="1112">
        <f t="shared" si="27"/>
        <v>0</v>
      </c>
      <c r="N376" s="868">
        <f t="shared" si="31"/>
        <v>0</v>
      </c>
      <c r="O376" s="880"/>
      <c r="P376" s="58" t="str">
        <f>IF(N372&gt;0,"xx",IF(N372&gt;0,"xy",""))</f>
        <v/>
      </c>
      <c r="Q376" s="317" t="str">
        <f t="shared" si="28"/>
        <v/>
      </c>
      <c r="R376" s="317" t="str">
        <f t="shared" si="29"/>
        <v/>
      </c>
      <c r="S376" s="317" t="str">
        <f t="shared" si="30"/>
        <v/>
      </c>
      <c r="T376" s="317" t="str">
        <f>'REF. DE PREÇOS n editavel'!S376</f>
        <v/>
      </c>
      <c r="W376" s="577">
        <v>0</v>
      </c>
      <c r="X376" s="575"/>
      <c r="Y376" s="578">
        <f>IF('REF. DE PREÇOS n editavel'!W376=0,0,IF('REF. DE PREÇOS n editavel'!W376&gt;0,"c","b"))</f>
        <v>0</v>
      </c>
    </row>
    <row r="377" spans="1:25" ht="13.5" thickBot="1">
      <c r="A377" s="317">
        <v>589000</v>
      </c>
      <c r="B377" s="978" t="s">
        <v>697</v>
      </c>
      <c r="C377" s="958" t="s">
        <v>213</v>
      </c>
      <c r="D377" s="986" t="s">
        <v>2149</v>
      </c>
      <c r="E377" s="979">
        <f>'REF. DE PREÇOS n editavel'!E377</f>
        <v>468</v>
      </c>
      <c r="F377" s="980">
        <f>'REF. DE PREÇOS n editavel'!F377</f>
        <v>1</v>
      </c>
      <c r="G377" s="923">
        <f>'REF. DE PREÇOS n editavel'!G377</f>
        <v>485.97999999999996</v>
      </c>
      <c r="H377" s="962">
        <f>'REF. DE PREÇOS n editavel'!H377</f>
        <v>4828.8599999999997</v>
      </c>
      <c r="I377" s="962">
        <f>'REF. DE PREÇOS n editavel'!I377</f>
        <v>5163.1232400589097</v>
      </c>
      <c r="J377" s="963">
        <f>'REF. DE PREÇOS n editavel'!J377</f>
        <v>6310.37</v>
      </c>
      <c r="K377" s="964" t="s">
        <v>14</v>
      </c>
      <c r="L377" s="1109">
        <f>ROUND(L372*$F372,2)</f>
        <v>0</v>
      </c>
      <c r="M377" s="1114">
        <f t="shared" si="27"/>
        <v>0</v>
      </c>
      <c r="N377" s="967">
        <f t="shared" si="31"/>
        <v>0</v>
      </c>
      <c r="O377" s="880"/>
      <c r="P377" s="58" t="str">
        <f>IF(N372&gt;0,"xx",IF(N372&gt;0,"xy",""))</f>
        <v/>
      </c>
      <c r="Q377" s="317" t="str">
        <f t="shared" si="28"/>
        <v/>
      </c>
      <c r="R377" s="317" t="str">
        <f t="shared" si="29"/>
        <v/>
      </c>
      <c r="S377" s="317" t="str">
        <f t="shared" si="30"/>
        <v/>
      </c>
      <c r="T377" s="317" t="str">
        <f>'REF. DE PREÇOS n editavel'!S377</f>
        <v/>
      </c>
      <c r="W377" s="577">
        <v>0</v>
      </c>
      <c r="X377" s="575"/>
      <c r="Y377" s="578">
        <f>IF('REF. DE PREÇOS n editavel'!W377=0,0,IF('REF. DE PREÇOS n editavel'!W377&gt;0,"c","b"))</f>
        <v>0</v>
      </c>
    </row>
    <row r="378" spans="1:25">
      <c r="A378" s="317">
        <v>570200</v>
      </c>
      <c r="B378" s="973">
        <v>570200</v>
      </c>
      <c r="C378" s="974" t="s">
        <v>184</v>
      </c>
      <c r="D378" s="993" t="s">
        <v>2196</v>
      </c>
      <c r="E378" s="948" t="str">
        <f>'REF. DE PREÇOS n editavel'!E378</f>
        <v>taxa CAP</v>
      </c>
      <c r="F378" s="949">
        <f>'REF. DE PREÇOS n editavel'!F378</f>
        <v>4.4999999999999998E-2</v>
      </c>
      <c r="G378" s="950">
        <f>'REF. DE PREÇOS n editavel'!G378</f>
        <v>59.982060000000004</v>
      </c>
      <c r="H378" s="951">
        <f>'REF. DE PREÇOS n editavel'!H378</f>
        <v>181.43</v>
      </c>
      <c r="I378" s="951">
        <f>'REF. DE PREÇOS n editavel'!I378</f>
        <v>241.41206</v>
      </c>
      <c r="J378" s="952">
        <f>'REF. DE PREÇOS n editavel'!J378</f>
        <v>295.05</v>
      </c>
      <c r="K378" s="953" t="s">
        <v>14</v>
      </c>
      <c r="L378" s="1107">
        <v>9108</v>
      </c>
      <c r="M378" s="1108">
        <f t="shared" si="27"/>
        <v>295.05</v>
      </c>
      <c r="N378" s="956">
        <f t="shared" si="31"/>
        <v>2687315.4</v>
      </c>
      <c r="O378" s="880"/>
      <c r="Q378" s="317" t="str">
        <f t="shared" si="28"/>
        <v>x</v>
      </c>
      <c r="R378" s="317" t="str">
        <f t="shared" si="29"/>
        <v>x</v>
      </c>
      <c r="S378" s="317" t="str">
        <f t="shared" si="30"/>
        <v>x</v>
      </c>
      <c r="T378" s="317" t="str">
        <f>'REF. DE PREÇOS n editavel'!S378</f>
        <v>x</v>
      </c>
      <c r="W378" s="577">
        <v>0</v>
      </c>
      <c r="X378" s="575"/>
      <c r="Y378" s="578">
        <f>IF('REF. DE PREÇOS n editavel'!W378=0,0,IF('REF. DE PREÇOS n editavel'!W378&gt;0,"c","b"))</f>
        <v>0</v>
      </c>
    </row>
    <row r="379" spans="1:25">
      <c r="A379" s="317" t="s">
        <v>147</v>
      </c>
      <c r="B379" s="870" t="s">
        <v>147</v>
      </c>
      <c r="C379" s="871"/>
      <c r="D379" s="931" t="s">
        <v>229</v>
      </c>
      <c r="E379" s="882">
        <f>'REF. DE PREÇOS n editavel'!E379</f>
        <v>290</v>
      </c>
      <c r="F379" s="883">
        <f>'REF. DE PREÇOS n editavel'!F379</f>
        <v>1.4999999999999999E-2</v>
      </c>
      <c r="G379" s="923">
        <f>'REF. DE PREÇOS n editavel'!G379</f>
        <v>4.6947000000000001</v>
      </c>
      <c r="H379" s="876">
        <f>'REF. DE PREÇOS n editavel'!H379</f>
        <v>0</v>
      </c>
      <c r="I379" s="876">
        <f>'REF. DE PREÇOS n editavel'!I379</f>
        <v>0</v>
      </c>
      <c r="J379" s="877">
        <f>'REF. DE PREÇOS n editavel'!J379</f>
        <v>0</v>
      </c>
      <c r="K379" s="932" t="s">
        <v>506</v>
      </c>
      <c r="L379" s="977"/>
      <c r="M379" s="1112">
        <f t="shared" si="27"/>
        <v>0</v>
      </c>
      <c r="N379" s="868">
        <f t="shared" si="31"/>
        <v>0</v>
      </c>
      <c r="O379" s="880"/>
      <c r="P379" s="58" t="str">
        <f>IF(N378&gt;0,"xx",IF(N378&gt;0,"xy",""))</f>
        <v>xx</v>
      </c>
      <c r="Q379" s="317" t="str">
        <f t="shared" si="28"/>
        <v>x</v>
      </c>
      <c r="R379" s="317" t="str">
        <f t="shared" si="29"/>
        <v>x</v>
      </c>
      <c r="S379" s="317" t="str">
        <f t="shared" si="30"/>
        <v/>
      </c>
      <c r="T379" s="317" t="str">
        <f>'REF. DE PREÇOS n editavel'!S379</f>
        <v/>
      </c>
      <c r="W379" s="577">
        <v>0</v>
      </c>
      <c r="X379" s="575"/>
      <c r="Y379" s="578">
        <f>IF('REF. DE PREÇOS n editavel'!W379=0,0,IF('REF. DE PREÇOS n editavel'!W379&gt;0,"c","b"))</f>
        <v>0</v>
      </c>
    </row>
    <row r="380" spans="1:25">
      <c r="A380" s="317" t="s">
        <v>147</v>
      </c>
      <c r="B380" s="870" t="s">
        <v>147</v>
      </c>
      <c r="C380" s="871"/>
      <c r="D380" s="931" t="s">
        <v>230</v>
      </c>
      <c r="E380" s="882">
        <f>'REF. DE PREÇOS n editavel'!E380</f>
        <v>440</v>
      </c>
      <c r="F380" s="883">
        <f>'REF. DE PREÇOS n editavel'!F380</f>
        <v>0</v>
      </c>
      <c r="G380" s="884">
        <f>'REF. DE PREÇOS n editavel'!G380</f>
        <v>0</v>
      </c>
      <c r="H380" s="876">
        <f>'REF. DE PREÇOS n editavel'!H380</f>
        <v>0</v>
      </c>
      <c r="I380" s="876">
        <f>'REF. DE PREÇOS n editavel'!I380</f>
        <v>0</v>
      </c>
      <c r="J380" s="877">
        <f>'REF. DE PREÇOS n editavel'!J380</f>
        <v>0</v>
      </c>
      <c r="K380" s="932" t="s">
        <v>506</v>
      </c>
      <c r="L380" s="977"/>
      <c r="M380" s="1112">
        <f t="shared" si="27"/>
        <v>0</v>
      </c>
      <c r="N380" s="868">
        <f t="shared" si="31"/>
        <v>0</v>
      </c>
      <c r="O380" s="880"/>
      <c r="P380" s="58" t="str">
        <f>IF(N378&gt;0,"xx",IF(N378&gt;0,"xy",""))</f>
        <v>xx</v>
      </c>
      <c r="Q380" s="317" t="str">
        <f t="shared" si="28"/>
        <v>x</v>
      </c>
      <c r="R380" s="317" t="str">
        <f t="shared" si="29"/>
        <v>x</v>
      </c>
      <c r="S380" s="317" t="str">
        <f t="shared" si="30"/>
        <v/>
      </c>
      <c r="T380" s="317" t="str">
        <f>'REF. DE PREÇOS n editavel'!S380</f>
        <v/>
      </c>
      <c r="W380" s="577">
        <v>0</v>
      </c>
      <c r="X380" s="575"/>
      <c r="Y380" s="578">
        <f>IF('REF. DE PREÇOS n editavel'!W380=0,0,IF('REF. DE PREÇOS n editavel'!W380&gt;0,"c","b"))</f>
        <v>0</v>
      </c>
    </row>
    <row r="381" spans="1:25">
      <c r="A381" s="317" t="s">
        <v>147</v>
      </c>
      <c r="B381" s="870" t="s">
        <v>147</v>
      </c>
      <c r="C381" s="871"/>
      <c r="D381" s="931" t="s">
        <v>243</v>
      </c>
      <c r="E381" s="882">
        <f>'REF. DE PREÇOS n editavel'!E381</f>
        <v>0.2</v>
      </c>
      <c r="F381" s="883">
        <f>'REF. DE PREÇOS n editavel'!F381</f>
        <v>0.94</v>
      </c>
      <c r="G381" s="923">
        <f>'REF. DE PREÇOS n editavel'!G381</f>
        <v>2.7203599999999999</v>
      </c>
      <c r="H381" s="876">
        <f>'REF. DE PREÇOS n editavel'!H381</f>
        <v>0</v>
      </c>
      <c r="I381" s="876">
        <f>'REF. DE PREÇOS n editavel'!I381</f>
        <v>0</v>
      </c>
      <c r="J381" s="877">
        <f>'REF. DE PREÇOS n editavel'!J381</f>
        <v>0</v>
      </c>
      <c r="K381" s="932" t="s">
        <v>506</v>
      </c>
      <c r="L381" s="977"/>
      <c r="M381" s="1112">
        <f t="shared" si="27"/>
        <v>0</v>
      </c>
      <c r="N381" s="868">
        <f t="shared" si="31"/>
        <v>0</v>
      </c>
      <c r="O381" s="880"/>
      <c r="P381" s="58" t="str">
        <f>IF(N378&gt;0,"xx",IF(N378&gt;0,"xy",""))</f>
        <v>xx</v>
      </c>
      <c r="Q381" s="317" t="str">
        <f t="shared" si="28"/>
        <v>x</v>
      </c>
      <c r="R381" s="317" t="str">
        <f t="shared" si="29"/>
        <v>x</v>
      </c>
      <c r="S381" s="317" t="str">
        <f t="shared" si="30"/>
        <v/>
      </c>
      <c r="T381" s="317" t="str">
        <f>'REF. DE PREÇOS n editavel'!S381</f>
        <v/>
      </c>
      <c r="W381" s="577">
        <v>0</v>
      </c>
      <c r="X381" s="575"/>
      <c r="Y381" s="578">
        <f>IF('REF. DE PREÇOS n editavel'!W381=0,0,IF('REF. DE PREÇOS n editavel'!W381&gt;0,"c","b"))</f>
        <v>0</v>
      </c>
    </row>
    <row r="382" spans="1:25">
      <c r="A382" s="317" t="s">
        <v>147</v>
      </c>
      <c r="B382" s="870" t="s">
        <v>147</v>
      </c>
      <c r="C382" s="871"/>
      <c r="D382" s="931" t="s">
        <v>244</v>
      </c>
      <c r="E382" s="882">
        <f>'REF. DE PREÇOS n editavel'!E382</f>
        <v>43.1</v>
      </c>
      <c r="F382" s="883">
        <f>'REF. DE PREÇOS n editavel'!F382</f>
        <v>1</v>
      </c>
      <c r="G382" s="887">
        <f>'REF. DE PREÇOS n editavel'!G382</f>
        <v>52.567000000000007</v>
      </c>
      <c r="H382" s="876">
        <f>'REF. DE PREÇOS n editavel'!H382</f>
        <v>0</v>
      </c>
      <c r="I382" s="876">
        <f>'REF. DE PREÇOS n editavel'!I382</f>
        <v>0</v>
      </c>
      <c r="J382" s="877">
        <f>'REF. DE PREÇOS n editavel'!J382</f>
        <v>0</v>
      </c>
      <c r="K382" s="932" t="s">
        <v>506</v>
      </c>
      <c r="L382" s="977"/>
      <c r="M382" s="1112">
        <f t="shared" si="27"/>
        <v>0</v>
      </c>
      <c r="N382" s="868">
        <f t="shared" si="31"/>
        <v>0</v>
      </c>
      <c r="O382" s="880"/>
      <c r="P382" s="58" t="str">
        <f>IF(N378&gt;0,"xx",IF(N378&gt;0,"xy",""))</f>
        <v>xx</v>
      </c>
      <c r="Q382" s="317" t="str">
        <f t="shared" si="28"/>
        <v>x</v>
      </c>
      <c r="R382" s="317" t="str">
        <f t="shared" si="29"/>
        <v>x</v>
      </c>
      <c r="S382" s="317" t="str">
        <f t="shared" si="30"/>
        <v/>
      </c>
      <c r="T382" s="317" t="str">
        <f>'REF. DE PREÇOS n editavel'!S382</f>
        <v/>
      </c>
      <c r="W382" s="577">
        <v>0</v>
      </c>
      <c r="X382" s="575"/>
      <c r="Y382" s="578">
        <f>IF('REF. DE PREÇOS n editavel'!W382=0,0,IF('REF. DE PREÇOS n editavel'!W382&gt;0,"c","b"))</f>
        <v>0</v>
      </c>
    </row>
    <row r="383" spans="1:25" ht="13.5" thickBot="1">
      <c r="A383" s="317">
        <v>589000</v>
      </c>
      <c r="B383" s="978" t="s">
        <v>698</v>
      </c>
      <c r="C383" s="958" t="s">
        <v>213</v>
      </c>
      <c r="D383" s="986" t="s">
        <v>2149</v>
      </c>
      <c r="E383" s="979">
        <f>'REF. DE PREÇOS n editavel'!E383</f>
        <v>468</v>
      </c>
      <c r="F383" s="980">
        <f>'REF. DE PREÇOS n editavel'!F383</f>
        <v>1</v>
      </c>
      <c r="G383" s="923">
        <f>'REF. DE PREÇOS n editavel'!G383</f>
        <v>485.97999999999996</v>
      </c>
      <c r="H383" s="962">
        <f>'REF. DE PREÇOS n editavel'!H383</f>
        <v>4828.8599999999997</v>
      </c>
      <c r="I383" s="962">
        <f>'REF. DE PREÇOS n editavel'!I383</f>
        <v>5163.1232400589097</v>
      </c>
      <c r="J383" s="963">
        <f>'REF. DE PREÇOS n editavel'!J383</f>
        <v>6310.37</v>
      </c>
      <c r="K383" s="964" t="s">
        <v>14</v>
      </c>
      <c r="L383" s="1109">
        <f>ROUND(L378*$F378,2)</f>
        <v>409.86</v>
      </c>
      <c r="M383" s="1114">
        <f t="shared" si="27"/>
        <v>6310.37</v>
      </c>
      <c r="N383" s="967">
        <f t="shared" si="31"/>
        <v>2586368.25</v>
      </c>
      <c r="O383" s="880"/>
      <c r="P383" s="58" t="str">
        <f>IF(N378&gt;0,"xx",IF(N378&gt;0,"xy",""))</f>
        <v>xx</v>
      </c>
      <c r="Q383" s="317" t="str">
        <f t="shared" si="28"/>
        <v>x</v>
      </c>
      <c r="R383" s="317" t="str">
        <f t="shared" si="29"/>
        <v>x</v>
      </c>
      <c r="S383" s="317" t="str">
        <f t="shared" si="30"/>
        <v>x</v>
      </c>
      <c r="T383" s="317" t="str">
        <f>'REF. DE PREÇOS n editavel'!S383</f>
        <v>x</v>
      </c>
      <c r="W383" s="577">
        <v>0</v>
      </c>
      <c r="X383" s="575"/>
      <c r="Y383" s="578">
        <f>IF('REF. DE PREÇOS n editavel'!W383=0,0,IF('REF. DE PREÇOS n editavel'!W383&gt;0,"c","b"))</f>
        <v>0</v>
      </c>
    </row>
    <row r="384" spans="1:25">
      <c r="A384" s="317">
        <v>570200</v>
      </c>
      <c r="B384" s="973">
        <f>'REF. DE PREÇOS n editavel'!B384</f>
        <v>570200</v>
      </c>
      <c r="C384" s="974" t="str">
        <f>'REF. DE PREÇOS n editavel'!C384</f>
        <v>DER</v>
      </c>
      <c r="D384" s="998" t="str">
        <f>'REF. DE PREÇOS n editavel'!D384</f>
        <v>CBUQ - Novos Traços - BINDER 2 - novo traço (Quantidade menor que 10.000 ton)</v>
      </c>
      <c r="E384" s="948" t="str">
        <f>'REF. DE PREÇOS n editavel'!E384</f>
        <v>taxa CAP</v>
      </c>
      <c r="F384" s="996">
        <f>'REF. DE PREÇOS n editavel'!F384</f>
        <v>4.3999999999999997E-2</v>
      </c>
      <c r="G384" s="950">
        <f>'REF. DE PREÇOS n editavel'!G384</f>
        <v>59.76789380000001</v>
      </c>
      <c r="H384" s="951">
        <f>'REF. DE PREÇOS n editavel'!H384</f>
        <v>181.43</v>
      </c>
      <c r="I384" s="951">
        <f>'REF. DE PREÇOS n editavel'!I384</f>
        <v>241.19789380000003</v>
      </c>
      <c r="J384" s="952">
        <f>'REF. DE PREÇOS n editavel'!J384</f>
        <v>294.79000000000002</v>
      </c>
      <c r="K384" s="953" t="s">
        <v>14</v>
      </c>
      <c r="L384" s="1107"/>
      <c r="M384" s="1108">
        <f t="shared" ref="M384:M389" si="32">IF(L384=0,0,ROUND(J384,2))</f>
        <v>0</v>
      </c>
      <c r="N384" s="956">
        <f t="shared" ref="N384:N389" si="33">IF(ISBLANK(L384),0,IF(W384=0,ROUND(L384*M384,2),IF(W384="b",ROUNDDOWN(L384*M384,2),ROUNDUP(L384*M384,2))))</f>
        <v>0</v>
      </c>
      <c r="O384" s="880"/>
      <c r="Q384" s="317" t="str">
        <f t="shared" ref="Q384:Q389" si="34">IF(P384="X","x",IF(P384="xx","x",IF(P384="xy","x",IF(P384="y","x",IF(OR(N384&gt;0,N384&gt;0),"x","")))))</f>
        <v/>
      </c>
      <c r="R384" s="317" t="str">
        <f t="shared" ref="R384:R389" si="35">IF(P384="X","x",IF(P384="y","x",IF(P384="xx","x",IF(N384&gt;0,"x",""))))</f>
        <v/>
      </c>
      <c r="S384" s="317" t="str">
        <f t="shared" ref="S384:S389" si="36">IF(P384="X","x",IF(N384&gt;0,"x",""))</f>
        <v/>
      </c>
      <c r="T384" s="317" t="str">
        <f>'REF. DE PREÇOS n editavel'!S384</f>
        <v/>
      </c>
      <c r="W384" s="577">
        <v>0</v>
      </c>
      <c r="X384" s="575"/>
      <c r="Y384" s="578">
        <f>IF('REF. DE PREÇOS n editavel'!W384=0,0,IF('REF. DE PREÇOS n editavel'!W384&gt;0,"c","b"))</f>
        <v>0</v>
      </c>
    </row>
    <row r="385" spans="1:25">
      <c r="A385" s="317" t="s">
        <v>147</v>
      </c>
      <c r="B385" s="870" t="str">
        <f>'REF. DE PREÇOS n editavel'!B385</f>
        <v>transporte</v>
      </c>
      <c r="C385" s="871">
        <f>'REF. DE PREÇOS n editavel'!C385</f>
        <v>0</v>
      </c>
      <c r="D385" s="931" t="str">
        <f>'REF. DE PREÇOS n editavel'!D385</f>
        <v>Areia</v>
      </c>
      <c r="E385" s="882">
        <f>'REF. DE PREÇOS n editavel'!E385</f>
        <v>290</v>
      </c>
      <c r="F385" s="1242">
        <f>'REF. DE PREÇOS n editavel'!F385</f>
        <v>1.43E-2</v>
      </c>
      <c r="G385" s="923">
        <f>'REF. DE PREÇOS n editavel'!G385</f>
        <v>4.4756140000000002</v>
      </c>
      <c r="H385" s="876">
        <f>'REF. DE PREÇOS n editavel'!H385</f>
        <v>0</v>
      </c>
      <c r="I385" s="876">
        <f>'REF. DE PREÇOS n editavel'!I385</f>
        <v>0</v>
      </c>
      <c r="J385" s="877">
        <f>'REF. DE PREÇOS n editavel'!J385</f>
        <v>0</v>
      </c>
      <c r="K385" s="932" t="s">
        <v>506</v>
      </c>
      <c r="L385" s="977"/>
      <c r="M385" s="1112">
        <f t="shared" si="32"/>
        <v>0</v>
      </c>
      <c r="N385" s="868">
        <f t="shared" si="33"/>
        <v>0</v>
      </c>
      <c r="O385" s="880"/>
      <c r="P385" s="58" t="str">
        <f>IF(N384&gt;0,"xx",IF(N384&gt;0,"xy",""))</f>
        <v/>
      </c>
      <c r="Q385" s="317" t="str">
        <f t="shared" si="34"/>
        <v/>
      </c>
      <c r="R385" s="317" t="str">
        <f t="shared" si="35"/>
        <v/>
      </c>
      <c r="S385" s="317" t="str">
        <f t="shared" si="36"/>
        <v/>
      </c>
      <c r="T385" s="317" t="str">
        <f>'REF. DE PREÇOS n editavel'!S385</f>
        <v/>
      </c>
      <c r="W385" s="577">
        <v>0</v>
      </c>
      <c r="X385" s="575"/>
      <c r="Y385" s="578">
        <f>IF('REF. DE PREÇOS n editavel'!W385=0,0,IF('REF. DE PREÇOS n editavel'!W385&gt;0,"c","b"))</f>
        <v>0</v>
      </c>
    </row>
    <row r="386" spans="1:25">
      <c r="A386" s="317" t="s">
        <v>147</v>
      </c>
      <c r="B386" s="870" t="str">
        <f>'REF. DE PREÇOS n editavel'!B386</f>
        <v>transporte</v>
      </c>
      <c r="C386" s="871">
        <f>'REF. DE PREÇOS n editavel'!C386</f>
        <v>0</v>
      </c>
      <c r="D386" s="931" t="str">
        <f>'REF. DE PREÇOS n editavel'!D386</f>
        <v>Cal Hidratada CH-1</v>
      </c>
      <c r="E386" s="882">
        <f>'REF. DE PREÇOS n editavel'!E386</f>
        <v>445</v>
      </c>
      <c r="F386" s="1242">
        <f>'REF. DE PREÇOS n editavel'!F386</f>
        <v>0</v>
      </c>
      <c r="G386" s="884">
        <f>'REF. DE PREÇOS n editavel'!G386</f>
        <v>0</v>
      </c>
      <c r="H386" s="876">
        <f>'REF. DE PREÇOS n editavel'!H386</f>
        <v>0</v>
      </c>
      <c r="I386" s="876">
        <f>'REF. DE PREÇOS n editavel'!I386</f>
        <v>0</v>
      </c>
      <c r="J386" s="877">
        <f>'REF. DE PREÇOS n editavel'!J386</f>
        <v>0</v>
      </c>
      <c r="K386" s="932" t="s">
        <v>506</v>
      </c>
      <c r="L386" s="977"/>
      <c r="M386" s="1112">
        <f t="shared" si="32"/>
        <v>0</v>
      </c>
      <c r="N386" s="868">
        <f t="shared" si="33"/>
        <v>0</v>
      </c>
      <c r="O386" s="880"/>
      <c r="P386" s="58" t="str">
        <f>IF(N384&gt;0,"xx",IF(N384&gt;0,"xy",""))</f>
        <v/>
      </c>
      <c r="Q386" s="317" t="str">
        <f t="shared" si="34"/>
        <v/>
      </c>
      <c r="R386" s="317" t="str">
        <f t="shared" si="35"/>
        <v/>
      </c>
      <c r="S386" s="317" t="str">
        <f t="shared" si="36"/>
        <v/>
      </c>
      <c r="T386" s="317" t="str">
        <f>'REF. DE PREÇOS n editavel'!S386</f>
        <v/>
      </c>
      <c r="W386" s="577">
        <v>0</v>
      </c>
      <c r="X386" s="575"/>
      <c r="Y386" s="578">
        <f>IF('REF. DE PREÇOS n editavel'!W386=0,0,IF('REF. DE PREÇOS n editavel'!W386&gt;0,"c","b"))</f>
        <v>0</v>
      </c>
    </row>
    <row r="387" spans="1:25">
      <c r="A387" s="317" t="s">
        <v>147</v>
      </c>
      <c r="B387" s="870" t="str">
        <f>'REF. DE PREÇOS n editavel'!B387</f>
        <v>transporte</v>
      </c>
      <c r="C387" s="871">
        <f>'REF. DE PREÇOS n editavel'!C387</f>
        <v>0</v>
      </c>
      <c r="D387" s="931" t="str">
        <f>'REF. DE PREÇOS n editavel'!D387</f>
        <v>Brita ( usina )</v>
      </c>
      <c r="E387" s="882">
        <f>'REF. DE PREÇOS n editavel'!E387</f>
        <v>0.2</v>
      </c>
      <c r="F387" s="1242">
        <f>'REF. DE PREÇOS n editavel'!F387</f>
        <v>0.94169999999999998</v>
      </c>
      <c r="G387" s="923">
        <f>'REF. DE PREÇOS n editavel'!G387</f>
        <v>2.7252798</v>
      </c>
      <c r="H387" s="876">
        <f>'REF. DE PREÇOS n editavel'!H387</f>
        <v>0</v>
      </c>
      <c r="I387" s="876">
        <f>'REF. DE PREÇOS n editavel'!I387</f>
        <v>0</v>
      </c>
      <c r="J387" s="877">
        <f>'REF. DE PREÇOS n editavel'!J387</f>
        <v>0</v>
      </c>
      <c r="K387" s="932" t="s">
        <v>506</v>
      </c>
      <c r="L387" s="977"/>
      <c r="M387" s="1112">
        <f t="shared" si="32"/>
        <v>0</v>
      </c>
      <c r="N387" s="868">
        <f t="shared" si="33"/>
        <v>0</v>
      </c>
      <c r="O387" s="880"/>
      <c r="P387" s="58" t="str">
        <f>IF(N384&gt;0,"xx",IF(N384&gt;0,"xy",""))</f>
        <v/>
      </c>
      <c r="Q387" s="317" t="str">
        <f t="shared" si="34"/>
        <v/>
      </c>
      <c r="R387" s="317" t="str">
        <f t="shared" si="35"/>
        <v/>
      </c>
      <c r="S387" s="317" t="str">
        <f t="shared" si="36"/>
        <v/>
      </c>
      <c r="T387" s="317" t="str">
        <f>'REF. DE PREÇOS n editavel'!S387</f>
        <v/>
      </c>
      <c r="W387" s="577">
        <v>0</v>
      </c>
      <c r="X387" s="575"/>
      <c r="Y387" s="578">
        <f>IF('REF. DE PREÇOS n editavel'!W387=0,0,IF('REF. DE PREÇOS n editavel'!W387&gt;0,"c","b"))</f>
        <v>0</v>
      </c>
    </row>
    <row r="388" spans="1:25">
      <c r="A388" s="317" t="s">
        <v>147</v>
      </c>
      <c r="B388" s="870" t="str">
        <f>'REF. DE PREÇOS n editavel'!B388</f>
        <v>transporte</v>
      </c>
      <c r="C388" s="871">
        <f>'REF. DE PREÇOS n editavel'!C388</f>
        <v>0</v>
      </c>
      <c r="D388" s="931" t="str">
        <f>'REF. DE PREÇOS n editavel'!D388</f>
        <v>Massa</v>
      </c>
      <c r="E388" s="882">
        <f>'REF. DE PREÇOS n editavel'!E388</f>
        <v>43.1</v>
      </c>
      <c r="F388" s="1242">
        <f>'REF. DE PREÇOS n editavel'!F388</f>
        <v>1</v>
      </c>
      <c r="G388" s="887">
        <f>'REF. DE PREÇOS n editavel'!G388</f>
        <v>52.567000000000007</v>
      </c>
      <c r="H388" s="876">
        <f>'REF. DE PREÇOS n editavel'!H388</f>
        <v>0</v>
      </c>
      <c r="I388" s="876">
        <f>'REF. DE PREÇOS n editavel'!I388</f>
        <v>0</v>
      </c>
      <c r="J388" s="877">
        <f>'REF. DE PREÇOS n editavel'!J388</f>
        <v>0</v>
      </c>
      <c r="K388" s="932" t="s">
        <v>506</v>
      </c>
      <c r="L388" s="977"/>
      <c r="M388" s="1112">
        <f t="shared" si="32"/>
        <v>0</v>
      </c>
      <c r="N388" s="868">
        <f t="shared" si="33"/>
        <v>0</v>
      </c>
      <c r="O388" s="880"/>
      <c r="P388" s="58" t="str">
        <f>IF(N384&gt;0,"xx",IF(N384&gt;0,"xy",""))</f>
        <v/>
      </c>
      <c r="Q388" s="317" t="str">
        <f t="shared" si="34"/>
        <v/>
      </c>
      <c r="R388" s="317" t="str">
        <f t="shared" si="35"/>
        <v/>
      </c>
      <c r="S388" s="317" t="str">
        <f t="shared" si="36"/>
        <v/>
      </c>
      <c r="T388" s="317" t="str">
        <f>'REF. DE PREÇOS n editavel'!S388</f>
        <v/>
      </c>
      <c r="W388" s="577">
        <v>0</v>
      </c>
      <c r="X388" s="575"/>
      <c r="Y388" s="578">
        <f>IF('REF. DE PREÇOS n editavel'!W388=0,0,IF('REF. DE PREÇOS n editavel'!W388&gt;0,"c","b"))</f>
        <v>0</v>
      </c>
    </row>
    <row r="389" spans="1:25" ht="13.5" thickBot="1">
      <c r="A389" s="317">
        <v>589000</v>
      </c>
      <c r="B389" s="978" t="str">
        <f>'REF. DE PREÇOS n editavel'!B389</f>
        <v>589000F</v>
      </c>
      <c r="C389" s="958" t="str">
        <f>'REF. DE PREÇOS n editavel'!C389</f>
        <v>DER mat</v>
      </c>
      <c r="D389" s="986" t="str">
        <f>'REF. DE PREÇOS n editavel'!D389</f>
        <v>Fornecimento de CAP - CBUQ (Quantidade menor que 10.000 ton)</v>
      </c>
      <c r="E389" s="979">
        <f>'REF. DE PREÇOS n editavel'!E389</f>
        <v>468</v>
      </c>
      <c r="F389" s="980">
        <f>'REF. DE PREÇOS n editavel'!F389</f>
        <v>1</v>
      </c>
      <c r="G389" s="923">
        <f>'REF. DE PREÇOS n editavel'!G389</f>
        <v>485.97999999999996</v>
      </c>
      <c r="H389" s="962">
        <f>'REF. DE PREÇOS n editavel'!H389</f>
        <v>4828.8599999999997</v>
      </c>
      <c r="I389" s="962">
        <f>'REF. DE PREÇOS n editavel'!I389</f>
        <v>5163.1232400589097</v>
      </c>
      <c r="J389" s="963">
        <f>'REF. DE PREÇOS n editavel'!J389</f>
        <v>6310.37</v>
      </c>
      <c r="K389" s="964" t="s">
        <v>14</v>
      </c>
      <c r="L389" s="1109">
        <f>ROUND(L384*$F384,2)</f>
        <v>0</v>
      </c>
      <c r="M389" s="1114">
        <f t="shared" si="32"/>
        <v>0</v>
      </c>
      <c r="N389" s="967">
        <f t="shared" si="33"/>
        <v>0</v>
      </c>
      <c r="O389" s="880"/>
      <c r="P389" s="58" t="str">
        <f>IF(N384&gt;0,"xx",IF(N384&gt;0,"xy",""))</f>
        <v/>
      </c>
      <c r="Q389" s="317" t="str">
        <f t="shared" si="34"/>
        <v/>
      </c>
      <c r="R389" s="317" t="str">
        <f t="shared" si="35"/>
        <v/>
      </c>
      <c r="S389" s="317" t="str">
        <f t="shared" si="36"/>
        <v/>
      </c>
      <c r="T389" s="317" t="str">
        <f>'REF. DE PREÇOS n editavel'!S389</f>
        <v/>
      </c>
      <c r="W389" s="577">
        <v>0</v>
      </c>
      <c r="X389" s="575"/>
      <c r="Y389" s="578">
        <f>IF('REF. DE PREÇOS n editavel'!W389=0,0,IF('REF. DE PREÇOS n editavel'!W389&gt;0,"c","b"))</f>
        <v>0</v>
      </c>
    </row>
    <row r="390" spans="1:25">
      <c r="A390" s="317">
        <v>570200</v>
      </c>
      <c r="B390" s="973">
        <f>'REF. DE PREÇOS n editavel'!B390</f>
        <v>570200</v>
      </c>
      <c r="C390" s="974" t="str">
        <f>'REF. DE PREÇOS n editavel'!C390</f>
        <v>DER</v>
      </c>
      <c r="D390" s="998" t="str">
        <f>'REF. DE PREÇOS n editavel'!D390</f>
        <v>CBUQ -  Novos Traços - BINDER 3 - novo traço (Quantidade menor que 10.000 ton)</v>
      </c>
      <c r="E390" s="948" t="str">
        <f>'REF. DE PREÇOS n editavel'!E390</f>
        <v>taxa CAP</v>
      </c>
      <c r="F390" s="996">
        <f>'REF. DE PREÇOS n editavel'!F390</f>
        <v>4.2999999999999997E-2</v>
      </c>
      <c r="G390" s="950">
        <f>'REF. DE PREÇOS n editavel'!G390</f>
        <v>59.801796400000008</v>
      </c>
      <c r="H390" s="951">
        <f>'REF. DE PREÇOS n editavel'!H390</f>
        <v>181.43</v>
      </c>
      <c r="I390" s="951">
        <f>'REF. DE PREÇOS n editavel'!I390</f>
        <v>241.23179640000001</v>
      </c>
      <c r="J390" s="952">
        <f>'REF. DE PREÇOS n editavel'!J390</f>
        <v>294.83</v>
      </c>
      <c r="K390" s="953" t="s">
        <v>14</v>
      </c>
      <c r="L390" s="1107"/>
      <c r="M390" s="1108">
        <f t="shared" ref="M390:M395" si="37">IF(L390=0,0,ROUND(J390,2))</f>
        <v>0</v>
      </c>
      <c r="N390" s="956">
        <f t="shared" ref="N390:N395" si="38">IF(ISBLANK(L390),0,IF(W390=0,ROUND(L390*M390,2),IF(W390="b",ROUNDDOWN(L390*M390,2),ROUNDUP(L390*M390,2))))</f>
        <v>0</v>
      </c>
      <c r="O390" s="880"/>
      <c r="Q390" s="317" t="str">
        <f t="shared" ref="Q390:Q395" si="39">IF(P390="X","x",IF(P390="xx","x",IF(P390="xy","x",IF(P390="y","x",IF(OR(N390&gt;0,N390&gt;0),"x","")))))</f>
        <v/>
      </c>
      <c r="R390" s="317" t="str">
        <f t="shared" ref="R390:R395" si="40">IF(P390="X","x",IF(P390="y","x",IF(P390="xx","x",IF(N390&gt;0,"x",""))))</f>
        <v/>
      </c>
      <c r="S390" s="317" t="str">
        <f t="shared" ref="S390:S395" si="41">IF(P390="X","x",IF(N390&gt;0,"x",""))</f>
        <v/>
      </c>
      <c r="T390" s="317" t="str">
        <f>'REF. DE PREÇOS n editavel'!S390</f>
        <v/>
      </c>
      <c r="W390" s="577">
        <v>0</v>
      </c>
      <c r="X390" s="575"/>
      <c r="Y390" s="578">
        <f>IF('REF. DE PREÇOS n editavel'!W390=0,0,IF('REF. DE PREÇOS n editavel'!W390&gt;0,"c","b"))</f>
        <v>0</v>
      </c>
    </row>
    <row r="391" spans="1:25">
      <c r="A391" s="317" t="s">
        <v>147</v>
      </c>
      <c r="B391" s="870" t="str">
        <f>'REF. DE PREÇOS n editavel'!B391</f>
        <v>transporte</v>
      </c>
      <c r="C391" s="871">
        <f>'REF. DE PREÇOS n editavel'!C391</f>
        <v>0</v>
      </c>
      <c r="D391" s="931" t="str">
        <f>'REF. DE PREÇOS n editavel'!D391</f>
        <v>Areia</v>
      </c>
      <c r="E391" s="882">
        <f>'REF. DE PREÇOS n editavel'!E391</f>
        <v>290</v>
      </c>
      <c r="F391" s="1242">
        <f>'REF. DE PREÇOS n editavel'!F391</f>
        <v>1.44E-2</v>
      </c>
      <c r="G391" s="923">
        <f>'REF. DE PREÇOS n editavel'!G391</f>
        <v>4.5069119999999998</v>
      </c>
      <c r="H391" s="876">
        <f>'REF. DE PREÇOS n editavel'!H391</f>
        <v>0</v>
      </c>
      <c r="I391" s="876">
        <f>'REF. DE PREÇOS n editavel'!I391</f>
        <v>0</v>
      </c>
      <c r="J391" s="877">
        <f>'REF. DE PREÇOS n editavel'!J391</f>
        <v>0</v>
      </c>
      <c r="K391" s="932" t="s">
        <v>506</v>
      </c>
      <c r="L391" s="977"/>
      <c r="M391" s="1112">
        <f t="shared" si="37"/>
        <v>0</v>
      </c>
      <c r="N391" s="868">
        <f t="shared" si="38"/>
        <v>0</v>
      </c>
      <c r="O391" s="880"/>
      <c r="P391" s="58" t="str">
        <f>IF(N390&gt;0,"xx",IF(N390&gt;0,"xy",""))</f>
        <v/>
      </c>
      <c r="Q391" s="317" t="str">
        <f t="shared" si="39"/>
        <v/>
      </c>
      <c r="R391" s="317" t="str">
        <f t="shared" si="40"/>
        <v/>
      </c>
      <c r="S391" s="317" t="str">
        <f t="shared" si="41"/>
        <v/>
      </c>
      <c r="T391" s="317" t="str">
        <f>'REF. DE PREÇOS n editavel'!S391</f>
        <v/>
      </c>
      <c r="W391" s="577">
        <v>0</v>
      </c>
      <c r="X391" s="575"/>
      <c r="Y391" s="578">
        <f>IF('REF. DE PREÇOS n editavel'!W391=0,0,IF('REF. DE PREÇOS n editavel'!W391&gt;0,"c","b"))</f>
        <v>0</v>
      </c>
    </row>
    <row r="392" spans="1:25">
      <c r="A392" s="317" t="s">
        <v>147</v>
      </c>
      <c r="B392" s="870" t="str">
        <f>'REF. DE PREÇOS n editavel'!B392</f>
        <v>transporte</v>
      </c>
      <c r="C392" s="871">
        <f>'REF. DE PREÇOS n editavel'!C392</f>
        <v>0</v>
      </c>
      <c r="D392" s="931" t="str">
        <f>'REF. DE PREÇOS n editavel'!D392</f>
        <v>Cal Hidratada CH-1</v>
      </c>
      <c r="E392" s="882">
        <f>'REF. DE PREÇOS n editavel'!E392</f>
        <v>445</v>
      </c>
      <c r="F392" s="1242">
        <f>'REF. DE PREÇOS n editavel'!F392</f>
        <v>0</v>
      </c>
      <c r="G392" s="884">
        <f>'REF. DE PREÇOS n editavel'!G392</f>
        <v>0</v>
      </c>
      <c r="H392" s="876">
        <f>'REF. DE PREÇOS n editavel'!H392</f>
        <v>0</v>
      </c>
      <c r="I392" s="876">
        <f>'REF. DE PREÇOS n editavel'!I392</f>
        <v>0</v>
      </c>
      <c r="J392" s="877">
        <f>'REF. DE PREÇOS n editavel'!J392</f>
        <v>0</v>
      </c>
      <c r="K392" s="932" t="s">
        <v>506</v>
      </c>
      <c r="L392" s="977"/>
      <c r="M392" s="1112">
        <f t="shared" si="37"/>
        <v>0</v>
      </c>
      <c r="N392" s="868">
        <f t="shared" si="38"/>
        <v>0</v>
      </c>
      <c r="O392" s="880"/>
      <c r="P392" s="58" t="str">
        <f>IF(N390&gt;0,"xx",IF(N390&gt;0,"xy",""))</f>
        <v/>
      </c>
      <c r="Q392" s="317" t="str">
        <f t="shared" si="39"/>
        <v/>
      </c>
      <c r="R392" s="317" t="str">
        <f t="shared" si="40"/>
        <v/>
      </c>
      <c r="S392" s="317" t="str">
        <f t="shared" si="41"/>
        <v/>
      </c>
      <c r="T392" s="317" t="str">
        <f>'REF. DE PREÇOS n editavel'!S392</f>
        <v/>
      </c>
      <c r="W392" s="577">
        <v>0</v>
      </c>
      <c r="X392" s="575"/>
      <c r="Y392" s="578">
        <f>IF('REF. DE PREÇOS n editavel'!W392=0,0,IF('REF. DE PREÇOS n editavel'!W392&gt;0,"c","b"))</f>
        <v>0</v>
      </c>
    </row>
    <row r="393" spans="1:25">
      <c r="A393" s="317" t="s">
        <v>147</v>
      </c>
      <c r="B393" s="870" t="str">
        <f>'REF. DE PREÇOS n editavel'!B393</f>
        <v>transporte</v>
      </c>
      <c r="C393" s="871">
        <f>'REF. DE PREÇOS n editavel'!C393</f>
        <v>0</v>
      </c>
      <c r="D393" s="931" t="str">
        <f>'REF. DE PREÇOS n editavel'!D393</f>
        <v>Brita ( usina )</v>
      </c>
      <c r="E393" s="882">
        <f>'REF. DE PREÇOS n editavel'!E393</f>
        <v>0.2</v>
      </c>
      <c r="F393" s="1242">
        <f>'REF. DE PREÇOS n editavel'!F393</f>
        <v>0.94259999999999999</v>
      </c>
      <c r="G393" s="923">
        <f>'REF. DE PREÇOS n editavel'!G393</f>
        <v>2.7278844000000002</v>
      </c>
      <c r="H393" s="876">
        <f>'REF. DE PREÇOS n editavel'!H393</f>
        <v>0</v>
      </c>
      <c r="I393" s="876">
        <f>'REF. DE PREÇOS n editavel'!I393</f>
        <v>0</v>
      </c>
      <c r="J393" s="877">
        <f>'REF. DE PREÇOS n editavel'!J393</f>
        <v>0</v>
      </c>
      <c r="K393" s="932" t="s">
        <v>506</v>
      </c>
      <c r="L393" s="977"/>
      <c r="M393" s="1112">
        <f t="shared" si="37"/>
        <v>0</v>
      </c>
      <c r="N393" s="868">
        <f t="shared" si="38"/>
        <v>0</v>
      </c>
      <c r="O393" s="880"/>
      <c r="P393" s="58" t="str">
        <f>IF(N390&gt;0,"xx",IF(N390&gt;0,"xy",""))</f>
        <v/>
      </c>
      <c r="Q393" s="317" t="str">
        <f t="shared" si="39"/>
        <v/>
      </c>
      <c r="R393" s="317" t="str">
        <f t="shared" si="40"/>
        <v/>
      </c>
      <c r="S393" s="317" t="str">
        <f t="shared" si="41"/>
        <v/>
      </c>
      <c r="T393" s="317" t="str">
        <f>'REF. DE PREÇOS n editavel'!S393</f>
        <v/>
      </c>
      <c r="W393" s="577">
        <v>0</v>
      </c>
      <c r="X393" s="575"/>
      <c r="Y393" s="578">
        <f>IF('REF. DE PREÇOS n editavel'!W393=0,0,IF('REF. DE PREÇOS n editavel'!W393&gt;0,"c","b"))</f>
        <v>0</v>
      </c>
    </row>
    <row r="394" spans="1:25">
      <c r="A394" s="317" t="s">
        <v>147</v>
      </c>
      <c r="B394" s="870" t="str">
        <f>'REF. DE PREÇOS n editavel'!B394</f>
        <v>transporte</v>
      </c>
      <c r="C394" s="871">
        <f>'REF. DE PREÇOS n editavel'!C394</f>
        <v>0</v>
      </c>
      <c r="D394" s="931" t="str">
        <f>'REF. DE PREÇOS n editavel'!D394</f>
        <v>Massa</v>
      </c>
      <c r="E394" s="882">
        <f>'REF. DE PREÇOS n editavel'!E394</f>
        <v>43.1</v>
      </c>
      <c r="F394" s="1242">
        <f>'REF. DE PREÇOS n editavel'!F394</f>
        <v>1</v>
      </c>
      <c r="G394" s="887">
        <f>'REF. DE PREÇOS n editavel'!G394</f>
        <v>52.567000000000007</v>
      </c>
      <c r="H394" s="876">
        <f>'REF. DE PREÇOS n editavel'!H394</f>
        <v>0</v>
      </c>
      <c r="I394" s="876">
        <f>'REF. DE PREÇOS n editavel'!I394</f>
        <v>0</v>
      </c>
      <c r="J394" s="877">
        <f>'REF. DE PREÇOS n editavel'!J394</f>
        <v>0</v>
      </c>
      <c r="K394" s="932" t="s">
        <v>506</v>
      </c>
      <c r="L394" s="977"/>
      <c r="M394" s="1112">
        <f t="shared" si="37"/>
        <v>0</v>
      </c>
      <c r="N394" s="868">
        <f t="shared" si="38"/>
        <v>0</v>
      </c>
      <c r="O394" s="880"/>
      <c r="P394" s="58" t="str">
        <f>IF(N390&gt;0,"xx",IF(N390&gt;0,"xy",""))</f>
        <v/>
      </c>
      <c r="Q394" s="317" t="str">
        <f t="shared" si="39"/>
        <v/>
      </c>
      <c r="R394" s="317" t="str">
        <f t="shared" si="40"/>
        <v/>
      </c>
      <c r="S394" s="317" t="str">
        <f t="shared" si="41"/>
        <v/>
      </c>
      <c r="T394" s="317" t="str">
        <f>'REF. DE PREÇOS n editavel'!S394</f>
        <v/>
      </c>
      <c r="W394" s="577">
        <v>0</v>
      </c>
      <c r="X394" s="575"/>
      <c r="Y394" s="578">
        <f>IF('REF. DE PREÇOS n editavel'!W394=0,0,IF('REF. DE PREÇOS n editavel'!W394&gt;0,"c","b"))</f>
        <v>0</v>
      </c>
    </row>
    <row r="395" spans="1:25" ht="13.5" thickBot="1">
      <c r="A395" s="317">
        <v>589000</v>
      </c>
      <c r="B395" s="978" t="str">
        <f>'REF. DE PREÇOS n editavel'!B395</f>
        <v>589000F</v>
      </c>
      <c r="C395" s="958" t="str">
        <f>'REF. DE PREÇOS n editavel'!C395</f>
        <v>DER mat</v>
      </c>
      <c r="D395" s="986" t="str">
        <f>'REF. DE PREÇOS n editavel'!D395</f>
        <v>Fornecimento de CAP - CBUQ (Quantidade menor que 10.000 ton)</v>
      </c>
      <c r="E395" s="979">
        <f>'REF. DE PREÇOS n editavel'!E395</f>
        <v>468</v>
      </c>
      <c r="F395" s="980">
        <f>'REF. DE PREÇOS n editavel'!F395</f>
        <v>1</v>
      </c>
      <c r="G395" s="923">
        <f>'REF. DE PREÇOS n editavel'!G395</f>
        <v>485.97999999999996</v>
      </c>
      <c r="H395" s="962">
        <f>'REF. DE PREÇOS n editavel'!H395</f>
        <v>4828.8599999999997</v>
      </c>
      <c r="I395" s="962">
        <f>'REF. DE PREÇOS n editavel'!I395</f>
        <v>5163.1232400589097</v>
      </c>
      <c r="J395" s="963">
        <f>'REF. DE PREÇOS n editavel'!J395</f>
        <v>6310.37</v>
      </c>
      <c r="K395" s="964" t="s">
        <v>14</v>
      </c>
      <c r="L395" s="1109">
        <f>ROUND(L390*$F390,2)</f>
        <v>0</v>
      </c>
      <c r="M395" s="1114">
        <f t="shared" si="37"/>
        <v>0</v>
      </c>
      <c r="N395" s="967">
        <f t="shared" si="38"/>
        <v>0</v>
      </c>
      <c r="O395" s="880"/>
      <c r="P395" s="58" t="str">
        <f>IF(N390&gt;0,"xx",IF(N390&gt;0,"xy",""))</f>
        <v/>
      </c>
      <c r="Q395" s="317" t="str">
        <f t="shared" si="39"/>
        <v/>
      </c>
      <c r="R395" s="317" t="str">
        <f t="shared" si="40"/>
        <v/>
      </c>
      <c r="S395" s="317" t="str">
        <f t="shared" si="41"/>
        <v/>
      </c>
      <c r="T395" s="317" t="str">
        <f>'REF. DE PREÇOS n editavel'!S395</f>
        <v/>
      </c>
      <c r="W395" s="577">
        <v>0</v>
      </c>
      <c r="X395" s="575"/>
      <c r="Y395" s="578">
        <f>IF('REF. DE PREÇOS n editavel'!W395=0,0,IF('REF. DE PREÇOS n editavel'!W395&gt;0,"c","b"))</f>
        <v>0</v>
      </c>
    </row>
    <row r="396" spans="1:25">
      <c r="A396" s="317">
        <v>570210</v>
      </c>
      <c r="B396" s="973">
        <v>570210</v>
      </c>
      <c r="C396" s="974" t="s">
        <v>184</v>
      </c>
      <c r="D396" s="993" t="s">
        <v>2197</v>
      </c>
      <c r="E396" s="948" t="str">
        <f>'REF. DE PREÇOS n editavel'!E396</f>
        <v>taxa CAP</v>
      </c>
      <c r="F396" s="949">
        <f>'REF. DE PREÇOS n editavel'!F396</f>
        <v>4.4999999999999998E-2</v>
      </c>
      <c r="G396" s="950">
        <f>'REF. DE PREÇOS n editavel'!G396</f>
        <v>59.982060000000004</v>
      </c>
      <c r="H396" s="951">
        <f>'REF. DE PREÇOS n editavel'!H396</f>
        <v>161.52000000000001</v>
      </c>
      <c r="I396" s="951">
        <f>'REF. DE PREÇOS n editavel'!I396</f>
        <v>221.50206000000003</v>
      </c>
      <c r="J396" s="952">
        <f>'REF. DE PREÇOS n editavel'!J396</f>
        <v>270.72000000000003</v>
      </c>
      <c r="K396" s="953" t="s">
        <v>14</v>
      </c>
      <c r="L396" s="1107"/>
      <c r="M396" s="1108">
        <f t="shared" si="27"/>
        <v>0</v>
      </c>
      <c r="N396" s="956">
        <f t="shared" si="31"/>
        <v>0</v>
      </c>
      <c r="O396" s="880"/>
      <c r="Q396" s="317" t="str">
        <f t="shared" si="28"/>
        <v/>
      </c>
      <c r="R396" s="317" t="str">
        <f t="shared" si="29"/>
        <v/>
      </c>
      <c r="S396" s="317" t="str">
        <f t="shared" si="30"/>
        <v/>
      </c>
      <c r="T396" s="317" t="str">
        <f>'REF. DE PREÇOS n editavel'!S396</f>
        <v/>
      </c>
      <c r="W396" s="577">
        <v>0</v>
      </c>
      <c r="X396" s="575"/>
      <c r="Y396" s="578">
        <f>IF('REF. DE PREÇOS n editavel'!W396=0,0,IF('REF. DE PREÇOS n editavel'!W396&gt;0,"c","b"))</f>
        <v>0</v>
      </c>
    </row>
    <row r="397" spans="1:25">
      <c r="A397" s="317" t="s">
        <v>147</v>
      </c>
      <c r="B397" s="870" t="s">
        <v>147</v>
      </c>
      <c r="C397" s="871"/>
      <c r="D397" s="931" t="s">
        <v>229</v>
      </c>
      <c r="E397" s="882">
        <f>'REF. DE PREÇOS n editavel'!E397</f>
        <v>290</v>
      </c>
      <c r="F397" s="883">
        <f>'REF. DE PREÇOS n editavel'!F397</f>
        <v>1.4999999999999999E-2</v>
      </c>
      <c r="G397" s="923">
        <f>'REF. DE PREÇOS n editavel'!G397</f>
        <v>4.6947000000000001</v>
      </c>
      <c r="H397" s="876">
        <f>'REF. DE PREÇOS n editavel'!H397</f>
        <v>0</v>
      </c>
      <c r="I397" s="876">
        <f>'REF. DE PREÇOS n editavel'!I397</f>
        <v>0</v>
      </c>
      <c r="J397" s="877">
        <f>'REF. DE PREÇOS n editavel'!J397</f>
        <v>0</v>
      </c>
      <c r="K397" s="932" t="s">
        <v>506</v>
      </c>
      <c r="L397" s="977"/>
      <c r="M397" s="1112">
        <f t="shared" si="27"/>
        <v>0</v>
      </c>
      <c r="N397" s="868">
        <f t="shared" si="31"/>
        <v>0</v>
      </c>
      <c r="O397" s="880"/>
      <c r="P397" s="58" t="str">
        <f>IF(N396&gt;0,"xx",IF(N396&gt;0,"xy",""))</f>
        <v/>
      </c>
      <c r="Q397" s="317" t="str">
        <f t="shared" si="28"/>
        <v/>
      </c>
      <c r="R397" s="317" t="str">
        <f t="shared" si="29"/>
        <v/>
      </c>
      <c r="S397" s="317" t="str">
        <f t="shared" si="30"/>
        <v/>
      </c>
      <c r="T397" s="317" t="str">
        <f>'REF. DE PREÇOS n editavel'!S397</f>
        <v/>
      </c>
      <c r="W397" s="577">
        <v>0</v>
      </c>
      <c r="X397" s="575"/>
      <c r="Y397" s="578">
        <f>IF('REF. DE PREÇOS n editavel'!W397=0,0,IF('REF. DE PREÇOS n editavel'!W397&gt;0,"c","b"))</f>
        <v>0</v>
      </c>
    </row>
    <row r="398" spans="1:25">
      <c r="A398" s="317" t="s">
        <v>147</v>
      </c>
      <c r="B398" s="870" t="s">
        <v>147</v>
      </c>
      <c r="C398" s="871"/>
      <c r="D398" s="931" t="s">
        <v>230</v>
      </c>
      <c r="E398" s="882">
        <f>'REF. DE PREÇOS n editavel'!E398</f>
        <v>445</v>
      </c>
      <c r="F398" s="883">
        <f>'REF. DE PREÇOS n editavel'!F398</f>
        <v>0</v>
      </c>
      <c r="G398" s="884">
        <f>'REF. DE PREÇOS n editavel'!G398</f>
        <v>0</v>
      </c>
      <c r="H398" s="876">
        <f>'REF. DE PREÇOS n editavel'!H398</f>
        <v>0</v>
      </c>
      <c r="I398" s="876">
        <f>'REF. DE PREÇOS n editavel'!I398</f>
        <v>0</v>
      </c>
      <c r="J398" s="877">
        <f>'REF. DE PREÇOS n editavel'!J398</f>
        <v>0</v>
      </c>
      <c r="K398" s="932" t="s">
        <v>506</v>
      </c>
      <c r="L398" s="977"/>
      <c r="M398" s="1112">
        <f t="shared" si="27"/>
        <v>0</v>
      </c>
      <c r="N398" s="868">
        <f t="shared" si="31"/>
        <v>0</v>
      </c>
      <c r="O398" s="880"/>
      <c r="P398" s="58" t="str">
        <f>IF(N396&gt;0,"xx",IF(N396&gt;0,"xy",""))</f>
        <v/>
      </c>
      <c r="Q398" s="317" t="str">
        <f t="shared" si="28"/>
        <v/>
      </c>
      <c r="R398" s="317" t="str">
        <f t="shared" si="29"/>
        <v/>
      </c>
      <c r="S398" s="317" t="str">
        <f t="shared" si="30"/>
        <v/>
      </c>
      <c r="T398" s="317" t="str">
        <f>'REF. DE PREÇOS n editavel'!S398</f>
        <v/>
      </c>
      <c r="W398" s="577">
        <v>0</v>
      </c>
      <c r="X398" s="575"/>
      <c r="Y398" s="578">
        <f>IF('REF. DE PREÇOS n editavel'!W398=0,0,IF('REF. DE PREÇOS n editavel'!W398&gt;0,"c","b"))</f>
        <v>0</v>
      </c>
    </row>
    <row r="399" spans="1:25">
      <c r="A399" s="317" t="s">
        <v>147</v>
      </c>
      <c r="B399" s="870" t="s">
        <v>147</v>
      </c>
      <c r="C399" s="871"/>
      <c r="D399" s="931" t="s">
        <v>243</v>
      </c>
      <c r="E399" s="882">
        <f>'REF. DE PREÇOS n editavel'!E399</f>
        <v>0.2</v>
      </c>
      <c r="F399" s="883">
        <f>'REF. DE PREÇOS n editavel'!F399</f>
        <v>0.94</v>
      </c>
      <c r="G399" s="923">
        <f>'REF. DE PREÇOS n editavel'!G399</f>
        <v>2.7203599999999999</v>
      </c>
      <c r="H399" s="876">
        <f>'REF. DE PREÇOS n editavel'!H399</f>
        <v>0</v>
      </c>
      <c r="I399" s="876">
        <f>'REF. DE PREÇOS n editavel'!I399</f>
        <v>0</v>
      </c>
      <c r="J399" s="877">
        <f>'REF. DE PREÇOS n editavel'!J399</f>
        <v>0</v>
      </c>
      <c r="K399" s="932" t="s">
        <v>506</v>
      </c>
      <c r="L399" s="977"/>
      <c r="M399" s="1112">
        <f t="shared" si="27"/>
        <v>0</v>
      </c>
      <c r="N399" s="868">
        <f t="shared" si="31"/>
        <v>0</v>
      </c>
      <c r="O399" s="880"/>
      <c r="P399" s="58" t="str">
        <f>IF(N396&gt;0,"xx",IF(N396&gt;0,"xy",""))</f>
        <v/>
      </c>
      <c r="Q399" s="317" t="str">
        <f t="shared" si="28"/>
        <v/>
      </c>
      <c r="R399" s="317" t="str">
        <f t="shared" si="29"/>
        <v/>
      </c>
      <c r="S399" s="317" t="str">
        <f t="shared" si="30"/>
        <v/>
      </c>
      <c r="T399" s="317" t="str">
        <f>'REF. DE PREÇOS n editavel'!S399</f>
        <v/>
      </c>
      <c r="W399" s="577">
        <v>0</v>
      </c>
      <c r="X399" s="575"/>
      <c r="Y399" s="578">
        <f>IF('REF. DE PREÇOS n editavel'!W399=0,0,IF('REF. DE PREÇOS n editavel'!W399&gt;0,"c","b"))</f>
        <v>0</v>
      </c>
    </row>
    <row r="400" spans="1:25">
      <c r="A400" s="317" t="s">
        <v>147</v>
      </c>
      <c r="B400" s="870" t="s">
        <v>147</v>
      </c>
      <c r="C400" s="871"/>
      <c r="D400" s="931" t="s">
        <v>244</v>
      </c>
      <c r="E400" s="882">
        <f>'REF. DE PREÇOS n editavel'!E400</f>
        <v>43.1</v>
      </c>
      <c r="F400" s="883">
        <f>'REF. DE PREÇOS n editavel'!F400</f>
        <v>1</v>
      </c>
      <c r="G400" s="887">
        <f>'REF. DE PREÇOS n editavel'!G400</f>
        <v>52.567000000000007</v>
      </c>
      <c r="H400" s="876">
        <f>'REF. DE PREÇOS n editavel'!H400</f>
        <v>0</v>
      </c>
      <c r="I400" s="876">
        <f>'REF. DE PREÇOS n editavel'!I400</f>
        <v>0</v>
      </c>
      <c r="J400" s="877">
        <f>'REF. DE PREÇOS n editavel'!J400</f>
        <v>0</v>
      </c>
      <c r="K400" s="932" t="s">
        <v>506</v>
      </c>
      <c r="L400" s="977"/>
      <c r="M400" s="1112">
        <f t="shared" si="27"/>
        <v>0</v>
      </c>
      <c r="N400" s="868">
        <f t="shared" si="31"/>
        <v>0</v>
      </c>
      <c r="O400" s="880"/>
      <c r="P400" s="58" t="str">
        <f>IF(N396&gt;0,"xx",IF(N396&gt;0,"xy",""))</f>
        <v/>
      </c>
      <c r="Q400" s="317" t="str">
        <f t="shared" si="28"/>
        <v/>
      </c>
      <c r="R400" s="317" t="str">
        <f t="shared" si="29"/>
        <v/>
      </c>
      <c r="S400" s="317" t="str">
        <f t="shared" si="30"/>
        <v/>
      </c>
      <c r="T400" s="317" t="str">
        <f>'REF. DE PREÇOS n editavel'!S400</f>
        <v/>
      </c>
      <c r="W400" s="577">
        <v>0</v>
      </c>
      <c r="X400" s="575"/>
      <c r="Y400" s="578">
        <f>IF('REF. DE PREÇOS n editavel'!W400=0,0,IF('REF. DE PREÇOS n editavel'!W400&gt;0,"c","b"))</f>
        <v>0</v>
      </c>
    </row>
    <row r="401" spans="1:25" ht="13.5" thickBot="1">
      <c r="A401" s="317">
        <v>589000</v>
      </c>
      <c r="B401" s="978" t="s">
        <v>699</v>
      </c>
      <c r="C401" s="958" t="s">
        <v>213</v>
      </c>
      <c r="D401" s="986" t="s">
        <v>2149</v>
      </c>
      <c r="E401" s="979">
        <f>'REF. DE PREÇOS n editavel'!E401</f>
        <v>468</v>
      </c>
      <c r="F401" s="980">
        <f>'REF. DE PREÇOS n editavel'!F401</f>
        <v>1</v>
      </c>
      <c r="G401" s="923">
        <f>'REF. DE PREÇOS n editavel'!G401</f>
        <v>485.97999999999996</v>
      </c>
      <c r="H401" s="962">
        <f>'REF. DE PREÇOS n editavel'!H401</f>
        <v>4828.8599999999997</v>
      </c>
      <c r="I401" s="962">
        <f>'REF. DE PREÇOS n editavel'!I401</f>
        <v>5163.1232400589097</v>
      </c>
      <c r="J401" s="963">
        <f>'REF. DE PREÇOS n editavel'!J401</f>
        <v>6310.37</v>
      </c>
      <c r="K401" s="964" t="s">
        <v>14</v>
      </c>
      <c r="L401" s="1109">
        <f>ROUND(L396*$F396,2)</f>
        <v>0</v>
      </c>
      <c r="M401" s="1114">
        <f t="shared" si="27"/>
        <v>0</v>
      </c>
      <c r="N401" s="967">
        <f t="shared" si="31"/>
        <v>0</v>
      </c>
      <c r="O401" s="880"/>
      <c r="P401" s="58" t="str">
        <f>IF(N396&gt;0,"xx",IF(N396&gt;0,"xy",""))</f>
        <v/>
      </c>
      <c r="Q401" s="317" t="str">
        <f t="shared" si="28"/>
        <v/>
      </c>
      <c r="R401" s="317" t="str">
        <f t="shared" si="29"/>
        <v/>
      </c>
      <c r="S401" s="317" t="str">
        <f t="shared" si="30"/>
        <v/>
      </c>
      <c r="T401" s="317" t="str">
        <f>'REF. DE PREÇOS n editavel'!S401</f>
        <v/>
      </c>
      <c r="W401" s="577">
        <v>0</v>
      </c>
      <c r="X401" s="575"/>
      <c r="Y401" s="578">
        <f>IF('REF. DE PREÇOS n editavel'!W401=0,0,IF('REF. DE PREÇOS n editavel'!W401&gt;0,"c","b"))</f>
        <v>0</v>
      </c>
    </row>
    <row r="402" spans="1:25">
      <c r="A402" s="317">
        <v>570000</v>
      </c>
      <c r="B402" s="973" t="s">
        <v>1635</v>
      </c>
      <c r="C402" s="974" t="s">
        <v>184</v>
      </c>
      <c r="D402" s="947" t="s">
        <v>2198</v>
      </c>
      <c r="E402" s="948" t="str">
        <f>'REF. DE PREÇOS n editavel'!E402</f>
        <v>taxa CAP</v>
      </c>
      <c r="F402" s="949">
        <f>'REF. DE PREÇOS n editavel'!F402</f>
        <v>5.7000000000000002E-2</v>
      </c>
      <c r="G402" s="950">
        <f>'REF. DE PREÇOS n editavel'!G402</f>
        <v>91.585032000000012</v>
      </c>
      <c r="H402" s="951">
        <f>'REF. DE PREÇOS n editavel'!H402</f>
        <v>187.41</v>
      </c>
      <c r="I402" s="951">
        <f>'REF. DE PREÇOS n editavel'!I402</f>
        <v>278.99503200000004</v>
      </c>
      <c r="J402" s="952">
        <f>'REF. DE PREÇOS n editavel'!J402</f>
        <v>340.99</v>
      </c>
      <c r="K402" s="953" t="s">
        <v>14</v>
      </c>
      <c r="L402" s="1107"/>
      <c r="M402" s="1108">
        <f t="shared" si="27"/>
        <v>0</v>
      </c>
      <c r="N402" s="956">
        <f t="shared" si="31"/>
        <v>0</v>
      </c>
      <c r="O402" s="880"/>
      <c r="Q402" s="317" t="str">
        <f t="shared" si="28"/>
        <v/>
      </c>
      <c r="R402" s="317" t="str">
        <f t="shared" si="29"/>
        <v/>
      </c>
      <c r="S402" s="317" t="str">
        <f t="shared" si="30"/>
        <v/>
      </c>
      <c r="T402" s="317" t="str">
        <f>'REF. DE PREÇOS n editavel'!S402</f>
        <v/>
      </c>
      <c r="W402" s="577">
        <v>0</v>
      </c>
      <c r="X402" s="575"/>
      <c r="Y402" s="578">
        <f>IF('REF. DE PREÇOS n editavel'!W402=0,0,IF('REF. DE PREÇOS n editavel'!W402&gt;0,"c","b"))</f>
        <v>0</v>
      </c>
    </row>
    <row r="403" spans="1:25">
      <c r="A403" s="317" t="s">
        <v>147</v>
      </c>
      <c r="B403" s="870" t="s">
        <v>147</v>
      </c>
      <c r="C403" s="871"/>
      <c r="D403" s="931" t="s">
        <v>229</v>
      </c>
      <c r="E403" s="882">
        <f>'REF. DE PREÇOS n editavel'!E403</f>
        <v>290</v>
      </c>
      <c r="F403" s="883">
        <f>'REF. DE PREÇOS n editavel'!F403</f>
        <v>0.1</v>
      </c>
      <c r="G403" s="923">
        <f>'REF. DE PREÇOS n editavel'!G403</f>
        <v>31.298000000000002</v>
      </c>
      <c r="H403" s="876">
        <f>'REF. DE PREÇOS n editavel'!H403</f>
        <v>0</v>
      </c>
      <c r="I403" s="876">
        <f>'REF. DE PREÇOS n editavel'!I403</f>
        <v>0</v>
      </c>
      <c r="J403" s="877">
        <f>'REF. DE PREÇOS n editavel'!J403</f>
        <v>0</v>
      </c>
      <c r="K403" s="878" t="s">
        <v>506</v>
      </c>
      <c r="L403" s="977"/>
      <c r="M403" s="1112">
        <f t="shared" si="27"/>
        <v>0</v>
      </c>
      <c r="N403" s="868">
        <f t="shared" si="31"/>
        <v>0</v>
      </c>
      <c r="O403" s="880"/>
      <c r="P403" s="58" t="str">
        <f>IF(N402&gt;0,"xx",IF(N402&gt;0,"xy",""))</f>
        <v/>
      </c>
      <c r="Q403" s="317" t="str">
        <f t="shared" si="28"/>
        <v/>
      </c>
      <c r="R403" s="317" t="str">
        <f t="shared" si="29"/>
        <v/>
      </c>
      <c r="S403" s="317" t="str">
        <f t="shared" si="30"/>
        <v/>
      </c>
      <c r="T403" s="317" t="str">
        <f>'REF. DE PREÇOS n editavel'!S403</f>
        <v/>
      </c>
      <c r="W403" s="577">
        <v>0</v>
      </c>
      <c r="X403" s="575"/>
      <c r="Y403" s="578">
        <f>IF('REF. DE PREÇOS n editavel'!W403=0,0,IF('REF. DE PREÇOS n editavel'!W403&gt;0,"c","b"))</f>
        <v>0</v>
      </c>
    </row>
    <row r="404" spans="1:25">
      <c r="A404" s="317" t="s">
        <v>147</v>
      </c>
      <c r="B404" s="870" t="s">
        <v>147</v>
      </c>
      <c r="C404" s="871"/>
      <c r="D404" s="931" t="s">
        <v>230</v>
      </c>
      <c r="E404" s="882">
        <f>'REF. DE PREÇOS n editavel'!E404</f>
        <v>445</v>
      </c>
      <c r="F404" s="883">
        <f>'REF. DE PREÇOS n editavel'!F404</f>
        <v>1.4999999999999999E-2</v>
      </c>
      <c r="G404" s="884">
        <f>'REF. DE PREÇOS n editavel'!G404</f>
        <v>5.3238000000000003</v>
      </c>
      <c r="H404" s="876">
        <f>'REF. DE PREÇOS n editavel'!H404</f>
        <v>0</v>
      </c>
      <c r="I404" s="876">
        <f>'REF. DE PREÇOS n editavel'!I404</f>
        <v>0</v>
      </c>
      <c r="J404" s="877">
        <f>'REF. DE PREÇOS n editavel'!J404</f>
        <v>0</v>
      </c>
      <c r="K404" s="878" t="s">
        <v>506</v>
      </c>
      <c r="L404" s="977"/>
      <c r="M404" s="1112">
        <f t="shared" si="27"/>
        <v>0</v>
      </c>
      <c r="N404" s="868">
        <f t="shared" si="31"/>
        <v>0</v>
      </c>
      <c r="O404" s="880"/>
      <c r="P404" s="58" t="str">
        <f>IF(N402&gt;0,"xx",IF(N402&gt;0,"xy",""))</f>
        <v/>
      </c>
      <c r="Q404" s="317" t="str">
        <f t="shared" si="28"/>
        <v/>
      </c>
      <c r="R404" s="317" t="str">
        <f t="shared" si="29"/>
        <v/>
      </c>
      <c r="S404" s="317" t="str">
        <f t="shared" si="30"/>
        <v/>
      </c>
      <c r="T404" s="317" t="str">
        <f>'REF. DE PREÇOS n editavel'!S404</f>
        <v/>
      </c>
      <c r="W404" s="577">
        <v>0</v>
      </c>
      <c r="X404" s="575"/>
      <c r="Y404" s="578">
        <f>IF('REF. DE PREÇOS n editavel'!W404=0,0,IF('REF. DE PREÇOS n editavel'!W404&gt;0,"c","b"))</f>
        <v>0</v>
      </c>
    </row>
    <row r="405" spans="1:25">
      <c r="A405" s="317" t="s">
        <v>147</v>
      </c>
      <c r="B405" s="870" t="s">
        <v>147</v>
      </c>
      <c r="C405" s="871"/>
      <c r="D405" s="931" t="s">
        <v>243</v>
      </c>
      <c r="E405" s="882">
        <f>'REF. DE PREÇOS n editavel'!E405</f>
        <v>0.2</v>
      </c>
      <c r="F405" s="883">
        <f>'REF. DE PREÇOS n editavel'!F405</f>
        <v>0.82799999999999996</v>
      </c>
      <c r="G405" s="923">
        <f>'REF. DE PREÇOS n editavel'!G405</f>
        <v>2.3962319999999999</v>
      </c>
      <c r="H405" s="876">
        <f>'REF. DE PREÇOS n editavel'!H405</f>
        <v>0</v>
      </c>
      <c r="I405" s="876">
        <f>'REF. DE PREÇOS n editavel'!I405</f>
        <v>0</v>
      </c>
      <c r="J405" s="877">
        <f>'REF. DE PREÇOS n editavel'!J405</f>
        <v>0</v>
      </c>
      <c r="K405" s="878" t="s">
        <v>506</v>
      </c>
      <c r="L405" s="977"/>
      <c r="M405" s="1112">
        <f t="shared" si="27"/>
        <v>0</v>
      </c>
      <c r="N405" s="868">
        <f t="shared" si="31"/>
        <v>0</v>
      </c>
      <c r="O405" s="880"/>
      <c r="P405" s="58" t="str">
        <f>IF(N402&gt;0,"xx",IF(N402&gt;0,"xy",""))</f>
        <v/>
      </c>
      <c r="Q405" s="317" t="str">
        <f t="shared" si="28"/>
        <v/>
      </c>
      <c r="R405" s="317" t="str">
        <f t="shared" si="29"/>
        <v/>
      </c>
      <c r="S405" s="317" t="str">
        <f t="shared" si="30"/>
        <v/>
      </c>
      <c r="T405" s="317" t="str">
        <f>'REF. DE PREÇOS n editavel'!S405</f>
        <v/>
      </c>
      <c r="W405" s="577">
        <v>0</v>
      </c>
      <c r="X405" s="575"/>
      <c r="Y405" s="578">
        <f>IF('REF. DE PREÇOS n editavel'!W405=0,0,IF('REF. DE PREÇOS n editavel'!W405&gt;0,"c","b"))</f>
        <v>0</v>
      </c>
    </row>
    <row r="406" spans="1:25">
      <c r="A406" s="317" t="s">
        <v>147</v>
      </c>
      <c r="B406" s="870" t="s">
        <v>147</v>
      </c>
      <c r="C406" s="871"/>
      <c r="D406" s="931" t="s">
        <v>244</v>
      </c>
      <c r="E406" s="882">
        <f>'REF. DE PREÇOS n editavel'!E406</f>
        <v>43.1</v>
      </c>
      <c r="F406" s="883">
        <f>'REF. DE PREÇOS n editavel'!F406</f>
        <v>1</v>
      </c>
      <c r="G406" s="887">
        <f>'REF. DE PREÇOS n editavel'!G406</f>
        <v>52.567000000000007</v>
      </c>
      <c r="H406" s="876">
        <f>'REF. DE PREÇOS n editavel'!H406</f>
        <v>0</v>
      </c>
      <c r="I406" s="876">
        <f>'REF. DE PREÇOS n editavel'!I406</f>
        <v>0</v>
      </c>
      <c r="J406" s="877">
        <f>'REF. DE PREÇOS n editavel'!J406</f>
        <v>0</v>
      </c>
      <c r="K406" s="878" t="s">
        <v>506</v>
      </c>
      <c r="L406" s="977"/>
      <c r="M406" s="1112">
        <f t="shared" si="27"/>
        <v>0</v>
      </c>
      <c r="N406" s="868">
        <f t="shared" si="31"/>
        <v>0</v>
      </c>
      <c r="O406" s="880"/>
      <c r="P406" s="58" t="str">
        <f>IF(N402&gt;0,"xx",IF(N402&gt;0,"xy",""))</f>
        <v/>
      </c>
      <c r="Q406" s="317" t="str">
        <f t="shared" si="28"/>
        <v/>
      </c>
      <c r="R406" s="317" t="str">
        <f t="shared" si="29"/>
        <v/>
      </c>
      <c r="S406" s="317" t="str">
        <f t="shared" si="30"/>
        <v/>
      </c>
      <c r="T406" s="317" t="str">
        <f>'REF. DE PREÇOS n editavel'!S406</f>
        <v/>
      </c>
      <c r="W406" s="577">
        <v>0</v>
      </c>
      <c r="X406" s="575"/>
      <c r="Y406" s="578">
        <f>IF('REF. DE PREÇOS n editavel'!W406=0,0,IF('REF. DE PREÇOS n editavel'!W406&gt;0,"c","b"))</f>
        <v>0</v>
      </c>
    </row>
    <row r="407" spans="1:25" ht="13.5" thickBot="1">
      <c r="A407" s="317">
        <v>589000</v>
      </c>
      <c r="B407" s="978" t="s">
        <v>700</v>
      </c>
      <c r="C407" s="958" t="s">
        <v>213</v>
      </c>
      <c r="D407" s="986" t="s">
        <v>2149</v>
      </c>
      <c r="E407" s="979">
        <f>'REF. DE PREÇOS n editavel'!E407</f>
        <v>468</v>
      </c>
      <c r="F407" s="980">
        <f>'REF. DE PREÇOS n editavel'!F407</f>
        <v>1</v>
      </c>
      <c r="G407" s="923">
        <f>'REF. DE PREÇOS n editavel'!G407</f>
        <v>485.97999999999996</v>
      </c>
      <c r="H407" s="962">
        <f>'REF. DE PREÇOS n editavel'!H407</f>
        <v>4828.8599999999997</v>
      </c>
      <c r="I407" s="962">
        <f>'REF. DE PREÇOS n editavel'!I407</f>
        <v>5163.1232400589097</v>
      </c>
      <c r="J407" s="963">
        <f>'REF. DE PREÇOS n editavel'!J407</f>
        <v>6310.37</v>
      </c>
      <c r="K407" s="964" t="s">
        <v>14</v>
      </c>
      <c r="L407" s="1109">
        <f>ROUND(L402*$F402,2)</f>
        <v>0</v>
      </c>
      <c r="M407" s="1114">
        <f t="shared" si="27"/>
        <v>0</v>
      </c>
      <c r="N407" s="967">
        <f t="shared" si="31"/>
        <v>0</v>
      </c>
      <c r="O407" s="880"/>
      <c r="P407" s="58" t="str">
        <f>IF(N402&gt;0,"xx",IF(N402&gt;0,"xy",""))</f>
        <v/>
      </c>
      <c r="Q407" s="317" t="str">
        <f t="shared" si="28"/>
        <v/>
      </c>
      <c r="R407" s="317" t="str">
        <f t="shared" si="29"/>
        <v/>
      </c>
      <c r="S407" s="317" t="str">
        <f t="shared" si="30"/>
        <v/>
      </c>
      <c r="T407" s="317" t="str">
        <f>'REF. DE PREÇOS n editavel'!S407</f>
        <v/>
      </c>
      <c r="W407" s="577">
        <v>0</v>
      </c>
      <c r="X407" s="575"/>
      <c r="Y407" s="578">
        <f>IF('REF. DE PREÇOS n editavel'!W407=0,0,IF('REF. DE PREÇOS n editavel'!W407&gt;0,"c","b"))</f>
        <v>0</v>
      </c>
    </row>
    <row r="408" spans="1:25" ht="15.75" customHeight="1">
      <c r="A408" s="317">
        <v>570000</v>
      </c>
      <c r="B408" s="973" t="str">
        <f>'REF. DE PREÇOS n editavel'!B408</f>
        <v>570000A</v>
      </c>
      <c r="C408" s="974" t="str">
        <f>'REF. DE PREÇOS n editavel'!C408</f>
        <v>DER</v>
      </c>
      <c r="D408" s="998" t="str">
        <f>'REF. DE PREÇOS n editavel'!D408</f>
        <v>CBUQ - Novo traço - Reperfilamento 2 - "FAIXA C" - (Quant. menor que 10.000 ton)</v>
      </c>
      <c r="E408" s="948" t="str">
        <f>'REF. DE PREÇOS n editavel'!E408</f>
        <v>taxa CAP</v>
      </c>
      <c r="F408" s="996">
        <f>'REF. DE PREÇOS n editavel'!F408</f>
        <v>5.0999999999999997E-2</v>
      </c>
      <c r="G408" s="950">
        <f>'REF. DE PREÇOS n editavel'!G408</f>
        <v>89.739336600000001</v>
      </c>
      <c r="H408" s="951">
        <f>'REF. DE PREÇOS n editavel'!H408</f>
        <v>187.41</v>
      </c>
      <c r="I408" s="951">
        <f>'REF. DE PREÇOS n editavel'!I408</f>
        <v>277.14933659999997</v>
      </c>
      <c r="J408" s="952">
        <f>'REF. DE PREÇOS n editavel'!J408</f>
        <v>338.73</v>
      </c>
      <c r="K408" s="953" t="s">
        <v>14</v>
      </c>
      <c r="L408" s="1107"/>
      <c r="M408" s="1108">
        <f t="shared" ref="M408:M413" si="42">IF(L408=0,0,ROUND(J408,2))</f>
        <v>0</v>
      </c>
      <c r="N408" s="956">
        <f t="shared" ref="N408:N413" si="43">IF(ISBLANK(L408),0,IF(W408=0,ROUND(L408*M408,2),IF(W408="b",ROUNDDOWN(L408*M408,2),ROUNDUP(L408*M408,2))))</f>
        <v>0</v>
      </c>
      <c r="O408" s="880"/>
      <c r="Q408" s="317" t="str">
        <f t="shared" ref="Q408:Q413" si="44">IF(P408="X","x",IF(P408="xx","x",IF(P408="xy","x",IF(P408="y","x",IF(OR(N408&gt;0,N408&gt;0),"x","")))))</f>
        <v/>
      </c>
      <c r="R408" s="317" t="str">
        <f t="shared" ref="R408:R413" si="45">IF(P408="X","x",IF(P408="y","x",IF(P408="xx","x",IF(N408&gt;0,"x",""))))</f>
        <v/>
      </c>
      <c r="S408" s="317" t="str">
        <f t="shared" ref="S408:S413" si="46">IF(P408="X","x",IF(N408&gt;0,"x",""))</f>
        <v/>
      </c>
      <c r="T408" s="317" t="str">
        <f>'REF. DE PREÇOS n editavel'!S408</f>
        <v/>
      </c>
      <c r="W408" s="577">
        <v>0</v>
      </c>
      <c r="X408" s="575"/>
      <c r="Y408" s="578">
        <f>IF('REF. DE PREÇOS n editavel'!W408=0,0,IF('REF. DE PREÇOS n editavel'!W408&gt;0,"c","b"))</f>
        <v>0</v>
      </c>
    </row>
    <row r="409" spans="1:25">
      <c r="A409" s="317" t="s">
        <v>147</v>
      </c>
      <c r="B409" s="870" t="str">
        <f>'REF. DE PREÇOS n editavel'!B409</f>
        <v>transporte</v>
      </c>
      <c r="C409" s="871">
        <f>'REF. DE PREÇOS n editavel'!C409</f>
        <v>0</v>
      </c>
      <c r="D409" s="931" t="str">
        <f>'REF. DE PREÇOS n editavel'!D409</f>
        <v>Areia</v>
      </c>
      <c r="E409" s="882">
        <f>'REF. DE PREÇOS n editavel'!E409</f>
        <v>290</v>
      </c>
      <c r="F409" s="1242">
        <f>'REF. DE PREÇOS n editavel'!F409</f>
        <v>9.4899999999999998E-2</v>
      </c>
      <c r="G409" s="923">
        <f>'REF. DE PREÇOS n editavel'!G409</f>
        <v>29.701802000000001</v>
      </c>
      <c r="H409" s="876">
        <f>'REF. DE PREÇOS n editavel'!H409</f>
        <v>0</v>
      </c>
      <c r="I409" s="876">
        <f>'REF. DE PREÇOS n editavel'!I409</f>
        <v>0</v>
      </c>
      <c r="J409" s="877">
        <f>'REF. DE PREÇOS n editavel'!J409</f>
        <v>0</v>
      </c>
      <c r="K409" s="878" t="s">
        <v>506</v>
      </c>
      <c r="L409" s="977"/>
      <c r="M409" s="1112">
        <f t="shared" si="42"/>
        <v>0</v>
      </c>
      <c r="N409" s="868">
        <f t="shared" si="43"/>
        <v>0</v>
      </c>
      <c r="O409" s="880"/>
      <c r="P409" s="58" t="str">
        <f>IF(N408&gt;0,"xx",IF(N408&gt;0,"xy",""))</f>
        <v/>
      </c>
      <c r="Q409" s="317" t="str">
        <f t="shared" si="44"/>
        <v/>
      </c>
      <c r="R409" s="317" t="str">
        <f t="shared" si="45"/>
        <v/>
      </c>
      <c r="S409" s="317" t="str">
        <f t="shared" si="46"/>
        <v/>
      </c>
      <c r="T409" s="317" t="str">
        <f>'REF. DE PREÇOS n editavel'!S409</f>
        <v/>
      </c>
      <c r="W409" s="577">
        <v>0</v>
      </c>
      <c r="X409" s="575"/>
      <c r="Y409" s="578">
        <f>IF('REF. DE PREÇOS n editavel'!W409=0,0,IF('REF. DE PREÇOS n editavel'!W409&gt;0,"c","b"))</f>
        <v>0</v>
      </c>
    </row>
    <row r="410" spans="1:25">
      <c r="A410" s="317" t="s">
        <v>147</v>
      </c>
      <c r="B410" s="870" t="str">
        <f>'REF. DE PREÇOS n editavel'!B410</f>
        <v>transporte</v>
      </c>
      <c r="C410" s="871">
        <f>'REF. DE PREÇOS n editavel'!C410</f>
        <v>0</v>
      </c>
      <c r="D410" s="931" t="str">
        <f>'REF. DE PREÇOS n editavel'!D410</f>
        <v>Cal Hidratada CH-1</v>
      </c>
      <c r="E410" s="882">
        <f>'REF. DE PREÇOS n editavel'!E410</f>
        <v>445</v>
      </c>
      <c r="F410" s="1242">
        <f>'REF. DE PREÇOS n editavel'!F410</f>
        <v>1.4200000000000001E-2</v>
      </c>
      <c r="G410" s="884">
        <f>'REF. DE PREÇOS n editavel'!G410</f>
        <v>5.0398640000000006</v>
      </c>
      <c r="H410" s="876">
        <f>'REF. DE PREÇOS n editavel'!H410</f>
        <v>0</v>
      </c>
      <c r="I410" s="876">
        <f>'REF. DE PREÇOS n editavel'!I410</f>
        <v>0</v>
      </c>
      <c r="J410" s="877">
        <f>'REF. DE PREÇOS n editavel'!J410</f>
        <v>0</v>
      </c>
      <c r="K410" s="878" t="s">
        <v>506</v>
      </c>
      <c r="L410" s="977"/>
      <c r="M410" s="1112">
        <f t="shared" si="42"/>
        <v>0</v>
      </c>
      <c r="N410" s="868">
        <f t="shared" si="43"/>
        <v>0</v>
      </c>
      <c r="O410" s="880"/>
      <c r="P410" s="58" t="str">
        <f>IF(N408&gt;0,"xx",IF(N408&gt;0,"xy",""))</f>
        <v/>
      </c>
      <c r="Q410" s="317" t="str">
        <f t="shared" si="44"/>
        <v/>
      </c>
      <c r="R410" s="317" t="str">
        <f t="shared" si="45"/>
        <v/>
      </c>
      <c r="S410" s="317" t="str">
        <f t="shared" si="46"/>
        <v/>
      </c>
      <c r="T410" s="317" t="str">
        <f>'REF. DE PREÇOS n editavel'!S410</f>
        <v/>
      </c>
      <c r="W410" s="577">
        <v>0</v>
      </c>
      <c r="X410" s="575"/>
      <c r="Y410" s="578">
        <f>IF('REF. DE PREÇOS n editavel'!W410=0,0,IF('REF. DE PREÇOS n editavel'!W410&gt;0,"c","b"))</f>
        <v>0</v>
      </c>
    </row>
    <row r="411" spans="1:25">
      <c r="A411" s="317" t="s">
        <v>147</v>
      </c>
      <c r="B411" s="870" t="str">
        <f>'REF. DE PREÇOS n editavel'!B411</f>
        <v>transporte</v>
      </c>
      <c r="C411" s="871">
        <f>'REF. DE PREÇOS n editavel'!C411</f>
        <v>0</v>
      </c>
      <c r="D411" s="931" t="str">
        <f>'REF. DE PREÇOS n editavel'!D411</f>
        <v>Brita ( usina )</v>
      </c>
      <c r="E411" s="882">
        <f>'REF. DE PREÇOS n editavel'!E411</f>
        <v>0.2</v>
      </c>
      <c r="F411" s="1242">
        <f>'REF. DE PREÇOS n editavel'!F411</f>
        <v>0.83989999999999998</v>
      </c>
      <c r="G411" s="923">
        <f>'REF. DE PREÇOS n editavel'!G411</f>
        <v>2.4306706</v>
      </c>
      <c r="H411" s="876">
        <f>'REF. DE PREÇOS n editavel'!H411</f>
        <v>0</v>
      </c>
      <c r="I411" s="876">
        <f>'REF. DE PREÇOS n editavel'!I411</f>
        <v>0</v>
      </c>
      <c r="J411" s="877">
        <f>'REF. DE PREÇOS n editavel'!J411</f>
        <v>0</v>
      </c>
      <c r="K411" s="878" t="s">
        <v>506</v>
      </c>
      <c r="L411" s="977"/>
      <c r="M411" s="1112">
        <f t="shared" si="42"/>
        <v>0</v>
      </c>
      <c r="N411" s="868">
        <f t="shared" si="43"/>
        <v>0</v>
      </c>
      <c r="O411" s="880"/>
      <c r="P411" s="58" t="str">
        <f>IF(N408&gt;0,"xx",IF(N408&gt;0,"xy",""))</f>
        <v/>
      </c>
      <c r="Q411" s="317" t="str">
        <f t="shared" si="44"/>
        <v/>
      </c>
      <c r="R411" s="317" t="str">
        <f t="shared" si="45"/>
        <v/>
      </c>
      <c r="S411" s="317" t="str">
        <f t="shared" si="46"/>
        <v/>
      </c>
      <c r="T411" s="317" t="str">
        <f>'REF. DE PREÇOS n editavel'!S411</f>
        <v/>
      </c>
      <c r="W411" s="577">
        <v>0</v>
      </c>
      <c r="X411" s="575"/>
      <c r="Y411" s="578">
        <f>IF('REF. DE PREÇOS n editavel'!W411=0,0,IF('REF. DE PREÇOS n editavel'!W411&gt;0,"c","b"))</f>
        <v>0</v>
      </c>
    </row>
    <row r="412" spans="1:25">
      <c r="A412" s="317" t="s">
        <v>147</v>
      </c>
      <c r="B412" s="870" t="str">
        <f>'REF. DE PREÇOS n editavel'!B412</f>
        <v>transporte</v>
      </c>
      <c r="C412" s="871">
        <f>'REF. DE PREÇOS n editavel'!C412</f>
        <v>0</v>
      </c>
      <c r="D412" s="931" t="str">
        <f>'REF. DE PREÇOS n editavel'!D412</f>
        <v>Massa</v>
      </c>
      <c r="E412" s="882">
        <f>'REF. DE PREÇOS n editavel'!E412</f>
        <v>43.1</v>
      </c>
      <c r="F412" s="883">
        <f>'REF. DE PREÇOS n editavel'!F412</f>
        <v>1</v>
      </c>
      <c r="G412" s="887">
        <f>'REF. DE PREÇOS n editavel'!G412</f>
        <v>52.567000000000007</v>
      </c>
      <c r="H412" s="876">
        <f>'REF. DE PREÇOS n editavel'!H412</f>
        <v>0</v>
      </c>
      <c r="I412" s="876">
        <f>'REF. DE PREÇOS n editavel'!I412</f>
        <v>0</v>
      </c>
      <c r="J412" s="877">
        <f>'REF. DE PREÇOS n editavel'!J412</f>
        <v>0</v>
      </c>
      <c r="K412" s="878" t="s">
        <v>506</v>
      </c>
      <c r="L412" s="977"/>
      <c r="M412" s="1112">
        <f t="shared" si="42"/>
        <v>0</v>
      </c>
      <c r="N412" s="868">
        <f t="shared" si="43"/>
        <v>0</v>
      </c>
      <c r="O412" s="880"/>
      <c r="P412" s="58" t="str">
        <f>IF(N408&gt;0,"xx",IF(N408&gt;0,"xy",""))</f>
        <v/>
      </c>
      <c r="Q412" s="317" t="str">
        <f t="shared" si="44"/>
        <v/>
      </c>
      <c r="R412" s="317" t="str">
        <f t="shared" si="45"/>
        <v/>
      </c>
      <c r="S412" s="317" t="str">
        <f t="shared" si="46"/>
        <v/>
      </c>
      <c r="T412" s="317" t="str">
        <f>'REF. DE PREÇOS n editavel'!S412</f>
        <v/>
      </c>
      <c r="W412" s="577">
        <v>0</v>
      </c>
      <c r="X412" s="575"/>
      <c r="Y412" s="578">
        <f>IF('REF. DE PREÇOS n editavel'!W412=0,0,IF('REF. DE PREÇOS n editavel'!W412&gt;0,"c","b"))</f>
        <v>0</v>
      </c>
    </row>
    <row r="413" spans="1:25" ht="13.5" thickBot="1">
      <c r="A413" s="317">
        <v>589000</v>
      </c>
      <c r="B413" s="978" t="str">
        <f>'REF. DE PREÇOS n editavel'!B413</f>
        <v>589000H</v>
      </c>
      <c r="C413" s="958" t="str">
        <f>'REF. DE PREÇOS n editavel'!C413</f>
        <v>DER mat</v>
      </c>
      <c r="D413" s="986" t="str">
        <f>'REF. DE PREÇOS n editavel'!D413</f>
        <v>Fornecimento de CAP - CBUQ (Quantidade menor que 10.000 ton)</v>
      </c>
      <c r="E413" s="979">
        <f>'REF. DE PREÇOS n editavel'!E413</f>
        <v>468</v>
      </c>
      <c r="F413" s="980">
        <f>'REF. DE PREÇOS n editavel'!F413</f>
        <v>1</v>
      </c>
      <c r="G413" s="923">
        <f>'REF. DE PREÇOS n editavel'!G413</f>
        <v>485.97999999999996</v>
      </c>
      <c r="H413" s="962">
        <f>'REF. DE PREÇOS n editavel'!H413</f>
        <v>4828.8599999999997</v>
      </c>
      <c r="I413" s="962">
        <f>'REF. DE PREÇOS n editavel'!I413</f>
        <v>5163.1232400589097</v>
      </c>
      <c r="J413" s="963">
        <f>'REF. DE PREÇOS n editavel'!J413</f>
        <v>6310.37</v>
      </c>
      <c r="K413" s="964" t="s">
        <v>14</v>
      </c>
      <c r="L413" s="1109">
        <f>ROUND(L408*$F408,2)</f>
        <v>0</v>
      </c>
      <c r="M413" s="1114">
        <f t="shared" si="42"/>
        <v>0</v>
      </c>
      <c r="N413" s="967">
        <f t="shared" si="43"/>
        <v>0</v>
      </c>
      <c r="O413" s="880"/>
      <c r="P413" s="58" t="str">
        <f>IF(N408&gt;0,"xx",IF(N408&gt;0,"xy",""))</f>
        <v/>
      </c>
      <c r="Q413" s="317" t="str">
        <f t="shared" si="44"/>
        <v/>
      </c>
      <c r="R413" s="317" t="str">
        <f t="shared" si="45"/>
        <v/>
      </c>
      <c r="S413" s="317" t="str">
        <f t="shared" si="46"/>
        <v/>
      </c>
      <c r="T413" s="317" t="str">
        <f>'REF. DE PREÇOS n editavel'!S413</f>
        <v/>
      </c>
      <c r="W413" s="577">
        <v>0</v>
      </c>
      <c r="X413" s="575"/>
      <c r="Y413" s="578">
        <f>IF('REF. DE PREÇOS n editavel'!W413=0,0,IF('REF. DE PREÇOS n editavel'!W413&gt;0,"c","b"))</f>
        <v>0</v>
      </c>
    </row>
    <row r="414" spans="1:25" ht="15.75" customHeight="1">
      <c r="A414" s="317">
        <v>570000</v>
      </c>
      <c r="B414" s="973" t="str">
        <f>'REF. DE PREÇOS n editavel'!B414</f>
        <v>570000A</v>
      </c>
      <c r="C414" s="974" t="str">
        <f>'REF. DE PREÇOS n editavel'!C414</f>
        <v>DER</v>
      </c>
      <c r="D414" s="998" t="str">
        <f>'REF. DE PREÇOS n editavel'!D414</f>
        <v>CBUQ - Novo traço - Reperfilamento 3 - "FAIXA C" - (Quant. menor que 10.000 ton)</v>
      </c>
      <c r="E414" s="948" t="str">
        <f>'REF. DE PREÇOS n editavel'!E414</f>
        <v>taxa CAP</v>
      </c>
      <c r="F414" s="996">
        <f>'REF. DE PREÇOS n editavel'!F414</f>
        <v>0.05</v>
      </c>
      <c r="G414" s="950">
        <f>'REF. DE PREÇOS n editavel'!G414</f>
        <v>89.808441799999997</v>
      </c>
      <c r="H414" s="951">
        <f>'REF. DE PREÇOS n editavel'!H414</f>
        <v>187.41</v>
      </c>
      <c r="I414" s="951">
        <f>'REF. DE PREÇOS n editavel'!I414</f>
        <v>277.21844179999999</v>
      </c>
      <c r="J414" s="952">
        <f>'REF. DE PREÇOS n editavel'!J414</f>
        <v>338.82</v>
      </c>
      <c r="K414" s="953" t="s">
        <v>14</v>
      </c>
      <c r="L414" s="1107"/>
      <c r="M414" s="1108">
        <f t="shared" ref="M414:M419" si="47">IF(L414=0,0,ROUND(J414,2))</f>
        <v>0</v>
      </c>
      <c r="N414" s="956">
        <f t="shared" ref="N414:N419" si="48">IF(ISBLANK(L414),0,IF(W414=0,ROUND(L414*M414,2),IF(W414="b",ROUNDDOWN(L414*M414,2),ROUNDUP(L414*M414,2))))</f>
        <v>0</v>
      </c>
      <c r="O414" s="880"/>
      <c r="Q414" s="317" t="str">
        <f t="shared" ref="Q414:Q419" si="49">IF(P414="X","x",IF(P414="xx","x",IF(P414="xy","x",IF(P414="y","x",IF(OR(N414&gt;0,N414&gt;0),"x","")))))</f>
        <v/>
      </c>
      <c r="R414" s="317" t="str">
        <f t="shared" ref="R414:R419" si="50">IF(P414="X","x",IF(P414="y","x",IF(P414="xx","x",IF(N414&gt;0,"x",""))))</f>
        <v/>
      </c>
      <c r="S414" s="317" t="str">
        <f t="shared" ref="S414:S419" si="51">IF(P414="X","x",IF(N414&gt;0,"x",""))</f>
        <v/>
      </c>
      <c r="T414" s="317" t="str">
        <f>'REF. DE PREÇOS n editavel'!S414</f>
        <v/>
      </c>
      <c r="W414" s="577">
        <v>0</v>
      </c>
      <c r="X414" s="575"/>
      <c r="Y414" s="578">
        <f>IF('REF. DE PREÇOS n editavel'!W414=0,0,IF('REF. DE PREÇOS n editavel'!W414&gt;0,"c","b"))</f>
        <v>0</v>
      </c>
    </row>
    <row r="415" spans="1:25">
      <c r="A415" s="317" t="s">
        <v>147</v>
      </c>
      <c r="B415" s="870" t="str">
        <f>'REF. DE PREÇOS n editavel'!B415</f>
        <v>transporte</v>
      </c>
      <c r="C415" s="871">
        <f>'REF. DE PREÇOS n editavel'!C415</f>
        <v>0</v>
      </c>
      <c r="D415" s="931" t="str">
        <f>'REF. DE PREÇOS n editavel'!D415</f>
        <v>Areia</v>
      </c>
      <c r="E415" s="882">
        <f>'REF. DE PREÇOS n editavel'!E415</f>
        <v>290</v>
      </c>
      <c r="F415" s="1242">
        <f>'REF. DE PREÇOS n editavel'!F415</f>
        <v>9.5000000000000001E-2</v>
      </c>
      <c r="G415" s="923">
        <f>'REF. DE PREÇOS n editavel'!G415</f>
        <v>29.7331</v>
      </c>
      <c r="H415" s="876">
        <f>'REF. DE PREÇOS n editavel'!H415</f>
        <v>0</v>
      </c>
      <c r="I415" s="876">
        <f>'REF. DE PREÇOS n editavel'!I415</f>
        <v>0</v>
      </c>
      <c r="J415" s="877">
        <f>'REF. DE PREÇOS n editavel'!J415</f>
        <v>0</v>
      </c>
      <c r="K415" s="878" t="s">
        <v>506</v>
      </c>
      <c r="L415" s="977"/>
      <c r="M415" s="1112">
        <f t="shared" si="47"/>
        <v>0</v>
      </c>
      <c r="N415" s="868">
        <f t="shared" si="48"/>
        <v>0</v>
      </c>
      <c r="O415" s="880"/>
      <c r="P415" s="58" t="str">
        <f>IF(N414&gt;0,"xx",IF(N414&gt;0,"xy",""))</f>
        <v/>
      </c>
      <c r="Q415" s="317" t="str">
        <f t="shared" si="49"/>
        <v/>
      </c>
      <c r="R415" s="317" t="str">
        <f t="shared" si="50"/>
        <v/>
      </c>
      <c r="S415" s="317" t="str">
        <f t="shared" si="51"/>
        <v/>
      </c>
      <c r="T415" s="317" t="str">
        <f>'REF. DE PREÇOS n editavel'!S415</f>
        <v/>
      </c>
      <c r="W415" s="577">
        <v>0</v>
      </c>
      <c r="X415" s="575"/>
      <c r="Y415" s="578">
        <f>IF('REF. DE PREÇOS n editavel'!W415=0,0,IF('REF. DE PREÇOS n editavel'!W415&gt;0,"c","b"))</f>
        <v>0</v>
      </c>
    </row>
    <row r="416" spans="1:25">
      <c r="A416" s="317" t="s">
        <v>147</v>
      </c>
      <c r="B416" s="870" t="str">
        <f>'REF. DE PREÇOS n editavel'!B416</f>
        <v>transporte</v>
      </c>
      <c r="C416" s="871">
        <f>'REF. DE PREÇOS n editavel'!C416</f>
        <v>0</v>
      </c>
      <c r="D416" s="931" t="str">
        <f>'REF. DE PREÇOS n editavel'!D416</f>
        <v>Cal Hidratada CH-1</v>
      </c>
      <c r="E416" s="882">
        <f>'REF. DE PREÇOS n editavel'!E416</f>
        <v>445</v>
      </c>
      <c r="F416" s="1242">
        <f>'REF. DE PREÇOS n editavel'!F416</f>
        <v>1.43E-2</v>
      </c>
      <c r="G416" s="884">
        <f>'REF. DE PREÇOS n editavel'!G416</f>
        <v>5.0753560000000002</v>
      </c>
      <c r="H416" s="876">
        <f>'REF. DE PREÇOS n editavel'!H416</f>
        <v>0</v>
      </c>
      <c r="I416" s="876">
        <f>'REF. DE PREÇOS n editavel'!I416</f>
        <v>0</v>
      </c>
      <c r="J416" s="877">
        <f>'REF. DE PREÇOS n editavel'!J416</f>
        <v>0</v>
      </c>
      <c r="K416" s="878" t="s">
        <v>506</v>
      </c>
      <c r="L416" s="977"/>
      <c r="M416" s="1112">
        <f t="shared" si="47"/>
        <v>0</v>
      </c>
      <c r="N416" s="868">
        <f t="shared" si="48"/>
        <v>0</v>
      </c>
      <c r="O416" s="880"/>
      <c r="P416" s="58" t="str">
        <f>IF(N414&gt;0,"xx",IF(N414&gt;0,"xy",""))</f>
        <v/>
      </c>
      <c r="Q416" s="317" t="str">
        <f t="shared" si="49"/>
        <v/>
      </c>
      <c r="R416" s="317" t="str">
        <f t="shared" si="50"/>
        <v/>
      </c>
      <c r="S416" s="317" t="str">
        <f t="shared" si="51"/>
        <v/>
      </c>
      <c r="T416" s="317" t="str">
        <f>'REF. DE PREÇOS n editavel'!S416</f>
        <v/>
      </c>
      <c r="W416" s="577">
        <v>0</v>
      </c>
      <c r="X416" s="575"/>
      <c r="Y416" s="578">
        <f>IF('REF. DE PREÇOS n editavel'!W416=0,0,IF('REF. DE PREÇOS n editavel'!W416&gt;0,"c","b"))</f>
        <v>0</v>
      </c>
    </row>
    <row r="417" spans="1:25">
      <c r="A417" s="317" t="s">
        <v>147</v>
      </c>
      <c r="B417" s="870" t="str">
        <f>'REF. DE PREÇOS n editavel'!B417</f>
        <v>transporte</v>
      </c>
      <c r="C417" s="871">
        <f>'REF. DE PREÇOS n editavel'!C417</f>
        <v>0</v>
      </c>
      <c r="D417" s="931" t="str">
        <f>'REF. DE PREÇOS n editavel'!D417</f>
        <v>Brita ( usina )</v>
      </c>
      <c r="E417" s="882">
        <f>'REF. DE PREÇOS n editavel'!E417</f>
        <v>0.2</v>
      </c>
      <c r="F417" s="1242">
        <f>'REF. DE PREÇOS n editavel'!F417</f>
        <v>0.8407</v>
      </c>
      <c r="G417" s="923">
        <f>'REF. DE PREÇOS n editavel'!G417</f>
        <v>2.4329858</v>
      </c>
      <c r="H417" s="876">
        <f>'REF. DE PREÇOS n editavel'!H417</f>
        <v>0</v>
      </c>
      <c r="I417" s="876">
        <f>'REF. DE PREÇOS n editavel'!I417</f>
        <v>0</v>
      </c>
      <c r="J417" s="877">
        <f>'REF. DE PREÇOS n editavel'!J417</f>
        <v>0</v>
      </c>
      <c r="K417" s="878" t="s">
        <v>506</v>
      </c>
      <c r="L417" s="977"/>
      <c r="M417" s="1112">
        <f t="shared" si="47"/>
        <v>0</v>
      </c>
      <c r="N417" s="868">
        <f t="shared" si="48"/>
        <v>0</v>
      </c>
      <c r="O417" s="880"/>
      <c r="P417" s="58" t="str">
        <f>IF(N414&gt;0,"xx",IF(N414&gt;0,"xy",""))</f>
        <v/>
      </c>
      <c r="Q417" s="317" t="str">
        <f t="shared" si="49"/>
        <v/>
      </c>
      <c r="R417" s="317" t="str">
        <f t="shared" si="50"/>
        <v/>
      </c>
      <c r="S417" s="317" t="str">
        <f t="shared" si="51"/>
        <v/>
      </c>
      <c r="T417" s="317" t="str">
        <f>'REF. DE PREÇOS n editavel'!S417</f>
        <v/>
      </c>
      <c r="W417" s="577">
        <v>0</v>
      </c>
      <c r="X417" s="575"/>
      <c r="Y417" s="578">
        <f>IF('REF. DE PREÇOS n editavel'!W417=0,0,IF('REF. DE PREÇOS n editavel'!W417&gt;0,"c","b"))</f>
        <v>0</v>
      </c>
    </row>
    <row r="418" spans="1:25">
      <c r="A418" s="317" t="s">
        <v>147</v>
      </c>
      <c r="B418" s="870" t="str">
        <f>'REF. DE PREÇOS n editavel'!B418</f>
        <v>transporte</v>
      </c>
      <c r="C418" s="871">
        <f>'REF. DE PREÇOS n editavel'!C418</f>
        <v>0</v>
      </c>
      <c r="D418" s="931" t="str">
        <f>'REF. DE PREÇOS n editavel'!D418</f>
        <v>Massa</v>
      </c>
      <c r="E418" s="882">
        <f>'REF. DE PREÇOS n editavel'!E418</f>
        <v>43.1</v>
      </c>
      <c r="F418" s="883">
        <f>'REF. DE PREÇOS n editavel'!F418</f>
        <v>1</v>
      </c>
      <c r="G418" s="887">
        <f>'REF. DE PREÇOS n editavel'!G418</f>
        <v>52.567000000000007</v>
      </c>
      <c r="H418" s="876">
        <f>'REF. DE PREÇOS n editavel'!H418</f>
        <v>0</v>
      </c>
      <c r="I418" s="876">
        <f>'REF. DE PREÇOS n editavel'!I418</f>
        <v>0</v>
      </c>
      <c r="J418" s="877">
        <f>'REF. DE PREÇOS n editavel'!J418</f>
        <v>0</v>
      </c>
      <c r="K418" s="878" t="s">
        <v>506</v>
      </c>
      <c r="L418" s="977"/>
      <c r="M418" s="1112">
        <f t="shared" si="47"/>
        <v>0</v>
      </c>
      <c r="N418" s="868">
        <f t="shared" si="48"/>
        <v>0</v>
      </c>
      <c r="O418" s="880"/>
      <c r="P418" s="58" t="str">
        <f>IF(N414&gt;0,"xx",IF(N414&gt;0,"xy",""))</f>
        <v/>
      </c>
      <c r="Q418" s="317" t="str">
        <f t="shared" si="49"/>
        <v/>
      </c>
      <c r="R418" s="317" t="str">
        <f t="shared" si="50"/>
        <v/>
      </c>
      <c r="S418" s="317" t="str">
        <f t="shared" si="51"/>
        <v/>
      </c>
      <c r="T418" s="317" t="str">
        <f>'REF. DE PREÇOS n editavel'!S418</f>
        <v/>
      </c>
      <c r="W418" s="577">
        <v>0</v>
      </c>
      <c r="X418" s="575"/>
      <c r="Y418" s="578">
        <f>IF('REF. DE PREÇOS n editavel'!W418=0,0,IF('REF. DE PREÇOS n editavel'!W418&gt;0,"c","b"))</f>
        <v>0</v>
      </c>
    </row>
    <row r="419" spans="1:25" ht="13.5" thickBot="1">
      <c r="A419" s="317">
        <v>589000</v>
      </c>
      <c r="B419" s="978" t="str">
        <f>'REF. DE PREÇOS n editavel'!B419</f>
        <v>589000H</v>
      </c>
      <c r="C419" s="958" t="str">
        <f>'REF. DE PREÇOS n editavel'!C419</f>
        <v>DER mat</v>
      </c>
      <c r="D419" s="986" t="str">
        <f>'REF. DE PREÇOS n editavel'!D419</f>
        <v>Fornecimento de CAP - CBUQ (Quantidade menor que 10.000 ton)</v>
      </c>
      <c r="E419" s="979">
        <f>'REF. DE PREÇOS n editavel'!E419</f>
        <v>468</v>
      </c>
      <c r="F419" s="980">
        <f>'REF. DE PREÇOS n editavel'!F419</f>
        <v>1</v>
      </c>
      <c r="G419" s="923">
        <f>'REF. DE PREÇOS n editavel'!G419</f>
        <v>485.97999999999996</v>
      </c>
      <c r="H419" s="962">
        <f>'REF. DE PREÇOS n editavel'!H419</f>
        <v>4828.8599999999997</v>
      </c>
      <c r="I419" s="962">
        <f>'REF. DE PREÇOS n editavel'!I419</f>
        <v>5163.1232400589097</v>
      </c>
      <c r="J419" s="963">
        <f>'REF. DE PREÇOS n editavel'!J419</f>
        <v>6310.37</v>
      </c>
      <c r="K419" s="964" t="s">
        <v>14</v>
      </c>
      <c r="L419" s="1109">
        <f>ROUND(L414*$F414,2)</f>
        <v>0</v>
      </c>
      <c r="M419" s="1114">
        <f t="shared" si="47"/>
        <v>0</v>
      </c>
      <c r="N419" s="967">
        <f t="shared" si="48"/>
        <v>0</v>
      </c>
      <c r="O419" s="880"/>
      <c r="P419" s="58" t="str">
        <f>IF(N414&gt;0,"xx",IF(N414&gt;0,"xy",""))</f>
        <v/>
      </c>
      <c r="Q419" s="317" t="str">
        <f t="shared" si="49"/>
        <v/>
      </c>
      <c r="R419" s="317" t="str">
        <f t="shared" si="50"/>
        <v/>
      </c>
      <c r="S419" s="317" t="str">
        <f t="shared" si="51"/>
        <v/>
      </c>
      <c r="T419" s="317" t="str">
        <f>'REF. DE PREÇOS n editavel'!S419</f>
        <v/>
      </c>
      <c r="W419" s="577">
        <v>0</v>
      </c>
      <c r="X419" s="575"/>
      <c r="Y419" s="578">
        <f>IF('REF. DE PREÇOS n editavel'!W419=0,0,IF('REF. DE PREÇOS n editavel'!W419&gt;0,"c","b"))</f>
        <v>0</v>
      </c>
    </row>
    <row r="420" spans="1:25">
      <c r="A420" s="317">
        <v>570000</v>
      </c>
      <c r="B420" s="973" t="str">
        <f>'REF. DE PREÇOS n editavel'!B420</f>
        <v>570000B</v>
      </c>
      <c r="C420" s="974" t="str">
        <f>'REF. DE PREÇOS n editavel'!C420</f>
        <v>DER</v>
      </c>
      <c r="D420" s="993" t="str">
        <f>'REF. DE PREÇOS n editavel'!D420</f>
        <v>CBUQ - TRAÇO 1 - CAPA - Faixa "C" (Quantidade menor que 10.000 ton)</v>
      </c>
      <c r="E420" s="948" t="str">
        <f>'REF. DE PREÇOS n editavel'!E420</f>
        <v>taxa CAP</v>
      </c>
      <c r="F420" s="997">
        <f>'REF. DE PREÇOS n editavel'!F420</f>
        <v>0.05</v>
      </c>
      <c r="G420" s="950">
        <f>'REF. DE PREÇOS n editavel'!G420</f>
        <v>91.892755399999999</v>
      </c>
      <c r="H420" s="951">
        <f>'REF. DE PREÇOS n editavel'!H420</f>
        <v>187.41</v>
      </c>
      <c r="I420" s="951">
        <f>'REF. DE PREÇOS n editavel'!I420</f>
        <v>279.30275540000002</v>
      </c>
      <c r="J420" s="952">
        <f>'REF. DE PREÇOS n editavel'!J420</f>
        <v>341.36</v>
      </c>
      <c r="K420" s="953" t="s">
        <v>14</v>
      </c>
      <c r="L420" s="1107"/>
      <c r="M420" s="1108">
        <f t="shared" si="27"/>
        <v>0</v>
      </c>
      <c r="N420" s="956">
        <f t="shared" si="31"/>
        <v>0</v>
      </c>
      <c r="O420" s="880"/>
      <c r="Q420" s="317" t="str">
        <f t="shared" si="28"/>
        <v/>
      </c>
      <c r="R420" s="317" t="str">
        <f t="shared" si="29"/>
        <v/>
      </c>
      <c r="S420" s="317" t="str">
        <f t="shared" si="30"/>
        <v/>
      </c>
      <c r="T420" s="317" t="str">
        <f>'REF. DE PREÇOS n editavel'!S420</f>
        <v/>
      </c>
      <c r="W420" s="577">
        <v>0</v>
      </c>
      <c r="X420" s="575"/>
      <c r="Y420" s="578">
        <f>IF('REF. DE PREÇOS n editavel'!W420=0,0,IF('REF. DE PREÇOS n editavel'!W420&gt;0,"c","b"))</f>
        <v>0</v>
      </c>
    </row>
    <row r="421" spans="1:25">
      <c r="A421" s="317" t="s">
        <v>147</v>
      </c>
      <c r="B421" s="870" t="str">
        <f>'REF. DE PREÇOS n editavel'!B421</f>
        <v>transporte</v>
      </c>
      <c r="C421" s="871">
        <f>'REF. DE PREÇOS n editavel'!C421</f>
        <v>0</v>
      </c>
      <c r="D421" s="931" t="str">
        <f>'REF. DE PREÇOS n editavel'!D421</f>
        <v>Areia</v>
      </c>
      <c r="E421" s="882">
        <f>'REF. DE PREÇOS n editavel'!E421</f>
        <v>290</v>
      </c>
      <c r="F421" s="883">
        <f>'REF. DE PREÇOS n editavel'!F421</f>
        <v>0.1007</v>
      </c>
      <c r="G421" s="923">
        <f>'REF. DE PREÇOS n editavel'!G421</f>
        <v>31.517086000000003</v>
      </c>
      <c r="H421" s="876">
        <f>'REF. DE PREÇOS n editavel'!H421</f>
        <v>0</v>
      </c>
      <c r="I421" s="876">
        <f>'REF. DE PREÇOS n editavel'!I421</f>
        <v>0</v>
      </c>
      <c r="J421" s="877">
        <f>'REF. DE PREÇOS n editavel'!J421</f>
        <v>0</v>
      </c>
      <c r="K421" s="878" t="s">
        <v>506</v>
      </c>
      <c r="L421" s="977"/>
      <c r="M421" s="1112">
        <f t="shared" si="27"/>
        <v>0</v>
      </c>
      <c r="N421" s="868">
        <f t="shared" si="31"/>
        <v>0</v>
      </c>
      <c r="O421" s="880"/>
      <c r="P421" s="58" t="str">
        <f>IF(N420&gt;0,"xx",IF(N420&gt;0,"xy",""))</f>
        <v/>
      </c>
      <c r="Q421" s="317" t="str">
        <f t="shared" si="28"/>
        <v/>
      </c>
      <c r="R421" s="317" t="str">
        <f t="shared" si="29"/>
        <v/>
      </c>
      <c r="S421" s="317" t="str">
        <f t="shared" si="30"/>
        <v/>
      </c>
      <c r="T421" s="317" t="str">
        <f>'REF. DE PREÇOS n editavel'!S421</f>
        <v/>
      </c>
      <c r="W421" s="577">
        <v>0</v>
      </c>
      <c r="X421" s="575"/>
      <c r="Y421" s="578">
        <f>IF('REF. DE PREÇOS n editavel'!W421=0,0,IF('REF. DE PREÇOS n editavel'!W421&gt;0,"c","b"))</f>
        <v>0</v>
      </c>
    </row>
    <row r="422" spans="1:25">
      <c r="A422" s="317" t="s">
        <v>147</v>
      </c>
      <c r="B422" s="870" t="str">
        <f>'REF. DE PREÇOS n editavel'!B422</f>
        <v>transporte</v>
      </c>
      <c r="C422" s="871">
        <f>'REF. DE PREÇOS n editavel'!C422</f>
        <v>0</v>
      </c>
      <c r="D422" s="931" t="str">
        <f>'REF. DE PREÇOS n editavel'!D422</f>
        <v>Cal Hidratada CH-1</v>
      </c>
      <c r="E422" s="882">
        <f>'REF. DE PREÇOS n editavel'!E422</f>
        <v>445</v>
      </c>
      <c r="F422" s="883">
        <f>'REF. DE PREÇOS n editavel'!F422</f>
        <v>1.52E-2</v>
      </c>
      <c r="G422" s="884">
        <f>'REF. DE PREÇOS n editavel'!G422</f>
        <v>5.3947840000000005</v>
      </c>
      <c r="H422" s="876">
        <f>'REF. DE PREÇOS n editavel'!H422</f>
        <v>0</v>
      </c>
      <c r="I422" s="876">
        <f>'REF. DE PREÇOS n editavel'!I422</f>
        <v>0</v>
      </c>
      <c r="J422" s="877">
        <f>'REF. DE PREÇOS n editavel'!J422</f>
        <v>0</v>
      </c>
      <c r="K422" s="878" t="s">
        <v>506</v>
      </c>
      <c r="L422" s="977"/>
      <c r="M422" s="1112">
        <f t="shared" si="27"/>
        <v>0</v>
      </c>
      <c r="N422" s="868">
        <f t="shared" si="31"/>
        <v>0</v>
      </c>
      <c r="O422" s="880"/>
      <c r="P422" s="58" t="str">
        <f>IF(N420&gt;0,"xx",IF(N420&gt;0,"xy",""))</f>
        <v/>
      </c>
      <c r="Q422" s="317" t="str">
        <f t="shared" si="28"/>
        <v/>
      </c>
      <c r="R422" s="317" t="str">
        <f t="shared" si="29"/>
        <v/>
      </c>
      <c r="S422" s="317" t="str">
        <f t="shared" si="30"/>
        <v/>
      </c>
      <c r="T422" s="317" t="str">
        <f>'REF. DE PREÇOS n editavel'!S422</f>
        <v/>
      </c>
      <c r="W422" s="577">
        <v>0</v>
      </c>
      <c r="X422" s="575"/>
      <c r="Y422" s="578">
        <f>IF('REF. DE PREÇOS n editavel'!W422=0,0,IF('REF. DE PREÇOS n editavel'!W422&gt;0,"c","b"))</f>
        <v>0</v>
      </c>
    </row>
    <row r="423" spans="1:25">
      <c r="A423" s="317" t="s">
        <v>147</v>
      </c>
      <c r="B423" s="870" t="str">
        <f>'REF. DE PREÇOS n editavel'!B423</f>
        <v>transporte</v>
      </c>
      <c r="C423" s="871">
        <f>'REF. DE PREÇOS n editavel'!C423</f>
        <v>0</v>
      </c>
      <c r="D423" s="931" t="str">
        <f>'REF. DE PREÇOS n editavel'!D423</f>
        <v>Brita ( usina )</v>
      </c>
      <c r="E423" s="882">
        <f>'REF. DE PREÇOS n editavel'!E423</f>
        <v>0.2</v>
      </c>
      <c r="F423" s="883">
        <f>'REF. DE PREÇOS n editavel'!F423</f>
        <v>0.83409999999999995</v>
      </c>
      <c r="G423" s="923">
        <f>'REF. DE PREÇOS n editavel'!G423</f>
        <v>2.4138853999999998</v>
      </c>
      <c r="H423" s="876">
        <f>'REF. DE PREÇOS n editavel'!H423</f>
        <v>0</v>
      </c>
      <c r="I423" s="876">
        <f>'REF. DE PREÇOS n editavel'!I423</f>
        <v>0</v>
      </c>
      <c r="J423" s="877">
        <f>'REF. DE PREÇOS n editavel'!J423</f>
        <v>0</v>
      </c>
      <c r="K423" s="878" t="s">
        <v>506</v>
      </c>
      <c r="L423" s="977"/>
      <c r="M423" s="1112">
        <f t="shared" si="27"/>
        <v>0</v>
      </c>
      <c r="N423" s="868">
        <f t="shared" si="31"/>
        <v>0</v>
      </c>
      <c r="O423" s="880"/>
      <c r="P423" s="58" t="str">
        <f>IF(N420&gt;0,"xx",IF(N420&gt;0,"xy",""))</f>
        <v/>
      </c>
      <c r="Q423" s="317" t="str">
        <f t="shared" si="28"/>
        <v/>
      </c>
      <c r="R423" s="317" t="str">
        <f t="shared" si="29"/>
        <v/>
      </c>
      <c r="S423" s="317" t="str">
        <f t="shared" si="30"/>
        <v/>
      </c>
      <c r="T423" s="317" t="str">
        <f>'REF. DE PREÇOS n editavel'!S423</f>
        <v/>
      </c>
      <c r="W423" s="577">
        <v>0</v>
      </c>
      <c r="X423" s="575"/>
      <c r="Y423" s="578">
        <f>IF('REF. DE PREÇOS n editavel'!W423=0,0,IF('REF. DE PREÇOS n editavel'!W423&gt;0,"c","b"))</f>
        <v>0</v>
      </c>
    </row>
    <row r="424" spans="1:25">
      <c r="A424" s="317" t="s">
        <v>147</v>
      </c>
      <c r="B424" s="870" t="str">
        <f>'REF. DE PREÇOS n editavel'!B424</f>
        <v>transporte</v>
      </c>
      <c r="C424" s="871">
        <f>'REF. DE PREÇOS n editavel'!C424</f>
        <v>0</v>
      </c>
      <c r="D424" s="931" t="str">
        <f>'REF. DE PREÇOS n editavel'!D424</f>
        <v>Massa</v>
      </c>
      <c r="E424" s="882">
        <f>'REF. DE PREÇOS n editavel'!E424</f>
        <v>43.1</v>
      </c>
      <c r="F424" s="883">
        <f>'REF. DE PREÇOS n editavel'!F424</f>
        <v>1</v>
      </c>
      <c r="G424" s="887">
        <f>'REF. DE PREÇOS n editavel'!G424</f>
        <v>52.567000000000007</v>
      </c>
      <c r="H424" s="876">
        <f>'REF. DE PREÇOS n editavel'!H424</f>
        <v>0</v>
      </c>
      <c r="I424" s="876">
        <f>'REF. DE PREÇOS n editavel'!I424</f>
        <v>0</v>
      </c>
      <c r="J424" s="877">
        <f>'REF. DE PREÇOS n editavel'!J424</f>
        <v>0</v>
      </c>
      <c r="K424" s="878" t="s">
        <v>506</v>
      </c>
      <c r="L424" s="977"/>
      <c r="M424" s="1112">
        <f t="shared" si="27"/>
        <v>0</v>
      </c>
      <c r="N424" s="868">
        <f t="shared" si="31"/>
        <v>0</v>
      </c>
      <c r="O424" s="880"/>
      <c r="P424" s="58" t="str">
        <f>IF(N420&gt;0,"xx",IF(N420&gt;0,"xy",""))</f>
        <v/>
      </c>
      <c r="Q424" s="317" t="str">
        <f t="shared" si="28"/>
        <v/>
      </c>
      <c r="R424" s="317" t="str">
        <f t="shared" si="29"/>
        <v/>
      </c>
      <c r="S424" s="317" t="str">
        <f t="shared" si="30"/>
        <v/>
      </c>
      <c r="T424" s="317" t="str">
        <f>'REF. DE PREÇOS n editavel'!S424</f>
        <v/>
      </c>
      <c r="W424" s="577">
        <v>0</v>
      </c>
      <c r="X424" s="575"/>
      <c r="Y424" s="578">
        <f>IF('REF. DE PREÇOS n editavel'!W424=0,0,IF('REF. DE PREÇOS n editavel'!W424&gt;0,"c","b"))</f>
        <v>0</v>
      </c>
    </row>
    <row r="425" spans="1:25" ht="13.5" thickBot="1">
      <c r="A425" s="317">
        <v>589000</v>
      </c>
      <c r="B425" s="978" t="str">
        <f>'REF. DE PREÇOS n editavel'!B425</f>
        <v>589000I</v>
      </c>
      <c r="C425" s="958" t="str">
        <f>'REF. DE PREÇOS n editavel'!C425</f>
        <v>DER mat</v>
      </c>
      <c r="D425" s="986" t="str">
        <f>'REF. DE PREÇOS n editavel'!D425</f>
        <v>Fornecimento de CAP - CBUQ (Quantidade menor que 10.000 ton)</v>
      </c>
      <c r="E425" s="979">
        <f>'REF. DE PREÇOS n editavel'!E425</f>
        <v>468</v>
      </c>
      <c r="F425" s="980">
        <f>'REF. DE PREÇOS n editavel'!F425</f>
        <v>1</v>
      </c>
      <c r="G425" s="923">
        <f>'REF. DE PREÇOS n editavel'!G425</f>
        <v>485.97999999999996</v>
      </c>
      <c r="H425" s="962">
        <f>'REF. DE PREÇOS n editavel'!H425</f>
        <v>4828.8599999999997</v>
      </c>
      <c r="I425" s="962">
        <f>'REF. DE PREÇOS n editavel'!I425</f>
        <v>5163.1232400589097</v>
      </c>
      <c r="J425" s="963">
        <f>'REF. DE PREÇOS n editavel'!J425</f>
        <v>6310.37</v>
      </c>
      <c r="K425" s="964" t="s">
        <v>14</v>
      </c>
      <c r="L425" s="1109">
        <f>ROUND(L420*$F420,2)</f>
        <v>0</v>
      </c>
      <c r="M425" s="1114">
        <f t="shared" ref="M425:M524" si="52">IF(L425=0,0,ROUND(J425,2))</f>
        <v>0</v>
      </c>
      <c r="N425" s="967">
        <f t="shared" si="31"/>
        <v>0</v>
      </c>
      <c r="O425" s="880"/>
      <c r="P425" s="58" t="str">
        <f>IF(N420&gt;0,"xx",IF(N420&gt;0,"xy",""))</f>
        <v/>
      </c>
      <c r="Q425" s="317" t="str">
        <f t="shared" si="28"/>
        <v/>
      </c>
      <c r="R425" s="317" t="str">
        <f t="shared" si="29"/>
        <v/>
      </c>
      <c r="S425" s="317" t="str">
        <f t="shared" si="30"/>
        <v/>
      </c>
      <c r="T425" s="317" t="str">
        <f>'REF. DE PREÇOS n editavel'!S425</f>
        <v/>
      </c>
      <c r="W425" s="577">
        <v>0</v>
      </c>
      <c r="X425" s="575"/>
      <c r="Y425" s="578">
        <f>IF('REF. DE PREÇOS n editavel'!W425=0,0,IF('REF. DE PREÇOS n editavel'!W425&gt;0,"c","b"))</f>
        <v>0</v>
      </c>
    </row>
    <row r="426" spans="1:25">
      <c r="A426" s="317">
        <v>570000</v>
      </c>
      <c r="B426" s="973" t="str">
        <f>'REF. DE PREÇOS n editavel'!B426</f>
        <v>570000C</v>
      </c>
      <c r="C426" s="974" t="str">
        <f>'REF. DE PREÇOS n editavel'!C426</f>
        <v>DER</v>
      </c>
      <c r="D426" s="993" t="str">
        <f>'REF. DE PREÇOS n editavel'!D426</f>
        <v>CBUQ - TRAÇO 2 - CAPA - Faixa "C" (Quantidade menor que 10.000 ton)</v>
      </c>
      <c r="E426" s="948" t="str">
        <f>'REF. DE PREÇOS n editavel'!E426</f>
        <v>taxa CAP</v>
      </c>
      <c r="F426" s="997">
        <f>'REF. DE PREÇOS n editavel'!F426</f>
        <v>5.5E-2</v>
      </c>
      <c r="G426" s="950">
        <f>'REF. DE PREÇOS n editavel'!G426</f>
        <v>91.688039800000013</v>
      </c>
      <c r="H426" s="951">
        <f>'REF. DE PREÇOS n editavel'!H426</f>
        <v>187.41</v>
      </c>
      <c r="I426" s="951">
        <f>'REF. DE PREÇOS n editavel'!I426</f>
        <v>279.09803980000004</v>
      </c>
      <c r="J426" s="952">
        <f>'REF. DE PREÇOS n editavel'!J426</f>
        <v>341.11</v>
      </c>
      <c r="K426" s="953" t="s">
        <v>14</v>
      </c>
      <c r="L426" s="1107"/>
      <c r="M426" s="1108">
        <f t="shared" si="52"/>
        <v>0</v>
      </c>
      <c r="N426" s="956">
        <f t="shared" si="31"/>
        <v>0</v>
      </c>
      <c r="O426" s="880"/>
      <c r="Q426" s="317" t="str">
        <f t="shared" si="28"/>
        <v/>
      </c>
      <c r="R426" s="317" t="str">
        <f t="shared" si="29"/>
        <v/>
      </c>
      <c r="S426" s="317" t="str">
        <f t="shared" si="30"/>
        <v/>
      </c>
      <c r="T426" s="317" t="str">
        <f>'REF. DE PREÇOS n editavel'!S426</f>
        <v/>
      </c>
      <c r="W426" s="577">
        <v>0</v>
      </c>
      <c r="X426" s="575"/>
      <c r="Y426" s="578">
        <f>IF('REF. DE PREÇOS n editavel'!W426=0,0,IF('REF. DE PREÇOS n editavel'!W426&gt;0,"c","b"))</f>
        <v>0</v>
      </c>
    </row>
    <row r="427" spans="1:25">
      <c r="A427" s="317" t="s">
        <v>147</v>
      </c>
      <c r="B427" s="870" t="str">
        <f>'REF. DE PREÇOS n editavel'!B427</f>
        <v>transporte</v>
      </c>
      <c r="C427" s="871">
        <f>'REF. DE PREÇOS n editavel'!C427</f>
        <v>0</v>
      </c>
      <c r="D427" s="931" t="str">
        <f>'REF. DE PREÇOS n editavel'!D427</f>
        <v>Areia</v>
      </c>
      <c r="E427" s="882">
        <f>'REF. DE PREÇOS n editavel'!E427</f>
        <v>290</v>
      </c>
      <c r="F427" s="883">
        <f>'REF. DE PREÇOS n editavel'!F427</f>
        <v>0.1002</v>
      </c>
      <c r="G427" s="923">
        <f>'REF. DE PREÇOS n editavel'!G427</f>
        <v>31.360596000000001</v>
      </c>
      <c r="H427" s="876">
        <f>'REF. DE PREÇOS n editavel'!H427</f>
        <v>0</v>
      </c>
      <c r="I427" s="876">
        <f>'REF. DE PREÇOS n editavel'!I427</f>
        <v>0</v>
      </c>
      <c r="J427" s="877">
        <f>'REF. DE PREÇOS n editavel'!J427</f>
        <v>0</v>
      </c>
      <c r="K427" s="878" t="s">
        <v>506</v>
      </c>
      <c r="L427" s="977"/>
      <c r="M427" s="1112">
        <f t="shared" si="52"/>
        <v>0</v>
      </c>
      <c r="N427" s="868">
        <f t="shared" si="31"/>
        <v>0</v>
      </c>
      <c r="O427" s="880"/>
      <c r="P427" s="58" t="str">
        <f>IF(N426&gt;0,"xx",IF(N426&gt;0,"xy",""))</f>
        <v/>
      </c>
      <c r="Q427" s="317" t="str">
        <f t="shared" ref="Q427:Q526" si="53">IF(P427="X","x",IF(P427="xx","x",IF(P427="xy","x",IF(P427="y","x",IF(OR(N427&gt;0,N427&gt;0),"x","")))))</f>
        <v/>
      </c>
      <c r="R427" s="317" t="str">
        <f t="shared" si="29"/>
        <v/>
      </c>
      <c r="S427" s="317" t="str">
        <f t="shared" si="30"/>
        <v/>
      </c>
      <c r="T427" s="317" t="str">
        <f>'REF. DE PREÇOS n editavel'!S427</f>
        <v/>
      </c>
      <c r="W427" s="577">
        <v>0</v>
      </c>
      <c r="X427" s="575"/>
      <c r="Y427" s="578">
        <f>IF('REF. DE PREÇOS n editavel'!W427=0,0,IF('REF. DE PREÇOS n editavel'!W427&gt;0,"c","b"))</f>
        <v>0</v>
      </c>
    </row>
    <row r="428" spans="1:25">
      <c r="A428" s="317" t="s">
        <v>147</v>
      </c>
      <c r="B428" s="870" t="str">
        <f>'REF. DE PREÇOS n editavel'!B428</f>
        <v>transporte</v>
      </c>
      <c r="C428" s="871">
        <f>'REF. DE PREÇOS n editavel'!C428</f>
        <v>0</v>
      </c>
      <c r="D428" s="931" t="str">
        <f>'REF. DE PREÇOS n editavel'!D428</f>
        <v>Cal Hidratada CH-1</v>
      </c>
      <c r="E428" s="882">
        <f>'REF. DE PREÇOS n editavel'!E428</f>
        <v>445</v>
      </c>
      <c r="F428" s="883">
        <f>'REF. DE PREÇOS n editavel'!F428</f>
        <v>1.5100000000000001E-2</v>
      </c>
      <c r="G428" s="884">
        <f>'REF. DE PREÇOS n editavel'!G428</f>
        <v>5.3592920000000008</v>
      </c>
      <c r="H428" s="876">
        <f>'REF. DE PREÇOS n editavel'!H428</f>
        <v>0</v>
      </c>
      <c r="I428" s="876">
        <f>'REF. DE PREÇOS n editavel'!I428</f>
        <v>0</v>
      </c>
      <c r="J428" s="877">
        <f>'REF. DE PREÇOS n editavel'!J428</f>
        <v>0</v>
      </c>
      <c r="K428" s="878" t="s">
        <v>506</v>
      </c>
      <c r="L428" s="977"/>
      <c r="M428" s="1112">
        <f t="shared" si="52"/>
        <v>0</v>
      </c>
      <c r="N428" s="868">
        <f t="shared" si="31"/>
        <v>0</v>
      </c>
      <c r="O428" s="880"/>
      <c r="P428" s="58" t="str">
        <f>IF(N426&gt;0,"xx",IF(N426&gt;0,"xy",""))</f>
        <v/>
      </c>
      <c r="Q428" s="317" t="str">
        <f t="shared" si="53"/>
        <v/>
      </c>
      <c r="R428" s="317" t="str">
        <f t="shared" si="29"/>
        <v/>
      </c>
      <c r="S428" s="317" t="str">
        <f t="shared" si="30"/>
        <v/>
      </c>
      <c r="T428" s="317" t="str">
        <f>'REF. DE PREÇOS n editavel'!S428</f>
        <v/>
      </c>
      <c r="W428" s="577">
        <v>0</v>
      </c>
      <c r="X428" s="575"/>
      <c r="Y428" s="578">
        <f>IF('REF. DE PREÇOS n editavel'!W428=0,0,IF('REF. DE PREÇOS n editavel'!W428&gt;0,"c","b"))</f>
        <v>0</v>
      </c>
    </row>
    <row r="429" spans="1:25">
      <c r="A429" s="317" t="s">
        <v>147</v>
      </c>
      <c r="B429" s="870" t="str">
        <f>'REF. DE PREÇOS n editavel'!B429</f>
        <v>transporte</v>
      </c>
      <c r="C429" s="871">
        <f>'REF. DE PREÇOS n editavel'!C429</f>
        <v>0</v>
      </c>
      <c r="D429" s="931" t="str">
        <f>'REF. DE PREÇOS n editavel'!D429</f>
        <v>Brita ( usina )</v>
      </c>
      <c r="E429" s="882">
        <f>'REF. DE PREÇOS n editavel'!E429</f>
        <v>0.2</v>
      </c>
      <c r="F429" s="883">
        <f>'REF. DE PREÇOS n editavel'!F429</f>
        <v>0.82969999999999999</v>
      </c>
      <c r="G429" s="923">
        <f>'REF. DE PREÇOS n editavel'!G429</f>
        <v>2.4011518000000001</v>
      </c>
      <c r="H429" s="876">
        <f>'REF. DE PREÇOS n editavel'!H429</f>
        <v>0</v>
      </c>
      <c r="I429" s="876">
        <f>'REF. DE PREÇOS n editavel'!I429</f>
        <v>0</v>
      </c>
      <c r="J429" s="877">
        <f>'REF. DE PREÇOS n editavel'!J429</f>
        <v>0</v>
      </c>
      <c r="K429" s="878" t="s">
        <v>506</v>
      </c>
      <c r="L429" s="977"/>
      <c r="M429" s="1112">
        <f t="shared" si="52"/>
        <v>0</v>
      </c>
      <c r="N429" s="868">
        <f t="shared" si="31"/>
        <v>0</v>
      </c>
      <c r="O429" s="880"/>
      <c r="P429" s="58" t="str">
        <f>IF(N426&gt;0,"xx",IF(N426&gt;0,"xy",""))</f>
        <v/>
      </c>
      <c r="Q429" s="317" t="str">
        <f t="shared" si="53"/>
        <v/>
      </c>
      <c r="R429" s="317" t="str">
        <f t="shared" ref="R429:R528" si="54">IF(P429="X","x",IF(P429="y","x",IF(P429="xx","x",IF(N429&gt;0,"x",""))))</f>
        <v/>
      </c>
      <c r="S429" s="317" t="str">
        <f t="shared" ref="S429:S528" si="55">IF(P429="X","x",IF(N429&gt;0,"x",""))</f>
        <v/>
      </c>
      <c r="T429" s="317" t="str">
        <f>'REF. DE PREÇOS n editavel'!S429</f>
        <v/>
      </c>
      <c r="W429" s="577">
        <v>0</v>
      </c>
      <c r="X429" s="575"/>
      <c r="Y429" s="578">
        <f>IF('REF. DE PREÇOS n editavel'!W429=0,0,IF('REF. DE PREÇOS n editavel'!W429&gt;0,"c","b"))</f>
        <v>0</v>
      </c>
    </row>
    <row r="430" spans="1:25">
      <c r="A430" s="317" t="s">
        <v>147</v>
      </c>
      <c r="B430" s="870" t="str">
        <f>'REF. DE PREÇOS n editavel'!B430</f>
        <v>transporte</v>
      </c>
      <c r="C430" s="871">
        <f>'REF. DE PREÇOS n editavel'!C430</f>
        <v>0</v>
      </c>
      <c r="D430" s="931" t="str">
        <f>'REF. DE PREÇOS n editavel'!D430</f>
        <v>Massa</v>
      </c>
      <c r="E430" s="882">
        <f>'REF. DE PREÇOS n editavel'!E430</f>
        <v>43.1</v>
      </c>
      <c r="F430" s="883">
        <f>'REF. DE PREÇOS n editavel'!F430</f>
        <v>1</v>
      </c>
      <c r="G430" s="887">
        <f>'REF. DE PREÇOS n editavel'!G430</f>
        <v>52.567000000000007</v>
      </c>
      <c r="H430" s="876">
        <f>'REF. DE PREÇOS n editavel'!H430</f>
        <v>0</v>
      </c>
      <c r="I430" s="876">
        <f>'REF. DE PREÇOS n editavel'!I430</f>
        <v>0</v>
      </c>
      <c r="J430" s="877">
        <f>'REF. DE PREÇOS n editavel'!J430</f>
        <v>0</v>
      </c>
      <c r="K430" s="878" t="s">
        <v>506</v>
      </c>
      <c r="L430" s="977"/>
      <c r="M430" s="1112">
        <f t="shared" si="52"/>
        <v>0</v>
      </c>
      <c r="N430" s="868">
        <f t="shared" si="31"/>
        <v>0</v>
      </c>
      <c r="O430" s="880"/>
      <c r="P430" s="58" t="str">
        <f>IF(N426&gt;0,"xx",IF(N426&gt;0,"xy",""))</f>
        <v/>
      </c>
      <c r="Q430" s="317" t="str">
        <f t="shared" si="53"/>
        <v/>
      </c>
      <c r="R430" s="317" t="str">
        <f t="shared" si="54"/>
        <v/>
      </c>
      <c r="S430" s="317" t="str">
        <f t="shared" si="55"/>
        <v/>
      </c>
      <c r="T430" s="317" t="str">
        <f>'REF. DE PREÇOS n editavel'!S430</f>
        <v/>
      </c>
      <c r="W430" s="577">
        <v>0</v>
      </c>
      <c r="X430" s="575"/>
      <c r="Y430" s="578">
        <f>IF('REF. DE PREÇOS n editavel'!W430=0,0,IF('REF. DE PREÇOS n editavel'!W430&gt;0,"c","b"))</f>
        <v>0</v>
      </c>
    </row>
    <row r="431" spans="1:25" ht="13.5" thickBot="1">
      <c r="A431" s="317">
        <v>589000</v>
      </c>
      <c r="B431" s="978" t="str">
        <f>'REF. DE PREÇOS n editavel'!B431</f>
        <v>589000J</v>
      </c>
      <c r="C431" s="958" t="str">
        <f>'REF. DE PREÇOS n editavel'!C431</f>
        <v>DER mat</v>
      </c>
      <c r="D431" s="986" t="str">
        <f>'REF. DE PREÇOS n editavel'!D431</f>
        <v>Fornecimento de CAP - CBUQ (Quantidade menor que 10.000 ton)</v>
      </c>
      <c r="E431" s="979">
        <f>'REF. DE PREÇOS n editavel'!E431</f>
        <v>468</v>
      </c>
      <c r="F431" s="980">
        <f>'REF. DE PREÇOS n editavel'!F431</f>
        <v>1</v>
      </c>
      <c r="G431" s="923">
        <f>'REF. DE PREÇOS n editavel'!G431</f>
        <v>485.97999999999996</v>
      </c>
      <c r="H431" s="962">
        <f>'REF. DE PREÇOS n editavel'!H431</f>
        <v>4828.8599999999997</v>
      </c>
      <c r="I431" s="962">
        <f>'REF. DE PREÇOS n editavel'!I431</f>
        <v>5163.1232400589097</v>
      </c>
      <c r="J431" s="963">
        <f>'REF. DE PREÇOS n editavel'!J431</f>
        <v>6310.37</v>
      </c>
      <c r="K431" s="964" t="s">
        <v>14</v>
      </c>
      <c r="L431" s="1109">
        <f>ROUND(L426*$F426,2)</f>
        <v>0</v>
      </c>
      <c r="M431" s="1114">
        <f t="shared" si="52"/>
        <v>0</v>
      </c>
      <c r="N431" s="967">
        <f t="shared" si="31"/>
        <v>0</v>
      </c>
      <c r="O431" s="880"/>
      <c r="P431" s="58" t="str">
        <f>IF(N426&gt;0,"xx",IF(N426&gt;0,"xy",""))</f>
        <v/>
      </c>
      <c r="Q431" s="317" t="str">
        <f t="shared" si="53"/>
        <v/>
      </c>
      <c r="R431" s="317" t="str">
        <f t="shared" si="54"/>
        <v/>
      </c>
      <c r="S431" s="317" t="str">
        <f t="shared" si="55"/>
        <v/>
      </c>
      <c r="T431" s="317" t="str">
        <f>'REF. DE PREÇOS n editavel'!S431</f>
        <v/>
      </c>
      <c r="W431" s="577">
        <v>0</v>
      </c>
      <c r="X431" s="575"/>
      <c r="Y431" s="578">
        <f>IF('REF. DE PREÇOS n editavel'!W431=0,0,IF('REF. DE PREÇOS n editavel'!W431&gt;0,"c","b"))</f>
        <v>0</v>
      </c>
    </row>
    <row r="432" spans="1:25">
      <c r="A432" s="317">
        <v>570000</v>
      </c>
      <c r="B432" s="973" t="str">
        <f>'REF. DE PREÇOS n editavel'!B432</f>
        <v>570000D</v>
      </c>
      <c r="C432" s="974" t="str">
        <f>'REF. DE PREÇOS n editavel'!C432</f>
        <v>DER</v>
      </c>
      <c r="D432" s="993" t="str">
        <f>'REF. DE PREÇOS n editavel'!D432</f>
        <v>CBUQ - TRAÇO 3 - CAPA - Faixa "C" (Quantidade menor que 10.000 ton)</v>
      </c>
      <c r="E432" s="948" t="str">
        <f>'REF. DE PREÇOS n editavel'!E432</f>
        <v>taxa CAP</v>
      </c>
      <c r="F432" s="997">
        <f>'REF. DE PREÇOS n editavel'!F432</f>
        <v>5.7000000000000002E-2</v>
      </c>
      <c r="G432" s="950">
        <f>'REF. DE PREÇOS n editavel'!G432</f>
        <v>91.526532000000003</v>
      </c>
      <c r="H432" s="951">
        <f>'REF. DE PREÇOS n editavel'!H432</f>
        <v>187.41</v>
      </c>
      <c r="I432" s="951">
        <f>'REF. DE PREÇOS n editavel'!I432</f>
        <v>278.936532</v>
      </c>
      <c r="J432" s="952">
        <f>'REF. DE PREÇOS n editavel'!J432</f>
        <v>340.92</v>
      </c>
      <c r="K432" s="953" t="s">
        <v>14</v>
      </c>
      <c r="L432" s="1107">
        <v>9620</v>
      </c>
      <c r="M432" s="1108">
        <f t="shared" si="52"/>
        <v>340.92</v>
      </c>
      <c r="N432" s="956">
        <f t="shared" si="31"/>
        <v>3279650.4</v>
      </c>
      <c r="O432" s="880"/>
      <c r="Q432" s="317" t="str">
        <f t="shared" si="53"/>
        <v>x</v>
      </c>
      <c r="R432" s="317" t="str">
        <f t="shared" si="54"/>
        <v>x</v>
      </c>
      <c r="S432" s="317" t="str">
        <f t="shared" si="55"/>
        <v>x</v>
      </c>
      <c r="T432" s="317" t="str">
        <f>'REF. DE PREÇOS n editavel'!S432</f>
        <v>x</v>
      </c>
      <c r="W432" s="577">
        <v>0</v>
      </c>
      <c r="X432" s="575"/>
      <c r="Y432" s="578">
        <f>IF('REF. DE PREÇOS n editavel'!W432=0,0,IF('REF. DE PREÇOS n editavel'!W432&gt;0,"c","b"))</f>
        <v>0</v>
      </c>
    </row>
    <row r="433" spans="1:25">
      <c r="A433" s="317" t="s">
        <v>147</v>
      </c>
      <c r="B433" s="870" t="str">
        <f>'REF. DE PREÇOS n editavel'!B433</f>
        <v>transporte</v>
      </c>
      <c r="C433" s="871">
        <f>'REF. DE PREÇOS n editavel'!C433</f>
        <v>0</v>
      </c>
      <c r="D433" s="931" t="str">
        <f>'REF. DE PREÇOS n editavel'!D433</f>
        <v>Areia</v>
      </c>
      <c r="E433" s="882">
        <f>'REF. DE PREÇOS n editavel'!E433</f>
        <v>290</v>
      </c>
      <c r="F433" s="883">
        <f>'REF. DE PREÇOS n editavel'!F433</f>
        <v>0.1</v>
      </c>
      <c r="G433" s="923">
        <f>'REF. DE PREÇOS n editavel'!G433</f>
        <v>31.298000000000002</v>
      </c>
      <c r="H433" s="876">
        <f>'REF. DE PREÇOS n editavel'!H433</f>
        <v>0</v>
      </c>
      <c r="I433" s="876">
        <f>'REF. DE PREÇOS n editavel'!I433</f>
        <v>0</v>
      </c>
      <c r="J433" s="877">
        <f>'REF. DE PREÇOS n editavel'!J433</f>
        <v>0</v>
      </c>
      <c r="K433" s="878" t="s">
        <v>506</v>
      </c>
      <c r="L433" s="977"/>
      <c r="M433" s="1112">
        <f t="shared" si="52"/>
        <v>0</v>
      </c>
      <c r="N433" s="868">
        <f t="shared" ref="N433:N532" si="56">IF(ISBLANK(L433),0,IF(W433=0,ROUND(L433*M433,2),IF(W433="b",ROUNDDOWN(L433*M433,2),ROUNDUP(L433*M433,2))))</f>
        <v>0</v>
      </c>
      <c r="O433" s="880"/>
      <c r="P433" s="58" t="str">
        <f>IF(N432&gt;0,"xx",IF(N432&gt;0,"xy",""))</f>
        <v>xx</v>
      </c>
      <c r="Q433" s="317" t="str">
        <f t="shared" si="53"/>
        <v>x</v>
      </c>
      <c r="R433" s="317" t="str">
        <f t="shared" si="54"/>
        <v>x</v>
      </c>
      <c r="S433" s="317" t="str">
        <f t="shared" si="55"/>
        <v/>
      </c>
      <c r="T433" s="317" t="str">
        <f>'REF. DE PREÇOS n editavel'!S433</f>
        <v/>
      </c>
      <c r="W433" s="577">
        <v>0</v>
      </c>
      <c r="X433" s="575"/>
      <c r="Y433" s="578">
        <f>IF('REF. DE PREÇOS n editavel'!W433=0,0,IF('REF. DE PREÇOS n editavel'!W433&gt;0,"c","b"))</f>
        <v>0</v>
      </c>
    </row>
    <row r="434" spans="1:25">
      <c r="A434" s="317" t="s">
        <v>147</v>
      </c>
      <c r="B434" s="870" t="str">
        <f>'REF. DE PREÇOS n editavel'!B434</f>
        <v>transporte</v>
      </c>
      <c r="C434" s="871">
        <f>'REF. DE PREÇOS n editavel'!C434</f>
        <v>0</v>
      </c>
      <c r="D434" s="931" t="str">
        <f>'REF. DE PREÇOS n editavel'!D434</f>
        <v>Cal Hidratada CH-1</v>
      </c>
      <c r="E434" s="882">
        <f>'REF. DE PREÇOS n editavel'!E434</f>
        <v>440</v>
      </c>
      <c r="F434" s="883">
        <f>'REF. DE PREÇOS n editavel'!F434</f>
        <v>1.4999999999999999E-2</v>
      </c>
      <c r="G434" s="884">
        <f>'REF. DE PREÇOS n editavel'!G434</f>
        <v>5.2653000000000008</v>
      </c>
      <c r="H434" s="876">
        <f>'REF. DE PREÇOS n editavel'!H434</f>
        <v>0</v>
      </c>
      <c r="I434" s="876">
        <f>'REF. DE PREÇOS n editavel'!I434</f>
        <v>0</v>
      </c>
      <c r="J434" s="877">
        <f>'REF. DE PREÇOS n editavel'!J434</f>
        <v>0</v>
      </c>
      <c r="K434" s="878" t="s">
        <v>506</v>
      </c>
      <c r="L434" s="977"/>
      <c r="M434" s="1112">
        <f t="shared" si="52"/>
        <v>0</v>
      </c>
      <c r="N434" s="868">
        <f t="shared" si="56"/>
        <v>0</v>
      </c>
      <c r="O434" s="880"/>
      <c r="P434" s="58" t="str">
        <f>IF(N432&gt;0,"xx",IF(N432&gt;0,"xy",""))</f>
        <v>xx</v>
      </c>
      <c r="Q434" s="317" t="str">
        <f t="shared" si="53"/>
        <v>x</v>
      </c>
      <c r="R434" s="317" t="str">
        <f t="shared" si="54"/>
        <v>x</v>
      </c>
      <c r="S434" s="317" t="str">
        <f t="shared" si="55"/>
        <v/>
      </c>
      <c r="T434" s="317" t="str">
        <f>'REF. DE PREÇOS n editavel'!S434</f>
        <v/>
      </c>
      <c r="W434" s="577">
        <v>0</v>
      </c>
      <c r="X434" s="575"/>
      <c r="Y434" s="578">
        <f>IF('REF. DE PREÇOS n editavel'!W434=0,0,IF('REF. DE PREÇOS n editavel'!W434&gt;0,"c","b"))</f>
        <v>0</v>
      </c>
    </row>
    <row r="435" spans="1:25">
      <c r="A435" s="317" t="s">
        <v>147</v>
      </c>
      <c r="B435" s="870" t="str">
        <f>'REF. DE PREÇOS n editavel'!B435</f>
        <v>transporte</v>
      </c>
      <c r="C435" s="871">
        <f>'REF. DE PREÇOS n editavel'!C435</f>
        <v>0</v>
      </c>
      <c r="D435" s="931" t="str">
        <f>'REF. DE PREÇOS n editavel'!D435</f>
        <v>Brita ( usina )</v>
      </c>
      <c r="E435" s="882">
        <f>'REF. DE PREÇOS n editavel'!E435</f>
        <v>0.2</v>
      </c>
      <c r="F435" s="883">
        <f>'REF. DE PREÇOS n editavel'!F435</f>
        <v>0.82799999999999996</v>
      </c>
      <c r="G435" s="923">
        <f>'REF. DE PREÇOS n editavel'!G435</f>
        <v>2.3962319999999999</v>
      </c>
      <c r="H435" s="876">
        <f>'REF. DE PREÇOS n editavel'!H435</f>
        <v>0</v>
      </c>
      <c r="I435" s="876">
        <f>'REF. DE PREÇOS n editavel'!I435</f>
        <v>0</v>
      </c>
      <c r="J435" s="877">
        <f>'REF. DE PREÇOS n editavel'!J435</f>
        <v>0</v>
      </c>
      <c r="K435" s="878" t="s">
        <v>506</v>
      </c>
      <c r="L435" s="977"/>
      <c r="M435" s="1112">
        <f t="shared" si="52"/>
        <v>0</v>
      </c>
      <c r="N435" s="868">
        <f t="shared" si="56"/>
        <v>0</v>
      </c>
      <c r="O435" s="880"/>
      <c r="P435" s="58" t="str">
        <f>IF(N432&gt;0,"xx",IF(N432&gt;0,"xy",""))</f>
        <v>xx</v>
      </c>
      <c r="Q435" s="317" t="str">
        <f t="shared" si="53"/>
        <v>x</v>
      </c>
      <c r="R435" s="317" t="str">
        <f t="shared" si="54"/>
        <v>x</v>
      </c>
      <c r="S435" s="317" t="str">
        <f t="shared" si="55"/>
        <v/>
      </c>
      <c r="T435" s="317" t="str">
        <f>'REF. DE PREÇOS n editavel'!S435</f>
        <v/>
      </c>
      <c r="W435" s="577">
        <v>0</v>
      </c>
      <c r="X435" s="575"/>
      <c r="Y435" s="578">
        <f>IF('REF. DE PREÇOS n editavel'!W435=0,0,IF('REF. DE PREÇOS n editavel'!W435&gt;0,"c","b"))</f>
        <v>0</v>
      </c>
    </row>
    <row r="436" spans="1:25">
      <c r="A436" s="317" t="s">
        <v>147</v>
      </c>
      <c r="B436" s="870" t="str">
        <f>'REF. DE PREÇOS n editavel'!B436</f>
        <v>transporte</v>
      </c>
      <c r="C436" s="871">
        <f>'REF. DE PREÇOS n editavel'!C436</f>
        <v>0</v>
      </c>
      <c r="D436" s="931" t="str">
        <f>'REF. DE PREÇOS n editavel'!D436</f>
        <v>Massa</v>
      </c>
      <c r="E436" s="882">
        <f>'REF. DE PREÇOS n editavel'!E436</f>
        <v>43.1</v>
      </c>
      <c r="F436" s="883">
        <f>'REF. DE PREÇOS n editavel'!F436</f>
        <v>1</v>
      </c>
      <c r="G436" s="887">
        <f>'REF. DE PREÇOS n editavel'!G436</f>
        <v>52.567000000000007</v>
      </c>
      <c r="H436" s="876">
        <f>'REF. DE PREÇOS n editavel'!H436</f>
        <v>0</v>
      </c>
      <c r="I436" s="876">
        <f>'REF. DE PREÇOS n editavel'!I436</f>
        <v>0</v>
      </c>
      <c r="J436" s="877">
        <f>'REF. DE PREÇOS n editavel'!J436</f>
        <v>0</v>
      </c>
      <c r="K436" s="878" t="s">
        <v>506</v>
      </c>
      <c r="L436" s="977"/>
      <c r="M436" s="1112">
        <f t="shared" si="52"/>
        <v>0</v>
      </c>
      <c r="N436" s="868">
        <f t="shared" si="56"/>
        <v>0</v>
      </c>
      <c r="O436" s="880"/>
      <c r="P436" s="58" t="str">
        <f>IF(N432&gt;0,"xx",IF(N432&gt;0,"xy",""))</f>
        <v>xx</v>
      </c>
      <c r="Q436" s="317" t="str">
        <f t="shared" si="53"/>
        <v>x</v>
      </c>
      <c r="R436" s="317" t="str">
        <f t="shared" si="54"/>
        <v>x</v>
      </c>
      <c r="S436" s="317" t="str">
        <f t="shared" si="55"/>
        <v/>
      </c>
      <c r="T436" s="317" t="str">
        <f>'REF. DE PREÇOS n editavel'!S436</f>
        <v/>
      </c>
      <c r="W436" s="577">
        <v>0</v>
      </c>
      <c r="X436" s="575"/>
      <c r="Y436" s="578">
        <f>IF('REF. DE PREÇOS n editavel'!W436=0,0,IF('REF. DE PREÇOS n editavel'!W436&gt;0,"c","b"))</f>
        <v>0</v>
      </c>
    </row>
    <row r="437" spans="1:25" ht="13.5" thickBot="1">
      <c r="A437" s="317">
        <v>589000</v>
      </c>
      <c r="B437" s="978" t="str">
        <f>'REF. DE PREÇOS n editavel'!B437</f>
        <v>589000K</v>
      </c>
      <c r="C437" s="958" t="str">
        <f>'REF. DE PREÇOS n editavel'!C437</f>
        <v>DER mat</v>
      </c>
      <c r="D437" s="986" t="str">
        <f>'REF. DE PREÇOS n editavel'!D437</f>
        <v>Fornecimento de CAP - CBUQ (Quantidade menor que 10.000 ton)</v>
      </c>
      <c r="E437" s="979">
        <f>'REF. DE PREÇOS n editavel'!E437</f>
        <v>468</v>
      </c>
      <c r="F437" s="980">
        <f>'REF. DE PREÇOS n editavel'!F437</f>
        <v>1</v>
      </c>
      <c r="G437" s="923">
        <f>'REF. DE PREÇOS n editavel'!G437</f>
        <v>485.97999999999996</v>
      </c>
      <c r="H437" s="962">
        <f>'REF. DE PREÇOS n editavel'!H437</f>
        <v>4828.8599999999997</v>
      </c>
      <c r="I437" s="962">
        <f>'REF. DE PREÇOS n editavel'!I437</f>
        <v>5163.1232400589097</v>
      </c>
      <c r="J437" s="963">
        <f>'REF. DE PREÇOS n editavel'!J437</f>
        <v>6310.37</v>
      </c>
      <c r="K437" s="964" t="s">
        <v>14</v>
      </c>
      <c r="L437" s="1109">
        <f>ROUND(L432*$F432,2)</f>
        <v>548.34</v>
      </c>
      <c r="M437" s="1114">
        <f t="shared" si="52"/>
        <v>6310.37</v>
      </c>
      <c r="N437" s="967">
        <f t="shared" si="56"/>
        <v>3460228.29</v>
      </c>
      <c r="O437" s="880"/>
      <c r="P437" s="58" t="str">
        <f>IF(N432&gt;0,"xx",IF(N432&gt;0,"xy",""))</f>
        <v>xx</v>
      </c>
      <c r="Q437" s="317" t="str">
        <f t="shared" si="53"/>
        <v>x</v>
      </c>
      <c r="R437" s="317" t="str">
        <f t="shared" si="54"/>
        <v>x</v>
      </c>
      <c r="S437" s="317" t="str">
        <f t="shared" si="55"/>
        <v>x</v>
      </c>
      <c r="T437" s="317" t="str">
        <f>'REF. DE PREÇOS n editavel'!S437</f>
        <v>x</v>
      </c>
      <c r="W437" s="577">
        <v>0</v>
      </c>
      <c r="X437" s="575"/>
      <c r="Y437" s="578">
        <f>IF('REF. DE PREÇOS n editavel'!W437=0,0,IF('REF. DE PREÇOS n editavel'!W437&gt;0,"c","b"))</f>
        <v>0</v>
      </c>
    </row>
    <row r="438" spans="1:25">
      <c r="A438" s="317">
        <v>570000</v>
      </c>
      <c r="B438" s="973" t="str">
        <f>'REF. DE PREÇOS n editavel'!B438</f>
        <v>570000D</v>
      </c>
      <c r="C438" s="974" t="str">
        <f>'REF. DE PREÇOS n editavel'!C438</f>
        <v>DER</v>
      </c>
      <c r="D438" s="998" t="str">
        <f>'REF. DE PREÇOS n editavel'!D438</f>
        <v>CBUQ - Novos traços - TRAÇO 4 - FAIXA "C" - (Quant. menor que 10.000 ton)</v>
      </c>
      <c r="E438" s="948" t="str">
        <f>'REF. DE PREÇOS n editavel'!E438</f>
        <v>taxa CAP</v>
      </c>
      <c r="F438" s="999">
        <f>'REF. DE PREÇOS n editavel'!F438</f>
        <v>5.1999999999999998E-2</v>
      </c>
      <c r="G438" s="950">
        <f>'REF. DE PREÇOS n editavel'!G438</f>
        <v>89.992899400000013</v>
      </c>
      <c r="H438" s="951">
        <f>'REF. DE PREÇOS n editavel'!H438</f>
        <v>187.41</v>
      </c>
      <c r="I438" s="951">
        <f>'REF. DE PREÇOS n editavel'!I438</f>
        <v>277.40289940000002</v>
      </c>
      <c r="J438" s="952">
        <f>'REF. DE PREÇOS n editavel'!J438</f>
        <v>339.04</v>
      </c>
      <c r="K438" s="953" t="s">
        <v>14</v>
      </c>
      <c r="L438" s="1107"/>
      <c r="M438" s="1108">
        <f t="shared" ref="M438:M443" si="57">IF(L438=0,0,ROUND(J438,2))</f>
        <v>0</v>
      </c>
      <c r="N438" s="956">
        <f t="shared" si="56"/>
        <v>0</v>
      </c>
      <c r="O438" s="880"/>
      <c r="Q438" s="317" t="str">
        <f t="shared" ref="Q438:Q443" si="58">IF(P438="X","x",IF(P438="xx","x",IF(P438="xy","x",IF(P438="y","x",IF(OR(N438&gt;0,N438&gt;0),"x","")))))</f>
        <v/>
      </c>
      <c r="R438" s="317" t="str">
        <f t="shared" ref="R438:R443" si="59">IF(P438="X","x",IF(P438="y","x",IF(P438="xx","x",IF(N438&gt;0,"x",""))))</f>
        <v/>
      </c>
      <c r="S438" s="317" t="str">
        <f t="shared" ref="S438:S443" si="60">IF(P438="X","x",IF(N438&gt;0,"x",""))</f>
        <v/>
      </c>
      <c r="T438" s="317" t="str">
        <f>'REF. DE PREÇOS n editavel'!S438</f>
        <v/>
      </c>
      <c r="W438" s="577">
        <v>0</v>
      </c>
      <c r="X438" s="575"/>
      <c r="Y438" s="578">
        <f>IF('REF. DE PREÇOS n editavel'!W438=0,0,IF('REF. DE PREÇOS n editavel'!W438&gt;0,"c","b"))</f>
        <v>0</v>
      </c>
    </row>
    <row r="439" spans="1:25">
      <c r="A439" s="317" t="s">
        <v>147</v>
      </c>
      <c r="B439" s="870" t="str">
        <f>'REF. DE PREÇOS n editavel'!B439</f>
        <v>transporte</v>
      </c>
      <c r="C439" s="871">
        <f>'REF. DE PREÇOS n editavel'!C439</f>
        <v>0</v>
      </c>
      <c r="D439" s="931" t="str">
        <f>'REF. DE PREÇOS n editavel'!D439</f>
        <v>Areia</v>
      </c>
      <c r="E439" s="882">
        <f>'REF. DE PREÇOS n editavel'!E439</f>
        <v>290</v>
      </c>
      <c r="F439" s="1242">
        <f>'REF. DE PREÇOS n editavel'!F439</f>
        <v>9.5500000000000002E-2</v>
      </c>
      <c r="G439" s="923">
        <f>'REF. DE PREÇOS n editavel'!G439</f>
        <v>29.889590000000002</v>
      </c>
      <c r="H439" s="876">
        <f>'REF. DE PREÇOS n editavel'!H439</f>
        <v>0</v>
      </c>
      <c r="I439" s="876">
        <f>'REF. DE PREÇOS n editavel'!I439</f>
        <v>0</v>
      </c>
      <c r="J439" s="877">
        <f>'REF. DE PREÇOS n editavel'!J439</f>
        <v>0</v>
      </c>
      <c r="K439" s="878" t="s">
        <v>506</v>
      </c>
      <c r="L439" s="977"/>
      <c r="M439" s="1112">
        <f t="shared" si="57"/>
        <v>0</v>
      </c>
      <c r="N439" s="868">
        <f t="shared" ref="N439:N444" si="61">IF(ISBLANK(L439),0,IF(W439=0,ROUND(L439*M439,2),IF(W439="b",ROUNDDOWN(L439*M439,2),ROUNDUP(L439*M439,2))))</f>
        <v>0</v>
      </c>
      <c r="O439" s="880"/>
      <c r="P439" s="58" t="str">
        <f>IF(N438&gt;0,"xx",IF(N438&gt;0,"xy",""))</f>
        <v/>
      </c>
      <c r="Q439" s="317" t="str">
        <f t="shared" si="58"/>
        <v/>
      </c>
      <c r="R439" s="317" t="str">
        <f t="shared" si="59"/>
        <v/>
      </c>
      <c r="S439" s="317" t="str">
        <f t="shared" si="60"/>
        <v/>
      </c>
      <c r="T439" s="317" t="str">
        <f>'REF. DE PREÇOS n editavel'!S439</f>
        <v/>
      </c>
      <c r="W439" s="577">
        <v>0</v>
      </c>
      <c r="X439" s="575"/>
      <c r="Y439" s="578">
        <f>IF('REF. DE PREÇOS n editavel'!W439=0,0,IF('REF. DE PREÇOS n editavel'!W439&gt;0,"c","b"))</f>
        <v>0</v>
      </c>
    </row>
    <row r="440" spans="1:25">
      <c r="A440" s="317" t="s">
        <v>147</v>
      </c>
      <c r="B440" s="870" t="str">
        <f>'REF. DE PREÇOS n editavel'!B440</f>
        <v>transporte</v>
      </c>
      <c r="C440" s="871">
        <f>'REF. DE PREÇOS n editavel'!C440</f>
        <v>0</v>
      </c>
      <c r="D440" s="931" t="str">
        <f>'REF. DE PREÇOS n editavel'!D440</f>
        <v>Cal Hidratada CH-1</v>
      </c>
      <c r="E440" s="882">
        <f>'REF. DE PREÇOS n editavel'!E440</f>
        <v>445</v>
      </c>
      <c r="F440" s="1242">
        <f>'REF. DE PREÇOS n editavel'!F440</f>
        <v>1.44E-2</v>
      </c>
      <c r="G440" s="884">
        <f>'REF. DE PREÇOS n editavel'!G440</f>
        <v>5.1108479999999998</v>
      </c>
      <c r="H440" s="876">
        <f>'REF. DE PREÇOS n editavel'!H440</f>
        <v>0</v>
      </c>
      <c r="I440" s="876">
        <f>'REF. DE PREÇOS n editavel'!I440</f>
        <v>0</v>
      </c>
      <c r="J440" s="877">
        <f>'REF. DE PREÇOS n editavel'!J440</f>
        <v>0</v>
      </c>
      <c r="K440" s="878" t="s">
        <v>506</v>
      </c>
      <c r="L440" s="977"/>
      <c r="M440" s="1112">
        <f t="shared" si="57"/>
        <v>0</v>
      </c>
      <c r="N440" s="868">
        <f t="shared" si="61"/>
        <v>0</v>
      </c>
      <c r="O440" s="880"/>
      <c r="P440" s="58" t="str">
        <f>IF(N438&gt;0,"xx",IF(N438&gt;0,"xy",""))</f>
        <v/>
      </c>
      <c r="Q440" s="317" t="str">
        <f t="shared" si="58"/>
        <v/>
      </c>
      <c r="R440" s="317" t="str">
        <f t="shared" si="59"/>
        <v/>
      </c>
      <c r="S440" s="317" t="str">
        <f t="shared" si="60"/>
        <v/>
      </c>
      <c r="T440" s="317" t="str">
        <f>'REF. DE PREÇOS n editavel'!S440</f>
        <v/>
      </c>
      <c r="W440" s="577">
        <v>0</v>
      </c>
      <c r="X440" s="575"/>
      <c r="Y440" s="578">
        <f>IF('REF. DE PREÇOS n editavel'!W440=0,0,IF('REF. DE PREÇOS n editavel'!W440&gt;0,"c","b"))</f>
        <v>0</v>
      </c>
    </row>
    <row r="441" spans="1:25">
      <c r="A441" s="317" t="s">
        <v>147</v>
      </c>
      <c r="B441" s="870" t="str">
        <f>'REF. DE PREÇOS n editavel'!B441</f>
        <v>transporte</v>
      </c>
      <c r="C441" s="871">
        <f>'REF. DE PREÇOS n editavel'!C441</f>
        <v>0</v>
      </c>
      <c r="D441" s="931" t="str">
        <f>'REF. DE PREÇOS n editavel'!D441</f>
        <v>Brita ( usina )</v>
      </c>
      <c r="E441" s="882">
        <f>'REF. DE PREÇOS n editavel'!E441</f>
        <v>0.2</v>
      </c>
      <c r="F441" s="1242">
        <f>'REF. DE PREÇOS n editavel'!F441</f>
        <v>0.83809999999999996</v>
      </c>
      <c r="G441" s="923">
        <f>'REF. DE PREÇOS n editavel'!G441</f>
        <v>2.4254614000000001</v>
      </c>
      <c r="H441" s="876">
        <f>'REF. DE PREÇOS n editavel'!H441</f>
        <v>0</v>
      </c>
      <c r="I441" s="876">
        <f>'REF. DE PREÇOS n editavel'!I441</f>
        <v>0</v>
      </c>
      <c r="J441" s="877">
        <f>'REF. DE PREÇOS n editavel'!J441</f>
        <v>0</v>
      </c>
      <c r="K441" s="878" t="s">
        <v>506</v>
      </c>
      <c r="L441" s="977"/>
      <c r="M441" s="1112">
        <f t="shared" si="57"/>
        <v>0</v>
      </c>
      <c r="N441" s="868">
        <f t="shared" si="61"/>
        <v>0</v>
      </c>
      <c r="O441" s="880"/>
      <c r="P441" s="58" t="str">
        <f>IF(N438&gt;0,"xx",IF(N438&gt;0,"xy",""))</f>
        <v/>
      </c>
      <c r="Q441" s="317" t="str">
        <f t="shared" si="58"/>
        <v/>
      </c>
      <c r="R441" s="317" t="str">
        <f t="shared" si="59"/>
        <v/>
      </c>
      <c r="S441" s="317" t="str">
        <f t="shared" si="60"/>
        <v/>
      </c>
      <c r="T441" s="317" t="str">
        <f>'REF. DE PREÇOS n editavel'!S441</f>
        <v/>
      </c>
      <c r="W441" s="577">
        <v>0</v>
      </c>
      <c r="X441" s="575"/>
      <c r="Y441" s="578">
        <f>IF('REF. DE PREÇOS n editavel'!W441=0,0,IF('REF. DE PREÇOS n editavel'!W441&gt;0,"c","b"))</f>
        <v>0</v>
      </c>
    </row>
    <row r="442" spans="1:25">
      <c r="A442" s="317" t="s">
        <v>147</v>
      </c>
      <c r="B442" s="870" t="str">
        <f>'REF. DE PREÇOS n editavel'!B442</f>
        <v>transporte</v>
      </c>
      <c r="C442" s="871">
        <f>'REF. DE PREÇOS n editavel'!C442</f>
        <v>0</v>
      </c>
      <c r="D442" s="931" t="str">
        <f>'REF. DE PREÇOS n editavel'!D442</f>
        <v>Massa</v>
      </c>
      <c r="E442" s="882">
        <f>'REF. DE PREÇOS n editavel'!E442</f>
        <v>43.1</v>
      </c>
      <c r="F442" s="883">
        <f>'REF. DE PREÇOS n editavel'!F442</f>
        <v>1</v>
      </c>
      <c r="G442" s="887">
        <f>'REF. DE PREÇOS n editavel'!G442</f>
        <v>52.567000000000007</v>
      </c>
      <c r="H442" s="876">
        <f>'REF. DE PREÇOS n editavel'!H442</f>
        <v>0</v>
      </c>
      <c r="I442" s="876">
        <f>'REF. DE PREÇOS n editavel'!I442</f>
        <v>0</v>
      </c>
      <c r="J442" s="877">
        <f>'REF. DE PREÇOS n editavel'!J442</f>
        <v>0</v>
      </c>
      <c r="K442" s="878" t="s">
        <v>506</v>
      </c>
      <c r="L442" s="977"/>
      <c r="M442" s="1112">
        <f t="shared" si="57"/>
        <v>0</v>
      </c>
      <c r="N442" s="868">
        <f t="shared" si="61"/>
        <v>0</v>
      </c>
      <c r="O442" s="880"/>
      <c r="P442" s="58" t="str">
        <f>IF(N438&gt;0,"xx",IF(N438&gt;0,"xy",""))</f>
        <v/>
      </c>
      <c r="Q442" s="317" t="str">
        <f t="shared" si="58"/>
        <v/>
      </c>
      <c r="R442" s="317" t="str">
        <f t="shared" si="59"/>
        <v/>
      </c>
      <c r="S442" s="317" t="str">
        <f t="shared" si="60"/>
        <v/>
      </c>
      <c r="T442" s="317" t="str">
        <f>'REF. DE PREÇOS n editavel'!S442</f>
        <v/>
      </c>
      <c r="W442" s="577">
        <v>0</v>
      </c>
      <c r="X442" s="575"/>
      <c r="Y442" s="578">
        <f>IF('REF. DE PREÇOS n editavel'!W442=0,0,IF('REF. DE PREÇOS n editavel'!W442&gt;0,"c","b"))</f>
        <v>0</v>
      </c>
    </row>
    <row r="443" spans="1:25" ht="13.5" thickBot="1">
      <c r="A443" s="317">
        <v>589000</v>
      </c>
      <c r="B443" s="978" t="str">
        <f>'REF. DE PREÇOS n editavel'!B443</f>
        <v>589000K</v>
      </c>
      <c r="C443" s="958" t="str">
        <f>'REF. DE PREÇOS n editavel'!C443</f>
        <v>DER mat</v>
      </c>
      <c r="D443" s="986" t="str">
        <f>'REF. DE PREÇOS n editavel'!D443</f>
        <v>Fornecimento de CAP - CBUQ (Quantidade menor que 10.000 ton)</v>
      </c>
      <c r="E443" s="979">
        <f>'REF. DE PREÇOS n editavel'!E443</f>
        <v>468</v>
      </c>
      <c r="F443" s="980">
        <f>'REF. DE PREÇOS n editavel'!F443</f>
        <v>1</v>
      </c>
      <c r="G443" s="923">
        <f>'REF. DE PREÇOS n editavel'!G443</f>
        <v>485.97999999999996</v>
      </c>
      <c r="H443" s="962">
        <f>'REF. DE PREÇOS n editavel'!H443</f>
        <v>4828.8599999999997</v>
      </c>
      <c r="I443" s="962">
        <f>'REF. DE PREÇOS n editavel'!I443</f>
        <v>5163.1232400589097</v>
      </c>
      <c r="J443" s="963">
        <f>'REF. DE PREÇOS n editavel'!J443</f>
        <v>6310.37</v>
      </c>
      <c r="K443" s="964" t="s">
        <v>14</v>
      </c>
      <c r="L443" s="1109">
        <f>ROUND(L438*$F438,2)</f>
        <v>0</v>
      </c>
      <c r="M443" s="1114">
        <f t="shared" si="57"/>
        <v>0</v>
      </c>
      <c r="N443" s="967">
        <f t="shared" si="61"/>
        <v>0</v>
      </c>
      <c r="O443" s="880"/>
      <c r="P443" s="58" t="str">
        <f>IF(N438&gt;0,"xx",IF(N438&gt;0,"xy",""))</f>
        <v/>
      </c>
      <c r="Q443" s="317" t="str">
        <f t="shared" si="58"/>
        <v/>
      </c>
      <c r="R443" s="317" t="str">
        <f t="shared" si="59"/>
        <v/>
      </c>
      <c r="S443" s="317" t="str">
        <f t="shared" si="60"/>
        <v/>
      </c>
      <c r="T443" s="317" t="str">
        <f>'REF. DE PREÇOS n editavel'!S443</f>
        <v/>
      </c>
      <c r="W443" s="577">
        <v>0</v>
      </c>
      <c r="X443" s="575"/>
      <c r="Y443" s="578">
        <f>IF('REF. DE PREÇOS n editavel'!W443=0,0,IF('REF. DE PREÇOS n editavel'!W443&gt;0,"c","b"))</f>
        <v>0</v>
      </c>
    </row>
    <row r="444" spans="1:25">
      <c r="A444" s="317">
        <v>570000</v>
      </c>
      <c r="B444" s="973" t="str">
        <f>'REF. DE PREÇOS n editavel'!B444</f>
        <v>570000D</v>
      </c>
      <c r="C444" s="974" t="str">
        <f>'REF. DE PREÇOS n editavel'!C444</f>
        <v>DER</v>
      </c>
      <c r="D444" s="998" t="str">
        <f>'REF. DE PREÇOS n editavel'!D444</f>
        <v>CBUQ - Novos traços - TRAÇO 5 - FAIXA "C" - (Quant. menor que 10.000 ton)</v>
      </c>
      <c r="E444" s="948" t="str">
        <f>'REF. DE PREÇOS n editavel'!E444</f>
        <v>taxa CAP</v>
      </c>
      <c r="F444" s="999">
        <f>'REF. DE PREÇOS n editavel'!F444</f>
        <v>5.0999999999999997E-2</v>
      </c>
      <c r="G444" s="950">
        <f>'REF. DE PREÇOS n editavel'!G444</f>
        <v>90.026802000000004</v>
      </c>
      <c r="H444" s="951">
        <f>'REF. DE PREÇOS n editavel'!H444</f>
        <v>187.41</v>
      </c>
      <c r="I444" s="951">
        <f>'REF. DE PREÇOS n editavel'!I444</f>
        <v>277.436802</v>
      </c>
      <c r="J444" s="952">
        <f>'REF. DE PREÇOS n editavel'!J444</f>
        <v>339.08</v>
      </c>
      <c r="K444" s="953" t="s">
        <v>14</v>
      </c>
      <c r="L444" s="1107"/>
      <c r="M444" s="1108">
        <f t="shared" ref="M444:M455" si="62">IF(L444=0,0,ROUND(J444,2))</f>
        <v>0</v>
      </c>
      <c r="N444" s="956">
        <f t="shared" si="61"/>
        <v>0</v>
      </c>
      <c r="O444" s="880"/>
      <c r="Q444" s="317" t="str">
        <f t="shared" ref="Q444:Q455" si="63">IF(P444="X","x",IF(P444="xx","x",IF(P444="xy","x",IF(P444="y","x",IF(OR(N444&gt;0,N444&gt;0),"x","")))))</f>
        <v/>
      </c>
      <c r="R444" s="317" t="str">
        <f t="shared" ref="R444:R455" si="64">IF(P444="X","x",IF(P444="y","x",IF(P444="xx","x",IF(N444&gt;0,"x",""))))</f>
        <v/>
      </c>
      <c r="S444" s="317" t="str">
        <f t="shared" ref="S444:S455" si="65">IF(P444="X","x",IF(N444&gt;0,"x",""))</f>
        <v/>
      </c>
      <c r="T444" s="317" t="str">
        <f>'REF. DE PREÇOS n editavel'!S444</f>
        <v/>
      </c>
      <c r="W444" s="577">
        <v>0</v>
      </c>
      <c r="X444" s="575"/>
      <c r="Y444" s="578">
        <f>IF('REF. DE PREÇOS n editavel'!W444=0,0,IF('REF. DE PREÇOS n editavel'!W444&gt;0,"c","b"))</f>
        <v>0</v>
      </c>
    </row>
    <row r="445" spans="1:25">
      <c r="A445" s="317" t="s">
        <v>147</v>
      </c>
      <c r="B445" s="870" t="str">
        <f>'REF. DE PREÇOS n editavel'!B445</f>
        <v>transporte</v>
      </c>
      <c r="C445" s="871">
        <f>'REF. DE PREÇOS n editavel'!C445</f>
        <v>0</v>
      </c>
      <c r="D445" s="931" t="str">
        <f>'REF. DE PREÇOS n editavel'!D445</f>
        <v>Areia</v>
      </c>
      <c r="E445" s="882">
        <f>'REF. DE PREÇOS n editavel'!E445</f>
        <v>290</v>
      </c>
      <c r="F445" s="1242">
        <f>'REF. DE PREÇOS n editavel'!F445</f>
        <v>9.5600000000000004E-2</v>
      </c>
      <c r="G445" s="923">
        <f>'REF. DE PREÇOS n editavel'!G445</f>
        <v>29.920888000000001</v>
      </c>
      <c r="H445" s="876">
        <f>'REF. DE PREÇOS n editavel'!H445</f>
        <v>0</v>
      </c>
      <c r="I445" s="876">
        <f>'REF. DE PREÇOS n editavel'!I445</f>
        <v>0</v>
      </c>
      <c r="J445" s="877">
        <f>'REF. DE PREÇOS n editavel'!J445</f>
        <v>0</v>
      </c>
      <c r="K445" s="878" t="s">
        <v>506</v>
      </c>
      <c r="L445" s="977"/>
      <c r="M445" s="1112">
        <f t="shared" si="62"/>
        <v>0</v>
      </c>
      <c r="N445" s="868">
        <f t="shared" ref="N445:N456" si="66">IF(ISBLANK(L445),0,IF(W445=0,ROUND(L445*M445,2),IF(W445="b",ROUNDDOWN(L445*M445,2),ROUNDUP(L445*M445,2))))</f>
        <v>0</v>
      </c>
      <c r="O445" s="880"/>
      <c r="P445" s="58" t="str">
        <f>IF(N444&gt;0,"xx",IF(N444&gt;0,"xy",""))</f>
        <v/>
      </c>
      <c r="Q445" s="317" t="str">
        <f t="shared" si="63"/>
        <v/>
      </c>
      <c r="R445" s="317" t="str">
        <f t="shared" si="64"/>
        <v/>
      </c>
      <c r="S445" s="317" t="str">
        <f t="shared" si="65"/>
        <v/>
      </c>
      <c r="T445" s="317" t="str">
        <f>'REF. DE PREÇOS n editavel'!S445</f>
        <v/>
      </c>
      <c r="W445" s="577">
        <v>0</v>
      </c>
      <c r="X445" s="575"/>
      <c r="Y445" s="578">
        <f>IF('REF. DE PREÇOS n editavel'!W445=0,0,IF('REF. DE PREÇOS n editavel'!W445&gt;0,"c","b"))</f>
        <v>0</v>
      </c>
    </row>
    <row r="446" spans="1:25">
      <c r="A446" s="317" t="s">
        <v>147</v>
      </c>
      <c r="B446" s="870" t="str">
        <f>'REF. DE PREÇOS n editavel'!B446</f>
        <v>transporte</v>
      </c>
      <c r="C446" s="871">
        <f>'REF. DE PREÇOS n editavel'!C446</f>
        <v>0</v>
      </c>
      <c r="D446" s="931" t="str">
        <f>'REF. DE PREÇOS n editavel'!D446</f>
        <v>Cal Hidratada CH-1</v>
      </c>
      <c r="E446" s="882">
        <f>'REF. DE PREÇOS n editavel'!E446</f>
        <v>445</v>
      </c>
      <c r="F446" s="1242">
        <f>'REF. DE PREÇOS n editavel'!F446</f>
        <v>1.44E-2</v>
      </c>
      <c r="G446" s="884">
        <f>'REF. DE PREÇOS n editavel'!G446</f>
        <v>5.1108479999999998</v>
      </c>
      <c r="H446" s="876">
        <f>'REF. DE PREÇOS n editavel'!H446</f>
        <v>0</v>
      </c>
      <c r="I446" s="876">
        <f>'REF. DE PREÇOS n editavel'!I446</f>
        <v>0</v>
      </c>
      <c r="J446" s="877">
        <f>'REF. DE PREÇOS n editavel'!J446</f>
        <v>0</v>
      </c>
      <c r="K446" s="878" t="s">
        <v>506</v>
      </c>
      <c r="L446" s="977"/>
      <c r="M446" s="1112">
        <f t="shared" si="62"/>
        <v>0</v>
      </c>
      <c r="N446" s="868">
        <f t="shared" si="66"/>
        <v>0</v>
      </c>
      <c r="O446" s="880"/>
      <c r="P446" s="58" t="str">
        <f>IF(N444&gt;0,"xx",IF(N444&gt;0,"xy",""))</f>
        <v/>
      </c>
      <c r="Q446" s="317" t="str">
        <f t="shared" si="63"/>
        <v/>
      </c>
      <c r="R446" s="317" t="str">
        <f t="shared" si="64"/>
        <v/>
      </c>
      <c r="S446" s="317" t="str">
        <f t="shared" si="65"/>
        <v/>
      </c>
      <c r="T446" s="317" t="str">
        <f>'REF. DE PREÇOS n editavel'!S446</f>
        <v/>
      </c>
      <c r="W446" s="577">
        <v>0</v>
      </c>
      <c r="X446" s="575"/>
      <c r="Y446" s="578">
        <f>IF('REF. DE PREÇOS n editavel'!W446=0,0,IF('REF. DE PREÇOS n editavel'!W446&gt;0,"c","b"))</f>
        <v>0</v>
      </c>
    </row>
    <row r="447" spans="1:25">
      <c r="A447" s="317" t="s">
        <v>147</v>
      </c>
      <c r="B447" s="870" t="str">
        <f>'REF. DE PREÇOS n editavel'!B447</f>
        <v>transporte</v>
      </c>
      <c r="C447" s="871">
        <f>'REF. DE PREÇOS n editavel'!C447</f>
        <v>0</v>
      </c>
      <c r="D447" s="931" t="str">
        <f>'REF. DE PREÇOS n editavel'!D447</f>
        <v>Brita ( usina )</v>
      </c>
      <c r="E447" s="882">
        <f>'REF. DE PREÇOS n editavel'!E447</f>
        <v>0.2</v>
      </c>
      <c r="F447" s="1242">
        <f>'REF. DE PREÇOS n editavel'!F447</f>
        <v>0.83899999999999997</v>
      </c>
      <c r="G447" s="923">
        <f>'REF. DE PREÇOS n editavel'!G447</f>
        <v>2.4280659999999998</v>
      </c>
      <c r="H447" s="876">
        <f>'REF. DE PREÇOS n editavel'!H447</f>
        <v>0</v>
      </c>
      <c r="I447" s="876">
        <f>'REF. DE PREÇOS n editavel'!I447</f>
        <v>0</v>
      </c>
      <c r="J447" s="877">
        <f>'REF. DE PREÇOS n editavel'!J447</f>
        <v>0</v>
      </c>
      <c r="K447" s="878" t="s">
        <v>506</v>
      </c>
      <c r="L447" s="977"/>
      <c r="M447" s="1112">
        <f t="shared" si="62"/>
        <v>0</v>
      </c>
      <c r="N447" s="868">
        <f t="shared" si="66"/>
        <v>0</v>
      </c>
      <c r="O447" s="880"/>
      <c r="P447" s="58" t="str">
        <f>IF(N444&gt;0,"xx",IF(N444&gt;0,"xy",""))</f>
        <v/>
      </c>
      <c r="Q447" s="317" t="str">
        <f t="shared" si="63"/>
        <v/>
      </c>
      <c r="R447" s="317" t="str">
        <f t="shared" si="64"/>
        <v/>
      </c>
      <c r="S447" s="317" t="str">
        <f t="shared" si="65"/>
        <v/>
      </c>
      <c r="T447" s="317" t="str">
        <f>'REF. DE PREÇOS n editavel'!S447</f>
        <v/>
      </c>
      <c r="W447" s="577">
        <v>0</v>
      </c>
      <c r="X447" s="575"/>
      <c r="Y447" s="578">
        <f>IF('REF. DE PREÇOS n editavel'!W447=0,0,IF('REF. DE PREÇOS n editavel'!W447&gt;0,"c","b"))</f>
        <v>0</v>
      </c>
    </row>
    <row r="448" spans="1:25">
      <c r="A448" s="317" t="s">
        <v>147</v>
      </c>
      <c r="B448" s="870" t="str">
        <f>'REF. DE PREÇOS n editavel'!B448</f>
        <v>transporte</v>
      </c>
      <c r="C448" s="871">
        <f>'REF. DE PREÇOS n editavel'!C448</f>
        <v>0</v>
      </c>
      <c r="D448" s="931" t="str">
        <f>'REF. DE PREÇOS n editavel'!D448</f>
        <v>Massa</v>
      </c>
      <c r="E448" s="882">
        <f>'REF. DE PREÇOS n editavel'!E448</f>
        <v>43.1</v>
      </c>
      <c r="F448" s="883">
        <f>'REF. DE PREÇOS n editavel'!F448</f>
        <v>1</v>
      </c>
      <c r="G448" s="887">
        <f>'REF. DE PREÇOS n editavel'!G448</f>
        <v>52.567000000000007</v>
      </c>
      <c r="H448" s="876">
        <f>'REF. DE PREÇOS n editavel'!H448</f>
        <v>0</v>
      </c>
      <c r="I448" s="876">
        <f>'REF. DE PREÇOS n editavel'!I448</f>
        <v>0</v>
      </c>
      <c r="J448" s="877">
        <f>'REF. DE PREÇOS n editavel'!J448</f>
        <v>0</v>
      </c>
      <c r="K448" s="878" t="s">
        <v>506</v>
      </c>
      <c r="L448" s="977"/>
      <c r="M448" s="1112">
        <f t="shared" si="62"/>
        <v>0</v>
      </c>
      <c r="N448" s="868">
        <f t="shared" si="66"/>
        <v>0</v>
      </c>
      <c r="O448" s="880"/>
      <c r="P448" s="58" t="str">
        <f>IF(N444&gt;0,"xx",IF(N444&gt;0,"xy",""))</f>
        <v/>
      </c>
      <c r="Q448" s="317" t="str">
        <f t="shared" si="63"/>
        <v/>
      </c>
      <c r="R448" s="317" t="str">
        <f t="shared" si="64"/>
        <v/>
      </c>
      <c r="S448" s="317" t="str">
        <f t="shared" si="65"/>
        <v/>
      </c>
      <c r="T448" s="317" t="str">
        <f>'REF. DE PREÇOS n editavel'!S448</f>
        <v/>
      </c>
      <c r="W448" s="577">
        <v>0</v>
      </c>
      <c r="X448" s="575"/>
      <c r="Y448" s="578">
        <f>IF('REF. DE PREÇOS n editavel'!W448=0,0,IF('REF. DE PREÇOS n editavel'!W448&gt;0,"c","b"))</f>
        <v>0</v>
      </c>
    </row>
    <row r="449" spans="1:25" ht="13.5" thickBot="1">
      <c r="A449" s="317">
        <v>589000</v>
      </c>
      <c r="B449" s="978" t="str">
        <f>'REF. DE PREÇOS n editavel'!B449</f>
        <v>589000K</v>
      </c>
      <c r="C449" s="958" t="str">
        <f>'REF. DE PREÇOS n editavel'!C449</f>
        <v>DER mat</v>
      </c>
      <c r="D449" s="986" t="str">
        <f>'REF. DE PREÇOS n editavel'!D449</f>
        <v>Fornecimento de CAP - CBUQ (Quantidade menor que 10.000 ton)</v>
      </c>
      <c r="E449" s="979">
        <f>'REF. DE PREÇOS n editavel'!E449</f>
        <v>468</v>
      </c>
      <c r="F449" s="980">
        <f>'REF. DE PREÇOS n editavel'!F449</f>
        <v>1</v>
      </c>
      <c r="G449" s="923">
        <f>'REF. DE PREÇOS n editavel'!G449</f>
        <v>485.97999999999996</v>
      </c>
      <c r="H449" s="962">
        <f>'REF. DE PREÇOS n editavel'!H449</f>
        <v>4828.8599999999997</v>
      </c>
      <c r="I449" s="962">
        <f>'REF. DE PREÇOS n editavel'!I449</f>
        <v>5163.1232400589097</v>
      </c>
      <c r="J449" s="963">
        <f>'REF. DE PREÇOS n editavel'!J449</f>
        <v>6310.37</v>
      </c>
      <c r="K449" s="964" t="s">
        <v>14</v>
      </c>
      <c r="L449" s="1109">
        <f>ROUND(L444*$F444,2)</f>
        <v>0</v>
      </c>
      <c r="M449" s="1114">
        <f t="shared" si="62"/>
        <v>0</v>
      </c>
      <c r="N449" s="967">
        <f t="shared" si="66"/>
        <v>0</v>
      </c>
      <c r="O449" s="880"/>
      <c r="P449" s="58" t="str">
        <f>IF(N444&gt;0,"xx",IF(N444&gt;0,"xy",""))</f>
        <v/>
      </c>
      <c r="Q449" s="317" t="str">
        <f t="shared" si="63"/>
        <v/>
      </c>
      <c r="R449" s="317" t="str">
        <f t="shared" si="64"/>
        <v/>
      </c>
      <c r="S449" s="317" t="str">
        <f t="shared" si="65"/>
        <v/>
      </c>
      <c r="T449" s="317" t="str">
        <f>'REF. DE PREÇOS n editavel'!S449</f>
        <v/>
      </c>
      <c r="W449" s="577">
        <v>0</v>
      </c>
      <c r="X449" s="575"/>
      <c r="Y449" s="578">
        <f>IF('REF. DE PREÇOS n editavel'!W449=0,0,IF('REF. DE PREÇOS n editavel'!W449&gt;0,"c","b"))</f>
        <v>0</v>
      </c>
    </row>
    <row r="450" spans="1:25">
      <c r="A450" s="317">
        <v>570000</v>
      </c>
      <c r="B450" s="973" t="str">
        <f>'REF. DE PREÇOS n editavel'!B450</f>
        <v>570000D</v>
      </c>
      <c r="C450" s="974" t="str">
        <f>'REF. DE PREÇOS n editavel'!C450</f>
        <v>DER</v>
      </c>
      <c r="D450" s="998" t="str">
        <f>'REF. DE PREÇOS n editavel'!D450</f>
        <v>CBUQ - Novos traços - TRAÇO 6 - FAIXA "C" - (Quant. menor que 10.000 ton)</v>
      </c>
      <c r="E450" s="948" t="str">
        <f>'REF. DE PREÇOS n editavel'!E450</f>
        <v>taxa CAP</v>
      </c>
      <c r="F450" s="999">
        <f>'REF. DE PREÇOS n editavel'!F450</f>
        <v>5.2999999999999999E-2</v>
      </c>
      <c r="G450" s="950">
        <f>'REF. DE PREÇOS n editavel'!G450</f>
        <v>89.958996800000008</v>
      </c>
      <c r="H450" s="951">
        <f>'REF. DE PREÇOS n editavel'!H450</f>
        <v>187.41</v>
      </c>
      <c r="I450" s="951">
        <f>'REF. DE PREÇOS n editavel'!I450</f>
        <v>277.36899679999999</v>
      </c>
      <c r="J450" s="952">
        <f>'REF. DE PREÇOS n editavel'!J450</f>
        <v>339</v>
      </c>
      <c r="K450" s="953" t="s">
        <v>14</v>
      </c>
      <c r="L450" s="1107"/>
      <c r="M450" s="1108">
        <f t="shared" si="62"/>
        <v>0</v>
      </c>
      <c r="N450" s="956">
        <f t="shared" si="66"/>
        <v>0</v>
      </c>
      <c r="O450" s="880"/>
      <c r="Q450" s="317" t="str">
        <f t="shared" si="63"/>
        <v/>
      </c>
      <c r="R450" s="317" t="str">
        <f t="shared" si="64"/>
        <v/>
      </c>
      <c r="S450" s="317" t="str">
        <f t="shared" si="65"/>
        <v/>
      </c>
      <c r="T450" s="317" t="str">
        <f>'REF. DE PREÇOS n editavel'!S450</f>
        <v/>
      </c>
      <c r="W450" s="577">
        <v>0</v>
      </c>
      <c r="X450" s="575"/>
      <c r="Y450" s="578">
        <f>IF('REF. DE PREÇOS n editavel'!W450=0,0,IF('REF. DE PREÇOS n editavel'!W450&gt;0,"c","b"))</f>
        <v>0</v>
      </c>
    </row>
    <row r="451" spans="1:25">
      <c r="A451" s="317" t="s">
        <v>147</v>
      </c>
      <c r="B451" s="870" t="str">
        <f>'REF. DE PREÇOS n editavel'!B451</f>
        <v>transporte</v>
      </c>
      <c r="C451" s="871">
        <f>'REF. DE PREÇOS n editavel'!C451</f>
        <v>0</v>
      </c>
      <c r="D451" s="931" t="str">
        <f>'REF. DE PREÇOS n editavel'!D451</f>
        <v>Areia</v>
      </c>
      <c r="E451" s="882">
        <f>'REF. DE PREÇOS n editavel'!E451</f>
        <v>290</v>
      </c>
      <c r="F451" s="1242">
        <f>'REF. DE PREÇOS n editavel'!F451</f>
        <v>9.5399999999999999E-2</v>
      </c>
      <c r="G451" s="923">
        <f>'REF. DE PREÇOS n editavel'!G451</f>
        <v>29.858292000000002</v>
      </c>
      <c r="H451" s="876">
        <f>'REF. DE PREÇOS n editavel'!H451</f>
        <v>0</v>
      </c>
      <c r="I451" s="876">
        <f>'REF. DE PREÇOS n editavel'!I451</f>
        <v>0</v>
      </c>
      <c r="J451" s="877">
        <f>'REF. DE PREÇOS n editavel'!J451</f>
        <v>0</v>
      </c>
      <c r="K451" s="878" t="s">
        <v>506</v>
      </c>
      <c r="L451" s="977"/>
      <c r="M451" s="1112">
        <f t="shared" si="62"/>
        <v>0</v>
      </c>
      <c r="N451" s="868">
        <f t="shared" si="66"/>
        <v>0</v>
      </c>
      <c r="O451" s="880"/>
      <c r="P451" s="58" t="str">
        <f>IF(N450&gt;0,"xx",IF(N450&gt;0,"xy",""))</f>
        <v/>
      </c>
      <c r="Q451" s="317" t="str">
        <f t="shared" si="63"/>
        <v/>
      </c>
      <c r="R451" s="317" t="str">
        <f t="shared" si="64"/>
        <v/>
      </c>
      <c r="S451" s="317" t="str">
        <f t="shared" si="65"/>
        <v/>
      </c>
      <c r="T451" s="317" t="str">
        <f>'REF. DE PREÇOS n editavel'!S451</f>
        <v/>
      </c>
      <c r="W451" s="577">
        <v>0</v>
      </c>
      <c r="X451" s="575"/>
      <c r="Y451" s="578">
        <f>IF('REF. DE PREÇOS n editavel'!W451=0,0,IF('REF. DE PREÇOS n editavel'!W451&gt;0,"c","b"))</f>
        <v>0</v>
      </c>
    </row>
    <row r="452" spans="1:25">
      <c r="A452" s="317" t="s">
        <v>147</v>
      </c>
      <c r="B452" s="870" t="str">
        <f>'REF. DE PREÇOS n editavel'!B452</f>
        <v>transporte</v>
      </c>
      <c r="C452" s="871">
        <f>'REF. DE PREÇOS n editavel'!C452</f>
        <v>0</v>
      </c>
      <c r="D452" s="931" t="str">
        <f>'REF. DE PREÇOS n editavel'!D452</f>
        <v>Cal Hidratada CH-1</v>
      </c>
      <c r="E452" s="882">
        <f>'REF. DE PREÇOS n editavel'!E452</f>
        <v>445</v>
      </c>
      <c r="F452" s="1242">
        <f>'REF. DE PREÇOS n editavel'!F452</f>
        <v>1.44E-2</v>
      </c>
      <c r="G452" s="884">
        <f>'REF. DE PREÇOS n editavel'!G452</f>
        <v>5.1108479999999998</v>
      </c>
      <c r="H452" s="876">
        <f>'REF. DE PREÇOS n editavel'!H452</f>
        <v>0</v>
      </c>
      <c r="I452" s="876">
        <f>'REF. DE PREÇOS n editavel'!I452</f>
        <v>0</v>
      </c>
      <c r="J452" s="877">
        <f>'REF. DE PREÇOS n editavel'!J452</f>
        <v>0</v>
      </c>
      <c r="K452" s="878" t="s">
        <v>506</v>
      </c>
      <c r="L452" s="977"/>
      <c r="M452" s="1112">
        <f t="shared" si="62"/>
        <v>0</v>
      </c>
      <c r="N452" s="868">
        <f t="shared" si="66"/>
        <v>0</v>
      </c>
      <c r="O452" s="880"/>
      <c r="P452" s="58" t="str">
        <f>IF(N450&gt;0,"xx",IF(N450&gt;0,"xy",""))</f>
        <v/>
      </c>
      <c r="Q452" s="317" t="str">
        <f t="shared" si="63"/>
        <v/>
      </c>
      <c r="R452" s="317" t="str">
        <f t="shared" si="64"/>
        <v/>
      </c>
      <c r="S452" s="317" t="str">
        <f t="shared" si="65"/>
        <v/>
      </c>
      <c r="T452" s="317" t="str">
        <f>'REF. DE PREÇOS n editavel'!S452</f>
        <v/>
      </c>
      <c r="W452" s="577">
        <v>0</v>
      </c>
      <c r="X452" s="575"/>
      <c r="Y452" s="578">
        <f>IF('REF. DE PREÇOS n editavel'!W452=0,0,IF('REF. DE PREÇOS n editavel'!W452&gt;0,"c","b"))</f>
        <v>0</v>
      </c>
    </row>
    <row r="453" spans="1:25">
      <c r="A453" s="317" t="s">
        <v>147</v>
      </c>
      <c r="B453" s="870" t="str">
        <f>'REF. DE PREÇOS n editavel'!B453</f>
        <v>transporte</v>
      </c>
      <c r="C453" s="871">
        <f>'REF. DE PREÇOS n editavel'!C453</f>
        <v>0</v>
      </c>
      <c r="D453" s="931" t="str">
        <f>'REF. DE PREÇOS n editavel'!D453</f>
        <v>Brita ( usina )</v>
      </c>
      <c r="E453" s="882">
        <f>'REF. DE PREÇOS n editavel'!E453</f>
        <v>0.2</v>
      </c>
      <c r="F453" s="1242">
        <f>'REF. DE PREÇOS n editavel'!F453</f>
        <v>0.83720000000000006</v>
      </c>
      <c r="G453" s="923">
        <f>'REF. DE PREÇOS n editavel'!G453</f>
        <v>2.4228568000000004</v>
      </c>
      <c r="H453" s="876">
        <f>'REF. DE PREÇOS n editavel'!H453</f>
        <v>0</v>
      </c>
      <c r="I453" s="876">
        <f>'REF. DE PREÇOS n editavel'!I453</f>
        <v>0</v>
      </c>
      <c r="J453" s="877">
        <f>'REF. DE PREÇOS n editavel'!J453</f>
        <v>0</v>
      </c>
      <c r="K453" s="878" t="s">
        <v>506</v>
      </c>
      <c r="L453" s="977"/>
      <c r="M453" s="1112">
        <f t="shared" si="62"/>
        <v>0</v>
      </c>
      <c r="N453" s="868">
        <f t="shared" si="66"/>
        <v>0</v>
      </c>
      <c r="O453" s="880"/>
      <c r="P453" s="58" t="str">
        <f>IF(N450&gt;0,"xx",IF(N450&gt;0,"xy",""))</f>
        <v/>
      </c>
      <c r="Q453" s="317" t="str">
        <f t="shared" si="63"/>
        <v/>
      </c>
      <c r="R453" s="317" t="str">
        <f t="shared" si="64"/>
        <v/>
      </c>
      <c r="S453" s="317" t="str">
        <f t="shared" si="65"/>
        <v/>
      </c>
      <c r="T453" s="317" t="str">
        <f>'REF. DE PREÇOS n editavel'!S453</f>
        <v/>
      </c>
      <c r="W453" s="577">
        <v>0</v>
      </c>
      <c r="X453" s="575"/>
      <c r="Y453" s="578">
        <f>IF('REF. DE PREÇOS n editavel'!W453=0,0,IF('REF. DE PREÇOS n editavel'!W453&gt;0,"c","b"))</f>
        <v>0</v>
      </c>
    </row>
    <row r="454" spans="1:25">
      <c r="A454" s="317" t="s">
        <v>147</v>
      </c>
      <c r="B454" s="870" t="str">
        <f>'REF. DE PREÇOS n editavel'!B454</f>
        <v>transporte</v>
      </c>
      <c r="C454" s="871">
        <f>'REF. DE PREÇOS n editavel'!C454</f>
        <v>0</v>
      </c>
      <c r="D454" s="931" t="str">
        <f>'REF. DE PREÇOS n editavel'!D454</f>
        <v>Massa</v>
      </c>
      <c r="E454" s="882">
        <f>'REF. DE PREÇOS n editavel'!E454</f>
        <v>43.1</v>
      </c>
      <c r="F454" s="883">
        <f>'REF. DE PREÇOS n editavel'!F454</f>
        <v>1</v>
      </c>
      <c r="G454" s="887">
        <f>'REF. DE PREÇOS n editavel'!G454</f>
        <v>52.567000000000007</v>
      </c>
      <c r="H454" s="876">
        <f>'REF. DE PREÇOS n editavel'!H454</f>
        <v>0</v>
      </c>
      <c r="I454" s="876">
        <f>'REF. DE PREÇOS n editavel'!I454</f>
        <v>0</v>
      </c>
      <c r="J454" s="877">
        <f>'REF. DE PREÇOS n editavel'!J454</f>
        <v>0</v>
      </c>
      <c r="K454" s="878" t="s">
        <v>506</v>
      </c>
      <c r="L454" s="977"/>
      <c r="M454" s="1112">
        <f t="shared" si="62"/>
        <v>0</v>
      </c>
      <c r="N454" s="868">
        <f t="shared" si="66"/>
        <v>0</v>
      </c>
      <c r="O454" s="880"/>
      <c r="P454" s="58" t="str">
        <f>IF(N450&gt;0,"xx",IF(N450&gt;0,"xy",""))</f>
        <v/>
      </c>
      <c r="Q454" s="317" t="str">
        <f t="shared" si="63"/>
        <v/>
      </c>
      <c r="R454" s="317" t="str">
        <f t="shared" si="64"/>
        <v/>
      </c>
      <c r="S454" s="317" t="str">
        <f t="shared" si="65"/>
        <v/>
      </c>
      <c r="T454" s="317" t="str">
        <f>'REF. DE PREÇOS n editavel'!S454</f>
        <v/>
      </c>
      <c r="W454" s="577">
        <v>0</v>
      </c>
      <c r="X454" s="575"/>
      <c r="Y454" s="578">
        <f>IF('REF. DE PREÇOS n editavel'!W454=0,0,IF('REF. DE PREÇOS n editavel'!W454&gt;0,"c","b"))</f>
        <v>0</v>
      </c>
    </row>
    <row r="455" spans="1:25" ht="13.5" thickBot="1">
      <c r="A455" s="317">
        <v>589000</v>
      </c>
      <c r="B455" s="978" t="str">
        <f>'REF. DE PREÇOS n editavel'!B455</f>
        <v>589000K</v>
      </c>
      <c r="C455" s="958" t="str">
        <f>'REF. DE PREÇOS n editavel'!C455</f>
        <v>DER mat</v>
      </c>
      <c r="D455" s="986" t="str">
        <f>'REF. DE PREÇOS n editavel'!D455</f>
        <v>Fornecimento de CAP - CBUQ (Quantidade menor que 10.000 ton)</v>
      </c>
      <c r="E455" s="979">
        <f>'REF. DE PREÇOS n editavel'!E455</f>
        <v>468</v>
      </c>
      <c r="F455" s="980">
        <f>'REF. DE PREÇOS n editavel'!F455</f>
        <v>1</v>
      </c>
      <c r="G455" s="923">
        <f>'REF. DE PREÇOS n editavel'!G455</f>
        <v>485.97999999999996</v>
      </c>
      <c r="H455" s="962">
        <f>'REF. DE PREÇOS n editavel'!H455</f>
        <v>4828.8599999999997</v>
      </c>
      <c r="I455" s="962">
        <f>'REF. DE PREÇOS n editavel'!I455</f>
        <v>5163.1232400589097</v>
      </c>
      <c r="J455" s="963">
        <f>'REF. DE PREÇOS n editavel'!J455</f>
        <v>6310.37</v>
      </c>
      <c r="K455" s="964" t="s">
        <v>14</v>
      </c>
      <c r="L455" s="1109">
        <f>ROUND(L450*$F450,2)</f>
        <v>0</v>
      </c>
      <c r="M455" s="1114">
        <f t="shared" si="62"/>
        <v>0</v>
      </c>
      <c r="N455" s="967">
        <f t="shared" si="66"/>
        <v>0</v>
      </c>
      <c r="O455" s="880"/>
      <c r="P455" s="58" t="str">
        <f>IF(N450&gt;0,"xx",IF(N450&gt;0,"xy",""))</f>
        <v/>
      </c>
      <c r="Q455" s="317" t="str">
        <f t="shared" si="63"/>
        <v/>
      </c>
      <c r="R455" s="317" t="str">
        <f t="shared" si="64"/>
        <v/>
      </c>
      <c r="S455" s="317" t="str">
        <f t="shared" si="65"/>
        <v/>
      </c>
      <c r="T455" s="317" t="str">
        <f>'REF. DE PREÇOS n editavel'!S455</f>
        <v/>
      </c>
      <c r="W455" s="577">
        <v>0</v>
      </c>
      <c r="X455" s="575"/>
      <c r="Y455" s="578">
        <f>IF('REF. DE PREÇOS n editavel'!W455=0,0,IF('REF. DE PREÇOS n editavel'!W455&gt;0,"c","b"))</f>
        <v>0</v>
      </c>
    </row>
    <row r="456" spans="1:25">
      <c r="A456" s="317">
        <v>570000</v>
      </c>
      <c r="B456" s="973" t="str">
        <f>'REF. DE PREÇOS n editavel'!B456</f>
        <v>570000D</v>
      </c>
      <c r="C456" s="974" t="str">
        <f>'REF. DE PREÇOS n editavel'!C456</f>
        <v>DER</v>
      </c>
      <c r="D456" s="998" t="str">
        <f>'REF. DE PREÇOS n editavel'!D456</f>
        <v>CBUQ - Novos traços - TRAÇO 7 - FAIXA "C" - (Quant. menor que 10.000 ton)</v>
      </c>
      <c r="E456" s="948" t="str">
        <f>'REF. DE PREÇOS n editavel'!E456</f>
        <v>taxa CAP</v>
      </c>
      <c r="F456" s="999">
        <f>'REF. DE PREÇOS n editavel'!F456</f>
        <v>4.9500000000000002E-2</v>
      </c>
      <c r="G456" s="950">
        <f>'REF. DE PREÇOS n editavel'!G456</f>
        <v>90.062151600000007</v>
      </c>
      <c r="H456" s="951">
        <f>'REF. DE PREÇOS n editavel'!H456</f>
        <v>187.41</v>
      </c>
      <c r="I456" s="951">
        <f>'REF. DE PREÇOS n editavel'!I456</f>
        <v>277.47215160000002</v>
      </c>
      <c r="J456" s="952">
        <f>'REF. DE PREÇOS n editavel'!J456</f>
        <v>339.13</v>
      </c>
      <c r="K456" s="953" t="s">
        <v>14</v>
      </c>
      <c r="L456" s="1107"/>
      <c r="M456" s="1108">
        <f t="shared" ref="M456:M467" si="67">IF(L456=0,0,ROUND(J456,2))</f>
        <v>0</v>
      </c>
      <c r="N456" s="956">
        <f t="shared" si="66"/>
        <v>0</v>
      </c>
      <c r="O456" s="880"/>
      <c r="Q456" s="317" t="str">
        <f t="shared" ref="Q456:Q467" si="68">IF(P456="X","x",IF(P456="xx","x",IF(P456="xy","x",IF(P456="y","x",IF(OR(N456&gt;0,N456&gt;0),"x","")))))</f>
        <v/>
      </c>
      <c r="R456" s="317" t="str">
        <f t="shared" ref="R456:R467" si="69">IF(P456="X","x",IF(P456="y","x",IF(P456="xx","x",IF(N456&gt;0,"x",""))))</f>
        <v/>
      </c>
      <c r="S456" s="317" t="str">
        <f t="shared" ref="S456:S467" si="70">IF(P456="X","x",IF(N456&gt;0,"x",""))</f>
        <v/>
      </c>
      <c r="T456" s="317" t="str">
        <f>'REF. DE PREÇOS n editavel'!S456</f>
        <v/>
      </c>
      <c r="W456" s="577">
        <v>0</v>
      </c>
      <c r="X456" s="575"/>
      <c r="Y456" s="578">
        <f>IF('REF. DE PREÇOS n editavel'!W456=0,0,IF('REF. DE PREÇOS n editavel'!W456&gt;0,"c","b"))</f>
        <v>0</v>
      </c>
    </row>
    <row r="457" spans="1:25">
      <c r="A457" s="317" t="s">
        <v>147</v>
      </c>
      <c r="B457" s="870" t="str">
        <f>'REF. DE PREÇOS n editavel'!B457</f>
        <v>transporte</v>
      </c>
      <c r="C457" s="871">
        <f>'REF. DE PREÇOS n editavel'!C457</f>
        <v>0</v>
      </c>
      <c r="D457" s="931" t="str">
        <f>'REF. DE PREÇOS n editavel'!D457</f>
        <v>Areia</v>
      </c>
      <c r="E457" s="882">
        <f>'REF. DE PREÇOS n editavel'!E457</f>
        <v>290</v>
      </c>
      <c r="F457" s="1242">
        <f>'REF. DE PREÇOS n editavel'!F457</f>
        <v>9.5699999999999993E-2</v>
      </c>
      <c r="G457" s="923">
        <f>'REF. DE PREÇOS n editavel'!G457</f>
        <v>29.952186000000001</v>
      </c>
      <c r="H457" s="876">
        <f>'REF. DE PREÇOS n editavel'!H457</f>
        <v>0</v>
      </c>
      <c r="I457" s="876">
        <f>'REF. DE PREÇOS n editavel'!I457</f>
        <v>0</v>
      </c>
      <c r="J457" s="877">
        <f>'REF. DE PREÇOS n editavel'!J457</f>
        <v>0</v>
      </c>
      <c r="K457" s="878" t="s">
        <v>506</v>
      </c>
      <c r="L457" s="977"/>
      <c r="M457" s="1112">
        <f t="shared" si="67"/>
        <v>0</v>
      </c>
      <c r="N457" s="868">
        <f t="shared" ref="N457:N467" si="71">IF(ISBLANK(L457),0,IF(W457=0,ROUND(L457*M457,2),IF(W457="b",ROUNDDOWN(L457*M457,2),ROUNDUP(L457*M457,2))))</f>
        <v>0</v>
      </c>
      <c r="O457" s="880"/>
      <c r="P457" s="58" t="str">
        <f>IF(N456&gt;0,"xx",IF(N456&gt;0,"xy",""))</f>
        <v/>
      </c>
      <c r="Q457" s="317" t="str">
        <f t="shared" si="68"/>
        <v/>
      </c>
      <c r="R457" s="317" t="str">
        <f t="shared" si="69"/>
        <v/>
      </c>
      <c r="S457" s="317" t="str">
        <f t="shared" si="70"/>
        <v/>
      </c>
      <c r="T457" s="317" t="str">
        <f>'REF. DE PREÇOS n editavel'!S457</f>
        <v/>
      </c>
      <c r="W457" s="577">
        <v>0</v>
      </c>
      <c r="X457" s="575"/>
      <c r="Y457" s="578">
        <f>IF('REF. DE PREÇOS n editavel'!W457=0,0,IF('REF. DE PREÇOS n editavel'!W457&gt;0,"c","b"))</f>
        <v>0</v>
      </c>
    </row>
    <row r="458" spans="1:25">
      <c r="A458" s="317" t="s">
        <v>147</v>
      </c>
      <c r="B458" s="870" t="str">
        <f>'REF. DE PREÇOS n editavel'!B458</f>
        <v>transporte</v>
      </c>
      <c r="C458" s="871">
        <f>'REF. DE PREÇOS n editavel'!C458</f>
        <v>0</v>
      </c>
      <c r="D458" s="931" t="str">
        <f>'REF. DE PREÇOS n editavel'!D458</f>
        <v>Cal Hidratada CH-1</v>
      </c>
      <c r="E458" s="882">
        <f>'REF. DE PREÇOS n editavel'!E458</f>
        <v>445</v>
      </c>
      <c r="F458" s="1242">
        <f>'REF. DE PREÇOS n editavel'!F458</f>
        <v>1.44E-2</v>
      </c>
      <c r="G458" s="884">
        <f>'REF. DE PREÇOS n editavel'!G458</f>
        <v>5.1108479999999998</v>
      </c>
      <c r="H458" s="876">
        <f>'REF. DE PREÇOS n editavel'!H458</f>
        <v>0</v>
      </c>
      <c r="I458" s="876">
        <f>'REF. DE PREÇOS n editavel'!I458</f>
        <v>0</v>
      </c>
      <c r="J458" s="877">
        <f>'REF. DE PREÇOS n editavel'!J458</f>
        <v>0</v>
      </c>
      <c r="K458" s="878" t="s">
        <v>506</v>
      </c>
      <c r="L458" s="977"/>
      <c r="M458" s="1112">
        <f t="shared" si="67"/>
        <v>0</v>
      </c>
      <c r="N458" s="868">
        <f t="shared" si="71"/>
        <v>0</v>
      </c>
      <c r="O458" s="880"/>
      <c r="P458" s="58" t="str">
        <f>IF(N456&gt;0,"xx",IF(N456&gt;0,"xy",""))</f>
        <v/>
      </c>
      <c r="Q458" s="317" t="str">
        <f t="shared" si="68"/>
        <v/>
      </c>
      <c r="R458" s="317" t="str">
        <f t="shared" si="69"/>
        <v/>
      </c>
      <c r="S458" s="317" t="str">
        <f t="shared" si="70"/>
        <v/>
      </c>
      <c r="T458" s="317" t="str">
        <f>'REF. DE PREÇOS n editavel'!S458</f>
        <v/>
      </c>
      <c r="W458" s="577">
        <v>0</v>
      </c>
      <c r="X458" s="575"/>
      <c r="Y458" s="578">
        <f>IF('REF. DE PREÇOS n editavel'!W458=0,0,IF('REF. DE PREÇOS n editavel'!W458&gt;0,"c","b"))</f>
        <v>0</v>
      </c>
    </row>
    <row r="459" spans="1:25">
      <c r="A459" s="317" t="s">
        <v>147</v>
      </c>
      <c r="B459" s="870" t="str">
        <f>'REF. DE PREÇOS n editavel'!B459</f>
        <v>transporte</v>
      </c>
      <c r="C459" s="871">
        <f>'REF. DE PREÇOS n editavel'!C459</f>
        <v>0</v>
      </c>
      <c r="D459" s="931" t="str">
        <f>'REF. DE PREÇOS n editavel'!D459</f>
        <v>Brita ( usina )</v>
      </c>
      <c r="E459" s="882">
        <f>'REF. DE PREÇOS n editavel'!E459</f>
        <v>0.2</v>
      </c>
      <c r="F459" s="1242">
        <f>'REF. DE PREÇOS n editavel'!F459</f>
        <v>0.84040000000000004</v>
      </c>
      <c r="G459" s="923">
        <f>'REF. DE PREÇOS n editavel'!G459</f>
        <v>2.4321176000000002</v>
      </c>
      <c r="H459" s="876">
        <f>'REF. DE PREÇOS n editavel'!H459</f>
        <v>0</v>
      </c>
      <c r="I459" s="876">
        <f>'REF. DE PREÇOS n editavel'!I459</f>
        <v>0</v>
      </c>
      <c r="J459" s="877">
        <f>'REF. DE PREÇOS n editavel'!J459</f>
        <v>0</v>
      </c>
      <c r="K459" s="878" t="s">
        <v>506</v>
      </c>
      <c r="L459" s="977"/>
      <c r="M459" s="1112">
        <f t="shared" si="67"/>
        <v>0</v>
      </c>
      <c r="N459" s="868">
        <f t="shared" si="71"/>
        <v>0</v>
      </c>
      <c r="O459" s="880"/>
      <c r="P459" s="58" t="str">
        <f>IF(N456&gt;0,"xx",IF(N456&gt;0,"xy",""))</f>
        <v/>
      </c>
      <c r="Q459" s="317" t="str">
        <f t="shared" si="68"/>
        <v/>
      </c>
      <c r="R459" s="317" t="str">
        <f t="shared" si="69"/>
        <v/>
      </c>
      <c r="S459" s="317" t="str">
        <f t="shared" si="70"/>
        <v/>
      </c>
      <c r="T459" s="317" t="str">
        <f>'REF. DE PREÇOS n editavel'!S459</f>
        <v/>
      </c>
      <c r="W459" s="577">
        <v>0</v>
      </c>
      <c r="X459" s="575"/>
      <c r="Y459" s="578">
        <f>IF('REF. DE PREÇOS n editavel'!W459=0,0,IF('REF. DE PREÇOS n editavel'!W459&gt;0,"c","b"))</f>
        <v>0</v>
      </c>
    </row>
    <row r="460" spans="1:25">
      <c r="A460" s="317" t="s">
        <v>147</v>
      </c>
      <c r="B460" s="870" t="str">
        <f>'REF. DE PREÇOS n editavel'!B460</f>
        <v>transporte</v>
      </c>
      <c r="C460" s="871">
        <f>'REF. DE PREÇOS n editavel'!C460</f>
        <v>0</v>
      </c>
      <c r="D460" s="931" t="str">
        <f>'REF. DE PREÇOS n editavel'!D460</f>
        <v>Massa</v>
      </c>
      <c r="E460" s="882">
        <f>'REF. DE PREÇOS n editavel'!E460</f>
        <v>43.1</v>
      </c>
      <c r="F460" s="1242">
        <f>'REF. DE PREÇOS n editavel'!F460</f>
        <v>1</v>
      </c>
      <c r="G460" s="887">
        <f>'REF. DE PREÇOS n editavel'!G460</f>
        <v>52.567000000000007</v>
      </c>
      <c r="H460" s="876">
        <f>'REF. DE PREÇOS n editavel'!H460</f>
        <v>0</v>
      </c>
      <c r="I460" s="876">
        <f>'REF. DE PREÇOS n editavel'!I460</f>
        <v>0</v>
      </c>
      <c r="J460" s="877">
        <f>'REF. DE PREÇOS n editavel'!J460</f>
        <v>0</v>
      </c>
      <c r="K460" s="878" t="s">
        <v>506</v>
      </c>
      <c r="L460" s="977"/>
      <c r="M460" s="1112">
        <f t="shared" si="67"/>
        <v>0</v>
      </c>
      <c r="N460" s="868">
        <f t="shared" si="71"/>
        <v>0</v>
      </c>
      <c r="O460" s="880"/>
      <c r="P460" s="58" t="str">
        <f>IF(N456&gt;0,"xx",IF(N456&gt;0,"xy",""))</f>
        <v/>
      </c>
      <c r="Q460" s="317" t="str">
        <f t="shared" si="68"/>
        <v/>
      </c>
      <c r="R460" s="317" t="str">
        <f t="shared" si="69"/>
        <v/>
      </c>
      <c r="S460" s="317" t="str">
        <f t="shared" si="70"/>
        <v/>
      </c>
      <c r="T460" s="317" t="str">
        <f>'REF. DE PREÇOS n editavel'!S460</f>
        <v/>
      </c>
      <c r="W460" s="577">
        <v>0</v>
      </c>
      <c r="X460" s="575"/>
      <c r="Y460" s="578">
        <f>IF('REF. DE PREÇOS n editavel'!W460=0,0,IF('REF. DE PREÇOS n editavel'!W460&gt;0,"c","b"))</f>
        <v>0</v>
      </c>
    </row>
    <row r="461" spans="1:25" ht="13.5" thickBot="1">
      <c r="A461" s="317">
        <v>589000</v>
      </c>
      <c r="B461" s="978" t="str">
        <f>'REF. DE PREÇOS n editavel'!B461</f>
        <v>589000K</v>
      </c>
      <c r="C461" s="958" t="str">
        <f>'REF. DE PREÇOS n editavel'!C461</f>
        <v>DER mat</v>
      </c>
      <c r="D461" s="986" t="str">
        <f>'REF. DE PREÇOS n editavel'!D461</f>
        <v>Fornecimento de CAP - CBUQ (Quantidade menor que 10.000 ton)</v>
      </c>
      <c r="E461" s="979">
        <f>'REF. DE PREÇOS n editavel'!E461</f>
        <v>468</v>
      </c>
      <c r="F461" s="1243">
        <f>'REF. DE PREÇOS n editavel'!F461</f>
        <v>1</v>
      </c>
      <c r="G461" s="923">
        <f>'REF. DE PREÇOS n editavel'!G461</f>
        <v>485.97999999999996</v>
      </c>
      <c r="H461" s="962">
        <f>'REF. DE PREÇOS n editavel'!H461</f>
        <v>4828.8599999999997</v>
      </c>
      <c r="I461" s="962">
        <f>'REF. DE PREÇOS n editavel'!I461</f>
        <v>5163.1232400589097</v>
      </c>
      <c r="J461" s="963">
        <f>'REF. DE PREÇOS n editavel'!J461</f>
        <v>6310.37</v>
      </c>
      <c r="K461" s="964" t="s">
        <v>14</v>
      </c>
      <c r="L461" s="1109">
        <f>ROUND(L456*$F456,2)</f>
        <v>0</v>
      </c>
      <c r="M461" s="1114">
        <f t="shared" si="67"/>
        <v>0</v>
      </c>
      <c r="N461" s="967">
        <f t="shared" si="71"/>
        <v>0</v>
      </c>
      <c r="O461" s="880"/>
      <c r="P461" s="58" t="str">
        <f>IF(N456&gt;0,"xx",IF(N456&gt;0,"xy",""))</f>
        <v/>
      </c>
      <c r="Q461" s="317" t="str">
        <f t="shared" si="68"/>
        <v/>
      </c>
      <c r="R461" s="317" t="str">
        <f t="shared" si="69"/>
        <v/>
      </c>
      <c r="S461" s="317" t="str">
        <f t="shared" si="70"/>
        <v/>
      </c>
      <c r="T461" s="317" t="str">
        <f>'REF. DE PREÇOS n editavel'!S461</f>
        <v/>
      </c>
      <c r="W461" s="577">
        <v>0</v>
      </c>
      <c r="X461" s="575"/>
      <c r="Y461" s="578">
        <f>IF('REF. DE PREÇOS n editavel'!W461=0,0,IF('REF. DE PREÇOS n editavel'!W461&gt;0,"c","b"))</f>
        <v>0</v>
      </c>
    </row>
    <row r="462" spans="1:25">
      <c r="A462" s="317">
        <v>570000</v>
      </c>
      <c r="B462" s="973" t="str">
        <f>'REF. DE PREÇOS n editavel'!B462</f>
        <v>570000D</v>
      </c>
      <c r="C462" s="974" t="str">
        <f>'REF. DE PREÇOS n editavel'!C462</f>
        <v>DER</v>
      </c>
      <c r="D462" s="998" t="str">
        <f>'REF. DE PREÇOS n editavel'!D462</f>
        <v>CBUQ - Novos traços - TRAÇO 8 - FAIXA "C" - (Quant. menor que 10.000 ton)</v>
      </c>
      <c r="E462" s="948" t="str">
        <f>'REF. DE PREÇOS n editavel'!E462</f>
        <v>taxa CAP</v>
      </c>
      <c r="F462" s="999">
        <f>'REF. DE PREÇOS n editavel'!F462</f>
        <v>4.9000000000000002E-2</v>
      </c>
      <c r="G462" s="950">
        <f>'REF. DE PREÇOS n editavel'!G462</f>
        <v>90.129809800000004</v>
      </c>
      <c r="H462" s="951">
        <f>'REF. DE PREÇOS n editavel'!H462</f>
        <v>187.41</v>
      </c>
      <c r="I462" s="951">
        <f>'REF. DE PREÇOS n editavel'!I462</f>
        <v>277.5398098</v>
      </c>
      <c r="J462" s="952">
        <f>'REF. DE PREÇOS n editavel'!J462</f>
        <v>339.21</v>
      </c>
      <c r="K462" s="953" t="s">
        <v>14</v>
      </c>
      <c r="L462" s="1107"/>
      <c r="M462" s="1108">
        <f t="shared" si="67"/>
        <v>0</v>
      </c>
      <c r="N462" s="956">
        <f t="shared" si="71"/>
        <v>0</v>
      </c>
      <c r="O462" s="880"/>
      <c r="Q462" s="317" t="str">
        <f t="shared" si="68"/>
        <v/>
      </c>
      <c r="R462" s="317" t="str">
        <f t="shared" si="69"/>
        <v/>
      </c>
      <c r="S462" s="317" t="str">
        <f t="shared" si="70"/>
        <v/>
      </c>
      <c r="T462" s="317" t="str">
        <f>'REF. DE PREÇOS n editavel'!S462</f>
        <v/>
      </c>
      <c r="W462" s="577">
        <v>0</v>
      </c>
      <c r="X462" s="575"/>
      <c r="Y462" s="578">
        <f>IF('REF. DE PREÇOS n editavel'!W462=0,0,IF('REF. DE PREÇOS n editavel'!W462&gt;0,"c","b"))</f>
        <v>0</v>
      </c>
    </row>
    <row r="463" spans="1:25">
      <c r="A463" s="317" t="s">
        <v>147</v>
      </c>
      <c r="B463" s="870" t="str">
        <f>'REF. DE PREÇOS n editavel'!B463</f>
        <v>transporte</v>
      </c>
      <c r="C463" s="871">
        <f>'REF. DE PREÇOS n editavel'!C463</f>
        <v>0</v>
      </c>
      <c r="D463" s="931" t="str">
        <f>'REF. DE PREÇOS n editavel'!D463</f>
        <v>Areia</v>
      </c>
      <c r="E463" s="882">
        <f>'REF. DE PREÇOS n editavel'!E463</f>
        <v>290</v>
      </c>
      <c r="F463" s="1242">
        <f>'REF. DE PREÇOS n editavel'!F463</f>
        <v>9.5799999999999996E-2</v>
      </c>
      <c r="G463" s="923">
        <f>'REF. DE PREÇOS n editavel'!G463</f>
        <v>29.983484000000001</v>
      </c>
      <c r="H463" s="876">
        <f>'REF. DE PREÇOS n editavel'!H463</f>
        <v>0</v>
      </c>
      <c r="I463" s="876">
        <f>'REF. DE PREÇOS n editavel'!I463</f>
        <v>0</v>
      </c>
      <c r="J463" s="877">
        <f>'REF. DE PREÇOS n editavel'!J463</f>
        <v>0</v>
      </c>
      <c r="K463" s="878" t="s">
        <v>506</v>
      </c>
      <c r="L463" s="977"/>
      <c r="M463" s="1112">
        <f t="shared" si="67"/>
        <v>0</v>
      </c>
      <c r="N463" s="868">
        <f t="shared" si="71"/>
        <v>0</v>
      </c>
      <c r="O463" s="880"/>
      <c r="P463" s="58" t="str">
        <f>IF(N462&gt;0,"xx",IF(N462&gt;0,"xy",""))</f>
        <v/>
      </c>
      <c r="Q463" s="317" t="str">
        <f t="shared" si="68"/>
        <v/>
      </c>
      <c r="R463" s="317" t="str">
        <f t="shared" si="69"/>
        <v/>
      </c>
      <c r="S463" s="317" t="str">
        <f t="shared" si="70"/>
        <v/>
      </c>
      <c r="T463" s="317" t="str">
        <f>'REF. DE PREÇOS n editavel'!S463</f>
        <v/>
      </c>
      <c r="W463" s="577">
        <v>0</v>
      </c>
      <c r="X463" s="575"/>
      <c r="Y463" s="578">
        <f>IF('REF. DE PREÇOS n editavel'!W463=0,0,IF('REF. DE PREÇOS n editavel'!W463&gt;0,"c","b"))</f>
        <v>0</v>
      </c>
    </row>
    <row r="464" spans="1:25">
      <c r="A464" s="317" t="s">
        <v>147</v>
      </c>
      <c r="B464" s="870" t="str">
        <f>'REF. DE PREÇOS n editavel'!B464</f>
        <v>transporte</v>
      </c>
      <c r="C464" s="871">
        <f>'REF. DE PREÇOS n editavel'!C464</f>
        <v>0</v>
      </c>
      <c r="D464" s="931" t="str">
        <f>'REF. DE PREÇOS n editavel'!D464</f>
        <v>Cal Hidratada CH-1</v>
      </c>
      <c r="E464" s="882">
        <f>'REF. DE PREÇOS n editavel'!E464</f>
        <v>445</v>
      </c>
      <c r="F464" s="1242">
        <f>'REF. DE PREÇOS n editavel'!F464</f>
        <v>1.4500000000000001E-2</v>
      </c>
      <c r="G464" s="884">
        <f>'REF. DE PREÇOS n editavel'!G464</f>
        <v>5.1463400000000004</v>
      </c>
      <c r="H464" s="876">
        <f>'REF. DE PREÇOS n editavel'!H464</f>
        <v>0</v>
      </c>
      <c r="I464" s="876">
        <f>'REF. DE PREÇOS n editavel'!I464</f>
        <v>0</v>
      </c>
      <c r="J464" s="877">
        <f>'REF. DE PREÇOS n editavel'!J464</f>
        <v>0</v>
      </c>
      <c r="K464" s="878" t="s">
        <v>506</v>
      </c>
      <c r="L464" s="977"/>
      <c r="M464" s="1112">
        <f t="shared" si="67"/>
        <v>0</v>
      </c>
      <c r="N464" s="868">
        <f t="shared" si="71"/>
        <v>0</v>
      </c>
      <c r="O464" s="880"/>
      <c r="P464" s="58" t="str">
        <f>IF(N462&gt;0,"xx",IF(N462&gt;0,"xy",""))</f>
        <v/>
      </c>
      <c r="Q464" s="317" t="str">
        <f t="shared" si="68"/>
        <v/>
      </c>
      <c r="R464" s="317" t="str">
        <f t="shared" si="69"/>
        <v/>
      </c>
      <c r="S464" s="317" t="str">
        <f t="shared" si="70"/>
        <v/>
      </c>
      <c r="T464" s="317" t="str">
        <f>'REF. DE PREÇOS n editavel'!S464</f>
        <v/>
      </c>
      <c r="W464" s="577">
        <v>0</v>
      </c>
      <c r="X464" s="575"/>
      <c r="Y464" s="578">
        <f>IF('REF. DE PREÇOS n editavel'!W464=0,0,IF('REF. DE PREÇOS n editavel'!W464&gt;0,"c","b"))</f>
        <v>0</v>
      </c>
    </row>
    <row r="465" spans="1:25">
      <c r="A465" s="317" t="s">
        <v>147</v>
      </c>
      <c r="B465" s="870" t="str">
        <f>'REF. DE PREÇOS n editavel'!B465</f>
        <v>transporte</v>
      </c>
      <c r="C465" s="871">
        <f>'REF. DE PREÇOS n editavel'!C465</f>
        <v>0</v>
      </c>
      <c r="D465" s="931" t="str">
        <f>'REF. DE PREÇOS n editavel'!D465</f>
        <v>Brita ( usina )</v>
      </c>
      <c r="E465" s="882">
        <f>'REF. DE PREÇOS n editavel'!E465</f>
        <v>0.2</v>
      </c>
      <c r="F465" s="1242">
        <f>'REF. DE PREÇOS n editavel'!F465</f>
        <v>0.8407</v>
      </c>
      <c r="G465" s="923">
        <f>'REF. DE PREÇOS n editavel'!G465</f>
        <v>2.4329858</v>
      </c>
      <c r="H465" s="876">
        <f>'REF. DE PREÇOS n editavel'!H465</f>
        <v>0</v>
      </c>
      <c r="I465" s="876">
        <f>'REF. DE PREÇOS n editavel'!I465</f>
        <v>0</v>
      </c>
      <c r="J465" s="877">
        <f>'REF. DE PREÇOS n editavel'!J465</f>
        <v>0</v>
      </c>
      <c r="K465" s="878" t="s">
        <v>506</v>
      </c>
      <c r="L465" s="977"/>
      <c r="M465" s="1112">
        <f t="shared" si="67"/>
        <v>0</v>
      </c>
      <c r="N465" s="868">
        <f t="shared" si="71"/>
        <v>0</v>
      </c>
      <c r="O465" s="880"/>
      <c r="P465" s="58" t="str">
        <f>IF(N462&gt;0,"xx",IF(N462&gt;0,"xy",""))</f>
        <v/>
      </c>
      <c r="Q465" s="317" t="str">
        <f t="shared" si="68"/>
        <v/>
      </c>
      <c r="R465" s="317" t="str">
        <f t="shared" si="69"/>
        <v/>
      </c>
      <c r="S465" s="317" t="str">
        <f t="shared" si="70"/>
        <v/>
      </c>
      <c r="T465" s="317" t="str">
        <f>'REF. DE PREÇOS n editavel'!S465</f>
        <v/>
      </c>
      <c r="W465" s="577">
        <v>0</v>
      </c>
      <c r="X465" s="575"/>
      <c r="Y465" s="578">
        <f>IF('REF. DE PREÇOS n editavel'!W465=0,0,IF('REF. DE PREÇOS n editavel'!W465&gt;0,"c","b"))</f>
        <v>0</v>
      </c>
    </row>
    <row r="466" spans="1:25">
      <c r="A466" s="317" t="s">
        <v>147</v>
      </c>
      <c r="B466" s="870" t="str">
        <f>'REF. DE PREÇOS n editavel'!B466</f>
        <v>transporte</v>
      </c>
      <c r="C466" s="871">
        <f>'REF. DE PREÇOS n editavel'!C466</f>
        <v>0</v>
      </c>
      <c r="D466" s="931" t="str">
        <f>'REF. DE PREÇOS n editavel'!D466</f>
        <v>Massa</v>
      </c>
      <c r="E466" s="882">
        <f>'REF. DE PREÇOS n editavel'!E466</f>
        <v>43.1</v>
      </c>
      <c r="F466" s="883">
        <f>'REF. DE PREÇOS n editavel'!F466</f>
        <v>1</v>
      </c>
      <c r="G466" s="887">
        <f>'REF. DE PREÇOS n editavel'!G466</f>
        <v>52.567000000000007</v>
      </c>
      <c r="H466" s="876">
        <f>'REF. DE PREÇOS n editavel'!H466</f>
        <v>0</v>
      </c>
      <c r="I466" s="876">
        <f>'REF. DE PREÇOS n editavel'!I466</f>
        <v>0</v>
      </c>
      <c r="J466" s="877">
        <f>'REF. DE PREÇOS n editavel'!J466</f>
        <v>0</v>
      </c>
      <c r="K466" s="878" t="s">
        <v>506</v>
      </c>
      <c r="L466" s="977"/>
      <c r="M466" s="1112">
        <f t="shared" si="67"/>
        <v>0</v>
      </c>
      <c r="N466" s="868">
        <f t="shared" si="71"/>
        <v>0</v>
      </c>
      <c r="O466" s="880"/>
      <c r="P466" s="58" t="str">
        <f>IF(N462&gt;0,"xx",IF(N462&gt;0,"xy",""))</f>
        <v/>
      </c>
      <c r="Q466" s="317" t="str">
        <f t="shared" si="68"/>
        <v/>
      </c>
      <c r="R466" s="317" t="str">
        <f t="shared" si="69"/>
        <v/>
      </c>
      <c r="S466" s="317" t="str">
        <f t="shared" si="70"/>
        <v/>
      </c>
      <c r="T466" s="317" t="str">
        <f>'REF. DE PREÇOS n editavel'!S466</f>
        <v/>
      </c>
      <c r="W466" s="577">
        <v>0</v>
      </c>
      <c r="X466" s="575"/>
      <c r="Y466" s="578">
        <f>IF('REF. DE PREÇOS n editavel'!W466=0,0,IF('REF. DE PREÇOS n editavel'!W466&gt;0,"c","b"))</f>
        <v>0</v>
      </c>
    </row>
    <row r="467" spans="1:25" ht="13.5" thickBot="1">
      <c r="A467" s="317">
        <v>589000</v>
      </c>
      <c r="B467" s="978" t="str">
        <f>'REF. DE PREÇOS n editavel'!B467</f>
        <v>589000K</v>
      </c>
      <c r="C467" s="958" t="str">
        <f>'REF. DE PREÇOS n editavel'!C467</f>
        <v>DER mat</v>
      </c>
      <c r="D467" s="986" t="str">
        <f>'REF. DE PREÇOS n editavel'!D467</f>
        <v>Fornecimento de CAP - CBUQ (Quantidade menor que 10.000 ton)</v>
      </c>
      <c r="E467" s="979">
        <f>'REF. DE PREÇOS n editavel'!E467</f>
        <v>468</v>
      </c>
      <c r="F467" s="980">
        <f>'REF. DE PREÇOS n editavel'!F467</f>
        <v>1</v>
      </c>
      <c r="G467" s="923">
        <f>'REF. DE PREÇOS n editavel'!G467</f>
        <v>485.97999999999996</v>
      </c>
      <c r="H467" s="962">
        <f>'REF. DE PREÇOS n editavel'!H467</f>
        <v>4828.8599999999997</v>
      </c>
      <c r="I467" s="962">
        <f>'REF. DE PREÇOS n editavel'!I467</f>
        <v>5163.1232400589097</v>
      </c>
      <c r="J467" s="963">
        <f>'REF. DE PREÇOS n editavel'!J467</f>
        <v>6310.37</v>
      </c>
      <c r="K467" s="964" t="s">
        <v>14</v>
      </c>
      <c r="L467" s="1109">
        <f>ROUND(L462*$F462,2)</f>
        <v>0</v>
      </c>
      <c r="M467" s="1114">
        <f t="shared" si="67"/>
        <v>0</v>
      </c>
      <c r="N467" s="967">
        <f t="shared" si="71"/>
        <v>0</v>
      </c>
      <c r="O467" s="880"/>
      <c r="P467" s="58" t="str">
        <f>IF(N462&gt;0,"xx",IF(N462&gt;0,"xy",""))</f>
        <v/>
      </c>
      <c r="Q467" s="317" t="str">
        <f t="shared" si="68"/>
        <v/>
      </c>
      <c r="R467" s="317" t="str">
        <f t="shared" si="69"/>
        <v/>
      </c>
      <c r="S467" s="317" t="str">
        <f t="shared" si="70"/>
        <v/>
      </c>
      <c r="T467" s="317" t="str">
        <f>'REF. DE PREÇOS n editavel'!S467</f>
        <v/>
      </c>
      <c r="W467" s="577">
        <v>0</v>
      </c>
      <c r="X467" s="575"/>
      <c r="Y467" s="578">
        <f>IF('REF. DE PREÇOS n editavel'!W467=0,0,IF('REF. DE PREÇOS n editavel'!W467&gt;0,"c","b"))</f>
        <v>0</v>
      </c>
    </row>
    <row r="468" spans="1:25">
      <c r="A468" s="317">
        <v>570400</v>
      </c>
      <c r="B468" s="973" t="s">
        <v>1639</v>
      </c>
      <c r="C468" s="974" t="s">
        <v>184</v>
      </c>
      <c r="D468" s="993" t="s">
        <v>2199</v>
      </c>
      <c r="E468" s="948" t="str">
        <f>'REF. DE PREÇOS n editavel'!E468</f>
        <v>taxa CAP</v>
      </c>
      <c r="F468" s="949">
        <f>'REF. DE PREÇOS n editavel'!F468</f>
        <v>0.05</v>
      </c>
      <c r="G468" s="950">
        <f>'REF. DE PREÇOS n editavel'!G468</f>
        <v>91.892755399999999</v>
      </c>
      <c r="H468" s="951">
        <f>'REF. DE PREÇOS n editavel'!H468</f>
        <v>169.12</v>
      </c>
      <c r="I468" s="951">
        <f>'REF. DE PREÇOS n editavel'!I468</f>
        <v>261.0127554</v>
      </c>
      <c r="J468" s="952">
        <f>'REF. DE PREÇOS n editavel'!J468</f>
        <v>319.01</v>
      </c>
      <c r="K468" s="953" t="s">
        <v>14</v>
      </c>
      <c r="L468" s="1107"/>
      <c r="M468" s="1108">
        <f t="shared" si="52"/>
        <v>0</v>
      </c>
      <c r="N468" s="956">
        <f t="shared" si="56"/>
        <v>0</v>
      </c>
      <c r="O468" s="880"/>
      <c r="Q468" s="317" t="str">
        <f t="shared" si="53"/>
        <v/>
      </c>
      <c r="R468" s="317" t="str">
        <f t="shared" si="54"/>
        <v/>
      </c>
      <c r="S468" s="317" t="str">
        <f t="shared" si="55"/>
        <v/>
      </c>
      <c r="T468" s="317" t="str">
        <f>'REF. DE PREÇOS n editavel'!S468</f>
        <v/>
      </c>
      <c r="W468" s="577">
        <v>0</v>
      </c>
      <c r="X468" s="575"/>
      <c r="Y468" s="578">
        <f>IF('REF. DE PREÇOS n editavel'!W468=0,0,IF('REF. DE PREÇOS n editavel'!W468&gt;0,"c","b"))</f>
        <v>0</v>
      </c>
    </row>
    <row r="469" spans="1:25">
      <c r="A469" s="317" t="s">
        <v>147</v>
      </c>
      <c r="B469" s="870" t="s">
        <v>147</v>
      </c>
      <c r="C469" s="871"/>
      <c r="D469" s="931" t="s">
        <v>229</v>
      </c>
      <c r="E469" s="882">
        <f>'REF. DE PREÇOS n editavel'!E469</f>
        <v>290</v>
      </c>
      <c r="F469" s="883">
        <f>'REF. DE PREÇOS n editavel'!F469</f>
        <v>0.1007</v>
      </c>
      <c r="G469" s="923">
        <f>'REF. DE PREÇOS n editavel'!G469</f>
        <v>31.517086000000003</v>
      </c>
      <c r="H469" s="876">
        <f>'REF. DE PREÇOS n editavel'!H469</f>
        <v>0</v>
      </c>
      <c r="I469" s="876">
        <f>'REF. DE PREÇOS n editavel'!I469</f>
        <v>0</v>
      </c>
      <c r="J469" s="877">
        <f>'REF. DE PREÇOS n editavel'!J469</f>
        <v>0</v>
      </c>
      <c r="K469" s="878" t="s">
        <v>506</v>
      </c>
      <c r="L469" s="977"/>
      <c r="M469" s="1112">
        <f t="shared" si="52"/>
        <v>0</v>
      </c>
      <c r="N469" s="868">
        <f t="shared" si="56"/>
        <v>0</v>
      </c>
      <c r="O469" s="880"/>
      <c r="P469" s="58" t="str">
        <f>IF(N468&gt;0,"xx",IF(N468&gt;0,"xy",""))</f>
        <v/>
      </c>
      <c r="Q469" s="317" t="str">
        <f t="shared" si="53"/>
        <v/>
      </c>
      <c r="R469" s="317" t="str">
        <f t="shared" si="54"/>
        <v/>
      </c>
      <c r="S469" s="317" t="str">
        <f t="shared" si="55"/>
        <v/>
      </c>
      <c r="T469" s="317" t="str">
        <f>'REF. DE PREÇOS n editavel'!S469</f>
        <v/>
      </c>
      <c r="W469" s="577">
        <v>0</v>
      </c>
      <c r="X469" s="575"/>
      <c r="Y469" s="578">
        <f>IF('REF. DE PREÇOS n editavel'!W469=0,0,IF('REF. DE PREÇOS n editavel'!W469&gt;0,"c","b"))</f>
        <v>0</v>
      </c>
    </row>
    <row r="470" spans="1:25">
      <c r="A470" s="317" t="s">
        <v>147</v>
      </c>
      <c r="B470" s="870" t="s">
        <v>147</v>
      </c>
      <c r="C470" s="871"/>
      <c r="D470" s="931" t="s">
        <v>230</v>
      </c>
      <c r="E470" s="882">
        <f>'REF. DE PREÇOS n editavel'!E470</f>
        <v>445</v>
      </c>
      <c r="F470" s="883">
        <f>'REF. DE PREÇOS n editavel'!F470</f>
        <v>1.52E-2</v>
      </c>
      <c r="G470" s="884">
        <f>'REF. DE PREÇOS n editavel'!G470</f>
        <v>5.3947840000000005</v>
      </c>
      <c r="H470" s="876">
        <f>'REF. DE PREÇOS n editavel'!H470</f>
        <v>0</v>
      </c>
      <c r="I470" s="876">
        <f>'REF. DE PREÇOS n editavel'!I470</f>
        <v>0</v>
      </c>
      <c r="J470" s="877">
        <f>'REF. DE PREÇOS n editavel'!J470</f>
        <v>0</v>
      </c>
      <c r="K470" s="878" t="s">
        <v>506</v>
      </c>
      <c r="L470" s="977"/>
      <c r="M470" s="1112">
        <f t="shared" si="52"/>
        <v>0</v>
      </c>
      <c r="N470" s="868">
        <f t="shared" si="56"/>
        <v>0</v>
      </c>
      <c r="O470" s="880"/>
      <c r="P470" s="58" t="str">
        <f>IF(N468&gt;0,"xx",IF(N468&gt;0,"xy",""))</f>
        <v/>
      </c>
      <c r="Q470" s="317" t="str">
        <f t="shared" si="53"/>
        <v/>
      </c>
      <c r="R470" s="317" t="str">
        <f t="shared" si="54"/>
        <v/>
      </c>
      <c r="S470" s="317" t="str">
        <f t="shared" si="55"/>
        <v/>
      </c>
      <c r="T470" s="317" t="str">
        <f>'REF. DE PREÇOS n editavel'!S470</f>
        <v/>
      </c>
      <c r="W470" s="577">
        <v>0</v>
      </c>
      <c r="X470" s="575"/>
      <c r="Y470" s="578">
        <f>IF('REF. DE PREÇOS n editavel'!W470=0,0,IF('REF. DE PREÇOS n editavel'!W470&gt;0,"c","b"))</f>
        <v>0</v>
      </c>
    </row>
    <row r="471" spans="1:25">
      <c r="A471" s="317" t="s">
        <v>147</v>
      </c>
      <c r="B471" s="870" t="s">
        <v>147</v>
      </c>
      <c r="C471" s="871"/>
      <c r="D471" s="931" t="s">
        <v>243</v>
      </c>
      <c r="E471" s="882">
        <f>'REF. DE PREÇOS n editavel'!E471</f>
        <v>0.2</v>
      </c>
      <c r="F471" s="883">
        <f>'REF. DE PREÇOS n editavel'!F471</f>
        <v>0.83409999999999995</v>
      </c>
      <c r="G471" s="923">
        <f>'REF. DE PREÇOS n editavel'!G471</f>
        <v>2.4138853999999998</v>
      </c>
      <c r="H471" s="876">
        <f>'REF. DE PREÇOS n editavel'!H471</f>
        <v>0</v>
      </c>
      <c r="I471" s="876">
        <f>'REF. DE PREÇOS n editavel'!I471</f>
        <v>0</v>
      </c>
      <c r="J471" s="877">
        <f>'REF. DE PREÇOS n editavel'!J471</f>
        <v>0</v>
      </c>
      <c r="K471" s="878" t="s">
        <v>506</v>
      </c>
      <c r="L471" s="977"/>
      <c r="M471" s="1112">
        <f t="shared" si="52"/>
        <v>0</v>
      </c>
      <c r="N471" s="868">
        <f t="shared" si="56"/>
        <v>0</v>
      </c>
      <c r="O471" s="880"/>
      <c r="P471" s="58" t="str">
        <f>IF(N468&gt;0,"xx",IF(N468&gt;0,"xy",""))</f>
        <v/>
      </c>
      <c r="Q471" s="317" t="str">
        <f t="shared" si="53"/>
        <v/>
      </c>
      <c r="R471" s="317" t="str">
        <f t="shared" si="54"/>
        <v/>
      </c>
      <c r="S471" s="317" t="str">
        <f t="shared" si="55"/>
        <v/>
      </c>
      <c r="T471" s="317" t="str">
        <f>'REF. DE PREÇOS n editavel'!S471</f>
        <v/>
      </c>
      <c r="W471" s="577">
        <v>0</v>
      </c>
      <c r="X471" s="575"/>
      <c r="Y471" s="578">
        <f>IF('REF. DE PREÇOS n editavel'!W471=0,0,IF('REF. DE PREÇOS n editavel'!W471&gt;0,"c","b"))</f>
        <v>0</v>
      </c>
    </row>
    <row r="472" spans="1:25">
      <c r="A472" s="317" t="s">
        <v>147</v>
      </c>
      <c r="B472" s="870" t="s">
        <v>147</v>
      </c>
      <c r="C472" s="871"/>
      <c r="D472" s="931" t="s">
        <v>244</v>
      </c>
      <c r="E472" s="882">
        <f>'REF. DE PREÇOS n editavel'!E472</f>
        <v>43.1</v>
      </c>
      <c r="F472" s="883">
        <f>'REF. DE PREÇOS n editavel'!F472</f>
        <v>1</v>
      </c>
      <c r="G472" s="887">
        <f>'REF. DE PREÇOS n editavel'!G472</f>
        <v>52.567000000000007</v>
      </c>
      <c r="H472" s="876">
        <f>'REF. DE PREÇOS n editavel'!H472</f>
        <v>0</v>
      </c>
      <c r="I472" s="876">
        <f>'REF. DE PREÇOS n editavel'!I472</f>
        <v>0</v>
      </c>
      <c r="J472" s="877">
        <f>'REF. DE PREÇOS n editavel'!J472</f>
        <v>0</v>
      </c>
      <c r="K472" s="878" t="s">
        <v>506</v>
      </c>
      <c r="L472" s="977"/>
      <c r="M472" s="1112">
        <f t="shared" si="52"/>
        <v>0</v>
      </c>
      <c r="N472" s="868">
        <f t="shared" si="56"/>
        <v>0</v>
      </c>
      <c r="O472" s="880"/>
      <c r="P472" s="58" t="str">
        <f>IF(N468&gt;0,"xx",IF(N468&gt;0,"xy",""))</f>
        <v/>
      </c>
      <c r="Q472" s="317" t="str">
        <f t="shared" si="53"/>
        <v/>
      </c>
      <c r="R472" s="317" t="str">
        <f t="shared" si="54"/>
        <v/>
      </c>
      <c r="S472" s="317" t="str">
        <f t="shared" si="55"/>
        <v/>
      </c>
      <c r="T472" s="317" t="str">
        <f>'REF. DE PREÇOS n editavel'!S472</f>
        <v/>
      </c>
      <c r="W472" s="577">
        <v>0</v>
      </c>
      <c r="X472" s="575"/>
      <c r="Y472" s="578">
        <f>IF('REF. DE PREÇOS n editavel'!W472=0,0,IF('REF. DE PREÇOS n editavel'!W472&gt;0,"c","b"))</f>
        <v>0</v>
      </c>
    </row>
    <row r="473" spans="1:25" ht="13.5" thickBot="1">
      <c r="A473" s="317">
        <v>589000</v>
      </c>
      <c r="B473" s="978" t="s">
        <v>1661</v>
      </c>
      <c r="C473" s="958" t="s">
        <v>213</v>
      </c>
      <c r="D473" s="986" t="s">
        <v>2150</v>
      </c>
      <c r="E473" s="979">
        <f>'REF. DE PREÇOS n editavel'!E473</f>
        <v>468</v>
      </c>
      <c r="F473" s="980">
        <f>'REF. DE PREÇOS n editavel'!F473</f>
        <v>1</v>
      </c>
      <c r="G473" s="923">
        <f>'REF. DE PREÇOS n editavel'!G473</f>
        <v>485.97999999999996</v>
      </c>
      <c r="H473" s="962">
        <f>'REF. DE PREÇOS n editavel'!H473</f>
        <v>4828.8599999999997</v>
      </c>
      <c r="I473" s="962">
        <f>'REF. DE PREÇOS n editavel'!I473</f>
        <v>5163.1232400589097</v>
      </c>
      <c r="J473" s="963">
        <f>'REF. DE PREÇOS n editavel'!J473</f>
        <v>6310.37</v>
      </c>
      <c r="K473" s="964" t="s">
        <v>14</v>
      </c>
      <c r="L473" s="1109">
        <f>ROUND(L468*$F468,2)</f>
        <v>0</v>
      </c>
      <c r="M473" s="1114">
        <f t="shared" si="52"/>
        <v>0</v>
      </c>
      <c r="N473" s="967">
        <f t="shared" si="56"/>
        <v>0</v>
      </c>
      <c r="O473" s="880"/>
      <c r="P473" s="58" t="str">
        <f>IF(N468&gt;0,"xx",IF(N468&gt;0,"xy",""))</f>
        <v/>
      </c>
      <c r="Q473" s="317" t="str">
        <f t="shared" si="53"/>
        <v/>
      </c>
      <c r="R473" s="317" t="str">
        <f t="shared" si="54"/>
        <v/>
      </c>
      <c r="S473" s="317" t="str">
        <f t="shared" si="55"/>
        <v/>
      </c>
      <c r="T473" s="317" t="str">
        <f>'REF. DE PREÇOS n editavel'!S473</f>
        <v/>
      </c>
      <c r="W473" s="577">
        <v>0</v>
      </c>
      <c r="X473" s="575"/>
      <c r="Y473" s="578">
        <f>IF('REF. DE PREÇOS n editavel'!W473=0,0,IF('REF. DE PREÇOS n editavel'!W473&gt;0,"c","b"))</f>
        <v>0</v>
      </c>
    </row>
    <row r="474" spans="1:25">
      <c r="A474" s="317">
        <v>570400</v>
      </c>
      <c r="B474" s="973" t="s">
        <v>1640</v>
      </c>
      <c r="C474" s="974" t="s">
        <v>184</v>
      </c>
      <c r="D474" s="993" t="s">
        <v>2200</v>
      </c>
      <c r="E474" s="948" t="str">
        <f>'REF. DE PREÇOS n editavel'!E474</f>
        <v>taxa CAP</v>
      </c>
      <c r="F474" s="949">
        <f>'REF. DE PREÇOS n editavel'!F474</f>
        <v>5.5E-2</v>
      </c>
      <c r="G474" s="950">
        <f>'REF. DE PREÇOS n editavel'!G474</f>
        <v>91.688039800000013</v>
      </c>
      <c r="H474" s="951">
        <f>'REF. DE PREÇOS n editavel'!H474</f>
        <v>169.12</v>
      </c>
      <c r="I474" s="951">
        <f>'REF. DE PREÇOS n editavel'!I474</f>
        <v>260.80803980000002</v>
      </c>
      <c r="J474" s="952">
        <f>'REF. DE PREÇOS n editavel'!J474</f>
        <v>318.76</v>
      </c>
      <c r="K474" s="953" t="s">
        <v>14</v>
      </c>
      <c r="L474" s="1107"/>
      <c r="M474" s="1108">
        <f t="shared" si="52"/>
        <v>0</v>
      </c>
      <c r="N474" s="956">
        <f t="shared" si="56"/>
        <v>0</v>
      </c>
      <c r="O474" s="880"/>
      <c r="Q474" s="317" t="str">
        <f t="shared" si="53"/>
        <v/>
      </c>
      <c r="R474" s="317" t="str">
        <f t="shared" si="54"/>
        <v/>
      </c>
      <c r="S474" s="317" t="str">
        <f t="shared" si="55"/>
        <v/>
      </c>
      <c r="T474" s="317" t="str">
        <f>'REF. DE PREÇOS n editavel'!S474</f>
        <v/>
      </c>
      <c r="W474" s="577">
        <v>0</v>
      </c>
      <c r="X474" s="575"/>
      <c r="Y474" s="578">
        <f>IF('REF. DE PREÇOS n editavel'!W474=0,0,IF('REF. DE PREÇOS n editavel'!W474&gt;0,"c","b"))</f>
        <v>0</v>
      </c>
    </row>
    <row r="475" spans="1:25">
      <c r="A475" s="317" t="s">
        <v>147</v>
      </c>
      <c r="B475" s="870" t="s">
        <v>147</v>
      </c>
      <c r="C475" s="871"/>
      <c r="D475" s="931" t="s">
        <v>229</v>
      </c>
      <c r="E475" s="882">
        <f>'REF. DE PREÇOS n editavel'!E475</f>
        <v>290</v>
      </c>
      <c r="F475" s="883">
        <f>'REF. DE PREÇOS n editavel'!F475</f>
        <v>0.1002</v>
      </c>
      <c r="G475" s="923">
        <f>'REF. DE PREÇOS n editavel'!G475</f>
        <v>31.360596000000001</v>
      </c>
      <c r="H475" s="876">
        <f>'REF. DE PREÇOS n editavel'!H475</f>
        <v>0</v>
      </c>
      <c r="I475" s="876">
        <f>'REF. DE PREÇOS n editavel'!I475</f>
        <v>0</v>
      </c>
      <c r="J475" s="877">
        <f>'REF. DE PREÇOS n editavel'!J475</f>
        <v>0</v>
      </c>
      <c r="K475" s="878" t="s">
        <v>506</v>
      </c>
      <c r="L475" s="977"/>
      <c r="M475" s="1112">
        <f t="shared" si="52"/>
        <v>0</v>
      </c>
      <c r="N475" s="868">
        <f t="shared" si="56"/>
        <v>0</v>
      </c>
      <c r="O475" s="880"/>
      <c r="P475" s="58" t="str">
        <f>IF(N474&gt;0,"xx",IF(N474&gt;0,"xy",""))</f>
        <v/>
      </c>
      <c r="Q475" s="317" t="str">
        <f t="shared" si="53"/>
        <v/>
      </c>
      <c r="R475" s="317" t="str">
        <f t="shared" si="54"/>
        <v/>
      </c>
      <c r="S475" s="317" t="str">
        <f t="shared" si="55"/>
        <v/>
      </c>
      <c r="T475" s="317" t="str">
        <f>'REF. DE PREÇOS n editavel'!S475</f>
        <v/>
      </c>
      <c r="W475" s="577">
        <v>0</v>
      </c>
      <c r="X475" s="575"/>
      <c r="Y475" s="578">
        <f>IF('REF. DE PREÇOS n editavel'!W475=0,0,IF('REF. DE PREÇOS n editavel'!W475&gt;0,"c","b"))</f>
        <v>0</v>
      </c>
    </row>
    <row r="476" spans="1:25">
      <c r="A476" s="317" t="s">
        <v>147</v>
      </c>
      <c r="B476" s="870" t="s">
        <v>147</v>
      </c>
      <c r="C476" s="871"/>
      <c r="D476" s="931" t="s">
        <v>230</v>
      </c>
      <c r="E476" s="882">
        <f>'REF. DE PREÇOS n editavel'!E476</f>
        <v>445</v>
      </c>
      <c r="F476" s="883">
        <f>'REF. DE PREÇOS n editavel'!F476</f>
        <v>1.5100000000000001E-2</v>
      </c>
      <c r="G476" s="884">
        <f>'REF. DE PREÇOS n editavel'!G476</f>
        <v>5.3592920000000008</v>
      </c>
      <c r="H476" s="876">
        <f>'REF. DE PREÇOS n editavel'!H476</f>
        <v>0</v>
      </c>
      <c r="I476" s="876">
        <f>'REF. DE PREÇOS n editavel'!I476</f>
        <v>0</v>
      </c>
      <c r="J476" s="877">
        <f>'REF. DE PREÇOS n editavel'!J476</f>
        <v>0</v>
      </c>
      <c r="K476" s="878" t="s">
        <v>506</v>
      </c>
      <c r="L476" s="977"/>
      <c r="M476" s="1112">
        <f t="shared" si="52"/>
        <v>0</v>
      </c>
      <c r="N476" s="868">
        <f t="shared" si="56"/>
        <v>0</v>
      </c>
      <c r="O476" s="880"/>
      <c r="P476" s="58" t="str">
        <f>IF(N474&gt;0,"xx",IF(N474&gt;0,"xy",""))</f>
        <v/>
      </c>
      <c r="Q476" s="317" t="str">
        <f t="shared" si="53"/>
        <v/>
      </c>
      <c r="R476" s="317" t="str">
        <f t="shared" si="54"/>
        <v/>
      </c>
      <c r="S476" s="317" t="str">
        <f t="shared" si="55"/>
        <v/>
      </c>
      <c r="T476" s="317" t="str">
        <f>'REF. DE PREÇOS n editavel'!S476</f>
        <v/>
      </c>
      <c r="W476" s="577">
        <v>0</v>
      </c>
      <c r="X476" s="575"/>
      <c r="Y476" s="578">
        <f>IF('REF. DE PREÇOS n editavel'!W476=0,0,IF('REF. DE PREÇOS n editavel'!W476&gt;0,"c","b"))</f>
        <v>0</v>
      </c>
    </row>
    <row r="477" spans="1:25">
      <c r="A477" s="317" t="s">
        <v>147</v>
      </c>
      <c r="B477" s="870" t="s">
        <v>147</v>
      </c>
      <c r="C477" s="871"/>
      <c r="D477" s="931" t="s">
        <v>243</v>
      </c>
      <c r="E477" s="882">
        <f>'REF. DE PREÇOS n editavel'!E477</f>
        <v>0.2</v>
      </c>
      <c r="F477" s="883">
        <f>'REF. DE PREÇOS n editavel'!F477</f>
        <v>0.82969999999999999</v>
      </c>
      <c r="G477" s="923">
        <f>'REF. DE PREÇOS n editavel'!G477</f>
        <v>2.4011518000000001</v>
      </c>
      <c r="H477" s="876">
        <f>'REF. DE PREÇOS n editavel'!H477</f>
        <v>0</v>
      </c>
      <c r="I477" s="876">
        <f>'REF. DE PREÇOS n editavel'!I477</f>
        <v>0</v>
      </c>
      <c r="J477" s="877">
        <f>'REF. DE PREÇOS n editavel'!J477</f>
        <v>0</v>
      </c>
      <c r="K477" s="878" t="s">
        <v>506</v>
      </c>
      <c r="L477" s="977"/>
      <c r="M477" s="1112">
        <f t="shared" si="52"/>
        <v>0</v>
      </c>
      <c r="N477" s="868">
        <f t="shared" si="56"/>
        <v>0</v>
      </c>
      <c r="O477" s="880"/>
      <c r="P477" s="58" t="str">
        <f>IF(N474&gt;0,"xx",IF(N474&gt;0,"xy",""))</f>
        <v/>
      </c>
      <c r="Q477" s="317" t="str">
        <f t="shared" si="53"/>
        <v/>
      </c>
      <c r="R477" s="317" t="str">
        <f t="shared" si="54"/>
        <v/>
      </c>
      <c r="S477" s="317" t="str">
        <f t="shared" si="55"/>
        <v/>
      </c>
      <c r="T477" s="317" t="str">
        <f>'REF. DE PREÇOS n editavel'!S477</f>
        <v/>
      </c>
      <c r="W477" s="577">
        <v>0</v>
      </c>
      <c r="X477" s="575"/>
      <c r="Y477" s="578">
        <f>IF('REF. DE PREÇOS n editavel'!W477=0,0,IF('REF. DE PREÇOS n editavel'!W477&gt;0,"c","b"))</f>
        <v>0</v>
      </c>
    </row>
    <row r="478" spans="1:25">
      <c r="A478" s="317" t="s">
        <v>147</v>
      </c>
      <c r="B478" s="870" t="s">
        <v>147</v>
      </c>
      <c r="C478" s="871"/>
      <c r="D478" s="931" t="s">
        <v>244</v>
      </c>
      <c r="E478" s="882">
        <f>'REF. DE PREÇOS n editavel'!E478</f>
        <v>43.1</v>
      </c>
      <c r="F478" s="883">
        <f>'REF. DE PREÇOS n editavel'!F478</f>
        <v>1</v>
      </c>
      <c r="G478" s="887">
        <f>'REF. DE PREÇOS n editavel'!G478</f>
        <v>52.567000000000007</v>
      </c>
      <c r="H478" s="876">
        <f>'REF. DE PREÇOS n editavel'!H478</f>
        <v>0</v>
      </c>
      <c r="I478" s="876">
        <f>'REF. DE PREÇOS n editavel'!I478</f>
        <v>0</v>
      </c>
      <c r="J478" s="877">
        <f>'REF. DE PREÇOS n editavel'!J478</f>
        <v>0</v>
      </c>
      <c r="K478" s="878" t="s">
        <v>506</v>
      </c>
      <c r="L478" s="977"/>
      <c r="M478" s="1112">
        <f t="shared" si="52"/>
        <v>0</v>
      </c>
      <c r="N478" s="868">
        <f t="shared" si="56"/>
        <v>0</v>
      </c>
      <c r="O478" s="880"/>
      <c r="P478" s="58" t="str">
        <f>IF(N474&gt;0,"xx",IF(N474&gt;0,"xy",""))</f>
        <v/>
      </c>
      <c r="Q478" s="317" t="str">
        <f t="shared" si="53"/>
        <v/>
      </c>
      <c r="R478" s="317" t="str">
        <f t="shared" si="54"/>
        <v/>
      </c>
      <c r="S478" s="317" t="str">
        <f t="shared" si="55"/>
        <v/>
      </c>
      <c r="T478" s="317" t="str">
        <f>'REF. DE PREÇOS n editavel'!S478</f>
        <v/>
      </c>
      <c r="W478" s="577">
        <v>0</v>
      </c>
      <c r="X478" s="575"/>
      <c r="Y478" s="578">
        <f>IF('REF. DE PREÇOS n editavel'!W478=0,0,IF('REF. DE PREÇOS n editavel'!W478&gt;0,"c","b"))</f>
        <v>0</v>
      </c>
    </row>
    <row r="479" spans="1:25" ht="13.5" thickBot="1">
      <c r="A479" s="317">
        <v>589000</v>
      </c>
      <c r="B479" s="978" t="s">
        <v>1662</v>
      </c>
      <c r="C479" s="958" t="s">
        <v>213</v>
      </c>
      <c r="D479" s="986" t="s">
        <v>2150</v>
      </c>
      <c r="E479" s="979">
        <f>'REF. DE PREÇOS n editavel'!E479</f>
        <v>468</v>
      </c>
      <c r="F479" s="980">
        <f>'REF. DE PREÇOS n editavel'!F479</f>
        <v>1</v>
      </c>
      <c r="G479" s="923">
        <f>'REF. DE PREÇOS n editavel'!G479</f>
        <v>485.97999999999996</v>
      </c>
      <c r="H479" s="962">
        <f>'REF. DE PREÇOS n editavel'!H479</f>
        <v>4828.8599999999997</v>
      </c>
      <c r="I479" s="962">
        <f>'REF. DE PREÇOS n editavel'!I479</f>
        <v>5163.1232400589097</v>
      </c>
      <c r="J479" s="963">
        <f>'REF. DE PREÇOS n editavel'!J479</f>
        <v>6310.37</v>
      </c>
      <c r="K479" s="964" t="s">
        <v>14</v>
      </c>
      <c r="L479" s="1109">
        <f>ROUND(L474*$F474,2)</f>
        <v>0</v>
      </c>
      <c r="M479" s="1114">
        <f t="shared" si="52"/>
        <v>0</v>
      </c>
      <c r="N479" s="967">
        <f t="shared" si="56"/>
        <v>0</v>
      </c>
      <c r="O479" s="880"/>
      <c r="P479" s="58" t="str">
        <f>IF(N474&gt;0,"xx",IF(N474&gt;0,"xy",""))</f>
        <v/>
      </c>
      <c r="Q479" s="317" t="str">
        <f t="shared" si="53"/>
        <v/>
      </c>
      <c r="R479" s="317" t="str">
        <f t="shared" si="54"/>
        <v/>
      </c>
      <c r="S479" s="317" t="str">
        <f t="shared" si="55"/>
        <v/>
      </c>
      <c r="T479" s="317" t="str">
        <f>'REF. DE PREÇOS n editavel'!S479</f>
        <v/>
      </c>
      <c r="W479" s="577">
        <v>0</v>
      </c>
      <c r="X479" s="575"/>
      <c r="Y479" s="578">
        <f>IF('REF. DE PREÇOS n editavel'!W479=0,0,IF('REF. DE PREÇOS n editavel'!W479&gt;0,"c","b"))</f>
        <v>0</v>
      </c>
    </row>
    <row r="480" spans="1:25">
      <c r="A480" s="317">
        <v>570400</v>
      </c>
      <c r="B480" s="973" t="s">
        <v>1641</v>
      </c>
      <c r="C480" s="974" t="s">
        <v>184</v>
      </c>
      <c r="D480" s="993" t="s">
        <v>2201</v>
      </c>
      <c r="E480" s="948" t="str">
        <f>'REF. DE PREÇOS n editavel'!E480</f>
        <v>taxa CAP</v>
      </c>
      <c r="F480" s="949">
        <f>'REF. DE PREÇOS n editavel'!F480</f>
        <v>5.7000000000000002E-2</v>
      </c>
      <c r="G480" s="950">
        <f>'REF. DE PREÇOS n editavel'!G480</f>
        <v>91.585032000000012</v>
      </c>
      <c r="H480" s="951">
        <f>'REF. DE PREÇOS n editavel'!H480</f>
        <v>169.12</v>
      </c>
      <c r="I480" s="951">
        <f>'REF. DE PREÇOS n editavel'!I480</f>
        <v>260.70503200000002</v>
      </c>
      <c r="J480" s="952">
        <f>'REF. DE PREÇOS n editavel'!J480</f>
        <v>318.63</v>
      </c>
      <c r="K480" s="953" t="s">
        <v>14</v>
      </c>
      <c r="L480" s="1107"/>
      <c r="M480" s="1108">
        <f t="shared" si="52"/>
        <v>0</v>
      </c>
      <c r="N480" s="956">
        <f t="shared" si="56"/>
        <v>0</v>
      </c>
      <c r="O480" s="880"/>
      <c r="Q480" s="317" t="str">
        <f t="shared" si="53"/>
        <v/>
      </c>
      <c r="R480" s="317" t="str">
        <f t="shared" si="54"/>
        <v/>
      </c>
      <c r="S480" s="317" t="str">
        <f t="shared" si="55"/>
        <v/>
      </c>
      <c r="T480" s="317" t="str">
        <f>'REF. DE PREÇOS n editavel'!S480</f>
        <v/>
      </c>
      <c r="W480" s="577">
        <v>0</v>
      </c>
      <c r="X480" s="575"/>
      <c r="Y480" s="578">
        <f>IF('REF. DE PREÇOS n editavel'!W480=0,0,IF('REF. DE PREÇOS n editavel'!W480&gt;0,"c","b"))</f>
        <v>0</v>
      </c>
    </row>
    <row r="481" spans="1:25">
      <c r="A481" s="317" t="s">
        <v>147</v>
      </c>
      <c r="B481" s="870" t="s">
        <v>147</v>
      </c>
      <c r="C481" s="871"/>
      <c r="D481" s="931" t="s">
        <v>229</v>
      </c>
      <c r="E481" s="882">
        <f>'REF. DE PREÇOS n editavel'!E481</f>
        <v>290</v>
      </c>
      <c r="F481" s="883">
        <f>'REF. DE PREÇOS n editavel'!F481</f>
        <v>0.1</v>
      </c>
      <c r="G481" s="923">
        <f>'REF. DE PREÇOS n editavel'!G481</f>
        <v>31.298000000000002</v>
      </c>
      <c r="H481" s="876">
        <f>'REF. DE PREÇOS n editavel'!H481</f>
        <v>0</v>
      </c>
      <c r="I481" s="876">
        <f>'REF. DE PREÇOS n editavel'!I481</f>
        <v>0</v>
      </c>
      <c r="J481" s="877">
        <f>'REF. DE PREÇOS n editavel'!J481</f>
        <v>0</v>
      </c>
      <c r="K481" s="878" t="s">
        <v>506</v>
      </c>
      <c r="L481" s="977"/>
      <c r="M481" s="1112">
        <f t="shared" si="52"/>
        <v>0</v>
      </c>
      <c r="N481" s="868">
        <f t="shared" si="56"/>
        <v>0</v>
      </c>
      <c r="O481" s="880"/>
      <c r="P481" s="58" t="str">
        <f>IF(N480&gt;0,"xx",IF(N480&gt;0,"xy",""))</f>
        <v/>
      </c>
      <c r="Q481" s="317" t="str">
        <f t="shared" si="53"/>
        <v/>
      </c>
      <c r="R481" s="317" t="str">
        <f t="shared" si="54"/>
        <v/>
      </c>
      <c r="S481" s="317" t="str">
        <f t="shared" si="55"/>
        <v/>
      </c>
      <c r="T481" s="317" t="str">
        <f>'REF. DE PREÇOS n editavel'!S481</f>
        <v/>
      </c>
      <c r="W481" s="577">
        <v>0</v>
      </c>
      <c r="X481" s="575"/>
      <c r="Y481" s="578">
        <f>IF('REF. DE PREÇOS n editavel'!W481=0,0,IF('REF. DE PREÇOS n editavel'!W481&gt;0,"c","b"))</f>
        <v>0</v>
      </c>
    </row>
    <row r="482" spans="1:25">
      <c r="A482" s="317" t="s">
        <v>147</v>
      </c>
      <c r="B482" s="870" t="s">
        <v>147</v>
      </c>
      <c r="C482" s="871"/>
      <c r="D482" s="931" t="s">
        <v>230</v>
      </c>
      <c r="E482" s="882">
        <f>'REF. DE PREÇOS n editavel'!E482</f>
        <v>445</v>
      </c>
      <c r="F482" s="883">
        <f>'REF. DE PREÇOS n editavel'!F482</f>
        <v>1.4999999999999999E-2</v>
      </c>
      <c r="G482" s="884">
        <f>'REF. DE PREÇOS n editavel'!G482</f>
        <v>5.3238000000000003</v>
      </c>
      <c r="H482" s="876">
        <f>'REF. DE PREÇOS n editavel'!H482</f>
        <v>0</v>
      </c>
      <c r="I482" s="876">
        <f>'REF. DE PREÇOS n editavel'!I482</f>
        <v>0</v>
      </c>
      <c r="J482" s="877">
        <f>'REF. DE PREÇOS n editavel'!J482</f>
        <v>0</v>
      </c>
      <c r="K482" s="878" t="s">
        <v>506</v>
      </c>
      <c r="L482" s="977"/>
      <c r="M482" s="1112">
        <f t="shared" si="52"/>
        <v>0</v>
      </c>
      <c r="N482" s="868">
        <f t="shared" si="56"/>
        <v>0</v>
      </c>
      <c r="O482" s="880"/>
      <c r="P482" s="58" t="str">
        <f>IF(N480&gt;0,"xx",IF(N480&gt;0,"xy",""))</f>
        <v/>
      </c>
      <c r="Q482" s="317" t="str">
        <f t="shared" si="53"/>
        <v/>
      </c>
      <c r="R482" s="317" t="str">
        <f t="shared" si="54"/>
        <v/>
      </c>
      <c r="S482" s="317" t="str">
        <f t="shared" si="55"/>
        <v/>
      </c>
      <c r="T482" s="317" t="str">
        <f>'REF. DE PREÇOS n editavel'!S482</f>
        <v/>
      </c>
      <c r="W482" s="577">
        <v>0</v>
      </c>
      <c r="X482" s="575"/>
      <c r="Y482" s="578">
        <f>IF('REF. DE PREÇOS n editavel'!W482=0,0,IF('REF. DE PREÇOS n editavel'!W482&gt;0,"c","b"))</f>
        <v>0</v>
      </c>
    </row>
    <row r="483" spans="1:25">
      <c r="A483" s="317" t="s">
        <v>147</v>
      </c>
      <c r="B483" s="870" t="s">
        <v>147</v>
      </c>
      <c r="C483" s="871"/>
      <c r="D483" s="931" t="s">
        <v>243</v>
      </c>
      <c r="E483" s="882">
        <f>'REF. DE PREÇOS n editavel'!E483</f>
        <v>0.2</v>
      </c>
      <c r="F483" s="883">
        <f>'REF. DE PREÇOS n editavel'!F483</f>
        <v>0.82799999999999996</v>
      </c>
      <c r="G483" s="923">
        <f>'REF. DE PREÇOS n editavel'!G483</f>
        <v>2.3962319999999999</v>
      </c>
      <c r="H483" s="876">
        <f>'REF. DE PREÇOS n editavel'!H483</f>
        <v>0</v>
      </c>
      <c r="I483" s="876">
        <f>'REF. DE PREÇOS n editavel'!I483</f>
        <v>0</v>
      </c>
      <c r="J483" s="877">
        <f>'REF. DE PREÇOS n editavel'!J483</f>
        <v>0</v>
      </c>
      <c r="K483" s="878" t="s">
        <v>506</v>
      </c>
      <c r="L483" s="977"/>
      <c r="M483" s="1112">
        <f t="shared" si="52"/>
        <v>0</v>
      </c>
      <c r="N483" s="868">
        <f t="shared" si="56"/>
        <v>0</v>
      </c>
      <c r="O483" s="880"/>
      <c r="P483" s="58" t="str">
        <f>IF(N480&gt;0,"xx",IF(N480&gt;0,"xy",""))</f>
        <v/>
      </c>
      <c r="Q483" s="317" t="str">
        <f t="shared" si="53"/>
        <v/>
      </c>
      <c r="R483" s="317" t="str">
        <f t="shared" si="54"/>
        <v/>
      </c>
      <c r="S483" s="317" t="str">
        <f t="shared" si="55"/>
        <v/>
      </c>
      <c r="T483" s="317" t="str">
        <f>'REF. DE PREÇOS n editavel'!S483</f>
        <v/>
      </c>
      <c r="W483" s="577">
        <v>0</v>
      </c>
      <c r="X483" s="575"/>
      <c r="Y483" s="578">
        <f>IF('REF. DE PREÇOS n editavel'!W483=0,0,IF('REF. DE PREÇOS n editavel'!W483&gt;0,"c","b"))</f>
        <v>0</v>
      </c>
    </row>
    <row r="484" spans="1:25">
      <c r="A484" s="317" t="s">
        <v>147</v>
      </c>
      <c r="B484" s="870" t="s">
        <v>147</v>
      </c>
      <c r="C484" s="871"/>
      <c r="D484" s="931" t="s">
        <v>244</v>
      </c>
      <c r="E484" s="882">
        <f>'REF. DE PREÇOS n editavel'!E484</f>
        <v>43.1</v>
      </c>
      <c r="F484" s="883">
        <f>'REF. DE PREÇOS n editavel'!F484</f>
        <v>1</v>
      </c>
      <c r="G484" s="887">
        <f>'REF. DE PREÇOS n editavel'!G484</f>
        <v>52.567000000000007</v>
      </c>
      <c r="H484" s="876">
        <f>'REF. DE PREÇOS n editavel'!H484</f>
        <v>0</v>
      </c>
      <c r="I484" s="876">
        <f>'REF. DE PREÇOS n editavel'!I484</f>
        <v>0</v>
      </c>
      <c r="J484" s="877">
        <f>'REF. DE PREÇOS n editavel'!J484</f>
        <v>0</v>
      </c>
      <c r="K484" s="878" t="s">
        <v>506</v>
      </c>
      <c r="L484" s="977"/>
      <c r="M484" s="1112">
        <f t="shared" si="52"/>
        <v>0</v>
      </c>
      <c r="N484" s="868">
        <f t="shared" si="56"/>
        <v>0</v>
      </c>
      <c r="O484" s="880"/>
      <c r="P484" s="58" t="str">
        <f>IF(N480&gt;0,"xx",IF(N480&gt;0,"xy",""))</f>
        <v/>
      </c>
      <c r="Q484" s="317" t="str">
        <f t="shared" si="53"/>
        <v/>
      </c>
      <c r="R484" s="317" t="str">
        <f t="shared" si="54"/>
        <v/>
      </c>
      <c r="S484" s="317" t="str">
        <f t="shared" si="55"/>
        <v/>
      </c>
      <c r="T484" s="317" t="str">
        <f>'REF. DE PREÇOS n editavel'!S484</f>
        <v/>
      </c>
      <c r="W484" s="577">
        <v>0</v>
      </c>
      <c r="X484" s="575"/>
      <c r="Y484" s="578">
        <f>IF('REF. DE PREÇOS n editavel'!W484=0,0,IF('REF. DE PREÇOS n editavel'!W484&gt;0,"c","b"))</f>
        <v>0</v>
      </c>
    </row>
    <row r="485" spans="1:25" ht="13.5" thickBot="1">
      <c r="A485" s="317">
        <v>589000</v>
      </c>
      <c r="B485" s="978" t="s">
        <v>710</v>
      </c>
      <c r="C485" s="958" t="s">
        <v>213</v>
      </c>
      <c r="D485" s="986" t="s">
        <v>2150</v>
      </c>
      <c r="E485" s="979">
        <f>'REF. DE PREÇOS n editavel'!E485</f>
        <v>468</v>
      </c>
      <c r="F485" s="980">
        <f>'REF. DE PREÇOS n editavel'!F485</f>
        <v>1</v>
      </c>
      <c r="G485" s="923">
        <f>'REF. DE PREÇOS n editavel'!G485</f>
        <v>485.97999999999996</v>
      </c>
      <c r="H485" s="962">
        <f>'REF. DE PREÇOS n editavel'!H485</f>
        <v>4828.8599999999997</v>
      </c>
      <c r="I485" s="962">
        <f>'REF. DE PREÇOS n editavel'!I485</f>
        <v>5163.1232400589097</v>
      </c>
      <c r="J485" s="963">
        <f>'REF. DE PREÇOS n editavel'!J485</f>
        <v>6310.37</v>
      </c>
      <c r="K485" s="964" t="s">
        <v>14</v>
      </c>
      <c r="L485" s="1109">
        <f>ROUND(L480*$F480,2)</f>
        <v>0</v>
      </c>
      <c r="M485" s="1114">
        <f t="shared" si="52"/>
        <v>0</v>
      </c>
      <c r="N485" s="967">
        <f t="shared" si="56"/>
        <v>0</v>
      </c>
      <c r="O485" s="880"/>
      <c r="P485" s="58" t="str">
        <f>IF(N480&gt;0,"xx",IF(N480&gt;0,"xy",""))</f>
        <v/>
      </c>
      <c r="Q485" s="317" t="str">
        <f t="shared" si="53"/>
        <v/>
      </c>
      <c r="R485" s="317" t="str">
        <f t="shared" si="54"/>
        <v/>
      </c>
      <c r="S485" s="317" t="str">
        <f t="shared" si="55"/>
        <v/>
      </c>
      <c r="T485" s="317" t="str">
        <f>'REF. DE PREÇOS n editavel'!S485</f>
        <v/>
      </c>
      <c r="W485" s="577">
        <v>0</v>
      </c>
      <c r="X485" s="575"/>
      <c r="Y485" s="578">
        <f>IF('REF. DE PREÇOS n editavel'!W485=0,0,IF('REF. DE PREÇOS n editavel'!W485&gt;0,"c","b"))</f>
        <v>0</v>
      </c>
    </row>
    <row r="486" spans="1:25">
      <c r="A486" s="317">
        <v>570000</v>
      </c>
      <c r="B486" s="973" t="str">
        <f>'REF. DE PREÇOS n editavel'!B486</f>
        <v>570000D</v>
      </c>
      <c r="C486" s="974" t="str">
        <f>'REF. DE PREÇOS n editavel'!C486</f>
        <v>DER</v>
      </c>
      <c r="D486" s="998" t="str">
        <f>'REF. DE PREÇOS n editavel'!D486</f>
        <v>CBUQ - Novo Traço - TRAÇO 4 - FAIXA "C" - (Quantidade MAIOR que 10.000 ton)</v>
      </c>
      <c r="E486" s="948" t="str">
        <f>'REF. DE PREÇOS n editavel'!E486</f>
        <v>taxa CAP</v>
      </c>
      <c r="F486" s="999">
        <f>'REF. DE PREÇOS n editavel'!F486</f>
        <v>0.05</v>
      </c>
      <c r="G486" s="950">
        <f>'REF. DE PREÇOS n editavel'!G486</f>
        <v>90.060704600000008</v>
      </c>
      <c r="H486" s="951">
        <f>'REF. DE PREÇOS n editavel'!H486</f>
        <v>187.41</v>
      </c>
      <c r="I486" s="951">
        <f>'REF. DE PREÇOS n editavel'!I486</f>
        <v>277.47070459999998</v>
      </c>
      <c r="J486" s="952">
        <f>'REF. DE PREÇOS n editavel'!J486</f>
        <v>339.12</v>
      </c>
      <c r="K486" s="953" t="s">
        <v>14</v>
      </c>
      <c r="L486" s="1107"/>
      <c r="M486" s="1108">
        <f t="shared" si="52"/>
        <v>0</v>
      </c>
      <c r="N486" s="956">
        <f t="shared" ref="N486:N491" si="72">IF(ISBLANK(L486),0,IF(W486=0,ROUND(L486*M486,2),IF(W486="b",ROUNDDOWN(L486*M486,2),ROUNDUP(L486*M486,2))))</f>
        <v>0</v>
      </c>
      <c r="O486" s="880"/>
      <c r="Q486" s="317" t="str">
        <f t="shared" si="53"/>
        <v/>
      </c>
      <c r="R486" s="317" t="str">
        <f t="shared" si="54"/>
        <v/>
      </c>
      <c r="S486" s="317" t="str">
        <f t="shared" si="55"/>
        <v/>
      </c>
      <c r="T486" s="317" t="str">
        <f>'REF. DE PREÇOS n editavel'!S486</f>
        <v/>
      </c>
      <c r="W486" s="577">
        <v>0</v>
      </c>
      <c r="X486" s="575"/>
      <c r="Y486" s="578">
        <f>IF('REF. DE PREÇOS n editavel'!W486=0,0,IF('REF. DE PREÇOS n editavel'!W486&gt;0,"c","b"))</f>
        <v>0</v>
      </c>
    </row>
    <row r="487" spans="1:25">
      <c r="A487" s="317" t="s">
        <v>147</v>
      </c>
      <c r="B487" s="870" t="str">
        <f>'REF. DE PREÇOS n editavel'!B487</f>
        <v>transporte</v>
      </c>
      <c r="C487" s="871">
        <f>'REF. DE PREÇOS n editavel'!C487</f>
        <v>0</v>
      </c>
      <c r="D487" s="931" t="str">
        <f>'REF. DE PREÇOS n editavel'!D487</f>
        <v>Areia</v>
      </c>
      <c r="E487" s="882">
        <f>'REF. DE PREÇOS n editavel'!E487</f>
        <v>290</v>
      </c>
      <c r="F487" s="1242">
        <f>'REF. DE PREÇOS n editavel'!F487</f>
        <v>9.5699999999999993E-2</v>
      </c>
      <c r="G487" s="923">
        <f>'REF. DE PREÇOS n editavel'!G487</f>
        <v>29.952186000000001</v>
      </c>
      <c r="H487" s="876">
        <f>'REF. DE PREÇOS n editavel'!H487</f>
        <v>0</v>
      </c>
      <c r="I487" s="876">
        <f>'REF. DE PREÇOS n editavel'!I487</f>
        <v>0</v>
      </c>
      <c r="J487" s="877">
        <f>'REF. DE PREÇOS n editavel'!J487</f>
        <v>0</v>
      </c>
      <c r="K487" s="878" t="s">
        <v>506</v>
      </c>
      <c r="L487" s="977"/>
      <c r="M487" s="1112">
        <f t="shared" si="52"/>
        <v>0</v>
      </c>
      <c r="N487" s="868">
        <f t="shared" si="72"/>
        <v>0</v>
      </c>
      <c r="O487" s="880"/>
      <c r="P487" s="58" t="str">
        <f>IF(N486&gt;0,"xx",IF(N486&gt;0,"xy",""))</f>
        <v/>
      </c>
      <c r="Q487" s="317" t="str">
        <f t="shared" si="53"/>
        <v/>
      </c>
      <c r="R487" s="317" t="str">
        <f t="shared" si="54"/>
        <v/>
      </c>
      <c r="S487" s="317" t="str">
        <f t="shared" si="55"/>
        <v/>
      </c>
      <c r="T487" s="317" t="str">
        <f>'REF. DE PREÇOS n editavel'!S487</f>
        <v/>
      </c>
      <c r="W487" s="577">
        <v>0</v>
      </c>
      <c r="X487" s="575"/>
      <c r="Y487" s="578">
        <f>IF('REF. DE PREÇOS n editavel'!W487=0,0,IF('REF. DE PREÇOS n editavel'!W487&gt;0,"c","b"))</f>
        <v>0</v>
      </c>
    </row>
    <row r="488" spans="1:25">
      <c r="A488" s="317" t="s">
        <v>147</v>
      </c>
      <c r="B488" s="870" t="str">
        <f>'REF. DE PREÇOS n editavel'!B488</f>
        <v>transporte</v>
      </c>
      <c r="C488" s="871">
        <f>'REF. DE PREÇOS n editavel'!C488</f>
        <v>0</v>
      </c>
      <c r="D488" s="931" t="str">
        <f>'REF. DE PREÇOS n editavel'!D488</f>
        <v>Cal Hidratada CH-1</v>
      </c>
      <c r="E488" s="882">
        <f>'REF. DE PREÇOS n editavel'!E488</f>
        <v>445</v>
      </c>
      <c r="F488" s="1242">
        <f>'REF. DE PREÇOS n editavel'!F488</f>
        <v>1.44E-2</v>
      </c>
      <c r="G488" s="884">
        <f>'REF. DE PREÇOS n editavel'!G488</f>
        <v>5.1108479999999998</v>
      </c>
      <c r="H488" s="876">
        <f>'REF. DE PREÇOS n editavel'!H488</f>
        <v>0</v>
      </c>
      <c r="I488" s="876">
        <f>'REF. DE PREÇOS n editavel'!I488</f>
        <v>0</v>
      </c>
      <c r="J488" s="877">
        <f>'REF. DE PREÇOS n editavel'!J488</f>
        <v>0</v>
      </c>
      <c r="K488" s="878" t="s">
        <v>506</v>
      </c>
      <c r="L488" s="977"/>
      <c r="M488" s="1112">
        <f t="shared" si="52"/>
        <v>0</v>
      </c>
      <c r="N488" s="868">
        <f t="shared" si="72"/>
        <v>0</v>
      </c>
      <c r="O488" s="880"/>
      <c r="P488" s="58" t="str">
        <f>IF(N486&gt;0,"xx",IF(N486&gt;0,"xy",""))</f>
        <v/>
      </c>
      <c r="Q488" s="317" t="str">
        <f t="shared" si="53"/>
        <v/>
      </c>
      <c r="R488" s="317" t="str">
        <f t="shared" si="54"/>
        <v/>
      </c>
      <c r="S488" s="317" t="str">
        <f t="shared" si="55"/>
        <v/>
      </c>
      <c r="T488" s="317" t="str">
        <f>'REF. DE PREÇOS n editavel'!S488</f>
        <v/>
      </c>
      <c r="W488" s="577">
        <v>0</v>
      </c>
      <c r="X488" s="575"/>
      <c r="Y488" s="578">
        <f>IF('REF. DE PREÇOS n editavel'!W488=0,0,IF('REF. DE PREÇOS n editavel'!W488&gt;0,"c","b"))</f>
        <v>0</v>
      </c>
    </row>
    <row r="489" spans="1:25">
      <c r="A489" s="317" t="s">
        <v>147</v>
      </c>
      <c r="B489" s="870" t="str">
        <f>'REF. DE PREÇOS n editavel'!B489</f>
        <v>transporte</v>
      </c>
      <c r="C489" s="871">
        <f>'REF. DE PREÇOS n editavel'!C489</f>
        <v>0</v>
      </c>
      <c r="D489" s="931" t="str">
        <f>'REF. DE PREÇOS n editavel'!D489</f>
        <v>Brita ( usina )</v>
      </c>
      <c r="E489" s="882">
        <f>'REF. DE PREÇOS n editavel'!E489</f>
        <v>0.2</v>
      </c>
      <c r="F489" s="1242">
        <f>'REF. DE PREÇOS n editavel'!F489</f>
        <v>0.83989999999999998</v>
      </c>
      <c r="G489" s="923">
        <f>'REF. DE PREÇOS n editavel'!G489</f>
        <v>2.4306706</v>
      </c>
      <c r="H489" s="876">
        <f>'REF. DE PREÇOS n editavel'!H489</f>
        <v>0</v>
      </c>
      <c r="I489" s="876">
        <f>'REF. DE PREÇOS n editavel'!I489</f>
        <v>0</v>
      </c>
      <c r="J489" s="877">
        <f>'REF. DE PREÇOS n editavel'!J489</f>
        <v>0</v>
      </c>
      <c r="K489" s="878" t="s">
        <v>506</v>
      </c>
      <c r="L489" s="977"/>
      <c r="M489" s="1112">
        <f t="shared" si="52"/>
        <v>0</v>
      </c>
      <c r="N489" s="868">
        <f t="shared" si="72"/>
        <v>0</v>
      </c>
      <c r="O489" s="880"/>
      <c r="P489" s="58" t="str">
        <f>IF(N486&gt;0,"xx",IF(N486&gt;0,"xy",""))</f>
        <v/>
      </c>
      <c r="Q489" s="317" t="str">
        <f t="shared" si="53"/>
        <v/>
      </c>
      <c r="R489" s="317" t="str">
        <f t="shared" si="54"/>
        <v/>
      </c>
      <c r="S489" s="317" t="str">
        <f t="shared" si="55"/>
        <v/>
      </c>
      <c r="T489" s="317" t="str">
        <f>'REF. DE PREÇOS n editavel'!S489</f>
        <v/>
      </c>
      <c r="W489" s="577">
        <v>0</v>
      </c>
      <c r="X489" s="575"/>
      <c r="Y489" s="578">
        <f>IF('REF. DE PREÇOS n editavel'!W489=0,0,IF('REF. DE PREÇOS n editavel'!W489&gt;0,"c","b"))</f>
        <v>0</v>
      </c>
    </row>
    <row r="490" spans="1:25">
      <c r="A490" s="317" t="s">
        <v>147</v>
      </c>
      <c r="B490" s="870" t="str">
        <f>'REF. DE PREÇOS n editavel'!B490</f>
        <v>transporte</v>
      </c>
      <c r="C490" s="871">
        <f>'REF. DE PREÇOS n editavel'!C490</f>
        <v>0</v>
      </c>
      <c r="D490" s="931" t="str">
        <f>'REF. DE PREÇOS n editavel'!D490</f>
        <v>Massa</v>
      </c>
      <c r="E490" s="882">
        <f>'REF. DE PREÇOS n editavel'!E490</f>
        <v>43.1</v>
      </c>
      <c r="F490" s="1242">
        <f>'REF. DE PREÇOS n editavel'!F490</f>
        <v>1</v>
      </c>
      <c r="G490" s="887">
        <f>'REF. DE PREÇOS n editavel'!G490</f>
        <v>52.567000000000007</v>
      </c>
      <c r="H490" s="876">
        <f>'REF. DE PREÇOS n editavel'!H490</f>
        <v>0</v>
      </c>
      <c r="I490" s="876">
        <f>'REF. DE PREÇOS n editavel'!I490</f>
        <v>0</v>
      </c>
      <c r="J490" s="877">
        <f>'REF. DE PREÇOS n editavel'!J490</f>
        <v>0</v>
      </c>
      <c r="K490" s="878" t="s">
        <v>506</v>
      </c>
      <c r="L490" s="977"/>
      <c r="M490" s="1112">
        <f t="shared" si="52"/>
        <v>0</v>
      </c>
      <c r="N490" s="868">
        <f t="shared" si="72"/>
        <v>0</v>
      </c>
      <c r="O490" s="880"/>
      <c r="P490" s="58" t="str">
        <f>IF(N486&gt;0,"xx",IF(N486&gt;0,"xy",""))</f>
        <v/>
      </c>
      <c r="Q490" s="317" t="str">
        <f t="shared" si="53"/>
        <v/>
      </c>
      <c r="R490" s="317" t="str">
        <f t="shared" si="54"/>
        <v/>
      </c>
      <c r="S490" s="317" t="str">
        <f t="shared" si="55"/>
        <v/>
      </c>
      <c r="T490" s="317" t="str">
        <f>'REF. DE PREÇOS n editavel'!S490</f>
        <v/>
      </c>
      <c r="W490" s="577">
        <v>0</v>
      </c>
      <c r="X490" s="575"/>
      <c r="Y490" s="578">
        <f>IF('REF. DE PREÇOS n editavel'!W490=0,0,IF('REF. DE PREÇOS n editavel'!W490&gt;0,"c","b"))</f>
        <v>0</v>
      </c>
    </row>
    <row r="491" spans="1:25" ht="13.5" thickBot="1">
      <c r="A491" s="317">
        <v>589000</v>
      </c>
      <c r="B491" s="978" t="str">
        <f>'REF. DE PREÇOS n editavel'!B491</f>
        <v>589000K</v>
      </c>
      <c r="C491" s="958" t="str">
        <f>'REF. DE PREÇOS n editavel'!C491</f>
        <v>DER mat</v>
      </c>
      <c r="D491" s="986" t="str">
        <f>'REF. DE PREÇOS n editavel'!D491</f>
        <v>Fornecimento de CAP - CBUQ (Quantidade menor que 10.000 ton)</v>
      </c>
      <c r="E491" s="979">
        <f>'REF. DE PREÇOS n editavel'!E491</f>
        <v>468</v>
      </c>
      <c r="F491" s="980">
        <f>'REF. DE PREÇOS n editavel'!F491</f>
        <v>1</v>
      </c>
      <c r="G491" s="923">
        <f>'REF. DE PREÇOS n editavel'!G491</f>
        <v>485.97999999999996</v>
      </c>
      <c r="H491" s="962">
        <f>'REF. DE PREÇOS n editavel'!H491</f>
        <v>4828.8599999999997</v>
      </c>
      <c r="I491" s="962">
        <f>'REF. DE PREÇOS n editavel'!I491</f>
        <v>5163.1232400589097</v>
      </c>
      <c r="J491" s="963">
        <f>'REF. DE PREÇOS n editavel'!J491</f>
        <v>6310.37</v>
      </c>
      <c r="K491" s="964" t="s">
        <v>14</v>
      </c>
      <c r="L491" s="1109">
        <f>ROUND(L486*$F486,2)</f>
        <v>0</v>
      </c>
      <c r="M491" s="1114">
        <f t="shared" si="52"/>
        <v>0</v>
      </c>
      <c r="N491" s="967">
        <f t="shared" si="72"/>
        <v>0</v>
      </c>
      <c r="O491" s="880"/>
      <c r="P491" s="58" t="str">
        <f>IF(N486&gt;0,"xx",IF(N486&gt;0,"xy",""))</f>
        <v/>
      </c>
      <c r="Q491" s="317" t="str">
        <f t="shared" si="53"/>
        <v/>
      </c>
      <c r="R491" s="317" t="str">
        <f t="shared" si="54"/>
        <v/>
      </c>
      <c r="S491" s="317" t="str">
        <f t="shared" si="55"/>
        <v/>
      </c>
      <c r="T491" s="317" t="str">
        <f>'REF. DE PREÇOS n editavel'!S491</f>
        <v/>
      </c>
      <c r="W491" s="577">
        <v>0</v>
      </c>
      <c r="X491" s="575"/>
      <c r="Y491" s="578">
        <f>IF('REF. DE PREÇOS n editavel'!W491=0,0,IF('REF. DE PREÇOS n editavel'!W491&gt;0,"c","b"))</f>
        <v>0</v>
      </c>
    </row>
    <row r="492" spans="1:25" ht="22.5">
      <c r="A492" s="317">
        <v>570360</v>
      </c>
      <c r="B492" s="973">
        <v>570360</v>
      </c>
      <c r="C492" s="974" t="s">
        <v>184</v>
      </c>
      <c r="D492" s="947" t="s">
        <v>245</v>
      </c>
      <c r="E492" s="1000" t="str">
        <f>'REF. DE PREÇOS n editavel'!E492</f>
        <v>taxa CAP 
SBS(60/85)</v>
      </c>
      <c r="F492" s="949">
        <f>'REF. DE PREÇOS n editavel'!F492</f>
        <v>5.8999999999999997E-2</v>
      </c>
      <c r="G492" s="950">
        <f>'REF. DE PREÇOS n editavel'!G492</f>
        <v>91.579244000000017</v>
      </c>
      <c r="H492" s="951">
        <f>'REF. DE PREÇOS n editavel'!H492</f>
        <v>178.95</v>
      </c>
      <c r="I492" s="951">
        <f>'REF. DE PREÇOS n editavel'!I492</f>
        <v>270.52924400000001</v>
      </c>
      <c r="J492" s="952">
        <f>'REF. DE PREÇOS n editavel'!J492</f>
        <v>330.64</v>
      </c>
      <c r="K492" s="953" t="s">
        <v>14</v>
      </c>
      <c r="L492" s="1107"/>
      <c r="M492" s="1108">
        <f t="shared" si="52"/>
        <v>0</v>
      </c>
      <c r="N492" s="956">
        <f t="shared" si="56"/>
        <v>0</v>
      </c>
      <c r="O492" s="880"/>
      <c r="Q492" s="317" t="str">
        <f t="shared" si="53"/>
        <v/>
      </c>
      <c r="R492" s="317" t="str">
        <f t="shared" si="54"/>
        <v/>
      </c>
      <c r="S492" s="317" t="str">
        <f t="shared" si="55"/>
        <v/>
      </c>
      <c r="T492" s="317" t="str">
        <f>'REF. DE PREÇOS n editavel'!S492</f>
        <v/>
      </c>
      <c r="W492" s="577">
        <v>0</v>
      </c>
      <c r="X492" s="575"/>
      <c r="Y492" s="578">
        <f>IF('REF. DE PREÇOS n editavel'!W492=0,0,IF('REF. DE PREÇOS n editavel'!W492&gt;0,"c","b"))</f>
        <v>0</v>
      </c>
    </row>
    <row r="493" spans="1:25">
      <c r="A493" s="317" t="s">
        <v>147</v>
      </c>
      <c r="B493" s="870" t="s">
        <v>147</v>
      </c>
      <c r="C493" s="871"/>
      <c r="D493" s="931" t="s">
        <v>229</v>
      </c>
      <c r="E493" s="882">
        <f>'REF. DE PREÇOS n editavel'!E493</f>
        <v>290</v>
      </c>
      <c r="F493" s="883">
        <f>'REF. DE PREÇOS n editavel'!F493</f>
        <v>0.1</v>
      </c>
      <c r="G493" s="923">
        <f>'REF. DE PREÇOS n editavel'!G493</f>
        <v>31.298000000000002</v>
      </c>
      <c r="H493" s="876">
        <f>'REF. DE PREÇOS n editavel'!H493</f>
        <v>0</v>
      </c>
      <c r="I493" s="876">
        <f>'REF. DE PREÇOS n editavel'!I493</f>
        <v>0</v>
      </c>
      <c r="J493" s="877">
        <f>'REF. DE PREÇOS n editavel'!J493</f>
        <v>0</v>
      </c>
      <c r="K493" s="878" t="s">
        <v>506</v>
      </c>
      <c r="L493" s="977"/>
      <c r="M493" s="1112">
        <f t="shared" si="52"/>
        <v>0</v>
      </c>
      <c r="N493" s="868">
        <f t="shared" si="56"/>
        <v>0</v>
      </c>
      <c r="O493" s="880"/>
      <c r="P493" s="58" t="str">
        <f>IF(N492&gt;0,"xx",IF(N492&gt;0,"xy",""))</f>
        <v/>
      </c>
      <c r="Q493" s="317" t="str">
        <f t="shared" si="53"/>
        <v/>
      </c>
      <c r="R493" s="317" t="str">
        <f t="shared" si="54"/>
        <v/>
      </c>
      <c r="S493" s="317" t="str">
        <f t="shared" si="55"/>
        <v/>
      </c>
      <c r="T493" s="317" t="str">
        <f>'REF. DE PREÇOS n editavel'!S493</f>
        <v/>
      </c>
      <c r="W493" s="577">
        <v>0</v>
      </c>
      <c r="X493" s="575"/>
      <c r="Y493" s="578">
        <f>IF('REF. DE PREÇOS n editavel'!W493=0,0,IF('REF. DE PREÇOS n editavel'!W493&gt;0,"c","b"))</f>
        <v>0</v>
      </c>
    </row>
    <row r="494" spans="1:25">
      <c r="A494" s="317" t="s">
        <v>147</v>
      </c>
      <c r="B494" s="870" t="s">
        <v>147</v>
      </c>
      <c r="C494" s="871"/>
      <c r="D494" s="931" t="s">
        <v>230</v>
      </c>
      <c r="E494" s="882">
        <f>'REF. DE PREÇOS n editavel'!E494</f>
        <v>445</v>
      </c>
      <c r="F494" s="883">
        <f>'REF. DE PREÇOS n editavel'!F494</f>
        <v>1.4999999999999999E-2</v>
      </c>
      <c r="G494" s="884">
        <f>'REF. DE PREÇOS n editavel'!G494</f>
        <v>5.3238000000000003</v>
      </c>
      <c r="H494" s="876">
        <f>'REF. DE PREÇOS n editavel'!H494</f>
        <v>0</v>
      </c>
      <c r="I494" s="876">
        <f>'REF. DE PREÇOS n editavel'!I494</f>
        <v>0</v>
      </c>
      <c r="J494" s="877">
        <f>'REF. DE PREÇOS n editavel'!J494</f>
        <v>0</v>
      </c>
      <c r="K494" s="878" t="s">
        <v>506</v>
      </c>
      <c r="L494" s="977"/>
      <c r="M494" s="1112">
        <f t="shared" si="52"/>
        <v>0</v>
      </c>
      <c r="N494" s="868">
        <f t="shared" si="56"/>
        <v>0</v>
      </c>
      <c r="O494" s="880"/>
      <c r="P494" s="58" t="str">
        <f>IF(N492&gt;0,"xx",IF(N492&gt;0,"xy",""))</f>
        <v/>
      </c>
      <c r="Q494" s="317" t="str">
        <f t="shared" si="53"/>
        <v/>
      </c>
      <c r="R494" s="317" t="str">
        <f t="shared" si="54"/>
        <v/>
      </c>
      <c r="S494" s="317" t="str">
        <f t="shared" si="55"/>
        <v/>
      </c>
      <c r="T494" s="317" t="str">
        <f>'REF. DE PREÇOS n editavel'!S494</f>
        <v/>
      </c>
      <c r="W494" s="577">
        <v>0</v>
      </c>
      <c r="X494" s="575"/>
      <c r="Y494" s="578">
        <f>IF('REF. DE PREÇOS n editavel'!W494=0,0,IF('REF. DE PREÇOS n editavel'!W494&gt;0,"c","b"))</f>
        <v>0</v>
      </c>
    </row>
    <row r="495" spans="1:25">
      <c r="A495" s="317" t="s">
        <v>147</v>
      </c>
      <c r="B495" s="870" t="s">
        <v>147</v>
      </c>
      <c r="C495" s="871"/>
      <c r="D495" s="931" t="s">
        <v>243</v>
      </c>
      <c r="E495" s="882">
        <f>'REF. DE PREÇOS n editavel'!E495</f>
        <v>0.2</v>
      </c>
      <c r="F495" s="883">
        <f>'REF. DE PREÇOS n editavel'!F495</f>
        <v>0.82599999999999996</v>
      </c>
      <c r="G495" s="923">
        <f>'REF. DE PREÇOS n editavel'!G495</f>
        <v>2.390444</v>
      </c>
      <c r="H495" s="876">
        <f>'REF. DE PREÇOS n editavel'!H495</f>
        <v>0</v>
      </c>
      <c r="I495" s="876">
        <f>'REF. DE PREÇOS n editavel'!I495</f>
        <v>0</v>
      </c>
      <c r="J495" s="877">
        <f>'REF. DE PREÇOS n editavel'!J495</f>
        <v>0</v>
      </c>
      <c r="K495" s="878" t="s">
        <v>506</v>
      </c>
      <c r="L495" s="977"/>
      <c r="M495" s="1112">
        <f t="shared" si="52"/>
        <v>0</v>
      </c>
      <c r="N495" s="868">
        <f t="shared" si="56"/>
        <v>0</v>
      </c>
      <c r="O495" s="880"/>
      <c r="P495" s="58" t="str">
        <f>IF(N492&gt;0,"xx",IF(N492&gt;0,"xy",""))</f>
        <v/>
      </c>
      <c r="Q495" s="317" t="str">
        <f t="shared" si="53"/>
        <v/>
      </c>
      <c r="R495" s="317" t="str">
        <f t="shared" si="54"/>
        <v/>
      </c>
      <c r="S495" s="317" t="str">
        <f t="shared" si="55"/>
        <v/>
      </c>
      <c r="T495" s="317" t="str">
        <f>'REF. DE PREÇOS n editavel'!S495</f>
        <v/>
      </c>
      <c r="W495" s="577">
        <v>0</v>
      </c>
      <c r="X495" s="575"/>
      <c r="Y495" s="578">
        <f>IF('REF. DE PREÇOS n editavel'!W495=0,0,IF('REF. DE PREÇOS n editavel'!W495&gt;0,"c","b"))</f>
        <v>0</v>
      </c>
    </row>
    <row r="496" spans="1:25">
      <c r="A496" s="317" t="s">
        <v>147</v>
      </c>
      <c r="B496" s="870" t="s">
        <v>147</v>
      </c>
      <c r="C496" s="871"/>
      <c r="D496" s="931" t="s">
        <v>244</v>
      </c>
      <c r="E496" s="882">
        <f>'REF. DE PREÇOS n editavel'!E496</f>
        <v>43.1</v>
      </c>
      <c r="F496" s="883">
        <f>'REF. DE PREÇOS n editavel'!F496</f>
        <v>1</v>
      </c>
      <c r="G496" s="887">
        <f>'REF. DE PREÇOS n editavel'!G496</f>
        <v>52.567000000000007</v>
      </c>
      <c r="H496" s="876">
        <f>'REF. DE PREÇOS n editavel'!H496</f>
        <v>0</v>
      </c>
      <c r="I496" s="876">
        <f>'REF. DE PREÇOS n editavel'!I496</f>
        <v>0</v>
      </c>
      <c r="J496" s="877">
        <f>'REF. DE PREÇOS n editavel'!J496</f>
        <v>0</v>
      </c>
      <c r="K496" s="878" t="s">
        <v>506</v>
      </c>
      <c r="L496" s="977"/>
      <c r="M496" s="1112">
        <f t="shared" si="52"/>
        <v>0</v>
      </c>
      <c r="N496" s="868">
        <f t="shared" si="56"/>
        <v>0</v>
      </c>
      <c r="O496" s="880"/>
      <c r="P496" s="58" t="str">
        <f>IF(N492&gt;0,"xx",IF(N492&gt;0,"xy",""))</f>
        <v/>
      </c>
      <c r="Q496" s="317" t="str">
        <f t="shared" si="53"/>
        <v/>
      </c>
      <c r="R496" s="317" t="str">
        <f t="shared" si="54"/>
        <v/>
      </c>
      <c r="S496" s="317" t="str">
        <f t="shared" si="55"/>
        <v/>
      </c>
      <c r="T496" s="317" t="str">
        <f>'REF. DE PREÇOS n editavel'!S496</f>
        <v/>
      </c>
      <c r="W496" s="577">
        <v>0</v>
      </c>
      <c r="X496" s="575"/>
      <c r="Y496" s="578">
        <f>IF('REF. DE PREÇOS n editavel'!W496=0,0,IF('REF. DE PREÇOS n editavel'!W496&gt;0,"c","b"))</f>
        <v>0</v>
      </c>
    </row>
    <row r="497" spans="1:25" ht="13.5" thickBot="1">
      <c r="A497" s="317">
        <v>589040</v>
      </c>
      <c r="B497" s="978">
        <v>589040</v>
      </c>
      <c r="C497" s="958" t="s">
        <v>213</v>
      </c>
      <c r="D497" s="986" t="s">
        <v>561</v>
      </c>
      <c r="E497" s="979">
        <f>'REF. DE PREÇOS n editavel'!E497</f>
        <v>468</v>
      </c>
      <c r="F497" s="980">
        <f>'REF. DE PREÇOS n editavel'!F497</f>
        <v>1</v>
      </c>
      <c r="G497" s="923">
        <f>'REF. DE PREÇOS n editavel'!G497</f>
        <v>485.97999999999996</v>
      </c>
      <c r="H497" s="962">
        <f>'REF. DE PREÇOS n editavel'!H497</f>
        <v>6122.06</v>
      </c>
      <c r="I497" s="962">
        <f>'REF. DE PREÇOS n editavel'!I497</f>
        <v>6415.6925085910652</v>
      </c>
      <c r="J497" s="963">
        <f>'REF. DE PREÇOS n editavel'!J497</f>
        <v>7841.26</v>
      </c>
      <c r="K497" s="964" t="s">
        <v>14</v>
      </c>
      <c r="L497" s="1109">
        <f>ROUND(L492*$F492,2)</f>
        <v>0</v>
      </c>
      <c r="M497" s="1114">
        <f t="shared" si="52"/>
        <v>0</v>
      </c>
      <c r="N497" s="967">
        <f t="shared" si="56"/>
        <v>0</v>
      </c>
      <c r="O497" s="880"/>
      <c r="P497" s="58" t="str">
        <f>IF(N492&gt;0,"xx",IF(N492&gt;0,"xy",""))</f>
        <v/>
      </c>
      <c r="Q497" s="317" t="str">
        <f t="shared" si="53"/>
        <v/>
      </c>
      <c r="R497" s="317" t="str">
        <f t="shared" si="54"/>
        <v/>
      </c>
      <c r="S497" s="317" t="str">
        <f t="shared" si="55"/>
        <v/>
      </c>
      <c r="T497" s="317" t="str">
        <f>'REF. DE PREÇOS n editavel'!S497</f>
        <v/>
      </c>
      <c r="W497" s="577">
        <v>0</v>
      </c>
      <c r="X497" s="575"/>
      <c r="Y497" s="578">
        <f>IF('REF. DE PREÇOS n editavel'!W497=0,0,IF('REF. DE PREÇOS n editavel'!W497&gt;0,"c","b"))</f>
        <v>0</v>
      </c>
    </row>
    <row r="498" spans="1:25" ht="22.5">
      <c r="A498" s="317">
        <v>570350</v>
      </c>
      <c r="B498" s="973">
        <v>570350</v>
      </c>
      <c r="C498" s="974" t="s">
        <v>184</v>
      </c>
      <c r="D498" s="947" t="s">
        <v>1883</v>
      </c>
      <c r="E498" s="1000" t="str">
        <f>'REF. DE PREÇOS n editavel'!E498</f>
        <v>taxa CAP 
borracha</v>
      </c>
      <c r="F498" s="949">
        <f>'REF. DE PREÇOS n editavel'!F498</f>
        <v>0.06</v>
      </c>
      <c r="G498" s="950">
        <f>'REF. DE PREÇOS n editavel'!G498</f>
        <v>91.576350000000005</v>
      </c>
      <c r="H498" s="951">
        <f>'REF. DE PREÇOS n editavel'!H498</f>
        <v>188.55</v>
      </c>
      <c r="I498" s="951">
        <f>'REF. DE PREÇOS n editavel'!I498</f>
        <v>280.12635</v>
      </c>
      <c r="J498" s="952">
        <f>'REF. DE PREÇOS n editavel'!J498</f>
        <v>342.37</v>
      </c>
      <c r="K498" s="953" t="s">
        <v>567</v>
      </c>
      <c r="L498" s="1107"/>
      <c r="M498" s="1108">
        <f t="shared" si="52"/>
        <v>0</v>
      </c>
      <c r="N498" s="956">
        <f t="shared" si="56"/>
        <v>0</v>
      </c>
      <c r="O498" s="880"/>
      <c r="Q498" s="317" t="str">
        <f t="shared" si="53"/>
        <v/>
      </c>
      <c r="R498" s="317" t="str">
        <f t="shared" si="54"/>
        <v/>
      </c>
      <c r="S498" s="317" t="str">
        <f t="shared" si="55"/>
        <v/>
      </c>
      <c r="T498" s="317" t="str">
        <f>'REF. DE PREÇOS n editavel'!S498</f>
        <v/>
      </c>
      <c r="W498" s="577">
        <v>0</v>
      </c>
      <c r="X498" s="575"/>
      <c r="Y498" s="578">
        <f>IF('REF. DE PREÇOS n editavel'!W498=0,0,IF('REF. DE PREÇOS n editavel'!W498&gt;0,"c","b"))</f>
        <v>0</v>
      </c>
    </row>
    <row r="499" spans="1:25">
      <c r="A499" s="317" t="s">
        <v>147</v>
      </c>
      <c r="B499" s="870" t="s">
        <v>147</v>
      </c>
      <c r="C499" s="871"/>
      <c r="D499" s="931" t="s">
        <v>229</v>
      </c>
      <c r="E499" s="882">
        <f>'REF. DE PREÇOS n editavel'!E499</f>
        <v>290</v>
      </c>
      <c r="F499" s="883">
        <f>'REF. DE PREÇOS n editavel'!F499</f>
        <v>0.1</v>
      </c>
      <c r="G499" s="923">
        <f>'REF. DE PREÇOS n editavel'!G499</f>
        <v>31.298000000000002</v>
      </c>
      <c r="H499" s="876">
        <f>'REF. DE PREÇOS n editavel'!H499</f>
        <v>0</v>
      </c>
      <c r="I499" s="876">
        <f>'REF. DE PREÇOS n editavel'!I499</f>
        <v>0</v>
      </c>
      <c r="J499" s="877">
        <f>'REF. DE PREÇOS n editavel'!J499</f>
        <v>0</v>
      </c>
      <c r="K499" s="878" t="s">
        <v>506</v>
      </c>
      <c r="L499" s="977"/>
      <c r="M499" s="1112">
        <f t="shared" si="52"/>
        <v>0</v>
      </c>
      <c r="N499" s="868">
        <f t="shared" si="56"/>
        <v>0</v>
      </c>
      <c r="O499" s="880"/>
      <c r="P499" s="58" t="str">
        <f>IF(N498&gt;0,"xx",IF(N498&gt;0,"xy",""))</f>
        <v/>
      </c>
      <c r="Q499" s="317" t="str">
        <f t="shared" si="53"/>
        <v/>
      </c>
      <c r="R499" s="317" t="str">
        <f t="shared" si="54"/>
        <v/>
      </c>
      <c r="S499" s="317" t="str">
        <f t="shared" si="55"/>
        <v/>
      </c>
      <c r="T499" s="317" t="str">
        <f>'REF. DE PREÇOS n editavel'!S499</f>
        <v/>
      </c>
      <c r="W499" s="577">
        <v>0</v>
      </c>
      <c r="X499" s="575"/>
      <c r="Y499" s="578">
        <f>IF('REF. DE PREÇOS n editavel'!W499=0,0,IF('REF. DE PREÇOS n editavel'!W499&gt;0,"c","b"))</f>
        <v>0</v>
      </c>
    </row>
    <row r="500" spans="1:25">
      <c r="A500" s="317" t="s">
        <v>147</v>
      </c>
      <c r="B500" s="870" t="s">
        <v>147</v>
      </c>
      <c r="C500" s="871"/>
      <c r="D500" s="931" t="s">
        <v>230</v>
      </c>
      <c r="E500" s="882">
        <f>'REF. DE PREÇOS n editavel'!E500</f>
        <v>445</v>
      </c>
      <c r="F500" s="883">
        <f>'REF. DE PREÇOS n editavel'!F500</f>
        <v>1.4999999999999999E-2</v>
      </c>
      <c r="G500" s="884">
        <f>'REF. DE PREÇOS n editavel'!G500</f>
        <v>5.3238000000000003</v>
      </c>
      <c r="H500" s="876">
        <f>'REF. DE PREÇOS n editavel'!H500</f>
        <v>0</v>
      </c>
      <c r="I500" s="876">
        <f>'REF. DE PREÇOS n editavel'!I500</f>
        <v>0</v>
      </c>
      <c r="J500" s="877">
        <f>'REF. DE PREÇOS n editavel'!J500</f>
        <v>0</v>
      </c>
      <c r="K500" s="878" t="s">
        <v>506</v>
      </c>
      <c r="L500" s="977"/>
      <c r="M500" s="1112">
        <f t="shared" si="52"/>
        <v>0</v>
      </c>
      <c r="N500" s="868">
        <f t="shared" si="56"/>
        <v>0</v>
      </c>
      <c r="O500" s="880"/>
      <c r="P500" s="58" t="str">
        <f>IF(N498&gt;0,"xx",IF(N498&gt;0,"xy",""))</f>
        <v/>
      </c>
      <c r="Q500" s="317" t="str">
        <f t="shared" si="53"/>
        <v/>
      </c>
      <c r="R500" s="317" t="str">
        <f t="shared" si="54"/>
        <v/>
      </c>
      <c r="S500" s="317" t="str">
        <f t="shared" si="55"/>
        <v/>
      </c>
      <c r="T500" s="317" t="str">
        <f>'REF. DE PREÇOS n editavel'!S500</f>
        <v/>
      </c>
      <c r="W500" s="577">
        <v>0</v>
      </c>
      <c r="X500" s="575"/>
      <c r="Y500" s="578">
        <f>IF('REF. DE PREÇOS n editavel'!W500=0,0,IF('REF. DE PREÇOS n editavel'!W500&gt;0,"c","b"))</f>
        <v>0</v>
      </c>
    </row>
    <row r="501" spans="1:25">
      <c r="A501" s="317" t="s">
        <v>147</v>
      </c>
      <c r="B501" s="870" t="s">
        <v>147</v>
      </c>
      <c r="C501" s="871"/>
      <c r="D501" s="931" t="s">
        <v>243</v>
      </c>
      <c r="E501" s="882">
        <f>'REF. DE PREÇOS n editavel'!E501</f>
        <v>0.2</v>
      </c>
      <c r="F501" s="883">
        <f>'REF. DE PREÇOS n editavel'!F501</f>
        <v>0.82499999999999996</v>
      </c>
      <c r="G501" s="923">
        <f>'REF. DE PREÇOS n editavel'!G501</f>
        <v>2.3875500000000001</v>
      </c>
      <c r="H501" s="876">
        <f>'REF. DE PREÇOS n editavel'!H501</f>
        <v>0</v>
      </c>
      <c r="I501" s="876">
        <f>'REF. DE PREÇOS n editavel'!I501</f>
        <v>0</v>
      </c>
      <c r="J501" s="877">
        <f>'REF. DE PREÇOS n editavel'!J501</f>
        <v>0</v>
      </c>
      <c r="K501" s="878" t="s">
        <v>506</v>
      </c>
      <c r="L501" s="977"/>
      <c r="M501" s="1112">
        <f t="shared" si="52"/>
        <v>0</v>
      </c>
      <c r="N501" s="868">
        <f t="shared" si="56"/>
        <v>0</v>
      </c>
      <c r="O501" s="880"/>
      <c r="P501" s="58" t="str">
        <f>IF(N498&gt;0,"xx",IF(N498&gt;0,"xy",""))</f>
        <v/>
      </c>
      <c r="Q501" s="317" t="str">
        <f t="shared" si="53"/>
        <v/>
      </c>
      <c r="R501" s="317" t="str">
        <f t="shared" si="54"/>
        <v/>
      </c>
      <c r="S501" s="317" t="str">
        <f t="shared" si="55"/>
        <v/>
      </c>
      <c r="T501" s="317" t="str">
        <f>'REF. DE PREÇOS n editavel'!S501</f>
        <v/>
      </c>
      <c r="W501" s="577">
        <v>0</v>
      </c>
      <c r="X501" s="575"/>
      <c r="Y501" s="578">
        <f>IF('REF. DE PREÇOS n editavel'!W501=0,0,IF('REF. DE PREÇOS n editavel'!W501&gt;0,"c","b"))</f>
        <v>0</v>
      </c>
    </row>
    <row r="502" spans="1:25">
      <c r="A502" s="317" t="s">
        <v>147</v>
      </c>
      <c r="B502" s="870" t="s">
        <v>147</v>
      </c>
      <c r="C502" s="871"/>
      <c r="D502" s="931" t="s">
        <v>244</v>
      </c>
      <c r="E502" s="882">
        <f>'REF. DE PREÇOS n editavel'!E502</f>
        <v>43.1</v>
      </c>
      <c r="F502" s="883">
        <f>'REF. DE PREÇOS n editavel'!F502</f>
        <v>1</v>
      </c>
      <c r="G502" s="887">
        <f>'REF. DE PREÇOS n editavel'!G502</f>
        <v>52.567000000000007</v>
      </c>
      <c r="H502" s="876">
        <f>'REF. DE PREÇOS n editavel'!H502</f>
        <v>0</v>
      </c>
      <c r="I502" s="876">
        <f>'REF. DE PREÇOS n editavel'!I502</f>
        <v>0</v>
      </c>
      <c r="J502" s="877">
        <f>'REF. DE PREÇOS n editavel'!J502</f>
        <v>0</v>
      </c>
      <c r="K502" s="878" t="s">
        <v>506</v>
      </c>
      <c r="L502" s="977"/>
      <c r="M502" s="1112">
        <f t="shared" si="52"/>
        <v>0</v>
      </c>
      <c r="N502" s="868">
        <f t="shared" si="56"/>
        <v>0</v>
      </c>
      <c r="O502" s="880"/>
      <c r="P502" s="58" t="str">
        <f>IF(N498&gt;0,"xx",IF(N498&gt;0,"xy",""))</f>
        <v/>
      </c>
      <c r="Q502" s="317" t="str">
        <f t="shared" si="53"/>
        <v/>
      </c>
      <c r="R502" s="317" t="str">
        <f t="shared" si="54"/>
        <v/>
      </c>
      <c r="S502" s="317" t="str">
        <f t="shared" si="55"/>
        <v/>
      </c>
      <c r="T502" s="317" t="str">
        <f>'REF. DE PREÇOS n editavel'!S502</f>
        <v/>
      </c>
      <c r="W502" s="577">
        <v>0</v>
      </c>
      <c r="X502" s="575"/>
      <c r="Y502" s="578">
        <f>IF('REF. DE PREÇOS n editavel'!W502=0,0,IF('REF. DE PREÇOS n editavel'!W502&gt;0,"c","b"))</f>
        <v>0</v>
      </c>
    </row>
    <row r="503" spans="1:25" ht="13.5" thickBot="1">
      <c r="A503" s="317">
        <v>589050</v>
      </c>
      <c r="B503" s="978">
        <v>589050</v>
      </c>
      <c r="C503" s="958" t="s">
        <v>213</v>
      </c>
      <c r="D503" s="986" t="s">
        <v>1884</v>
      </c>
      <c r="E503" s="979">
        <f>'REF. DE PREÇOS n editavel'!E503</f>
        <v>468</v>
      </c>
      <c r="F503" s="980">
        <f>'REF. DE PREÇOS n editavel'!F503</f>
        <v>1</v>
      </c>
      <c r="G503" s="923">
        <f>'REF. DE PREÇOS n editavel'!G503</f>
        <v>485.97999999999996</v>
      </c>
      <c r="H503" s="962">
        <f>'REF. DE PREÇOS n editavel'!H503</f>
        <v>5201.1000000000004</v>
      </c>
      <c r="I503" s="962">
        <f>'REF. DE PREÇOS n editavel'!I503</f>
        <v>5523.6679234167887</v>
      </c>
      <c r="J503" s="963">
        <f>'REF. DE PREÇOS n editavel'!J503</f>
        <v>6751.03</v>
      </c>
      <c r="K503" s="964" t="s">
        <v>14</v>
      </c>
      <c r="L503" s="1109">
        <f>ROUND(L498*$F498,2)</f>
        <v>0</v>
      </c>
      <c r="M503" s="1114">
        <f t="shared" si="52"/>
        <v>0</v>
      </c>
      <c r="N503" s="967">
        <f t="shared" si="56"/>
        <v>0</v>
      </c>
      <c r="O503" s="880"/>
      <c r="P503" s="58" t="str">
        <f>IF(N498&gt;0,"xx",IF(N498&gt;0,"xy",""))</f>
        <v/>
      </c>
      <c r="Q503" s="317" t="str">
        <f t="shared" si="53"/>
        <v/>
      </c>
      <c r="R503" s="317" t="str">
        <f t="shared" si="54"/>
        <v/>
      </c>
      <c r="S503" s="317" t="str">
        <f t="shared" si="55"/>
        <v/>
      </c>
      <c r="T503" s="317" t="str">
        <f>'REF. DE PREÇOS n editavel'!S503</f>
        <v/>
      </c>
      <c r="W503" s="577">
        <v>0</v>
      </c>
      <c r="X503" s="575"/>
      <c r="Y503" s="578">
        <f>IF('REF. DE PREÇOS n editavel'!W503=0,0,IF('REF. DE PREÇOS n editavel'!W503&gt;0,"c","b"))</f>
        <v>0</v>
      </c>
    </row>
    <row r="504" spans="1:25">
      <c r="A504" s="317">
        <v>502615</v>
      </c>
      <c r="B504" s="973">
        <v>502615</v>
      </c>
      <c r="C504" s="974" t="s">
        <v>184</v>
      </c>
      <c r="D504" s="947" t="s">
        <v>1915</v>
      </c>
      <c r="E504" s="948">
        <f>'REF. DE PREÇOS n editavel'!E504</f>
        <v>0</v>
      </c>
      <c r="F504" s="949">
        <f>'REF. DE PREÇOS n editavel'!F504</f>
        <v>0</v>
      </c>
      <c r="G504" s="950">
        <f>'REF. DE PREÇOS n editavel'!G504</f>
        <v>302.71031700000003</v>
      </c>
      <c r="H504" s="951">
        <f>'REF. DE PREÇOS n editavel'!H504</f>
        <v>307.27999999999997</v>
      </c>
      <c r="I504" s="951">
        <f>'REF. DE PREÇOS n editavel'!I504</f>
        <v>609.990317</v>
      </c>
      <c r="J504" s="952">
        <f>'REF. DE PREÇOS n editavel'!J504</f>
        <v>745.53</v>
      </c>
      <c r="K504" s="953" t="s">
        <v>10</v>
      </c>
      <c r="L504" s="1107"/>
      <c r="M504" s="1108">
        <f t="shared" si="52"/>
        <v>0</v>
      </c>
      <c r="N504" s="956">
        <f t="shared" si="56"/>
        <v>0</v>
      </c>
      <c r="O504" s="880"/>
      <c r="Q504" s="317" t="str">
        <f t="shared" si="53"/>
        <v/>
      </c>
      <c r="R504" s="317" t="str">
        <f t="shared" si="54"/>
        <v/>
      </c>
      <c r="S504" s="317" t="str">
        <f t="shared" si="55"/>
        <v/>
      </c>
      <c r="T504" s="317" t="str">
        <f>'REF. DE PREÇOS n editavel'!S504</f>
        <v/>
      </c>
      <c r="W504" s="577">
        <v>0</v>
      </c>
      <c r="X504" s="575"/>
      <c r="Y504" s="578">
        <f>IF('REF. DE PREÇOS n editavel'!W504=0,0,IF('REF. DE PREÇOS n editavel'!W504&gt;0,"c","b"))</f>
        <v>0</v>
      </c>
    </row>
    <row r="505" spans="1:25">
      <c r="A505" s="317" t="s">
        <v>147</v>
      </c>
      <c r="B505" s="870" t="s">
        <v>147</v>
      </c>
      <c r="C505" s="871"/>
      <c r="D505" s="931" t="s">
        <v>190</v>
      </c>
      <c r="E505" s="882">
        <f>'REF. DE PREÇOS n editavel'!E505</f>
        <v>445</v>
      </c>
      <c r="F505" s="883">
        <f>'REF. DE PREÇOS n editavel'!F505</f>
        <v>0.33</v>
      </c>
      <c r="G505" s="884">
        <f>'REF. DE PREÇOS n editavel'!G505</f>
        <v>117.12360000000001</v>
      </c>
      <c r="H505" s="876">
        <f>'REF. DE PREÇOS n editavel'!H505</f>
        <v>0</v>
      </c>
      <c r="I505" s="876">
        <f>'REF. DE PREÇOS n editavel'!I505</f>
        <v>0</v>
      </c>
      <c r="J505" s="877">
        <f>'REF. DE PREÇOS n editavel'!J505</f>
        <v>0</v>
      </c>
      <c r="K505" s="932" t="s">
        <v>506</v>
      </c>
      <c r="L505" s="933"/>
      <c r="M505" s="1112">
        <f t="shared" si="52"/>
        <v>0</v>
      </c>
      <c r="N505" s="868">
        <f t="shared" si="56"/>
        <v>0</v>
      </c>
      <c r="O505" s="880"/>
      <c r="P505" s="58" t="str">
        <f>IF(N504&gt;0,"xx",IF(N504&gt;0,"xy",""))</f>
        <v/>
      </c>
      <c r="Q505" s="317" t="str">
        <f t="shared" si="53"/>
        <v/>
      </c>
      <c r="R505" s="317" t="str">
        <f t="shared" si="54"/>
        <v/>
      </c>
      <c r="S505" s="317" t="str">
        <f t="shared" si="55"/>
        <v/>
      </c>
      <c r="T505" s="317" t="str">
        <f>'REF. DE PREÇOS n editavel'!S505</f>
        <v/>
      </c>
      <c r="W505" s="577">
        <v>0</v>
      </c>
      <c r="X505" s="575"/>
      <c r="Y505" s="578">
        <f>IF('REF. DE PREÇOS n editavel'!W505=0,0,IF('REF. DE PREÇOS n editavel'!W505&gt;0,"c","b"))</f>
        <v>0</v>
      </c>
    </row>
    <row r="506" spans="1:25">
      <c r="A506" s="317" t="s">
        <v>147</v>
      </c>
      <c r="B506" s="870" t="s">
        <v>147</v>
      </c>
      <c r="C506" s="871"/>
      <c r="D506" s="931" t="s">
        <v>229</v>
      </c>
      <c r="E506" s="882">
        <f>'REF. DE PREÇOS n editavel'!E506</f>
        <v>27</v>
      </c>
      <c r="F506" s="883">
        <f>'REF. DE PREÇOS n editavel'!F506</f>
        <v>0.92100000000000004</v>
      </c>
      <c r="G506" s="923">
        <f>'REF. DE PREÇOS n editavel'!G506</f>
        <v>29.075970000000002</v>
      </c>
      <c r="H506" s="876">
        <f>'REF. DE PREÇOS n editavel'!H506</f>
        <v>0</v>
      </c>
      <c r="I506" s="876">
        <f>'REF. DE PREÇOS n editavel'!I506</f>
        <v>0</v>
      </c>
      <c r="J506" s="877">
        <f>'REF. DE PREÇOS n editavel'!J506</f>
        <v>0</v>
      </c>
      <c r="K506" s="932" t="s">
        <v>506</v>
      </c>
      <c r="L506" s="933"/>
      <c r="M506" s="1112">
        <f t="shared" si="52"/>
        <v>0</v>
      </c>
      <c r="N506" s="868">
        <f t="shared" si="56"/>
        <v>0</v>
      </c>
      <c r="O506" s="880"/>
      <c r="P506" s="58" t="str">
        <f>IF(N504&gt;0,"xx",IF(N504&gt;0,"xy",""))</f>
        <v/>
      </c>
      <c r="Q506" s="317" t="str">
        <f t="shared" si="53"/>
        <v/>
      </c>
      <c r="R506" s="317" t="str">
        <f t="shared" si="54"/>
        <v/>
      </c>
      <c r="S506" s="317" t="str">
        <f t="shared" si="55"/>
        <v/>
      </c>
      <c r="T506" s="317" t="str">
        <f>'REF. DE PREÇOS n editavel'!S506</f>
        <v/>
      </c>
      <c r="W506" s="577">
        <v>0</v>
      </c>
      <c r="X506" s="575"/>
      <c r="Y506" s="578">
        <f>IF('REF. DE PREÇOS n editavel'!W506=0,0,IF('REF. DE PREÇOS n editavel'!W506&gt;0,"c","b"))</f>
        <v>0</v>
      </c>
    </row>
    <row r="507" spans="1:25">
      <c r="A507" s="317" t="s">
        <v>147</v>
      </c>
      <c r="B507" s="870" t="s">
        <v>147</v>
      </c>
      <c r="C507" s="871"/>
      <c r="D507" s="931" t="s">
        <v>233</v>
      </c>
      <c r="E507" s="882">
        <f>'REF. DE PREÇOS n editavel'!E507</f>
        <v>33</v>
      </c>
      <c r="F507" s="883">
        <f>'REF. DE PREÇOS n editavel'!F507</f>
        <v>1.1000000000000001</v>
      </c>
      <c r="G507" s="923">
        <f>'REF. DE PREÇOS n editavel'!G507</f>
        <v>41.789000000000009</v>
      </c>
      <c r="H507" s="876">
        <f>'REF. DE PREÇOS n editavel'!H507</f>
        <v>0</v>
      </c>
      <c r="I507" s="876">
        <f>'REF. DE PREÇOS n editavel'!I507</f>
        <v>0</v>
      </c>
      <c r="J507" s="877">
        <f>'REF. DE PREÇOS n editavel'!J507</f>
        <v>0</v>
      </c>
      <c r="K507" s="932" t="s">
        <v>506</v>
      </c>
      <c r="L507" s="933"/>
      <c r="M507" s="1112">
        <f t="shared" si="52"/>
        <v>0</v>
      </c>
      <c r="N507" s="868">
        <f t="shared" si="56"/>
        <v>0</v>
      </c>
      <c r="O507" s="880"/>
      <c r="P507" s="58" t="str">
        <f>IF(N504&gt;0,"xx",IF(N504&gt;0,"xy",""))</f>
        <v/>
      </c>
      <c r="Q507" s="317" t="str">
        <f t="shared" si="53"/>
        <v/>
      </c>
      <c r="R507" s="317" t="str">
        <f t="shared" si="54"/>
        <v/>
      </c>
      <c r="S507" s="317" t="str">
        <f t="shared" si="55"/>
        <v/>
      </c>
      <c r="T507" s="317" t="str">
        <f>'REF. DE PREÇOS n editavel'!S507</f>
        <v/>
      </c>
      <c r="W507" s="577">
        <v>0</v>
      </c>
      <c r="X507" s="575"/>
      <c r="Y507" s="578">
        <f>IF('REF. DE PREÇOS n editavel'!W507=0,0,IF('REF. DE PREÇOS n editavel'!W507&gt;0,"c","b"))</f>
        <v>0</v>
      </c>
    </row>
    <row r="508" spans="1:25">
      <c r="A508" s="317" t="s">
        <v>147</v>
      </c>
      <c r="B508" s="870" t="s">
        <v>147</v>
      </c>
      <c r="C508" s="871"/>
      <c r="D508" s="931" t="s">
        <v>244</v>
      </c>
      <c r="E508" s="882">
        <f>'REF. DE PREÇOS n editavel'!E508</f>
        <v>43.1</v>
      </c>
      <c r="F508" s="883">
        <f>'REF. DE PREÇOS n editavel'!F508</f>
        <v>2.351</v>
      </c>
      <c r="G508" s="887">
        <f>'REF. DE PREÇOS n editavel'!G508</f>
        <v>114.72174700000001</v>
      </c>
      <c r="H508" s="876">
        <f>'REF. DE PREÇOS n editavel'!H508</f>
        <v>0</v>
      </c>
      <c r="I508" s="876">
        <f>'REF. DE PREÇOS n editavel'!I508</f>
        <v>0</v>
      </c>
      <c r="J508" s="877">
        <f>'REF. DE PREÇOS n editavel'!J508</f>
        <v>0</v>
      </c>
      <c r="K508" s="878" t="s">
        <v>506</v>
      </c>
      <c r="L508" s="977"/>
      <c r="M508" s="1112">
        <f t="shared" si="52"/>
        <v>0</v>
      </c>
      <c r="N508" s="868">
        <f t="shared" si="56"/>
        <v>0</v>
      </c>
      <c r="O508" s="880"/>
      <c r="P508" s="58" t="str">
        <f>IF(N504&gt;0,"xx",IF(N504&gt;0,"xy",""))</f>
        <v/>
      </c>
      <c r="Q508" s="317" t="str">
        <f t="shared" si="53"/>
        <v/>
      </c>
      <c r="R508" s="317" t="str">
        <f t="shared" si="54"/>
        <v/>
      </c>
      <c r="S508" s="317" t="str">
        <f t="shared" si="55"/>
        <v/>
      </c>
      <c r="T508" s="317" t="str">
        <f>'REF. DE PREÇOS n editavel'!S508</f>
        <v/>
      </c>
      <c r="W508" s="577">
        <v>0</v>
      </c>
      <c r="X508" s="575"/>
      <c r="Y508" s="578">
        <f>IF('REF. DE PREÇOS n editavel'!W508=0,0,IF('REF. DE PREÇOS n editavel'!W508&gt;0,"c","b"))</f>
        <v>0</v>
      </c>
    </row>
    <row r="509" spans="1:25">
      <c r="A509" s="317">
        <v>502605</v>
      </c>
      <c r="B509" s="870">
        <v>502605</v>
      </c>
      <c r="C509" s="871" t="s">
        <v>184</v>
      </c>
      <c r="D509" s="881" t="s">
        <v>1916</v>
      </c>
      <c r="E509" s="882">
        <f>'REF. DE PREÇOS n editavel'!E509</f>
        <v>0</v>
      </c>
      <c r="F509" s="883">
        <f>'REF. DE PREÇOS n editavel'!F509</f>
        <v>0</v>
      </c>
      <c r="G509" s="923">
        <f>'REF. DE PREÇOS n editavel'!G509</f>
        <v>213.83103</v>
      </c>
      <c r="H509" s="876">
        <f>'REF. DE PREÇOS n editavel'!H509</f>
        <v>182.71</v>
      </c>
      <c r="I509" s="876">
        <f>'REF. DE PREÇOS n editavel'!I509</f>
        <v>396.54102999999998</v>
      </c>
      <c r="J509" s="877">
        <f>'REF. DE PREÇOS n editavel'!J509</f>
        <v>484.65</v>
      </c>
      <c r="K509" s="878" t="s">
        <v>10</v>
      </c>
      <c r="L509" s="1094"/>
      <c r="M509" s="1095">
        <f t="shared" si="52"/>
        <v>0</v>
      </c>
      <c r="N509" s="868">
        <f t="shared" si="56"/>
        <v>0</v>
      </c>
      <c r="O509" s="880"/>
      <c r="Q509" s="317" t="str">
        <f t="shared" si="53"/>
        <v/>
      </c>
      <c r="R509" s="317" t="str">
        <f t="shared" si="54"/>
        <v/>
      </c>
      <c r="S509" s="317" t="str">
        <f t="shared" si="55"/>
        <v/>
      </c>
      <c r="T509" s="317" t="str">
        <f>'REF. DE PREÇOS n editavel'!S509</f>
        <v/>
      </c>
      <c r="W509" s="577">
        <v>0</v>
      </c>
      <c r="X509" s="575"/>
      <c r="Y509" s="578">
        <f>IF('REF. DE PREÇOS n editavel'!W509=0,0,IF('REF. DE PREÇOS n editavel'!W509&gt;0,"c","b"))</f>
        <v>0</v>
      </c>
    </row>
    <row r="510" spans="1:25">
      <c r="A510" s="317" t="s">
        <v>147</v>
      </c>
      <c r="B510" s="870" t="s">
        <v>147</v>
      </c>
      <c r="C510" s="871"/>
      <c r="D510" s="931" t="s">
        <v>190</v>
      </c>
      <c r="E510" s="882">
        <f>'REF. DE PREÇOS n editavel'!E510</f>
        <v>445</v>
      </c>
      <c r="F510" s="883">
        <f>'REF. DE PREÇOS n editavel'!F510</f>
        <v>0.12</v>
      </c>
      <c r="G510" s="884">
        <f>'REF. DE PREÇOS n editavel'!G510</f>
        <v>42.590400000000002</v>
      </c>
      <c r="H510" s="876">
        <f>'REF. DE PREÇOS n editavel'!H510</f>
        <v>0</v>
      </c>
      <c r="I510" s="876">
        <f>'REF. DE PREÇOS n editavel'!I510</f>
        <v>0</v>
      </c>
      <c r="J510" s="877">
        <f>'REF. DE PREÇOS n editavel'!J510</f>
        <v>0</v>
      </c>
      <c r="K510" s="932" t="s">
        <v>506</v>
      </c>
      <c r="L510" s="933"/>
      <c r="M510" s="1112">
        <f t="shared" si="52"/>
        <v>0</v>
      </c>
      <c r="N510" s="868">
        <f t="shared" si="56"/>
        <v>0</v>
      </c>
      <c r="O510" s="880"/>
      <c r="P510" s="58" t="str">
        <f>IF(N509&gt;0,"xx",IF(N509&gt;0,"xy",""))</f>
        <v/>
      </c>
      <c r="Q510" s="317" t="str">
        <f t="shared" si="53"/>
        <v/>
      </c>
      <c r="R510" s="317" t="str">
        <f t="shared" si="54"/>
        <v/>
      </c>
      <c r="S510" s="317" t="str">
        <f t="shared" si="55"/>
        <v/>
      </c>
      <c r="T510" s="317" t="str">
        <f>'REF. DE PREÇOS n editavel'!S510</f>
        <v/>
      </c>
      <c r="W510" s="577">
        <v>0</v>
      </c>
      <c r="X510" s="575"/>
      <c r="Y510" s="578">
        <f>IF('REF. DE PREÇOS n editavel'!W510=0,0,IF('REF. DE PREÇOS n editavel'!W510&gt;0,"c","b"))</f>
        <v>0</v>
      </c>
    </row>
    <row r="511" spans="1:25">
      <c r="A511" s="317" t="s">
        <v>147</v>
      </c>
      <c r="B511" s="870" t="s">
        <v>147</v>
      </c>
      <c r="C511" s="871"/>
      <c r="D511" s="931" t="s">
        <v>229</v>
      </c>
      <c r="E511" s="882">
        <f>'REF. DE PREÇOS n editavel'!E511</f>
        <v>27</v>
      </c>
      <c r="F511" s="883">
        <f>'REF. DE PREÇOS n editavel'!F511</f>
        <v>0.87</v>
      </c>
      <c r="G511" s="923">
        <f>'REF. DE PREÇOS n editavel'!G511</f>
        <v>27.465900000000001</v>
      </c>
      <c r="H511" s="876">
        <f>'REF. DE PREÇOS n editavel'!H511</f>
        <v>0</v>
      </c>
      <c r="I511" s="876">
        <f>'REF. DE PREÇOS n editavel'!I511</f>
        <v>0</v>
      </c>
      <c r="J511" s="877">
        <f>'REF. DE PREÇOS n editavel'!J511</f>
        <v>0</v>
      </c>
      <c r="K511" s="932" t="s">
        <v>506</v>
      </c>
      <c r="L511" s="933"/>
      <c r="M511" s="1112">
        <f t="shared" si="52"/>
        <v>0</v>
      </c>
      <c r="N511" s="868">
        <f t="shared" si="56"/>
        <v>0</v>
      </c>
      <c r="O511" s="880"/>
      <c r="P511" s="58" t="str">
        <f>IF(N509&gt;0,"xx",IF(N509&gt;0,"xy",""))</f>
        <v/>
      </c>
      <c r="Q511" s="317" t="str">
        <f t="shared" si="53"/>
        <v/>
      </c>
      <c r="R511" s="317" t="str">
        <f t="shared" si="54"/>
        <v/>
      </c>
      <c r="S511" s="317" t="str">
        <f t="shared" si="55"/>
        <v/>
      </c>
      <c r="T511" s="317" t="str">
        <f>'REF. DE PREÇOS n editavel'!S511</f>
        <v/>
      </c>
      <c r="W511" s="577">
        <v>0</v>
      </c>
      <c r="X511" s="575"/>
      <c r="Y511" s="578">
        <f>IF('REF. DE PREÇOS n editavel'!W511=0,0,IF('REF. DE PREÇOS n editavel'!W511&gt;0,"c","b"))</f>
        <v>0</v>
      </c>
    </row>
    <row r="512" spans="1:25">
      <c r="A512" s="317" t="s">
        <v>147</v>
      </c>
      <c r="B512" s="870" t="s">
        <v>147</v>
      </c>
      <c r="C512" s="871"/>
      <c r="D512" s="931" t="s">
        <v>233</v>
      </c>
      <c r="E512" s="882">
        <f>'REF. DE PREÇOS n editavel'!E512</f>
        <v>33</v>
      </c>
      <c r="F512" s="883">
        <f>'REF. DE PREÇOS n editavel'!F512</f>
        <v>1.1000000000000001</v>
      </c>
      <c r="G512" s="923">
        <f>'REF. DE PREÇOS n editavel'!G512</f>
        <v>41.789000000000009</v>
      </c>
      <c r="H512" s="876">
        <f>'REF. DE PREÇOS n editavel'!H512</f>
        <v>0</v>
      </c>
      <c r="I512" s="876">
        <f>'REF. DE PREÇOS n editavel'!I512</f>
        <v>0</v>
      </c>
      <c r="J512" s="877">
        <f>'REF. DE PREÇOS n editavel'!J512</f>
        <v>0</v>
      </c>
      <c r="K512" s="932" t="s">
        <v>506</v>
      </c>
      <c r="L512" s="933"/>
      <c r="M512" s="1112">
        <f t="shared" si="52"/>
        <v>0</v>
      </c>
      <c r="N512" s="868">
        <f t="shared" si="56"/>
        <v>0</v>
      </c>
      <c r="O512" s="880"/>
      <c r="P512" s="58" t="str">
        <f>IF(N509&gt;0,"xx",IF(N509&gt;0,"xy",""))</f>
        <v/>
      </c>
      <c r="Q512" s="317" t="str">
        <f t="shared" si="53"/>
        <v/>
      </c>
      <c r="R512" s="317" t="str">
        <f t="shared" si="54"/>
        <v/>
      </c>
      <c r="S512" s="317" t="str">
        <f t="shared" si="55"/>
        <v/>
      </c>
      <c r="T512" s="317" t="str">
        <f>'REF. DE PREÇOS n editavel'!S512</f>
        <v/>
      </c>
      <c r="W512" s="577">
        <v>0</v>
      </c>
      <c r="X512" s="575"/>
      <c r="Y512" s="578">
        <f>IF('REF. DE PREÇOS n editavel'!W512=0,0,IF('REF. DE PREÇOS n editavel'!W512&gt;0,"c","b"))</f>
        <v>0</v>
      </c>
    </row>
    <row r="513" spans="1:25">
      <c r="A513" s="317" t="s">
        <v>147</v>
      </c>
      <c r="B513" s="870" t="s">
        <v>147</v>
      </c>
      <c r="C513" s="871"/>
      <c r="D513" s="931" t="s">
        <v>244</v>
      </c>
      <c r="E513" s="882">
        <f>'REF. DE PREÇOS n editavel'!E513</f>
        <v>43.1</v>
      </c>
      <c r="F513" s="883">
        <f>'REF. DE PREÇOS n editavel'!F513</f>
        <v>2.09</v>
      </c>
      <c r="G513" s="887">
        <f>'REF. DE PREÇOS n editavel'!G513</f>
        <v>101.98573</v>
      </c>
      <c r="H513" s="876">
        <f>'REF. DE PREÇOS n editavel'!H513</f>
        <v>0</v>
      </c>
      <c r="I513" s="876">
        <f>'REF. DE PREÇOS n editavel'!I513</f>
        <v>0</v>
      </c>
      <c r="J513" s="877">
        <f>'REF. DE PREÇOS n editavel'!J513</f>
        <v>0</v>
      </c>
      <c r="K513" s="878" t="s">
        <v>506</v>
      </c>
      <c r="L513" s="977"/>
      <c r="M513" s="1112">
        <f t="shared" si="52"/>
        <v>0</v>
      </c>
      <c r="N513" s="868">
        <f t="shared" si="56"/>
        <v>0</v>
      </c>
      <c r="O513" s="880"/>
      <c r="P513" s="58" t="str">
        <f>IF(N509&gt;0,"xx",IF(N509&gt;0,"xy",""))</f>
        <v/>
      </c>
      <c r="Q513" s="317" t="str">
        <f t="shared" si="53"/>
        <v/>
      </c>
      <c r="R513" s="317" t="str">
        <f t="shared" si="54"/>
        <v/>
      </c>
      <c r="S513" s="317" t="str">
        <f t="shared" si="55"/>
        <v/>
      </c>
      <c r="T513" s="317" t="str">
        <f>'REF. DE PREÇOS n editavel'!S513</f>
        <v/>
      </c>
      <c r="W513" s="577">
        <v>0</v>
      </c>
      <c r="X513" s="575"/>
      <c r="Y513" s="578">
        <f>IF('REF. DE PREÇOS n editavel'!W513=0,0,IF('REF. DE PREÇOS n editavel'!W513&gt;0,"c","b"))</f>
        <v>0</v>
      </c>
    </row>
    <row r="514" spans="1:25">
      <c r="A514" s="317">
        <v>505185</v>
      </c>
      <c r="B514" s="870">
        <v>505185</v>
      </c>
      <c r="C514" s="871" t="s">
        <v>184</v>
      </c>
      <c r="D514" s="881" t="s">
        <v>1917</v>
      </c>
      <c r="E514" s="882">
        <f>'REF. DE PREÇOS n editavel'!E514</f>
        <v>0</v>
      </c>
      <c r="F514" s="883">
        <f>'REF. DE PREÇOS n editavel'!F514</f>
        <v>0</v>
      </c>
      <c r="G514" s="923">
        <f>'REF. DE PREÇOS n editavel'!G514</f>
        <v>254.19165000000004</v>
      </c>
      <c r="H514" s="876">
        <f>'REF. DE PREÇOS n editavel'!H514</f>
        <v>238.23</v>
      </c>
      <c r="I514" s="876">
        <f>'REF. DE PREÇOS n editavel'!I514</f>
        <v>492.42165</v>
      </c>
      <c r="J514" s="877">
        <f>'REF. DE PREÇOS n editavel'!J514</f>
        <v>601.84</v>
      </c>
      <c r="K514" s="878" t="s">
        <v>10</v>
      </c>
      <c r="L514" s="1094"/>
      <c r="M514" s="1095">
        <f t="shared" si="52"/>
        <v>0</v>
      </c>
      <c r="N514" s="868">
        <f t="shared" si="56"/>
        <v>0</v>
      </c>
      <c r="O514" s="880"/>
      <c r="Q514" s="317" t="str">
        <f t="shared" si="53"/>
        <v/>
      </c>
      <c r="R514" s="317" t="str">
        <f t="shared" si="54"/>
        <v/>
      </c>
      <c r="S514" s="317" t="str">
        <f t="shared" si="55"/>
        <v/>
      </c>
      <c r="T514" s="317" t="str">
        <f>'REF. DE PREÇOS n editavel'!S514</f>
        <v/>
      </c>
      <c r="W514" s="577">
        <v>0</v>
      </c>
      <c r="X514" s="575"/>
      <c r="Y514" s="578">
        <f>IF('REF. DE PREÇOS n editavel'!W514=0,0,IF('REF. DE PREÇOS n editavel'!W514&gt;0,"c","b"))</f>
        <v>0</v>
      </c>
    </row>
    <row r="515" spans="1:25">
      <c r="A515" s="317" t="s">
        <v>147</v>
      </c>
      <c r="B515" s="870" t="s">
        <v>147</v>
      </c>
      <c r="C515" s="871"/>
      <c r="D515" s="931" t="s">
        <v>190</v>
      </c>
      <c r="E515" s="882">
        <f>'REF. DE PREÇOS n editavel'!E515</f>
        <v>445</v>
      </c>
      <c r="F515" s="883">
        <f>'REF. DE PREÇOS n editavel'!F515</f>
        <v>0.18</v>
      </c>
      <c r="G515" s="884">
        <f>'REF. DE PREÇOS n editavel'!G515</f>
        <v>63.885600000000004</v>
      </c>
      <c r="H515" s="876">
        <f>'REF. DE PREÇOS n editavel'!H515</f>
        <v>0</v>
      </c>
      <c r="I515" s="876">
        <f>'REF. DE PREÇOS n editavel'!I515</f>
        <v>0</v>
      </c>
      <c r="J515" s="877">
        <f>'REF. DE PREÇOS n editavel'!J515</f>
        <v>0</v>
      </c>
      <c r="K515" s="932" t="s">
        <v>506</v>
      </c>
      <c r="L515" s="933"/>
      <c r="M515" s="1112">
        <f t="shared" si="52"/>
        <v>0</v>
      </c>
      <c r="N515" s="868">
        <f t="shared" si="56"/>
        <v>0</v>
      </c>
      <c r="O515" s="880"/>
      <c r="P515" s="58" t="str">
        <f>IF(N514&gt;0,"xx",IF(N514&gt;0,"xy",""))</f>
        <v/>
      </c>
      <c r="Q515" s="317" t="str">
        <f t="shared" si="53"/>
        <v/>
      </c>
      <c r="R515" s="317" t="str">
        <f t="shared" si="54"/>
        <v/>
      </c>
      <c r="S515" s="317" t="str">
        <f t="shared" si="55"/>
        <v/>
      </c>
      <c r="T515" s="317" t="str">
        <f>'REF. DE PREÇOS n editavel'!S515</f>
        <v/>
      </c>
      <c r="W515" s="577">
        <v>0</v>
      </c>
      <c r="X515" s="575"/>
      <c r="Y515" s="578">
        <f>IF('REF. DE PREÇOS n editavel'!W515=0,0,IF('REF. DE PREÇOS n editavel'!W515&gt;0,"c","b"))</f>
        <v>0</v>
      </c>
    </row>
    <row r="516" spans="1:25">
      <c r="A516" s="317" t="s">
        <v>147</v>
      </c>
      <c r="B516" s="870" t="s">
        <v>147</v>
      </c>
      <c r="C516" s="871"/>
      <c r="D516" s="931" t="s">
        <v>229</v>
      </c>
      <c r="E516" s="882">
        <f>'REF. DE PREÇOS n editavel'!E516</f>
        <v>27</v>
      </c>
      <c r="F516" s="883">
        <f>'REF. DE PREÇOS n editavel'!F516</f>
        <v>1.06</v>
      </c>
      <c r="G516" s="923">
        <f>'REF. DE PREÇOS n editavel'!G516</f>
        <v>33.464200000000005</v>
      </c>
      <c r="H516" s="876">
        <f>'REF. DE PREÇOS n editavel'!H516</f>
        <v>0</v>
      </c>
      <c r="I516" s="876">
        <f>'REF. DE PREÇOS n editavel'!I516</f>
        <v>0</v>
      </c>
      <c r="J516" s="877">
        <f>'REF. DE PREÇOS n editavel'!J516</f>
        <v>0</v>
      </c>
      <c r="K516" s="932" t="s">
        <v>506</v>
      </c>
      <c r="L516" s="933"/>
      <c r="M516" s="1112">
        <f t="shared" si="52"/>
        <v>0</v>
      </c>
      <c r="N516" s="868">
        <f t="shared" si="56"/>
        <v>0</v>
      </c>
      <c r="O516" s="880"/>
      <c r="P516" s="58" t="str">
        <f>IF(N514&gt;0,"xx",IF(N514&gt;0,"xy",""))</f>
        <v/>
      </c>
      <c r="Q516" s="317" t="str">
        <f t="shared" si="53"/>
        <v/>
      </c>
      <c r="R516" s="317" t="str">
        <f t="shared" si="54"/>
        <v/>
      </c>
      <c r="S516" s="317" t="str">
        <f t="shared" si="55"/>
        <v/>
      </c>
      <c r="T516" s="317" t="str">
        <f>'REF. DE PREÇOS n editavel'!S516</f>
        <v/>
      </c>
      <c r="W516" s="577">
        <v>0</v>
      </c>
      <c r="X516" s="575"/>
      <c r="Y516" s="578">
        <f>IF('REF. DE PREÇOS n editavel'!W516=0,0,IF('REF. DE PREÇOS n editavel'!W516&gt;0,"c","b"))</f>
        <v>0</v>
      </c>
    </row>
    <row r="517" spans="1:25">
      <c r="A517" s="317" t="s">
        <v>147</v>
      </c>
      <c r="B517" s="870" t="s">
        <v>147</v>
      </c>
      <c r="C517" s="871"/>
      <c r="D517" s="931" t="s">
        <v>233</v>
      </c>
      <c r="E517" s="882">
        <f>'REF. DE PREÇOS n editavel'!E517</f>
        <v>33</v>
      </c>
      <c r="F517" s="883">
        <f>'REF. DE PREÇOS n editavel'!F517</f>
        <v>1.1100000000000001</v>
      </c>
      <c r="G517" s="923">
        <f>'REF. DE PREÇOS n editavel'!G517</f>
        <v>42.168900000000008</v>
      </c>
      <c r="H517" s="876">
        <f>'REF. DE PREÇOS n editavel'!H517</f>
        <v>0</v>
      </c>
      <c r="I517" s="876">
        <f>'REF. DE PREÇOS n editavel'!I517</f>
        <v>0</v>
      </c>
      <c r="J517" s="877">
        <f>'REF. DE PREÇOS n editavel'!J517</f>
        <v>0</v>
      </c>
      <c r="K517" s="932" t="s">
        <v>506</v>
      </c>
      <c r="L517" s="933"/>
      <c r="M517" s="1112">
        <f t="shared" si="52"/>
        <v>0</v>
      </c>
      <c r="N517" s="868">
        <f t="shared" si="56"/>
        <v>0</v>
      </c>
      <c r="O517" s="880"/>
      <c r="P517" s="58" t="str">
        <f>IF(N514&gt;0,"xx",IF(N514&gt;0,"xy",""))</f>
        <v/>
      </c>
      <c r="Q517" s="317" t="str">
        <f t="shared" si="53"/>
        <v/>
      </c>
      <c r="R517" s="317" t="str">
        <f t="shared" si="54"/>
        <v/>
      </c>
      <c r="S517" s="317" t="str">
        <f t="shared" si="55"/>
        <v/>
      </c>
      <c r="T517" s="317" t="str">
        <f>'REF. DE PREÇOS n editavel'!S517</f>
        <v/>
      </c>
      <c r="W517" s="577">
        <v>0</v>
      </c>
      <c r="X517" s="575"/>
      <c r="Y517" s="578">
        <f>IF('REF. DE PREÇOS n editavel'!W517=0,0,IF('REF. DE PREÇOS n editavel'!W517&gt;0,"c","b"))</f>
        <v>0</v>
      </c>
    </row>
    <row r="518" spans="1:25">
      <c r="A518" s="317" t="s">
        <v>147</v>
      </c>
      <c r="B518" s="870" t="s">
        <v>147</v>
      </c>
      <c r="C518" s="871"/>
      <c r="D518" s="931" t="s">
        <v>244</v>
      </c>
      <c r="E518" s="882">
        <f>'REF. DE PREÇOS n editavel'!E518</f>
        <v>43.1</v>
      </c>
      <c r="F518" s="883">
        <f>'REF. DE PREÇOS n editavel'!F518</f>
        <v>2.35</v>
      </c>
      <c r="G518" s="923">
        <f>'REF. DE PREÇOS n editavel'!G518</f>
        <v>114.67295000000001</v>
      </c>
      <c r="H518" s="876">
        <f>'REF. DE PREÇOS n editavel'!H518</f>
        <v>0</v>
      </c>
      <c r="I518" s="876">
        <f>'REF. DE PREÇOS n editavel'!I518</f>
        <v>0</v>
      </c>
      <c r="J518" s="877">
        <f>'REF. DE PREÇOS n editavel'!J518</f>
        <v>0</v>
      </c>
      <c r="K518" s="878" t="s">
        <v>506</v>
      </c>
      <c r="L518" s="977"/>
      <c r="M518" s="1112">
        <f t="shared" si="52"/>
        <v>0</v>
      </c>
      <c r="N518" s="868">
        <f t="shared" si="56"/>
        <v>0</v>
      </c>
      <c r="O518" s="880"/>
      <c r="P518" s="58" t="str">
        <f>IF(N514&gt;0,"xx",IF(N514&gt;0,"xy",""))</f>
        <v/>
      </c>
      <c r="Q518" s="317" t="str">
        <f t="shared" si="53"/>
        <v/>
      </c>
      <c r="R518" s="317" t="str">
        <f t="shared" si="54"/>
        <v/>
      </c>
      <c r="S518" s="317" t="str">
        <f t="shared" si="55"/>
        <v/>
      </c>
      <c r="T518" s="317" t="str">
        <f>'REF. DE PREÇOS n editavel'!S518</f>
        <v/>
      </c>
      <c r="W518" s="577">
        <v>0</v>
      </c>
      <c r="X518" s="575"/>
      <c r="Y518" s="578">
        <f>IF('REF. DE PREÇOS n editavel'!W518=0,0,IF('REF. DE PREÇOS n editavel'!W518&gt;0,"c","b"))</f>
        <v>0</v>
      </c>
    </row>
    <row r="519" spans="1:25">
      <c r="A519" s="317">
        <v>505415</v>
      </c>
      <c r="B519" s="870">
        <v>505415</v>
      </c>
      <c r="C519" s="871" t="s">
        <v>184</v>
      </c>
      <c r="D519" s="881" t="s">
        <v>1918</v>
      </c>
      <c r="E519" s="882">
        <f>'REF. DE PREÇOS n editavel'!E519</f>
        <v>0</v>
      </c>
      <c r="F519" s="883">
        <f>'REF. DE PREÇOS n editavel'!F519</f>
        <v>0</v>
      </c>
      <c r="G519" s="923">
        <f>'REF. DE PREÇOS n editavel'!G519</f>
        <v>0</v>
      </c>
      <c r="H519" s="876">
        <f>'REF. DE PREÇOS n editavel'!H519</f>
        <v>8.49</v>
      </c>
      <c r="I519" s="876">
        <f>'REF. DE PREÇOS n editavel'!I519</f>
        <v>8.49</v>
      </c>
      <c r="J519" s="877">
        <f>'REF. DE PREÇOS n editavel'!J519</f>
        <v>10.38</v>
      </c>
      <c r="K519" s="878" t="s">
        <v>12</v>
      </c>
      <c r="L519" s="1094"/>
      <c r="M519" s="1095">
        <f t="shared" si="52"/>
        <v>0</v>
      </c>
      <c r="N519" s="868">
        <f t="shared" si="56"/>
        <v>0</v>
      </c>
      <c r="O519" s="880"/>
      <c r="Q519" s="317" t="str">
        <f t="shared" si="53"/>
        <v/>
      </c>
      <c r="R519" s="317" t="str">
        <f t="shared" si="54"/>
        <v/>
      </c>
      <c r="S519" s="317" t="str">
        <f t="shared" si="55"/>
        <v/>
      </c>
      <c r="T519" s="317" t="str">
        <f>'REF. DE PREÇOS n editavel'!S519</f>
        <v/>
      </c>
      <c r="W519" s="577">
        <v>0</v>
      </c>
      <c r="X519" s="575"/>
      <c r="Y519" s="578">
        <f>IF('REF. DE PREÇOS n editavel'!W519=0,0,IF('REF. DE PREÇOS n editavel'!W519&gt;0,"c","b"))</f>
        <v>0</v>
      </c>
    </row>
    <row r="520" spans="1:25">
      <c r="A520" s="317">
        <v>505416</v>
      </c>
      <c r="B520" s="870">
        <v>505416</v>
      </c>
      <c r="C520" s="871" t="s">
        <v>184</v>
      </c>
      <c r="D520" s="881" t="s">
        <v>1919</v>
      </c>
      <c r="E520" s="882">
        <f>'REF. DE PREÇOS n editavel'!E520</f>
        <v>0</v>
      </c>
      <c r="F520" s="883">
        <f>'REF. DE PREÇOS n editavel'!F520</f>
        <v>0</v>
      </c>
      <c r="G520" s="923">
        <f>'REF. DE PREÇOS n editavel'!G520</f>
        <v>0</v>
      </c>
      <c r="H520" s="876">
        <f>'REF. DE PREÇOS n editavel'!H520</f>
        <v>10</v>
      </c>
      <c r="I520" s="876">
        <f>'REF. DE PREÇOS n editavel'!I520</f>
        <v>10</v>
      </c>
      <c r="J520" s="877">
        <f>'REF. DE PREÇOS n editavel'!J520</f>
        <v>12.22</v>
      </c>
      <c r="K520" s="878" t="s">
        <v>12</v>
      </c>
      <c r="L520" s="1094"/>
      <c r="M520" s="1095">
        <f t="shared" si="52"/>
        <v>0</v>
      </c>
      <c r="N520" s="868">
        <f t="shared" si="56"/>
        <v>0</v>
      </c>
      <c r="O520" s="880"/>
      <c r="Q520" s="317" t="str">
        <f t="shared" si="53"/>
        <v/>
      </c>
      <c r="R520" s="317" t="str">
        <f t="shared" si="54"/>
        <v/>
      </c>
      <c r="S520" s="317" t="str">
        <f t="shared" si="55"/>
        <v/>
      </c>
      <c r="T520" s="317" t="str">
        <f>'REF. DE PREÇOS n editavel'!S520</f>
        <v/>
      </c>
      <c r="W520" s="577">
        <v>0</v>
      </c>
      <c r="X520" s="575"/>
      <c r="Y520" s="578">
        <f>IF('REF. DE PREÇOS n editavel'!W520=0,0,IF('REF. DE PREÇOS n editavel'!W520&gt;0,"c","b"))</f>
        <v>0</v>
      </c>
    </row>
    <row r="521" spans="1:25">
      <c r="A521" s="317">
        <v>5111000</v>
      </c>
      <c r="B521" s="870">
        <v>5111000</v>
      </c>
      <c r="C521" s="871" t="s">
        <v>184</v>
      </c>
      <c r="D521" s="881" t="s">
        <v>1920</v>
      </c>
      <c r="E521" s="882">
        <f>'REF. DE PREÇOS n editavel'!E521</f>
        <v>0</v>
      </c>
      <c r="F521" s="883">
        <f>'REF. DE PREÇOS n editavel'!F521</f>
        <v>0</v>
      </c>
      <c r="G521" s="923">
        <f>'REF. DE PREÇOS n editavel'!G521</f>
        <v>0</v>
      </c>
      <c r="H521" s="876">
        <f>'REF. DE PREÇOS n editavel'!H521</f>
        <v>4.25</v>
      </c>
      <c r="I521" s="876">
        <f>'REF. DE PREÇOS n editavel'!I521</f>
        <v>4.25</v>
      </c>
      <c r="J521" s="877">
        <f>'REF. DE PREÇOS n editavel'!J521</f>
        <v>5.19</v>
      </c>
      <c r="K521" s="878" t="s">
        <v>12</v>
      </c>
      <c r="L521" s="1094"/>
      <c r="M521" s="1095">
        <f t="shared" si="52"/>
        <v>0</v>
      </c>
      <c r="N521" s="868">
        <f t="shared" si="56"/>
        <v>0</v>
      </c>
      <c r="O521" s="880"/>
      <c r="Q521" s="317" t="str">
        <f t="shared" si="53"/>
        <v/>
      </c>
      <c r="R521" s="317" t="str">
        <f t="shared" si="54"/>
        <v/>
      </c>
      <c r="S521" s="317" t="str">
        <f t="shared" si="55"/>
        <v/>
      </c>
      <c r="T521" s="317" t="str">
        <f>'REF. DE PREÇOS n editavel'!S521</f>
        <v/>
      </c>
      <c r="W521" s="577">
        <v>0</v>
      </c>
      <c r="X521" s="575"/>
      <c r="Y521" s="578">
        <f>IF('REF. DE PREÇOS n editavel'!W521=0,0,IF('REF. DE PREÇOS n editavel'!W521&gt;0,"c","b"))</f>
        <v>0</v>
      </c>
    </row>
    <row r="522" spans="1:25">
      <c r="A522" s="317">
        <v>504840</v>
      </c>
      <c r="B522" s="870">
        <v>504840</v>
      </c>
      <c r="C522" s="871" t="s">
        <v>184</v>
      </c>
      <c r="D522" s="881" t="s">
        <v>1921</v>
      </c>
      <c r="E522" s="882">
        <f>'REF. DE PREÇOS n editavel'!E522</f>
        <v>0</v>
      </c>
      <c r="F522" s="883">
        <f>'REF. DE PREÇOS n editavel'!F522</f>
        <v>0</v>
      </c>
      <c r="G522" s="923">
        <f>'REF. DE PREÇOS n editavel'!G522</f>
        <v>0</v>
      </c>
      <c r="H522" s="876">
        <f>'REF. DE PREÇOS n editavel'!H522</f>
        <v>41.95</v>
      </c>
      <c r="I522" s="876">
        <f>'REF. DE PREÇOS n editavel'!I522</f>
        <v>41.95</v>
      </c>
      <c r="J522" s="877">
        <f>'REF. DE PREÇOS n editavel'!J522</f>
        <v>51.27</v>
      </c>
      <c r="K522" s="878" t="s">
        <v>16</v>
      </c>
      <c r="L522" s="1094"/>
      <c r="M522" s="1095">
        <f t="shared" si="52"/>
        <v>0</v>
      </c>
      <c r="N522" s="868">
        <f t="shared" si="56"/>
        <v>0</v>
      </c>
      <c r="O522" s="880"/>
      <c r="Q522" s="317" t="str">
        <f t="shared" si="53"/>
        <v/>
      </c>
      <c r="R522" s="317" t="str">
        <f t="shared" si="54"/>
        <v/>
      </c>
      <c r="S522" s="317" t="str">
        <f t="shared" si="55"/>
        <v/>
      </c>
      <c r="T522" s="317" t="str">
        <f>'REF. DE PREÇOS n editavel'!S522</f>
        <v/>
      </c>
      <c r="W522" s="577">
        <v>0</v>
      </c>
      <c r="X522" s="575"/>
      <c r="Y522" s="578">
        <f>IF('REF. DE PREÇOS n editavel'!W522=0,0,IF('REF. DE PREÇOS n editavel'!W522&gt;0,"c","b"))</f>
        <v>0</v>
      </c>
    </row>
    <row r="523" spans="1:25">
      <c r="A523" s="317">
        <v>503110</v>
      </c>
      <c r="B523" s="870">
        <v>503110</v>
      </c>
      <c r="C523" s="871" t="s">
        <v>184</v>
      </c>
      <c r="D523" s="881" t="s">
        <v>1922</v>
      </c>
      <c r="E523" s="882">
        <f>'REF. DE PREÇOS n editavel'!E523</f>
        <v>0</v>
      </c>
      <c r="F523" s="883">
        <f>'REF. DE PREÇOS n editavel'!F523</f>
        <v>0</v>
      </c>
      <c r="G523" s="923">
        <f>'REF. DE PREÇOS n editavel'!G523</f>
        <v>0</v>
      </c>
      <c r="H523" s="876">
        <f>'REF. DE PREÇOS n editavel'!H523</f>
        <v>3.61</v>
      </c>
      <c r="I523" s="876">
        <f>'REF. DE PREÇOS n editavel'!I523</f>
        <v>3.61</v>
      </c>
      <c r="J523" s="877">
        <f>'REF. DE PREÇOS n editavel'!J523</f>
        <v>4.41</v>
      </c>
      <c r="K523" s="878" t="s">
        <v>12</v>
      </c>
      <c r="L523" s="1094"/>
      <c r="M523" s="1095">
        <f t="shared" si="52"/>
        <v>0</v>
      </c>
      <c r="N523" s="868">
        <f t="shared" si="56"/>
        <v>0</v>
      </c>
      <c r="O523" s="880"/>
      <c r="Q523" s="317" t="str">
        <f t="shared" si="53"/>
        <v/>
      </c>
      <c r="R523" s="317" t="str">
        <f t="shared" si="54"/>
        <v/>
      </c>
      <c r="S523" s="317" t="str">
        <f t="shared" si="55"/>
        <v/>
      </c>
      <c r="T523" s="317" t="str">
        <f>'REF. DE PREÇOS n editavel'!S523</f>
        <v/>
      </c>
      <c r="W523" s="577">
        <v>0</v>
      </c>
      <c r="X523" s="575"/>
      <c r="Y523" s="578">
        <f>IF('REF. DE PREÇOS n editavel'!W523=0,0,IF('REF. DE PREÇOS n editavel'!W523&gt;0,"c","b"))</f>
        <v>0</v>
      </c>
    </row>
    <row r="524" spans="1:25">
      <c r="A524" s="317">
        <v>507215</v>
      </c>
      <c r="B524" s="870">
        <v>507215</v>
      </c>
      <c r="C524" s="871" t="s">
        <v>184</v>
      </c>
      <c r="D524" s="881" t="s">
        <v>1923</v>
      </c>
      <c r="E524" s="882">
        <f>'REF. DE PREÇOS n editavel'!E524</f>
        <v>0</v>
      </c>
      <c r="F524" s="883">
        <f>'REF. DE PREÇOS n editavel'!F524</f>
        <v>0</v>
      </c>
      <c r="G524" s="923">
        <f>'REF. DE PREÇOS n editavel'!G524</f>
        <v>0</v>
      </c>
      <c r="H524" s="876">
        <f>'REF. DE PREÇOS n editavel'!H524</f>
        <v>7.84</v>
      </c>
      <c r="I524" s="876">
        <f>'REF. DE PREÇOS n editavel'!I524</f>
        <v>7.84</v>
      </c>
      <c r="J524" s="877">
        <f>'REF. DE PREÇOS n editavel'!J524</f>
        <v>9.58</v>
      </c>
      <c r="K524" s="878" t="s">
        <v>16</v>
      </c>
      <c r="L524" s="1094"/>
      <c r="M524" s="1095">
        <f t="shared" si="52"/>
        <v>0</v>
      </c>
      <c r="N524" s="868">
        <f t="shared" si="56"/>
        <v>0</v>
      </c>
      <c r="O524" s="880"/>
      <c r="Q524" s="317" t="str">
        <f t="shared" si="53"/>
        <v/>
      </c>
      <c r="R524" s="317" t="str">
        <f t="shared" si="54"/>
        <v/>
      </c>
      <c r="S524" s="317" t="str">
        <f t="shared" si="55"/>
        <v/>
      </c>
      <c r="T524" s="317" t="str">
        <f>'REF. DE PREÇOS n editavel'!S524</f>
        <v/>
      </c>
      <c r="W524" s="577">
        <v>0</v>
      </c>
      <c r="X524" s="575"/>
      <c r="Y524" s="578">
        <f>IF('REF. DE PREÇOS n editavel'!W524=0,0,IF('REF. DE PREÇOS n editavel'!W524&gt;0,"c","b"))</f>
        <v>0</v>
      </c>
    </row>
    <row r="525" spans="1:25">
      <c r="A525" s="317">
        <v>507210</v>
      </c>
      <c r="B525" s="870">
        <v>507210</v>
      </c>
      <c r="C525" s="871" t="s">
        <v>184</v>
      </c>
      <c r="D525" s="881" t="s">
        <v>1924</v>
      </c>
      <c r="E525" s="882">
        <f>'REF. DE PREÇOS n editavel'!E525</f>
        <v>0</v>
      </c>
      <c r="F525" s="883">
        <f>'REF. DE PREÇOS n editavel'!F525</f>
        <v>0</v>
      </c>
      <c r="G525" s="923">
        <f>'REF. DE PREÇOS n editavel'!G525</f>
        <v>0</v>
      </c>
      <c r="H525" s="876">
        <f>'REF. DE PREÇOS n editavel'!H525</f>
        <v>8.4</v>
      </c>
      <c r="I525" s="876">
        <f>'REF. DE PREÇOS n editavel'!I525</f>
        <v>8.4</v>
      </c>
      <c r="J525" s="877">
        <f>'REF. DE PREÇOS n editavel'!J525</f>
        <v>10.27</v>
      </c>
      <c r="K525" s="878" t="s">
        <v>16</v>
      </c>
      <c r="L525" s="1094"/>
      <c r="M525" s="1095">
        <f t="shared" ref="M525:M588" si="73">IF(L525=0,0,ROUND(J525,2))</f>
        <v>0</v>
      </c>
      <c r="N525" s="868">
        <f t="shared" si="56"/>
        <v>0</v>
      </c>
      <c r="O525" s="880"/>
      <c r="Q525" s="317" t="str">
        <f t="shared" si="53"/>
        <v/>
      </c>
      <c r="R525" s="317" t="str">
        <f t="shared" si="54"/>
        <v/>
      </c>
      <c r="S525" s="317" t="str">
        <f t="shared" si="55"/>
        <v/>
      </c>
      <c r="T525" s="317" t="str">
        <f>'REF. DE PREÇOS n editavel'!S525</f>
        <v/>
      </c>
      <c r="W525" s="577">
        <v>0</v>
      </c>
      <c r="X525" s="575"/>
      <c r="Y525" s="578">
        <f>IF('REF. DE PREÇOS n editavel'!W525=0,0,IF('REF. DE PREÇOS n editavel'!W525&gt;0,"c","b"))</f>
        <v>0</v>
      </c>
    </row>
    <row r="526" spans="1:25">
      <c r="A526" s="317">
        <v>507220</v>
      </c>
      <c r="B526" s="870">
        <v>507220</v>
      </c>
      <c r="C526" s="871" t="s">
        <v>184</v>
      </c>
      <c r="D526" s="881" t="s">
        <v>1925</v>
      </c>
      <c r="E526" s="882">
        <f>'REF. DE PREÇOS n editavel'!E526</f>
        <v>0</v>
      </c>
      <c r="F526" s="883">
        <f>'REF. DE PREÇOS n editavel'!F526</f>
        <v>0</v>
      </c>
      <c r="G526" s="923">
        <f>'REF. DE PREÇOS n editavel'!G526</f>
        <v>0</v>
      </c>
      <c r="H526" s="876">
        <f>'REF. DE PREÇOS n editavel'!H526</f>
        <v>7.48</v>
      </c>
      <c r="I526" s="876">
        <f>'REF. DE PREÇOS n editavel'!I526</f>
        <v>7.48</v>
      </c>
      <c r="J526" s="877">
        <f>'REF. DE PREÇOS n editavel'!J526</f>
        <v>9.14</v>
      </c>
      <c r="K526" s="878" t="s">
        <v>16</v>
      </c>
      <c r="L526" s="1094"/>
      <c r="M526" s="1095">
        <f t="shared" si="73"/>
        <v>0</v>
      </c>
      <c r="N526" s="868">
        <f t="shared" si="56"/>
        <v>0</v>
      </c>
      <c r="O526" s="880"/>
      <c r="Q526" s="317" t="str">
        <f t="shared" si="53"/>
        <v/>
      </c>
      <c r="R526" s="317" t="str">
        <f t="shared" si="54"/>
        <v/>
      </c>
      <c r="S526" s="317" t="str">
        <f t="shared" si="55"/>
        <v/>
      </c>
      <c r="T526" s="317" t="str">
        <f>'REF. DE PREÇOS n editavel'!S526</f>
        <v/>
      </c>
      <c r="W526" s="577">
        <v>0</v>
      </c>
      <c r="X526" s="575"/>
      <c r="Y526" s="578">
        <f>IF('REF. DE PREÇOS n editavel'!W526=0,0,IF('REF. DE PREÇOS n editavel'!W526&gt;0,"c","b"))</f>
        <v>0</v>
      </c>
    </row>
    <row r="527" spans="1:25">
      <c r="A527" s="317">
        <v>507225</v>
      </c>
      <c r="B527" s="870">
        <v>507225</v>
      </c>
      <c r="C527" s="871" t="s">
        <v>184</v>
      </c>
      <c r="D527" s="881" t="s">
        <v>1926</v>
      </c>
      <c r="E527" s="882">
        <f>'REF. DE PREÇOS n editavel'!E527</f>
        <v>0</v>
      </c>
      <c r="F527" s="883">
        <f>'REF. DE PREÇOS n editavel'!F527</f>
        <v>0</v>
      </c>
      <c r="G527" s="923">
        <f>'REF. DE PREÇOS n editavel'!G527</f>
        <v>0</v>
      </c>
      <c r="H527" s="876">
        <f>'REF. DE PREÇOS n editavel'!H527</f>
        <v>7.48</v>
      </c>
      <c r="I527" s="876">
        <f>'REF. DE PREÇOS n editavel'!I527</f>
        <v>7.48</v>
      </c>
      <c r="J527" s="877">
        <f>'REF. DE PREÇOS n editavel'!J527</f>
        <v>9.14</v>
      </c>
      <c r="K527" s="878" t="s">
        <v>16</v>
      </c>
      <c r="L527" s="1094"/>
      <c r="M527" s="1095">
        <f t="shared" si="73"/>
        <v>0</v>
      </c>
      <c r="N527" s="868">
        <f t="shared" si="56"/>
        <v>0</v>
      </c>
      <c r="O527" s="880"/>
      <c r="Q527" s="317" t="str">
        <f t="shared" ref="Q527:Q590" si="74">IF(P527="X","x",IF(P527="xx","x",IF(P527="xy","x",IF(P527="y","x",IF(OR(N527&gt;0,N527&gt;0),"x","")))))</f>
        <v/>
      </c>
      <c r="R527" s="317" t="str">
        <f t="shared" si="54"/>
        <v/>
      </c>
      <c r="S527" s="317" t="str">
        <f t="shared" si="55"/>
        <v/>
      </c>
      <c r="T527" s="317" t="str">
        <f>'REF. DE PREÇOS n editavel'!S527</f>
        <v/>
      </c>
      <c r="W527" s="577">
        <v>0</v>
      </c>
      <c r="X527" s="575"/>
      <c r="Y527" s="578">
        <f>IF('REF. DE PREÇOS n editavel'!W527=0,0,IF('REF. DE PREÇOS n editavel'!W527&gt;0,"c","b"))</f>
        <v>0</v>
      </c>
    </row>
    <row r="528" spans="1:25">
      <c r="A528" s="317">
        <v>507232</v>
      </c>
      <c r="B528" s="870">
        <v>507232</v>
      </c>
      <c r="C528" s="871" t="s">
        <v>184</v>
      </c>
      <c r="D528" s="881" t="s">
        <v>1927</v>
      </c>
      <c r="E528" s="882">
        <f>'REF. DE PREÇOS n editavel'!E528</f>
        <v>0</v>
      </c>
      <c r="F528" s="883">
        <f>'REF. DE PREÇOS n editavel'!F528</f>
        <v>0</v>
      </c>
      <c r="G528" s="923">
        <f>'REF. DE PREÇOS n editavel'!G528</f>
        <v>0</v>
      </c>
      <c r="H528" s="876">
        <f>'REF. DE PREÇOS n editavel'!H528</f>
        <v>8.3000000000000007</v>
      </c>
      <c r="I528" s="876">
        <f>'REF. DE PREÇOS n editavel'!I528</f>
        <v>8.3000000000000007</v>
      </c>
      <c r="J528" s="877">
        <f>'REF. DE PREÇOS n editavel'!J528</f>
        <v>10.14</v>
      </c>
      <c r="K528" s="878" t="s">
        <v>16</v>
      </c>
      <c r="L528" s="1094"/>
      <c r="M528" s="1095">
        <f t="shared" si="73"/>
        <v>0</v>
      </c>
      <c r="N528" s="868">
        <f t="shared" si="56"/>
        <v>0</v>
      </c>
      <c r="O528" s="880"/>
      <c r="Q528" s="317" t="str">
        <f t="shared" si="74"/>
        <v/>
      </c>
      <c r="R528" s="317" t="str">
        <f t="shared" si="54"/>
        <v/>
      </c>
      <c r="S528" s="317" t="str">
        <f t="shared" si="55"/>
        <v/>
      </c>
      <c r="T528" s="317" t="str">
        <f>'REF. DE PREÇOS n editavel'!S528</f>
        <v/>
      </c>
      <c r="W528" s="577">
        <v>0</v>
      </c>
      <c r="X528" s="575"/>
      <c r="Y528" s="578">
        <f>IF('REF. DE PREÇOS n editavel'!W528=0,0,IF('REF. DE PREÇOS n editavel'!W528&gt;0,"c","b"))</f>
        <v>0</v>
      </c>
    </row>
    <row r="529" spans="1:25">
      <c r="A529" s="317">
        <v>504920</v>
      </c>
      <c r="B529" s="870">
        <v>504920</v>
      </c>
      <c r="C529" s="871" t="s">
        <v>184</v>
      </c>
      <c r="D529" s="881" t="s">
        <v>1928</v>
      </c>
      <c r="E529" s="882">
        <f>'REF. DE PREÇOS n editavel'!E529</f>
        <v>20</v>
      </c>
      <c r="F529" s="883">
        <f>'REF. DE PREÇOS n editavel'!F529</f>
        <v>1.1000000000000001E-3</v>
      </c>
      <c r="G529" s="884">
        <f>'REF. DE PREÇOS n editavel'!G529</f>
        <v>2.5762000000000004E-2</v>
      </c>
      <c r="H529" s="876">
        <f>'REF. DE PREÇOS n editavel'!H529</f>
        <v>11.4</v>
      </c>
      <c r="I529" s="876">
        <f>'REF. DE PREÇOS n editavel'!I529</f>
        <v>11.425762000000001</v>
      </c>
      <c r="J529" s="877">
        <f>'REF. DE PREÇOS n editavel'!J529</f>
        <v>13.96</v>
      </c>
      <c r="K529" s="878" t="s">
        <v>16</v>
      </c>
      <c r="L529" s="1094"/>
      <c r="M529" s="1095">
        <f t="shared" si="73"/>
        <v>0</v>
      </c>
      <c r="N529" s="868">
        <f t="shared" si="56"/>
        <v>0</v>
      </c>
      <c r="O529" s="880"/>
      <c r="Q529" s="317" t="str">
        <f t="shared" si="74"/>
        <v/>
      </c>
      <c r="R529" s="317" t="str">
        <f t="shared" ref="R529:R592" si="75">IF(P529="X","x",IF(P529="y","x",IF(P529="xx","x",IF(N529&gt;0,"x",""))))</f>
        <v/>
      </c>
      <c r="S529" s="317" t="str">
        <f t="shared" ref="S529:S592" si="76">IF(P529="X","x",IF(N529&gt;0,"x",""))</f>
        <v/>
      </c>
      <c r="T529" s="317" t="str">
        <f>'REF. DE PREÇOS n editavel'!S529</f>
        <v/>
      </c>
      <c r="W529" s="577">
        <v>0</v>
      </c>
      <c r="X529" s="575"/>
      <c r="Y529" s="578">
        <f>IF('REF. DE PREÇOS n editavel'!W529=0,0,IF('REF. DE PREÇOS n editavel'!W529&gt;0,"c","b"))</f>
        <v>0</v>
      </c>
    </row>
    <row r="530" spans="1:25">
      <c r="A530" s="317">
        <v>502660</v>
      </c>
      <c r="B530" s="870">
        <v>502660</v>
      </c>
      <c r="C530" s="871" t="s">
        <v>184</v>
      </c>
      <c r="D530" s="881" t="s">
        <v>1929</v>
      </c>
      <c r="E530" s="882">
        <f>'REF. DE PREÇOS n editavel'!E530</f>
        <v>0</v>
      </c>
      <c r="F530" s="883">
        <f>'REF. DE PREÇOS n editavel'!F530</f>
        <v>0</v>
      </c>
      <c r="G530" s="923">
        <f>'REF. DE PREÇOS n editavel'!G530</f>
        <v>0</v>
      </c>
      <c r="H530" s="876">
        <f>'REF. DE PREÇOS n editavel'!H530</f>
        <v>15.77</v>
      </c>
      <c r="I530" s="876">
        <f>'REF. DE PREÇOS n editavel'!I530</f>
        <v>15.77</v>
      </c>
      <c r="J530" s="877">
        <f>'REF. DE PREÇOS n editavel'!J530</f>
        <v>19.27</v>
      </c>
      <c r="K530" s="878" t="s">
        <v>13</v>
      </c>
      <c r="L530" s="1094"/>
      <c r="M530" s="1095">
        <f t="shared" si="73"/>
        <v>0</v>
      </c>
      <c r="N530" s="868">
        <f t="shared" si="56"/>
        <v>0</v>
      </c>
      <c r="O530" s="880"/>
      <c r="Q530" s="317" t="str">
        <f t="shared" si="74"/>
        <v/>
      </c>
      <c r="R530" s="317" t="str">
        <f t="shared" si="75"/>
        <v/>
      </c>
      <c r="S530" s="317" t="str">
        <f t="shared" si="76"/>
        <v/>
      </c>
      <c r="T530" s="317" t="str">
        <f>'REF. DE PREÇOS n editavel'!S530</f>
        <v/>
      </c>
      <c r="W530" s="577">
        <v>0</v>
      </c>
      <c r="X530" s="575"/>
      <c r="Y530" s="578">
        <f>IF('REF. DE PREÇOS n editavel'!W530=0,0,IF('REF. DE PREÇOS n editavel'!W530&gt;0,"c","b"))</f>
        <v>0</v>
      </c>
    </row>
    <row r="531" spans="1:25">
      <c r="A531" s="317">
        <v>502680</v>
      </c>
      <c r="B531" s="870">
        <v>502680</v>
      </c>
      <c r="C531" s="871" t="s">
        <v>184</v>
      </c>
      <c r="D531" s="881" t="s">
        <v>1930</v>
      </c>
      <c r="E531" s="882">
        <f>'REF. DE PREÇOS n editavel'!E531</f>
        <v>0</v>
      </c>
      <c r="F531" s="883">
        <f>'REF. DE PREÇOS n editavel'!F531</f>
        <v>0</v>
      </c>
      <c r="G531" s="923">
        <f>'REF. DE PREÇOS n editavel'!G531</f>
        <v>0</v>
      </c>
      <c r="H531" s="876">
        <f>'REF. DE PREÇOS n editavel'!H531</f>
        <v>14.93</v>
      </c>
      <c r="I531" s="876">
        <f>'REF. DE PREÇOS n editavel'!I531</f>
        <v>14.93</v>
      </c>
      <c r="J531" s="877">
        <f>'REF. DE PREÇOS n editavel'!J531</f>
        <v>18.25</v>
      </c>
      <c r="K531" s="878" t="s">
        <v>13</v>
      </c>
      <c r="L531" s="1094"/>
      <c r="M531" s="1095">
        <f t="shared" si="73"/>
        <v>0</v>
      </c>
      <c r="N531" s="868">
        <f t="shared" si="56"/>
        <v>0</v>
      </c>
      <c r="O531" s="880"/>
      <c r="Q531" s="317" t="str">
        <f t="shared" si="74"/>
        <v/>
      </c>
      <c r="R531" s="317" t="str">
        <f t="shared" si="75"/>
        <v/>
      </c>
      <c r="S531" s="317" t="str">
        <f t="shared" si="76"/>
        <v/>
      </c>
      <c r="T531" s="317" t="str">
        <f>'REF. DE PREÇOS n editavel'!S531</f>
        <v/>
      </c>
      <c r="W531" s="577">
        <v>0</v>
      </c>
      <c r="X531" s="575"/>
      <c r="Y531" s="578">
        <f>IF('REF. DE PREÇOS n editavel'!W531=0,0,IF('REF. DE PREÇOS n editavel'!W531&gt;0,"c","b"))</f>
        <v>0</v>
      </c>
    </row>
    <row r="532" spans="1:25">
      <c r="A532" s="317">
        <v>502670</v>
      </c>
      <c r="B532" s="870">
        <v>502670</v>
      </c>
      <c r="C532" s="871" t="s">
        <v>184</v>
      </c>
      <c r="D532" s="881" t="s">
        <v>1931</v>
      </c>
      <c r="E532" s="882">
        <f>'REF. DE PREÇOS n editavel'!E532</f>
        <v>0</v>
      </c>
      <c r="F532" s="883">
        <f>'REF. DE PREÇOS n editavel'!F532</f>
        <v>0</v>
      </c>
      <c r="G532" s="887">
        <f>'REF. DE PREÇOS n editavel'!G532</f>
        <v>0</v>
      </c>
      <c r="H532" s="876">
        <f>'REF. DE PREÇOS n editavel'!H532</f>
        <v>19.57</v>
      </c>
      <c r="I532" s="876">
        <f>'REF. DE PREÇOS n editavel'!I532</f>
        <v>19.57</v>
      </c>
      <c r="J532" s="877">
        <f>'REF. DE PREÇOS n editavel'!J532</f>
        <v>23.92</v>
      </c>
      <c r="K532" s="878" t="s">
        <v>13</v>
      </c>
      <c r="L532" s="1094"/>
      <c r="M532" s="1095">
        <f t="shared" si="73"/>
        <v>0</v>
      </c>
      <c r="N532" s="868">
        <f t="shared" si="56"/>
        <v>0</v>
      </c>
      <c r="O532" s="880"/>
      <c r="Q532" s="317" t="str">
        <f t="shared" si="74"/>
        <v/>
      </c>
      <c r="R532" s="317" t="str">
        <f t="shared" si="75"/>
        <v/>
      </c>
      <c r="S532" s="317" t="str">
        <f t="shared" si="76"/>
        <v/>
      </c>
      <c r="T532" s="317" t="str">
        <f>'REF. DE PREÇOS n editavel'!S532</f>
        <v/>
      </c>
      <c r="W532" s="577">
        <v>0</v>
      </c>
      <c r="X532" s="575"/>
      <c r="Y532" s="578">
        <f>IF('REF. DE PREÇOS n editavel'!W532=0,0,IF('REF. DE PREÇOS n editavel'!W532&gt;0,"c","b"))</f>
        <v>0</v>
      </c>
    </row>
    <row r="533" spans="1:25" ht="22.5">
      <c r="A533" s="317">
        <v>502645</v>
      </c>
      <c r="B533" s="870">
        <v>502645</v>
      </c>
      <c r="C533" s="871" t="s">
        <v>184</v>
      </c>
      <c r="D533" s="881" t="s">
        <v>1932</v>
      </c>
      <c r="E533" s="882">
        <f>'REF. DE PREÇOS n editavel'!E533</f>
        <v>0</v>
      </c>
      <c r="F533" s="883">
        <f>'REF. DE PREÇOS n editavel'!F533</f>
        <v>0</v>
      </c>
      <c r="G533" s="923">
        <f>'REF. DE PREÇOS n editavel'!G533</f>
        <v>306.56383550000004</v>
      </c>
      <c r="H533" s="876">
        <f>'REF. DE PREÇOS n editavel'!H533</f>
        <v>322.94</v>
      </c>
      <c r="I533" s="876">
        <f>'REF. DE PREÇOS n editavel'!I533</f>
        <v>629.50383550000004</v>
      </c>
      <c r="J533" s="877">
        <f>'REF. DE PREÇOS n editavel'!J533</f>
        <v>769.38</v>
      </c>
      <c r="K533" s="878" t="s">
        <v>10</v>
      </c>
      <c r="L533" s="1094"/>
      <c r="M533" s="1095">
        <f t="shared" si="73"/>
        <v>0</v>
      </c>
      <c r="N533" s="868">
        <f t="shared" ref="N533:N596" si="77">IF(ISBLANK(L533),0,IF(W533=0,ROUND(L533*M533,2),IF(W533="b",ROUNDDOWN(L533*M533,2),ROUNDUP(L533*M533,2))))</f>
        <v>0</v>
      </c>
      <c r="O533" s="880"/>
      <c r="Q533" s="317" t="str">
        <f t="shared" si="74"/>
        <v/>
      </c>
      <c r="R533" s="317" t="str">
        <f t="shared" si="75"/>
        <v/>
      </c>
      <c r="S533" s="317" t="str">
        <f t="shared" si="76"/>
        <v/>
      </c>
      <c r="T533" s="317" t="str">
        <f>'REF. DE PREÇOS n editavel'!S533</f>
        <v/>
      </c>
      <c r="W533" s="577">
        <v>0</v>
      </c>
      <c r="X533" s="575"/>
      <c r="Y533" s="578">
        <f>IF('REF. DE PREÇOS n editavel'!W533=0,0,IF('REF. DE PREÇOS n editavel'!W533&gt;0,"c","b"))</f>
        <v>0</v>
      </c>
    </row>
    <row r="534" spans="1:25">
      <c r="A534" s="317" t="s">
        <v>147</v>
      </c>
      <c r="B534" s="870" t="s">
        <v>147</v>
      </c>
      <c r="C534" s="871"/>
      <c r="D534" s="931" t="s">
        <v>190</v>
      </c>
      <c r="E534" s="882">
        <f>'REF. DE PREÇOS n editavel'!E534</f>
        <v>445</v>
      </c>
      <c r="F534" s="883">
        <f>'REF. DE PREÇOS n editavel'!F534</f>
        <v>0.38</v>
      </c>
      <c r="G534" s="884">
        <f>'REF. DE PREÇOS n editavel'!G534</f>
        <v>134.86960000000002</v>
      </c>
      <c r="H534" s="876">
        <f>'REF. DE PREÇOS n editavel'!H534</f>
        <v>0</v>
      </c>
      <c r="I534" s="876">
        <f>'REF. DE PREÇOS n editavel'!I534</f>
        <v>0</v>
      </c>
      <c r="J534" s="877">
        <f>'REF. DE PREÇOS n editavel'!J534</f>
        <v>0</v>
      </c>
      <c r="K534" s="932"/>
      <c r="L534" s="933"/>
      <c r="M534" s="1112">
        <f t="shared" si="73"/>
        <v>0</v>
      </c>
      <c r="N534" s="868">
        <f t="shared" si="77"/>
        <v>0</v>
      </c>
      <c r="O534" s="880"/>
      <c r="P534" s="58" t="str">
        <f>IF(N533&gt;0,"xx",IF(N533&gt;0,"xy",""))</f>
        <v/>
      </c>
      <c r="Q534" s="317" t="str">
        <f t="shared" si="74"/>
        <v/>
      </c>
      <c r="R534" s="317" t="str">
        <f t="shared" si="75"/>
        <v/>
      </c>
      <c r="S534" s="317" t="str">
        <f t="shared" si="76"/>
        <v/>
      </c>
      <c r="T534" s="317" t="str">
        <f>'REF. DE PREÇOS n editavel'!S534</f>
        <v/>
      </c>
      <c r="W534" s="577">
        <v>0</v>
      </c>
      <c r="X534" s="575"/>
      <c r="Y534" s="578">
        <f>IF('REF. DE PREÇOS n editavel'!W534=0,0,IF('REF. DE PREÇOS n editavel'!W534&gt;0,"c","b"))</f>
        <v>0</v>
      </c>
    </row>
    <row r="535" spans="1:25">
      <c r="A535" s="317" t="s">
        <v>147</v>
      </c>
      <c r="B535" s="870" t="s">
        <v>147</v>
      </c>
      <c r="C535" s="871"/>
      <c r="D535" s="931" t="s">
        <v>229</v>
      </c>
      <c r="E535" s="882">
        <f>'REF. DE PREÇOS n editavel'!E535</f>
        <v>27</v>
      </c>
      <c r="F535" s="883">
        <f>'REF. DE PREÇOS n editavel'!F535</f>
        <v>0.70050000000000001</v>
      </c>
      <c r="G535" s="923">
        <f>'REF. DE PREÇOS n editavel'!G535</f>
        <v>22.114785000000001</v>
      </c>
      <c r="H535" s="876">
        <f>'REF. DE PREÇOS n editavel'!H535</f>
        <v>0</v>
      </c>
      <c r="I535" s="876">
        <f>'REF. DE PREÇOS n editavel'!I535</f>
        <v>0</v>
      </c>
      <c r="J535" s="877">
        <f>'REF. DE PREÇOS n editavel'!J535</f>
        <v>0</v>
      </c>
      <c r="K535" s="932" t="s">
        <v>506</v>
      </c>
      <c r="L535" s="933"/>
      <c r="M535" s="1112">
        <f t="shared" si="73"/>
        <v>0</v>
      </c>
      <c r="N535" s="868">
        <f t="shared" si="77"/>
        <v>0</v>
      </c>
      <c r="O535" s="880"/>
      <c r="P535" s="58" t="str">
        <f>IF(N533&gt;0,"xx",IF(N533&gt;0,"xy",""))</f>
        <v/>
      </c>
      <c r="Q535" s="317" t="str">
        <f t="shared" si="74"/>
        <v/>
      </c>
      <c r="R535" s="317" t="str">
        <f t="shared" si="75"/>
        <v/>
      </c>
      <c r="S535" s="317" t="str">
        <f t="shared" si="76"/>
        <v/>
      </c>
      <c r="T535" s="317" t="str">
        <f>'REF. DE PREÇOS n editavel'!S535</f>
        <v/>
      </c>
      <c r="W535" s="577">
        <v>0</v>
      </c>
      <c r="X535" s="575"/>
      <c r="Y535" s="578">
        <f>IF('REF. DE PREÇOS n editavel'!W535=0,0,IF('REF. DE PREÇOS n editavel'!W535&gt;0,"c","b"))</f>
        <v>0</v>
      </c>
    </row>
    <row r="536" spans="1:25">
      <c r="A536" s="317" t="s">
        <v>147</v>
      </c>
      <c r="B536" s="870" t="s">
        <v>147</v>
      </c>
      <c r="C536" s="871"/>
      <c r="D536" s="931" t="s">
        <v>233</v>
      </c>
      <c r="E536" s="882">
        <f>'REF. DE PREÇOS n editavel'!E536</f>
        <v>33</v>
      </c>
      <c r="F536" s="883">
        <f>'REF. DE PREÇOS n editavel'!F536</f>
        <v>1.1160000000000001</v>
      </c>
      <c r="G536" s="923">
        <f>'REF. DE PREÇOS n editavel'!G536</f>
        <v>42.396840000000005</v>
      </c>
      <c r="H536" s="876">
        <f>'REF. DE PREÇOS n editavel'!H536</f>
        <v>0</v>
      </c>
      <c r="I536" s="876">
        <f>'REF. DE PREÇOS n editavel'!I536</f>
        <v>0</v>
      </c>
      <c r="J536" s="877">
        <f>'REF. DE PREÇOS n editavel'!J536</f>
        <v>0</v>
      </c>
      <c r="K536" s="932" t="s">
        <v>506</v>
      </c>
      <c r="L536" s="933"/>
      <c r="M536" s="1112">
        <f t="shared" si="73"/>
        <v>0</v>
      </c>
      <c r="N536" s="868">
        <f t="shared" si="77"/>
        <v>0</v>
      </c>
      <c r="O536" s="880"/>
      <c r="P536" s="58" t="str">
        <f>IF(N533&gt;0,"xx",IF(N533&gt;0,"xy",""))</f>
        <v/>
      </c>
      <c r="Q536" s="317" t="str">
        <f t="shared" si="74"/>
        <v/>
      </c>
      <c r="R536" s="317" t="str">
        <f t="shared" si="75"/>
        <v/>
      </c>
      <c r="S536" s="317" t="str">
        <f t="shared" si="76"/>
        <v/>
      </c>
      <c r="T536" s="317" t="str">
        <f>'REF. DE PREÇOS n editavel'!S536</f>
        <v/>
      </c>
      <c r="W536" s="577">
        <v>0</v>
      </c>
      <c r="X536" s="575"/>
      <c r="Y536" s="578">
        <f>IF('REF. DE PREÇOS n editavel'!W536=0,0,IF('REF. DE PREÇOS n editavel'!W536&gt;0,"c","b"))</f>
        <v>0</v>
      </c>
    </row>
    <row r="537" spans="1:25">
      <c r="A537" s="317" t="s">
        <v>147</v>
      </c>
      <c r="B537" s="870" t="s">
        <v>147</v>
      </c>
      <c r="C537" s="871"/>
      <c r="D537" s="931" t="s">
        <v>244</v>
      </c>
      <c r="E537" s="882">
        <f>'REF. DE PREÇOS n editavel'!E537</f>
        <v>43.1</v>
      </c>
      <c r="F537" s="883">
        <f>'REF. DE PREÇOS n editavel'!F537</f>
        <v>2.1965000000000003</v>
      </c>
      <c r="G537" s="887">
        <f>'REF. DE PREÇOS n editavel'!G537</f>
        <v>107.18261050000002</v>
      </c>
      <c r="H537" s="876">
        <f>'REF. DE PREÇOS n editavel'!H537</f>
        <v>0</v>
      </c>
      <c r="I537" s="876">
        <f>'REF. DE PREÇOS n editavel'!I537</f>
        <v>0</v>
      </c>
      <c r="J537" s="877">
        <f>'REF. DE PREÇOS n editavel'!J537</f>
        <v>0</v>
      </c>
      <c r="K537" s="878" t="s">
        <v>506</v>
      </c>
      <c r="L537" s="977"/>
      <c r="M537" s="1112">
        <f t="shared" si="73"/>
        <v>0</v>
      </c>
      <c r="N537" s="868">
        <f t="shared" si="77"/>
        <v>0</v>
      </c>
      <c r="O537" s="880"/>
      <c r="P537" s="58" t="str">
        <f>IF(N533&gt;0,"xx",IF(N533&gt;0,"xy",""))</f>
        <v/>
      </c>
      <c r="Q537" s="317" t="str">
        <f t="shared" si="74"/>
        <v/>
      </c>
      <c r="R537" s="317" t="str">
        <f t="shared" si="75"/>
        <v/>
      </c>
      <c r="S537" s="317" t="str">
        <f t="shared" si="76"/>
        <v/>
      </c>
      <c r="T537" s="317" t="str">
        <f>'REF. DE PREÇOS n editavel'!S537</f>
        <v/>
      </c>
      <c r="W537" s="577">
        <v>0</v>
      </c>
      <c r="X537" s="575"/>
      <c r="Y537" s="578">
        <f>IF('REF. DE PREÇOS n editavel'!W537=0,0,IF('REF. DE PREÇOS n editavel'!W537&gt;0,"c","b"))</f>
        <v>0</v>
      </c>
    </row>
    <row r="538" spans="1:25">
      <c r="A538" s="317">
        <v>502646</v>
      </c>
      <c r="B538" s="870">
        <v>502646</v>
      </c>
      <c r="C538" s="871" t="s">
        <v>184</v>
      </c>
      <c r="D538" s="881" t="s">
        <v>1933</v>
      </c>
      <c r="E538" s="882">
        <f>'REF. DE PREÇOS n editavel'!E538</f>
        <v>0</v>
      </c>
      <c r="F538" s="883">
        <f>'REF. DE PREÇOS n editavel'!F538</f>
        <v>0</v>
      </c>
      <c r="G538" s="923">
        <f>'REF. DE PREÇOS n editavel'!G538</f>
        <v>306.56383550000004</v>
      </c>
      <c r="H538" s="876">
        <f>'REF. DE PREÇOS n editavel'!H538</f>
        <v>378.42</v>
      </c>
      <c r="I538" s="876">
        <f>'REF. DE PREÇOS n editavel'!I538</f>
        <v>684.98383550000005</v>
      </c>
      <c r="J538" s="877">
        <f>'REF. DE PREÇOS n editavel'!J538</f>
        <v>837.19</v>
      </c>
      <c r="K538" s="878" t="s">
        <v>10</v>
      </c>
      <c r="L538" s="1094"/>
      <c r="M538" s="1095">
        <f t="shared" si="73"/>
        <v>0</v>
      </c>
      <c r="N538" s="868">
        <f t="shared" si="77"/>
        <v>0</v>
      </c>
      <c r="O538" s="880"/>
      <c r="Q538" s="317" t="str">
        <f t="shared" si="74"/>
        <v/>
      </c>
      <c r="R538" s="317" t="str">
        <f t="shared" si="75"/>
        <v/>
      </c>
      <c r="S538" s="317" t="str">
        <f t="shared" si="76"/>
        <v/>
      </c>
      <c r="T538" s="317" t="str">
        <f>'REF. DE PREÇOS n editavel'!S538</f>
        <v/>
      </c>
      <c r="W538" s="577">
        <v>0</v>
      </c>
      <c r="X538" s="575"/>
      <c r="Y538" s="578">
        <f>IF('REF. DE PREÇOS n editavel'!W538=0,0,IF('REF. DE PREÇOS n editavel'!W538&gt;0,"c","b"))</f>
        <v>0</v>
      </c>
    </row>
    <row r="539" spans="1:25">
      <c r="A539" s="317" t="s">
        <v>147</v>
      </c>
      <c r="B539" s="870" t="s">
        <v>147</v>
      </c>
      <c r="C539" s="871"/>
      <c r="D539" s="931" t="s">
        <v>190</v>
      </c>
      <c r="E539" s="882">
        <f>'REF. DE PREÇOS n editavel'!E539</f>
        <v>445</v>
      </c>
      <c r="F539" s="883">
        <f>'REF. DE PREÇOS n editavel'!F539</f>
        <v>0.38</v>
      </c>
      <c r="G539" s="884">
        <f>'REF. DE PREÇOS n editavel'!G539</f>
        <v>134.86960000000002</v>
      </c>
      <c r="H539" s="876">
        <f>'REF. DE PREÇOS n editavel'!H539</f>
        <v>0</v>
      </c>
      <c r="I539" s="876">
        <f>'REF. DE PREÇOS n editavel'!I539</f>
        <v>0</v>
      </c>
      <c r="J539" s="877">
        <f>'REF. DE PREÇOS n editavel'!J539</f>
        <v>0</v>
      </c>
      <c r="K539" s="932" t="s">
        <v>506</v>
      </c>
      <c r="L539" s="933"/>
      <c r="M539" s="1112">
        <f t="shared" si="73"/>
        <v>0</v>
      </c>
      <c r="N539" s="868">
        <f t="shared" si="77"/>
        <v>0</v>
      </c>
      <c r="O539" s="880"/>
      <c r="P539" s="58" t="str">
        <f>IF(N538&gt;0,"xx",IF(N538&gt;0,"xy",""))</f>
        <v/>
      </c>
      <c r="Q539" s="317" t="str">
        <f t="shared" si="74"/>
        <v/>
      </c>
      <c r="R539" s="317" t="str">
        <f t="shared" si="75"/>
        <v/>
      </c>
      <c r="S539" s="317" t="str">
        <f t="shared" si="76"/>
        <v/>
      </c>
      <c r="T539" s="317" t="str">
        <f>'REF. DE PREÇOS n editavel'!S539</f>
        <v/>
      </c>
      <c r="W539" s="577">
        <v>0</v>
      </c>
      <c r="X539" s="575"/>
      <c r="Y539" s="578">
        <f>IF('REF. DE PREÇOS n editavel'!W539=0,0,IF('REF. DE PREÇOS n editavel'!W539&gt;0,"c","b"))</f>
        <v>0</v>
      </c>
    </row>
    <row r="540" spans="1:25">
      <c r="A540" s="317" t="s">
        <v>147</v>
      </c>
      <c r="B540" s="870" t="s">
        <v>147</v>
      </c>
      <c r="C540" s="871"/>
      <c r="D540" s="931" t="s">
        <v>229</v>
      </c>
      <c r="E540" s="882">
        <f>'REF. DE PREÇOS n editavel'!E540</f>
        <v>27</v>
      </c>
      <c r="F540" s="883">
        <f>'REF. DE PREÇOS n editavel'!F540</f>
        <v>0.70050000000000001</v>
      </c>
      <c r="G540" s="923">
        <f>'REF. DE PREÇOS n editavel'!G540</f>
        <v>22.114785000000001</v>
      </c>
      <c r="H540" s="876">
        <f>'REF. DE PREÇOS n editavel'!H540</f>
        <v>0</v>
      </c>
      <c r="I540" s="876">
        <f>'REF. DE PREÇOS n editavel'!I540</f>
        <v>0</v>
      </c>
      <c r="J540" s="877">
        <f>'REF. DE PREÇOS n editavel'!J540</f>
        <v>0</v>
      </c>
      <c r="K540" s="932" t="s">
        <v>506</v>
      </c>
      <c r="L540" s="933"/>
      <c r="M540" s="1112">
        <f t="shared" si="73"/>
        <v>0</v>
      </c>
      <c r="N540" s="868">
        <f t="shared" si="77"/>
        <v>0</v>
      </c>
      <c r="O540" s="880"/>
      <c r="P540" s="58" t="str">
        <f>IF(N538&gt;0,"xx",IF(N538&gt;0,"xy",""))</f>
        <v/>
      </c>
      <c r="Q540" s="317" t="str">
        <f t="shared" si="74"/>
        <v/>
      </c>
      <c r="R540" s="317" t="str">
        <f t="shared" si="75"/>
        <v/>
      </c>
      <c r="S540" s="317" t="str">
        <f t="shared" si="76"/>
        <v/>
      </c>
      <c r="T540" s="317" t="str">
        <f>'REF. DE PREÇOS n editavel'!S540</f>
        <v/>
      </c>
      <c r="W540" s="577">
        <v>0</v>
      </c>
      <c r="X540" s="575"/>
      <c r="Y540" s="578">
        <f>IF('REF. DE PREÇOS n editavel'!W540=0,0,IF('REF. DE PREÇOS n editavel'!W540&gt;0,"c","b"))</f>
        <v>0</v>
      </c>
    </row>
    <row r="541" spans="1:25">
      <c r="A541" s="317" t="s">
        <v>147</v>
      </c>
      <c r="B541" s="870" t="s">
        <v>147</v>
      </c>
      <c r="C541" s="871"/>
      <c r="D541" s="931" t="s">
        <v>233</v>
      </c>
      <c r="E541" s="882">
        <f>'REF. DE PREÇOS n editavel'!E541</f>
        <v>33</v>
      </c>
      <c r="F541" s="883">
        <f>'REF. DE PREÇOS n editavel'!F541</f>
        <v>1.1160000000000001</v>
      </c>
      <c r="G541" s="923">
        <f>'REF. DE PREÇOS n editavel'!G541</f>
        <v>42.396840000000005</v>
      </c>
      <c r="H541" s="876">
        <f>'REF. DE PREÇOS n editavel'!H541</f>
        <v>0</v>
      </c>
      <c r="I541" s="876">
        <f>'REF. DE PREÇOS n editavel'!I541</f>
        <v>0</v>
      </c>
      <c r="J541" s="877">
        <f>'REF. DE PREÇOS n editavel'!J541</f>
        <v>0</v>
      </c>
      <c r="K541" s="878" t="s">
        <v>506</v>
      </c>
      <c r="L541" s="977"/>
      <c r="M541" s="1112">
        <f t="shared" si="73"/>
        <v>0</v>
      </c>
      <c r="N541" s="868">
        <f t="shared" si="77"/>
        <v>0</v>
      </c>
      <c r="O541" s="880"/>
      <c r="P541" s="58" t="str">
        <f>IF(N537&gt;0,"xx",IF(N537&gt;0,"xy",""))</f>
        <v/>
      </c>
      <c r="Q541" s="317" t="str">
        <f t="shared" si="74"/>
        <v/>
      </c>
      <c r="R541" s="317" t="str">
        <f t="shared" si="75"/>
        <v/>
      </c>
      <c r="S541" s="317" t="str">
        <f t="shared" si="76"/>
        <v/>
      </c>
      <c r="T541" s="317" t="str">
        <f>'REF. DE PREÇOS n editavel'!S541</f>
        <v/>
      </c>
      <c r="W541" s="577">
        <v>0</v>
      </c>
      <c r="X541" s="575"/>
      <c r="Y541" s="578">
        <f>IF('REF. DE PREÇOS n editavel'!W541=0,0,IF('REF. DE PREÇOS n editavel'!W541&gt;0,"c","b"))</f>
        <v>0</v>
      </c>
    </row>
    <row r="542" spans="1:25" ht="13.5" thickBot="1">
      <c r="A542" s="317" t="s">
        <v>147</v>
      </c>
      <c r="B542" s="978" t="s">
        <v>147</v>
      </c>
      <c r="C542" s="958"/>
      <c r="D542" s="986" t="s">
        <v>244</v>
      </c>
      <c r="E542" s="979">
        <f>'REF. DE PREÇOS n editavel'!E542</f>
        <v>43.1</v>
      </c>
      <c r="F542" s="980">
        <f>'REF. DE PREÇOS n editavel'!F542</f>
        <v>2.1965000000000003</v>
      </c>
      <c r="G542" s="1002">
        <f>'REF. DE PREÇOS n editavel'!G542</f>
        <v>107.18261050000002</v>
      </c>
      <c r="H542" s="962">
        <f>'REF. DE PREÇOS n editavel'!H542</f>
        <v>0</v>
      </c>
      <c r="I542" s="962">
        <f>'REF. DE PREÇOS n editavel'!I542</f>
        <v>0</v>
      </c>
      <c r="J542" s="963">
        <f>'REF. DE PREÇOS n editavel'!J542</f>
        <v>0</v>
      </c>
      <c r="K542" s="1003" t="s">
        <v>506</v>
      </c>
      <c r="L542" s="1004"/>
      <c r="M542" s="1114">
        <f t="shared" si="73"/>
        <v>0</v>
      </c>
      <c r="N542" s="967">
        <f t="shared" si="77"/>
        <v>0</v>
      </c>
      <c r="O542" s="880"/>
      <c r="P542" s="58" t="str">
        <f>IF(N538&gt;0,"xx",IF(N538&gt;0,"xy",""))</f>
        <v/>
      </c>
      <c r="Q542" s="317" t="str">
        <f t="shared" si="74"/>
        <v/>
      </c>
      <c r="R542" s="317" t="str">
        <f t="shared" si="75"/>
        <v/>
      </c>
      <c r="S542" s="317" t="str">
        <f t="shared" si="76"/>
        <v/>
      </c>
      <c r="T542" s="317" t="str">
        <f>'REF. DE PREÇOS n editavel'!S542</f>
        <v/>
      </c>
      <c r="W542" s="577">
        <v>0</v>
      </c>
      <c r="X542" s="575"/>
      <c r="Y542" s="578">
        <f>IF('REF. DE PREÇOS n editavel'!W542=0,0,IF('REF. DE PREÇOS n editavel'!W542&gt;0,"c","b"))</f>
        <v>0</v>
      </c>
    </row>
    <row r="543" spans="1:25" ht="45">
      <c r="A543" s="317">
        <v>97104</v>
      </c>
      <c r="B543" s="858">
        <v>97104</v>
      </c>
      <c r="C543" s="859" t="s">
        <v>590</v>
      </c>
      <c r="D543" s="920" t="s">
        <v>1913</v>
      </c>
      <c r="E543" s="1005">
        <f>'REF. DE PREÇOS n editavel'!E543</f>
        <v>43.1</v>
      </c>
      <c r="F543" s="921">
        <f>'REF. DE PREÇOS n editavel'!F543</f>
        <v>0.36</v>
      </c>
      <c r="G543" s="923">
        <f>'REF. DE PREÇOS n editavel'!G543</f>
        <v>17.56692</v>
      </c>
      <c r="H543" s="864">
        <f>'REF. DE PREÇOS n editavel'!H543</f>
        <v>121.45</v>
      </c>
      <c r="I543" s="864">
        <f>'REF. DE PREÇOS n editavel'!I543</f>
        <v>139.01692</v>
      </c>
      <c r="J543" s="865">
        <f>'REF. DE PREÇOS n editavel'!J543</f>
        <v>169.91</v>
      </c>
      <c r="K543" s="866" t="s">
        <v>12</v>
      </c>
      <c r="L543" s="1115"/>
      <c r="M543" s="1093">
        <f t="shared" si="73"/>
        <v>0</v>
      </c>
      <c r="N543" s="907">
        <f t="shared" si="77"/>
        <v>0</v>
      </c>
      <c r="O543" s="880"/>
      <c r="Q543" s="317" t="str">
        <f t="shared" si="74"/>
        <v/>
      </c>
      <c r="R543" s="317" t="str">
        <f t="shared" si="75"/>
        <v/>
      </c>
      <c r="S543" s="317" t="str">
        <f t="shared" si="76"/>
        <v/>
      </c>
      <c r="T543" s="317" t="str">
        <f>'REF. DE PREÇOS n editavel'!S543</f>
        <v/>
      </c>
      <c r="W543" s="577">
        <v>0</v>
      </c>
      <c r="X543" s="575"/>
      <c r="Y543" s="578">
        <f>IF('REF. DE PREÇOS n editavel'!W543=0,0,IF('REF. DE PREÇOS n editavel'!W543&gt;0,"c","b"))</f>
        <v>0</v>
      </c>
    </row>
    <row r="544" spans="1:25" ht="45">
      <c r="A544" s="317">
        <v>97105</v>
      </c>
      <c r="B544" s="870">
        <v>97105</v>
      </c>
      <c r="C544" s="871" t="s">
        <v>590</v>
      </c>
      <c r="D544" s="881" t="s">
        <v>1907</v>
      </c>
      <c r="E544" s="882">
        <f>'REF. DE PREÇOS n editavel'!E544</f>
        <v>43.1</v>
      </c>
      <c r="F544" s="883">
        <f>'REF. DE PREÇOS n editavel'!F544</f>
        <v>0.42</v>
      </c>
      <c r="G544" s="923">
        <f>'REF. DE PREÇOS n editavel'!G544</f>
        <v>20.49474</v>
      </c>
      <c r="H544" s="876">
        <f>'REF. DE PREÇOS n editavel'!H544</f>
        <v>136.68</v>
      </c>
      <c r="I544" s="876">
        <f>'REF. DE PREÇOS n editavel'!I544</f>
        <v>157.17474000000001</v>
      </c>
      <c r="J544" s="877">
        <f>'REF. DE PREÇOS n editavel'!J544</f>
        <v>192.1</v>
      </c>
      <c r="K544" s="878" t="s">
        <v>12</v>
      </c>
      <c r="L544" s="1094"/>
      <c r="M544" s="1095">
        <f t="shared" si="73"/>
        <v>0</v>
      </c>
      <c r="N544" s="868">
        <f t="shared" si="77"/>
        <v>0</v>
      </c>
      <c r="O544" s="880"/>
      <c r="Q544" s="317" t="str">
        <f t="shared" si="74"/>
        <v/>
      </c>
      <c r="R544" s="317" t="str">
        <f t="shared" si="75"/>
        <v/>
      </c>
      <c r="S544" s="317" t="str">
        <f t="shared" si="76"/>
        <v/>
      </c>
      <c r="T544" s="317" t="str">
        <f>'REF. DE PREÇOS n editavel'!S544</f>
        <v/>
      </c>
      <c r="W544" s="577">
        <v>0</v>
      </c>
      <c r="X544" s="575"/>
      <c r="Y544" s="578">
        <f>IF('REF. DE PREÇOS n editavel'!W544=0,0,IF('REF. DE PREÇOS n editavel'!W544&gt;0,"c","b"))</f>
        <v>0</v>
      </c>
    </row>
    <row r="545" spans="1:25" ht="45">
      <c r="A545" s="317">
        <v>97106</v>
      </c>
      <c r="B545" s="870">
        <v>97106</v>
      </c>
      <c r="C545" s="871" t="s">
        <v>590</v>
      </c>
      <c r="D545" s="881" t="s">
        <v>1908</v>
      </c>
      <c r="E545" s="882">
        <f>'REF. DE PREÇOS n editavel'!E545</f>
        <v>43.1</v>
      </c>
      <c r="F545" s="883">
        <f>'REF. DE PREÇOS n editavel'!F545</f>
        <v>0.48</v>
      </c>
      <c r="G545" s="923">
        <f>'REF. DE PREÇOS n editavel'!G545</f>
        <v>23.422560000000001</v>
      </c>
      <c r="H545" s="876">
        <f>'REF. DE PREÇOS n editavel'!H545</f>
        <v>150.85</v>
      </c>
      <c r="I545" s="876">
        <f>'REF. DE PREÇOS n editavel'!I545</f>
        <v>174.27256</v>
      </c>
      <c r="J545" s="877">
        <f>'REF. DE PREÇOS n editavel'!J545</f>
        <v>213</v>
      </c>
      <c r="K545" s="878" t="s">
        <v>12</v>
      </c>
      <c r="L545" s="1094"/>
      <c r="M545" s="1095">
        <f t="shared" si="73"/>
        <v>0</v>
      </c>
      <c r="N545" s="868">
        <f t="shared" si="77"/>
        <v>0</v>
      </c>
      <c r="O545" s="880"/>
      <c r="Q545" s="317" t="str">
        <f t="shared" si="74"/>
        <v/>
      </c>
      <c r="R545" s="317" t="str">
        <f t="shared" si="75"/>
        <v/>
      </c>
      <c r="S545" s="317" t="str">
        <f t="shared" si="76"/>
        <v/>
      </c>
      <c r="T545" s="317" t="str">
        <f>'REF. DE PREÇOS n editavel'!S545</f>
        <v/>
      </c>
      <c r="W545" s="577">
        <v>0</v>
      </c>
      <c r="X545" s="575"/>
      <c r="Y545" s="578">
        <f>IF('REF. DE PREÇOS n editavel'!W545=0,0,IF('REF. DE PREÇOS n editavel'!W545&gt;0,"c","b"))</f>
        <v>0</v>
      </c>
    </row>
    <row r="546" spans="1:25" ht="45">
      <c r="A546" s="317">
        <v>97107</v>
      </c>
      <c r="B546" s="870">
        <v>97107</v>
      </c>
      <c r="C546" s="871" t="s">
        <v>590</v>
      </c>
      <c r="D546" s="881" t="s">
        <v>1909</v>
      </c>
      <c r="E546" s="882">
        <f>'REF. DE PREÇOS n editavel'!E546</f>
        <v>43.1</v>
      </c>
      <c r="F546" s="883">
        <f>'REF. DE PREÇOS n editavel'!F546</f>
        <v>0.54</v>
      </c>
      <c r="G546" s="923">
        <f>'REF. DE PREÇOS n editavel'!G546</f>
        <v>26.350380000000005</v>
      </c>
      <c r="H546" s="876">
        <f>'REF. DE PREÇOS n editavel'!H546</f>
        <v>172.16</v>
      </c>
      <c r="I546" s="876">
        <f>'REF. DE PREÇOS n editavel'!I546</f>
        <v>198.51038</v>
      </c>
      <c r="J546" s="877">
        <f>'REF. DE PREÇOS n editavel'!J546</f>
        <v>242.62</v>
      </c>
      <c r="K546" s="878" t="s">
        <v>12</v>
      </c>
      <c r="L546" s="1094"/>
      <c r="M546" s="1095">
        <f t="shared" si="73"/>
        <v>0</v>
      </c>
      <c r="N546" s="868">
        <f t="shared" si="77"/>
        <v>0</v>
      </c>
      <c r="O546" s="880"/>
      <c r="Q546" s="317" t="str">
        <f t="shared" si="74"/>
        <v/>
      </c>
      <c r="R546" s="317" t="str">
        <f t="shared" si="75"/>
        <v/>
      </c>
      <c r="S546" s="317" t="str">
        <f t="shared" si="76"/>
        <v/>
      </c>
      <c r="T546" s="317" t="str">
        <f>'REF. DE PREÇOS n editavel'!S546</f>
        <v/>
      </c>
      <c r="W546" s="577">
        <v>0</v>
      </c>
      <c r="X546" s="575"/>
      <c r="Y546" s="578">
        <f>IF('REF. DE PREÇOS n editavel'!W546=0,0,IF('REF. DE PREÇOS n editavel'!W546&gt;0,"c","b"))</f>
        <v>0</v>
      </c>
    </row>
    <row r="547" spans="1:25" ht="45">
      <c r="A547" s="317">
        <v>97108</v>
      </c>
      <c r="B547" s="870">
        <v>97108</v>
      </c>
      <c r="C547" s="871" t="s">
        <v>590</v>
      </c>
      <c r="D547" s="881" t="s">
        <v>1910</v>
      </c>
      <c r="E547" s="882">
        <f>'REF. DE PREÇOS n editavel'!E547</f>
        <v>43.1</v>
      </c>
      <c r="F547" s="883">
        <f>'REF. DE PREÇOS n editavel'!F547</f>
        <v>0.6</v>
      </c>
      <c r="G547" s="923">
        <f>'REF. DE PREÇOS n editavel'!G547</f>
        <v>29.278200000000002</v>
      </c>
      <c r="H547" s="876">
        <f>'REF. DE PREÇOS n editavel'!H547</f>
        <v>196.46</v>
      </c>
      <c r="I547" s="876">
        <f>'REF. DE PREÇOS n editavel'!I547</f>
        <v>225.73820000000001</v>
      </c>
      <c r="J547" s="877">
        <f>'REF. DE PREÇOS n editavel'!J547</f>
        <v>275.89999999999998</v>
      </c>
      <c r="K547" s="878" t="s">
        <v>12</v>
      </c>
      <c r="L547" s="1094"/>
      <c r="M547" s="1095">
        <f t="shared" si="73"/>
        <v>0</v>
      </c>
      <c r="N547" s="868">
        <f t="shared" si="77"/>
        <v>0</v>
      </c>
      <c r="O547" s="880"/>
      <c r="Q547" s="317" t="str">
        <f t="shared" si="74"/>
        <v/>
      </c>
      <c r="R547" s="317" t="str">
        <f t="shared" si="75"/>
        <v/>
      </c>
      <c r="S547" s="317" t="str">
        <f t="shared" si="76"/>
        <v/>
      </c>
      <c r="T547" s="317" t="str">
        <f>'REF. DE PREÇOS n editavel'!S547</f>
        <v/>
      </c>
      <c r="W547" s="577">
        <v>0</v>
      </c>
      <c r="X547" s="575"/>
      <c r="Y547" s="578">
        <f>IF('REF. DE PREÇOS n editavel'!W547=0,0,IF('REF. DE PREÇOS n editavel'!W547&gt;0,"c","b"))</f>
        <v>0</v>
      </c>
    </row>
    <row r="548" spans="1:25" ht="45">
      <c r="A548" s="317">
        <v>97109</v>
      </c>
      <c r="B548" s="870">
        <v>97109</v>
      </c>
      <c r="C548" s="871" t="s">
        <v>590</v>
      </c>
      <c r="D548" s="881" t="s">
        <v>1911</v>
      </c>
      <c r="E548" s="882">
        <f>'REF. DE PREÇOS n editavel'!E548</f>
        <v>43.1</v>
      </c>
      <c r="F548" s="883">
        <f>'REF. DE PREÇOS n editavel'!F548</f>
        <v>0.66</v>
      </c>
      <c r="G548" s="923">
        <f>'REF. DE PREÇOS n editavel'!G548</f>
        <v>32.206020000000002</v>
      </c>
      <c r="H548" s="876">
        <f>'REF. DE PREÇOS n editavel'!H548</f>
        <v>217</v>
      </c>
      <c r="I548" s="876">
        <f>'REF. DE PREÇOS n editavel'!I548</f>
        <v>249.20602</v>
      </c>
      <c r="J548" s="877">
        <f>'REF. DE PREÇOS n editavel'!J548</f>
        <v>304.58</v>
      </c>
      <c r="K548" s="878" t="s">
        <v>12</v>
      </c>
      <c r="L548" s="1094"/>
      <c r="M548" s="1095">
        <f t="shared" si="73"/>
        <v>0</v>
      </c>
      <c r="N548" s="868">
        <f t="shared" si="77"/>
        <v>0</v>
      </c>
      <c r="O548" s="880"/>
      <c r="Q548" s="317" t="str">
        <f t="shared" si="74"/>
        <v/>
      </c>
      <c r="R548" s="317" t="str">
        <f t="shared" si="75"/>
        <v/>
      </c>
      <c r="S548" s="317" t="str">
        <f t="shared" si="76"/>
        <v/>
      </c>
      <c r="T548" s="317" t="str">
        <f>'REF. DE PREÇOS n editavel'!S548</f>
        <v/>
      </c>
      <c r="W548" s="577">
        <v>0</v>
      </c>
      <c r="X548" s="575"/>
      <c r="Y548" s="578">
        <f>IF('REF. DE PREÇOS n editavel'!W548=0,0,IF('REF. DE PREÇOS n editavel'!W548&gt;0,"c","b"))</f>
        <v>0</v>
      </c>
    </row>
    <row r="549" spans="1:25" ht="22.5">
      <c r="A549" s="317">
        <v>97111</v>
      </c>
      <c r="B549" s="870">
        <v>97111</v>
      </c>
      <c r="C549" s="871" t="s">
        <v>590</v>
      </c>
      <c r="D549" s="881" t="s">
        <v>1977</v>
      </c>
      <c r="E549" s="882">
        <f>'REF. DE PREÇOS n editavel'!E549</f>
        <v>43.1</v>
      </c>
      <c r="F549" s="883">
        <f>'REF. DE PREÇOS n editavel'!F549</f>
        <v>0.3</v>
      </c>
      <c r="G549" s="923">
        <f>'REF. DE PREÇOS n editavel'!G549</f>
        <v>14.639100000000001</v>
      </c>
      <c r="H549" s="876">
        <f>'REF. DE PREÇOS n editavel'!H549</f>
        <v>274.89</v>
      </c>
      <c r="I549" s="876">
        <f>'REF. DE PREÇOS n editavel'!I549</f>
        <v>289.52909999999997</v>
      </c>
      <c r="J549" s="877">
        <f>'REF. DE PREÇOS n editavel'!J549</f>
        <v>353.86</v>
      </c>
      <c r="K549" s="878" t="s">
        <v>12</v>
      </c>
      <c r="L549" s="1094"/>
      <c r="M549" s="1095">
        <f t="shared" si="73"/>
        <v>0</v>
      </c>
      <c r="N549" s="868">
        <f t="shared" si="77"/>
        <v>0</v>
      </c>
      <c r="O549" s="880"/>
      <c r="Q549" s="317" t="str">
        <f t="shared" si="74"/>
        <v/>
      </c>
      <c r="R549" s="317" t="str">
        <f t="shared" si="75"/>
        <v/>
      </c>
      <c r="S549" s="317" t="str">
        <f t="shared" si="76"/>
        <v/>
      </c>
      <c r="T549" s="317" t="str">
        <f>'REF. DE PREÇOS n editavel'!S549</f>
        <v/>
      </c>
      <c r="W549" s="577">
        <v>0</v>
      </c>
      <c r="X549" s="575"/>
      <c r="Y549" s="578">
        <f>IF('REF. DE PREÇOS n editavel'!W549=0,0,IF('REF. DE PREÇOS n editavel'!W549&gt;0,"c","b"))</f>
        <v>0</v>
      </c>
    </row>
    <row r="550" spans="1:25" ht="22.5">
      <c r="A550" s="317">
        <v>97112</v>
      </c>
      <c r="B550" s="870">
        <v>97112</v>
      </c>
      <c r="C550" s="871" t="s">
        <v>590</v>
      </c>
      <c r="D550" s="881" t="s">
        <v>1982</v>
      </c>
      <c r="E550" s="882">
        <f>'REF. DE PREÇOS n editavel'!E550</f>
        <v>43.1</v>
      </c>
      <c r="F550" s="883">
        <f>'REF. DE PREÇOS n editavel'!F550</f>
        <v>0.36</v>
      </c>
      <c r="G550" s="923">
        <f>'REF. DE PREÇOS n editavel'!G550</f>
        <v>17.56692</v>
      </c>
      <c r="H550" s="876">
        <f>'REF. DE PREÇOS n editavel'!H550</f>
        <v>231.07</v>
      </c>
      <c r="I550" s="876">
        <f>'REF. DE PREÇOS n editavel'!I550</f>
        <v>248.63692</v>
      </c>
      <c r="J550" s="877">
        <f>'REF. DE PREÇOS n editavel'!J550</f>
        <v>303.88</v>
      </c>
      <c r="K550" s="878" t="s">
        <v>12</v>
      </c>
      <c r="L550" s="1094"/>
      <c r="M550" s="1095">
        <f t="shared" si="73"/>
        <v>0</v>
      </c>
      <c r="N550" s="868">
        <f t="shared" si="77"/>
        <v>0</v>
      </c>
      <c r="O550" s="880"/>
      <c r="Q550" s="317" t="str">
        <f t="shared" si="74"/>
        <v/>
      </c>
      <c r="R550" s="317" t="str">
        <f t="shared" si="75"/>
        <v/>
      </c>
      <c r="S550" s="317" t="str">
        <f t="shared" si="76"/>
        <v/>
      </c>
      <c r="T550" s="317" t="str">
        <f>'REF. DE PREÇOS n editavel'!S550</f>
        <v/>
      </c>
      <c r="W550" s="577">
        <v>0</v>
      </c>
      <c r="X550" s="575"/>
      <c r="Y550" s="578">
        <f>IF('REF. DE PREÇOS n editavel'!W550=0,0,IF('REF. DE PREÇOS n editavel'!W550&gt;0,"c","b"))</f>
        <v>0</v>
      </c>
    </row>
    <row r="551" spans="1:25" ht="22.5">
      <c r="A551" s="317">
        <v>97112</v>
      </c>
      <c r="B551" s="870">
        <v>97112</v>
      </c>
      <c r="C551" s="871" t="s">
        <v>590</v>
      </c>
      <c r="D551" s="881" t="s">
        <v>1982</v>
      </c>
      <c r="E551" s="882">
        <f>'REF. DE PREÇOS n editavel'!E551</f>
        <v>43.1</v>
      </c>
      <c r="F551" s="883">
        <f>'REF. DE PREÇOS n editavel'!F551</f>
        <v>0.42</v>
      </c>
      <c r="G551" s="923">
        <f>'REF. DE PREÇOS n editavel'!G551</f>
        <v>20.49474</v>
      </c>
      <c r="H551" s="876">
        <f>'REF. DE PREÇOS n editavel'!H551</f>
        <v>231.07</v>
      </c>
      <c r="I551" s="876">
        <f>'REF. DE PREÇOS n editavel'!I551</f>
        <v>251.56474</v>
      </c>
      <c r="J551" s="877">
        <f>'REF. DE PREÇOS n editavel'!J551</f>
        <v>307.45999999999998</v>
      </c>
      <c r="K551" s="878" t="s">
        <v>12</v>
      </c>
      <c r="L551" s="1094"/>
      <c r="M551" s="1095">
        <f t="shared" si="73"/>
        <v>0</v>
      </c>
      <c r="N551" s="868">
        <f t="shared" si="77"/>
        <v>0</v>
      </c>
      <c r="O551" s="880"/>
      <c r="Q551" s="317" t="str">
        <f t="shared" si="74"/>
        <v/>
      </c>
      <c r="R551" s="317" t="str">
        <f t="shared" si="75"/>
        <v/>
      </c>
      <c r="S551" s="317" t="str">
        <f t="shared" si="76"/>
        <v/>
      </c>
      <c r="T551" s="317" t="str">
        <f>'REF. DE PREÇOS n editavel'!S551</f>
        <v/>
      </c>
      <c r="W551" s="577">
        <v>0</v>
      </c>
      <c r="X551" s="575"/>
      <c r="Y551" s="578">
        <f>IF('REF. DE PREÇOS n editavel'!W551=0,0,IF('REF. DE PREÇOS n editavel'!W551&gt;0,"c","b"))</f>
        <v>0</v>
      </c>
    </row>
    <row r="552" spans="1:25" ht="45">
      <c r="A552" s="317">
        <v>97113</v>
      </c>
      <c r="B552" s="870">
        <v>97113</v>
      </c>
      <c r="C552" s="871" t="s">
        <v>590</v>
      </c>
      <c r="D552" s="881" t="s">
        <v>1912</v>
      </c>
      <c r="E552" s="882">
        <f>'REF. DE PREÇOS n editavel'!E552</f>
        <v>0</v>
      </c>
      <c r="F552" s="883">
        <f>'REF. DE PREÇOS n editavel'!F552</f>
        <v>0</v>
      </c>
      <c r="G552" s="923">
        <f>'REF. DE PREÇOS n editavel'!G552</f>
        <v>0</v>
      </c>
      <c r="H552" s="876">
        <f>'REF. DE PREÇOS n editavel'!H552</f>
        <v>3.15</v>
      </c>
      <c r="I552" s="876">
        <f>'REF. DE PREÇOS n editavel'!I552</f>
        <v>3.15</v>
      </c>
      <c r="J552" s="877">
        <f>'REF. DE PREÇOS n editavel'!J552</f>
        <v>3.85</v>
      </c>
      <c r="K552" s="878" t="s">
        <v>12</v>
      </c>
      <c r="L552" s="1094"/>
      <c r="M552" s="1095">
        <f t="shared" si="73"/>
        <v>0</v>
      </c>
      <c r="N552" s="868">
        <f t="shared" si="77"/>
        <v>0</v>
      </c>
      <c r="O552" s="880"/>
      <c r="Q552" s="317" t="str">
        <f t="shared" si="74"/>
        <v/>
      </c>
      <c r="R552" s="317" t="str">
        <f t="shared" si="75"/>
        <v/>
      </c>
      <c r="S552" s="317" t="str">
        <f t="shared" si="76"/>
        <v/>
      </c>
      <c r="T552" s="317" t="str">
        <f>'REF. DE PREÇOS n editavel'!S552</f>
        <v/>
      </c>
      <c r="W552" s="577">
        <v>0</v>
      </c>
      <c r="X552" s="575"/>
      <c r="Y552" s="578">
        <f>IF('REF. DE PREÇOS n editavel'!W552=0,0,IF('REF. DE PREÇOS n editavel'!W552&gt;0,"c","b"))</f>
        <v>0</v>
      </c>
    </row>
    <row r="553" spans="1:25" ht="22.5">
      <c r="A553" s="317">
        <v>97114</v>
      </c>
      <c r="B553" s="870">
        <v>97114</v>
      </c>
      <c r="C553" s="871" t="s">
        <v>590</v>
      </c>
      <c r="D553" s="881" t="s">
        <v>1899</v>
      </c>
      <c r="E553" s="882">
        <f>'REF. DE PREÇOS n editavel'!E553</f>
        <v>0</v>
      </c>
      <c r="F553" s="883">
        <f>'REF. DE PREÇOS n editavel'!F553</f>
        <v>0</v>
      </c>
      <c r="G553" s="923">
        <f>'REF. DE PREÇOS n editavel'!G553</f>
        <v>0</v>
      </c>
      <c r="H553" s="876">
        <f>'REF. DE PREÇOS n editavel'!H553</f>
        <v>0.44</v>
      </c>
      <c r="I553" s="876">
        <f>'REF. DE PREÇOS n editavel'!I553</f>
        <v>0.44</v>
      </c>
      <c r="J553" s="877">
        <f>'REF. DE PREÇOS n editavel'!J553</f>
        <v>0.54</v>
      </c>
      <c r="K553" s="878" t="s">
        <v>13</v>
      </c>
      <c r="L553" s="1094"/>
      <c r="M553" s="1095">
        <f t="shared" si="73"/>
        <v>0</v>
      </c>
      <c r="N553" s="868">
        <f t="shared" si="77"/>
        <v>0</v>
      </c>
      <c r="O553" s="880"/>
      <c r="Q553" s="317" t="str">
        <f t="shared" si="74"/>
        <v/>
      </c>
      <c r="R553" s="317" t="str">
        <f t="shared" si="75"/>
        <v/>
      </c>
      <c r="S553" s="317" t="str">
        <f t="shared" si="76"/>
        <v/>
      </c>
      <c r="T553" s="317" t="str">
        <f>'REF. DE PREÇOS n editavel'!S553</f>
        <v/>
      </c>
      <c r="W553" s="577">
        <v>0</v>
      </c>
      <c r="X553" s="575"/>
      <c r="Y553" s="578">
        <f>IF('REF. DE PREÇOS n editavel'!W553=0,0,IF('REF. DE PREÇOS n editavel'!W553&gt;0,"c","b"))</f>
        <v>0</v>
      </c>
    </row>
    <row r="554" spans="1:25" ht="22.5">
      <c r="A554" s="317">
        <v>97115</v>
      </c>
      <c r="B554" s="870">
        <v>97115</v>
      </c>
      <c r="C554" s="871" t="s">
        <v>590</v>
      </c>
      <c r="D554" s="881" t="s">
        <v>1900</v>
      </c>
      <c r="E554" s="882">
        <f>'REF. DE PREÇOS n editavel'!E554</f>
        <v>0</v>
      </c>
      <c r="F554" s="883">
        <f>'REF. DE PREÇOS n editavel'!F554</f>
        <v>0</v>
      </c>
      <c r="G554" s="923">
        <f>'REF. DE PREÇOS n editavel'!G554</f>
        <v>0</v>
      </c>
      <c r="H554" s="876">
        <f>'REF. DE PREÇOS n editavel'!H554</f>
        <v>46.64</v>
      </c>
      <c r="I554" s="876">
        <f>'REF. DE PREÇOS n editavel'!I554</f>
        <v>46.64</v>
      </c>
      <c r="J554" s="877">
        <f>'REF. DE PREÇOS n editavel'!J554</f>
        <v>57</v>
      </c>
      <c r="K554" s="878" t="s">
        <v>16</v>
      </c>
      <c r="L554" s="1094"/>
      <c r="M554" s="1095">
        <f t="shared" si="73"/>
        <v>0</v>
      </c>
      <c r="N554" s="868">
        <f t="shared" si="77"/>
        <v>0</v>
      </c>
      <c r="O554" s="880"/>
      <c r="Q554" s="317" t="str">
        <f t="shared" si="74"/>
        <v/>
      </c>
      <c r="R554" s="317" t="str">
        <f t="shared" si="75"/>
        <v/>
      </c>
      <c r="S554" s="317" t="str">
        <f t="shared" si="76"/>
        <v/>
      </c>
      <c r="T554" s="317" t="str">
        <f>'REF. DE PREÇOS n editavel'!S554</f>
        <v/>
      </c>
      <c r="W554" s="577">
        <v>0</v>
      </c>
      <c r="X554" s="575"/>
      <c r="Y554" s="578">
        <f>IF('REF. DE PREÇOS n editavel'!W554=0,0,IF('REF. DE PREÇOS n editavel'!W554&gt;0,"c","b"))</f>
        <v>0</v>
      </c>
    </row>
    <row r="555" spans="1:25" ht="22.5">
      <c r="A555" s="317">
        <v>97116</v>
      </c>
      <c r="B555" s="870">
        <v>97116</v>
      </c>
      <c r="C555" s="871" t="s">
        <v>590</v>
      </c>
      <c r="D555" s="881" t="s">
        <v>1901</v>
      </c>
      <c r="E555" s="882">
        <f>'REF. DE PREÇOS n editavel'!E555</f>
        <v>0</v>
      </c>
      <c r="F555" s="883">
        <f>'REF. DE PREÇOS n editavel'!F555</f>
        <v>0</v>
      </c>
      <c r="G555" s="923">
        <f>'REF. DE PREÇOS n editavel'!G555</f>
        <v>0</v>
      </c>
      <c r="H555" s="876">
        <f>'REF. DE PREÇOS n editavel'!H555</f>
        <v>26.06</v>
      </c>
      <c r="I555" s="876">
        <f>'REF. DE PREÇOS n editavel'!I555</f>
        <v>26.06</v>
      </c>
      <c r="J555" s="877">
        <f>'REF. DE PREÇOS n editavel'!J555</f>
        <v>31.85</v>
      </c>
      <c r="K555" s="878" t="s">
        <v>16</v>
      </c>
      <c r="L555" s="1094"/>
      <c r="M555" s="1095">
        <f t="shared" si="73"/>
        <v>0</v>
      </c>
      <c r="N555" s="868">
        <f t="shared" si="77"/>
        <v>0</v>
      </c>
      <c r="O555" s="880"/>
      <c r="Q555" s="317" t="str">
        <f t="shared" si="74"/>
        <v/>
      </c>
      <c r="R555" s="317" t="str">
        <f t="shared" si="75"/>
        <v/>
      </c>
      <c r="S555" s="317" t="str">
        <f t="shared" si="76"/>
        <v/>
      </c>
      <c r="T555" s="317" t="str">
        <f>'REF. DE PREÇOS n editavel'!S555</f>
        <v/>
      </c>
      <c r="W555" s="577">
        <v>0</v>
      </c>
      <c r="X555" s="575"/>
      <c r="Y555" s="578">
        <f>IF('REF. DE PREÇOS n editavel'!W555=0,0,IF('REF. DE PREÇOS n editavel'!W555&gt;0,"c","b"))</f>
        <v>0</v>
      </c>
    </row>
    <row r="556" spans="1:25" ht="22.5">
      <c r="A556" s="317">
        <v>97117</v>
      </c>
      <c r="B556" s="870">
        <v>97117</v>
      </c>
      <c r="C556" s="871" t="s">
        <v>590</v>
      </c>
      <c r="D556" s="881" t="s">
        <v>1902</v>
      </c>
      <c r="E556" s="882">
        <f>'REF. DE PREÇOS n editavel'!E556</f>
        <v>0</v>
      </c>
      <c r="F556" s="883">
        <f>'REF. DE PREÇOS n editavel'!F556</f>
        <v>0</v>
      </c>
      <c r="G556" s="923">
        <f>'REF. DE PREÇOS n editavel'!G556</f>
        <v>0</v>
      </c>
      <c r="H556" s="876">
        <f>'REF. DE PREÇOS n editavel'!H556</f>
        <v>22.24</v>
      </c>
      <c r="I556" s="876">
        <f>'REF. DE PREÇOS n editavel'!I556</f>
        <v>22.24</v>
      </c>
      <c r="J556" s="877">
        <f>'REF. DE PREÇOS n editavel'!J556</f>
        <v>27.18</v>
      </c>
      <c r="K556" s="878" t="s">
        <v>16</v>
      </c>
      <c r="L556" s="1094"/>
      <c r="M556" s="1095">
        <f t="shared" si="73"/>
        <v>0</v>
      </c>
      <c r="N556" s="868">
        <f t="shared" si="77"/>
        <v>0</v>
      </c>
      <c r="O556" s="880"/>
      <c r="Q556" s="317" t="str">
        <f t="shared" si="74"/>
        <v/>
      </c>
      <c r="R556" s="317" t="str">
        <f t="shared" si="75"/>
        <v/>
      </c>
      <c r="S556" s="317" t="str">
        <f t="shared" si="76"/>
        <v/>
      </c>
      <c r="T556" s="317" t="str">
        <f>'REF. DE PREÇOS n editavel'!S556</f>
        <v/>
      </c>
      <c r="W556" s="577">
        <v>0</v>
      </c>
      <c r="X556" s="575"/>
      <c r="Y556" s="578">
        <f>IF('REF. DE PREÇOS n editavel'!W556=0,0,IF('REF. DE PREÇOS n editavel'!W556&gt;0,"c","b"))</f>
        <v>0</v>
      </c>
    </row>
    <row r="557" spans="1:25" ht="22.5">
      <c r="A557" s="317">
        <v>97118</v>
      </c>
      <c r="B557" s="870">
        <v>97118</v>
      </c>
      <c r="C557" s="871" t="s">
        <v>590</v>
      </c>
      <c r="D557" s="881" t="s">
        <v>1903</v>
      </c>
      <c r="E557" s="882">
        <f>'REF. DE PREÇOS n editavel'!E557</f>
        <v>0</v>
      </c>
      <c r="F557" s="883">
        <f>'REF. DE PREÇOS n editavel'!F557</f>
        <v>0</v>
      </c>
      <c r="G557" s="923">
        <f>'REF. DE PREÇOS n editavel'!G557</f>
        <v>0</v>
      </c>
      <c r="H557" s="876">
        <f>'REF. DE PREÇOS n editavel'!H557</f>
        <v>18.18</v>
      </c>
      <c r="I557" s="876">
        <f>'REF. DE PREÇOS n editavel'!I557</f>
        <v>18.18</v>
      </c>
      <c r="J557" s="877">
        <f>'REF. DE PREÇOS n editavel'!J557</f>
        <v>22.22</v>
      </c>
      <c r="K557" s="878" t="s">
        <v>16</v>
      </c>
      <c r="L557" s="1094"/>
      <c r="M557" s="1095">
        <f t="shared" si="73"/>
        <v>0</v>
      </c>
      <c r="N557" s="868">
        <f t="shared" si="77"/>
        <v>0</v>
      </c>
      <c r="O557" s="880"/>
      <c r="Q557" s="317" t="str">
        <f t="shared" si="74"/>
        <v/>
      </c>
      <c r="R557" s="317" t="str">
        <f t="shared" si="75"/>
        <v/>
      </c>
      <c r="S557" s="317" t="str">
        <f t="shared" si="76"/>
        <v/>
      </c>
      <c r="T557" s="317" t="str">
        <f>'REF. DE PREÇOS n editavel'!S557</f>
        <v/>
      </c>
      <c r="W557" s="577">
        <v>0</v>
      </c>
      <c r="X557" s="575"/>
      <c r="Y557" s="578">
        <f>IF('REF. DE PREÇOS n editavel'!W557=0,0,IF('REF. DE PREÇOS n editavel'!W557&gt;0,"c","b"))</f>
        <v>0</v>
      </c>
    </row>
    <row r="558" spans="1:25" ht="22.5">
      <c r="A558" s="317">
        <v>97119</v>
      </c>
      <c r="B558" s="870">
        <v>97119</v>
      </c>
      <c r="C558" s="871" t="s">
        <v>590</v>
      </c>
      <c r="D558" s="881" t="s">
        <v>1904</v>
      </c>
      <c r="E558" s="882">
        <f>'REF. DE PREÇOS n editavel'!E558</f>
        <v>0</v>
      </c>
      <c r="F558" s="883">
        <f>'REF. DE PREÇOS n editavel'!F558</f>
        <v>0</v>
      </c>
      <c r="G558" s="923">
        <f>'REF. DE PREÇOS n editavel'!G558</f>
        <v>0</v>
      </c>
      <c r="H558" s="876">
        <f>'REF. DE PREÇOS n editavel'!H558</f>
        <v>16.12</v>
      </c>
      <c r="I558" s="876">
        <f>'REF. DE PREÇOS n editavel'!I558</f>
        <v>16.12</v>
      </c>
      <c r="J558" s="877">
        <f>'REF. DE PREÇOS n editavel'!J558</f>
        <v>19.7</v>
      </c>
      <c r="K558" s="878" t="s">
        <v>16</v>
      </c>
      <c r="L558" s="1094"/>
      <c r="M558" s="1095">
        <f t="shared" si="73"/>
        <v>0</v>
      </c>
      <c r="N558" s="868">
        <f t="shared" si="77"/>
        <v>0</v>
      </c>
      <c r="O558" s="880"/>
      <c r="Q558" s="317" t="str">
        <f t="shared" si="74"/>
        <v/>
      </c>
      <c r="R558" s="317" t="str">
        <f t="shared" si="75"/>
        <v/>
      </c>
      <c r="S558" s="317" t="str">
        <f t="shared" si="76"/>
        <v/>
      </c>
      <c r="T558" s="317" t="str">
        <f>'REF. DE PREÇOS n editavel'!S558</f>
        <v/>
      </c>
      <c r="W558" s="577">
        <v>0</v>
      </c>
      <c r="X558" s="575"/>
      <c r="Y558" s="578">
        <f>IF('REF. DE PREÇOS n editavel'!W558=0,0,IF('REF. DE PREÇOS n editavel'!W558&gt;0,"c","b"))</f>
        <v>0</v>
      </c>
    </row>
    <row r="559" spans="1:25" ht="22.5">
      <c r="A559" s="317">
        <v>97120</v>
      </c>
      <c r="B559" s="870">
        <v>97120</v>
      </c>
      <c r="C559" s="871" t="s">
        <v>590</v>
      </c>
      <c r="D559" s="881" t="s">
        <v>1905</v>
      </c>
      <c r="E559" s="882">
        <f>'REF. DE PREÇOS n editavel'!E559</f>
        <v>0</v>
      </c>
      <c r="F559" s="883">
        <f>'REF. DE PREÇOS n editavel'!F559</f>
        <v>0</v>
      </c>
      <c r="G559" s="923">
        <f>'REF. DE PREÇOS n editavel'!G559</f>
        <v>0</v>
      </c>
      <c r="H559" s="876">
        <f>'REF. DE PREÇOS n editavel'!H559</f>
        <v>10.31</v>
      </c>
      <c r="I559" s="876">
        <f>'REF. DE PREÇOS n editavel'!I559</f>
        <v>10.31</v>
      </c>
      <c r="J559" s="877">
        <f>'REF. DE PREÇOS n editavel'!J559</f>
        <v>12.6</v>
      </c>
      <c r="K559" s="878" t="s">
        <v>16</v>
      </c>
      <c r="L559" s="1094"/>
      <c r="M559" s="1095">
        <f t="shared" si="73"/>
        <v>0</v>
      </c>
      <c r="N559" s="868">
        <f t="shared" si="77"/>
        <v>0</v>
      </c>
      <c r="O559" s="880"/>
      <c r="Q559" s="317" t="str">
        <f t="shared" si="74"/>
        <v/>
      </c>
      <c r="R559" s="317" t="str">
        <f t="shared" si="75"/>
        <v/>
      </c>
      <c r="S559" s="317" t="str">
        <f t="shared" si="76"/>
        <v/>
      </c>
      <c r="T559" s="317" t="str">
        <f>'REF. DE PREÇOS n editavel'!S559</f>
        <v/>
      </c>
      <c r="W559" s="577">
        <v>0</v>
      </c>
      <c r="X559" s="575"/>
      <c r="Y559" s="578">
        <f>IF('REF. DE PREÇOS n editavel'!W559=0,0,IF('REF. DE PREÇOS n editavel'!W559&gt;0,"c","b"))</f>
        <v>0</v>
      </c>
    </row>
    <row r="560" spans="1:25">
      <c r="A560" s="317">
        <v>96395</v>
      </c>
      <c r="B560" s="870">
        <v>96395</v>
      </c>
      <c r="C560" s="871" t="s">
        <v>590</v>
      </c>
      <c r="D560" s="881" t="s">
        <v>1906</v>
      </c>
      <c r="E560" s="882">
        <f>'REF. DE PREÇOS n editavel'!E560</f>
        <v>0</v>
      </c>
      <c r="F560" s="883">
        <f>'REF. DE PREÇOS n editavel'!F560</f>
        <v>0</v>
      </c>
      <c r="G560" s="887">
        <f>'REF. DE PREÇOS n editavel'!G560</f>
        <v>0</v>
      </c>
      <c r="H560" s="876">
        <f>'REF. DE PREÇOS n editavel'!H560</f>
        <v>232.87</v>
      </c>
      <c r="I560" s="876">
        <f>'REF. DE PREÇOS n editavel'!I560</f>
        <v>232.87</v>
      </c>
      <c r="J560" s="877">
        <f>'REF. DE PREÇOS n editavel'!J560</f>
        <v>284.61</v>
      </c>
      <c r="K560" s="878" t="s">
        <v>10</v>
      </c>
      <c r="L560" s="1094"/>
      <c r="M560" s="1095">
        <f t="shared" si="73"/>
        <v>0</v>
      </c>
      <c r="N560" s="868">
        <f t="shared" si="77"/>
        <v>0</v>
      </c>
      <c r="O560" s="880"/>
      <c r="Q560" s="317" t="str">
        <f t="shared" si="74"/>
        <v/>
      </c>
      <c r="R560" s="317" t="str">
        <f t="shared" si="75"/>
        <v/>
      </c>
      <c r="S560" s="317" t="str">
        <f t="shared" si="76"/>
        <v/>
      </c>
      <c r="T560" s="317" t="str">
        <f>'REF. DE PREÇOS n editavel'!S560</f>
        <v/>
      </c>
      <c r="W560" s="577">
        <v>0</v>
      </c>
      <c r="X560" s="575"/>
      <c r="Y560" s="578">
        <f>IF('REF. DE PREÇOS n editavel'!W560=0,0,IF('REF. DE PREÇOS n editavel'!W560&gt;0,"c","b"))</f>
        <v>0</v>
      </c>
    </row>
    <row r="561" spans="1:25">
      <c r="A561" s="317">
        <v>505000</v>
      </c>
      <c r="B561" s="858">
        <v>505000</v>
      </c>
      <c r="C561" s="859" t="s">
        <v>184</v>
      </c>
      <c r="D561" s="920" t="s">
        <v>246</v>
      </c>
      <c r="E561" s="1116">
        <f>'REF. DE PREÇOS n editavel'!E561</f>
        <v>4</v>
      </c>
      <c r="F561" s="921">
        <f>'REF. DE PREÇOS n editavel'!F561</f>
        <v>2.4</v>
      </c>
      <c r="G561" s="923">
        <f>'REF. DE PREÇOS n editavel'!G561</f>
        <v>16.704000000000001</v>
      </c>
      <c r="H561" s="864">
        <f>'REF. DE PREÇOS n editavel'!H561</f>
        <v>233.68</v>
      </c>
      <c r="I561" s="864">
        <f>'REF. DE PREÇOS n editavel'!I561</f>
        <v>250.38400000000001</v>
      </c>
      <c r="J561" s="865">
        <f>'REF. DE PREÇOS n editavel'!J561</f>
        <v>306.02</v>
      </c>
      <c r="K561" s="866" t="s">
        <v>10</v>
      </c>
      <c r="L561" s="1092">
        <v>150</v>
      </c>
      <c r="M561" s="1093">
        <f t="shared" si="73"/>
        <v>306.02</v>
      </c>
      <c r="N561" s="907">
        <f t="shared" si="77"/>
        <v>45903</v>
      </c>
      <c r="O561" s="880"/>
      <c r="Q561" s="317" t="str">
        <f t="shared" si="74"/>
        <v>x</v>
      </c>
      <c r="R561" s="317" t="str">
        <f t="shared" si="75"/>
        <v>x</v>
      </c>
      <c r="S561" s="317" t="str">
        <f t="shared" si="76"/>
        <v>x</v>
      </c>
      <c r="T561" s="317" t="str">
        <f>'REF. DE PREÇOS n editavel'!S561</f>
        <v>x</v>
      </c>
      <c r="W561" s="577">
        <v>0</v>
      </c>
      <c r="X561" s="575"/>
      <c r="Y561" s="578">
        <f>IF('REF. DE PREÇOS n editavel'!W561=0,0,IF('REF. DE PREÇOS n editavel'!W561&gt;0,"c","b"))</f>
        <v>0</v>
      </c>
    </row>
    <row r="562" spans="1:25">
      <c r="A562" s="317">
        <v>505100</v>
      </c>
      <c r="B562" s="870">
        <v>505100</v>
      </c>
      <c r="C562" s="871" t="s">
        <v>184</v>
      </c>
      <c r="D562" s="881" t="s">
        <v>247</v>
      </c>
      <c r="E562" s="882">
        <f>'REF. DE PREÇOS n editavel'!E562</f>
        <v>4</v>
      </c>
      <c r="F562" s="883">
        <f>'REF. DE PREÇOS n editavel'!F562</f>
        <v>2.4</v>
      </c>
      <c r="G562" s="923">
        <f>'REF. DE PREÇOS n editavel'!G562</f>
        <v>16.704000000000001</v>
      </c>
      <c r="H562" s="876">
        <f>'REF. DE PREÇOS n editavel'!H562</f>
        <v>301.82</v>
      </c>
      <c r="I562" s="876">
        <f>'REF. DE PREÇOS n editavel'!I562</f>
        <v>318.524</v>
      </c>
      <c r="J562" s="877">
        <f>'REF. DE PREÇOS n editavel'!J562</f>
        <v>389.3</v>
      </c>
      <c r="K562" s="878" t="s">
        <v>10</v>
      </c>
      <c r="L562" s="1094"/>
      <c r="M562" s="1095">
        <f t="shared" si="73"/>
        <v>0</v>
      </c>
      <c r="N562" s="868">
        <f t="shared" si="77"/>
        <v>0</v>
      </c>
      <c r="O562" s="880"/>
      <c r="Q562" s="317" t="str">
        <f t="shared" si="74"/>
        <v/>
      </c>
      <c r="R562" s="317" t="str">
        <f t="shared" si="75"/>
        <v/>
      </c>
      <c r="S562" s="317" t="str">
        <f t="shared" si="76"/>
        <v/>
      </c>
      <c r="T562" s="317" t="str">
        <f>'REF. DE PREÇOS n editavel'!S562</f>
        <v/>
      </c>
      <c r="W562" s="577">
        <v>0</v>
      </c>
      <c r="X562" s="575"/>
      <c r="Y562" s="578">
        <f>IF('REF. DE PREÇOS n editavel'!W562=0,0,IF('REF. DE PREÇOS n editavel'!W562&gt;0,"c","b"))</f>
        <v>0</v>
      </c>
    </row>
    <row r="563" spans="1:25">
      <c r="A563" s="317" t="s">
        <v>165</v>
      </c>
      <c r="B563" s="888" t="s">
        <v>165</v>
      </c>
      <c r="C563" s="889"/>
      <c r="D563" s="890" t="s">
        <v>204</v>
      </c>
      <c r="E563" s="891">
        <f>'REF. DE PREÇOS n editavel'!E563</f>
        <v>0</v>
      </c>
      <c r="F563" s="892">
        <f>'REF. DE PREÇOS n editavel'!F563</f>
        <v>0</v>
      </c>
      <c r="G563" s="893">
        <f>'REF. DE PREÇOS n editavel'!G563</f>
        <v>0</v>
      </c>
      <c r="H563" s="894">
        <f>'REF. DE PREÇOS n editavel'!H563</f>
        <v>0</v>
      </c>
      <c r="I563" s="894">
        <f>'REF. DE PREÇOS n editavel'!I563</f>
        <v>0</v>
      </c>
      <c r="J563" s="894">
        <f>'REF. DE PREÇOS n editavel'!J563</f>
        <v>0</v>
      </c>
      <c r="K563" s="895" t="s">
        <v>506</v>
      </c>
      <c r="L563" s="896"/>
      <c r="M563" s="897"/>
      <c r="N563" s="898">
        <f t="shared" si="77"/>
        <v>0</v>
      </c>
      <c r="O563" s="880"/>
      <c r="P563" s="58" t="str">
        <f>IF(OR(SUM(N564:N588)&gt;0,SUM(N564:N588)&gt;0),"y","")</f>
        <v/>
      </c>
      <c r="Q563" s="317" t="str">
        <f t="shared" si="74"/>
        <v/>
      </c>
      <c r="R563" s="317" t="str">
        <f t="shared" si="75"/>
        <v/>
      </c>
      <c r="S563" s="317" t="str">
        <f t="shared" si="76"/>
        <v/>
      </c>
      <c r="T563" s="317" t="str">
        <f>'REF. DE PREÇOS n editavel'!S563</f>
        <v/>
      </c>
      <c r="W563" s="577">
        <v>0</v>
      </c>
      <c r="X563" s="575"/>
      <c r="Y563" s="578">
        <f>IF('REF. DE PREÇOS n editavel'!W563=0,0,IF('REF. DE PREÇOS n editavel'!W563&gt;0,"c","b"))</f>
        <v>0</v>
      </c>
    </row>
    <row r="564" spans="1:25">
      <c r="A564" s="317" t="s">
        <v>165</v>
      </c>
      <c r="B564" s="1010" t="str">
        <f>'REF. DE PREÇOS n editavel'!B564</f>
        <v/>
      </c>
      <c r="C564" s="1045" t="str">
        <f>'REF. DE PREÇOS n editavel'!C564</f>
        <v/>
      </c>
      <c r="D564" s="1096">
        <f>'REF. DE PREÇOS n editavel'!D564</f>
        <v>0</v>
      </c>
      <c r="E564" s="882">
        <f>'REF. DE PREÇOS n editavel'!E564</f>
        <v>0</v>
      </c>
      <c r="F564" s="883">
        <f>'REF. DE PREÇOS n editavel'!F564</f>
        <v>0</v>
      </c>
      <c r="G564" s="887">
        <f>'REF. DE PREÇOS n editavel'!G564</f>
        <v>0</v>
      </c>
      <c r="H564" s="876">
        <f>'REF. DE PREÇOS n editavel'!H564</f>
        <v>0</v>
      </c>
      <c r="I564" s="876" t="str">
        <f>'REF. DE PREÇOS n editavel'!I564</f>
        <v/>
      </c>
      <c r="J564" s="877" t="str">
        <f>'REF. DE PREÇOS n editavel'!J564</f>
        <v/>
      </c>
      <c r="K564" s="878" t="str">
        <f>'REF. DE PREÇOS n editavel'!K564</f>
        <v xml:space="preserve">     </v>
      </c>
      <c r="L564" s="1092"/>
      <c r="M564" s="1095">
        <f t="shared" si="73"/>
        <v>0</v>
      </c>
      <c r="N564" s="868">
        <f t="shared" si="77"/>
        <v>0</v>
      </c>
      <c r="O564" s="880"/>
      <c r="Q564" s="317" t="str">
        <f t="shared" si="74"/>
        <v/>
      </c>
      <c r="R564" s="317" t="str">
        <f t="shared" si="75"/>
        <v/>
      </c>
      <c r="S564" s="317" t="str">
        <f t="shared" si="76"/>
        <v/>
      </c>
      <c r="T564" s="317" t="str">
        <f>'REF. DE PREÇOS n editavel'!S564</f>
        <v/>
      </c>
      <c r="W564" s="577">
        <v>0</v>
      </c>
      <c r="X564" s="575"/>
      <c r="Y564" s="578">
        <f>IF('REF. DE PREÇOS n editavel'!W564=0,0,IF('REF. DE PREÇOS n editavel'!W564&gt;0,"c","b"))</f>
        <v>0</v>
      </c>
    </row>
    <row r="565" spans="1:25">
      <c r="A565" s="317" t="s">
        <v>165</v>
      </c>
      <c r="B565" s="1010" t="str">
        <f>'REF. DE PREÇOS n editavel'!B565</f>
        <v/>
      </c>
      <c r="C565" s="1045" t="str">
        <f>'REF. DE PREÇOS n editavel'!C565</f>
        <v/>
      </c>
      <c r="D565" s="1096">
        <f>'REF. DE PREÇOS n editavel'!D565</f>
        <v>0</v>
      </c>
      <c r="E565" s="882">
        <f>'REF. DE PREÇOS n editavel'!E565</f>
        <v>0</v>
      </c>
      <c r="F565" s="883">
        <f>'REF. DE PREÇOS n editavel'!F565</f>
        <v>0</v>
      </c>
      <c r="G565" s="887">
        <f>'REF. DE PREÇOS n editavel'!G565</f>
        <v>0</v>
      </c>
      <c r="H565" s="876">
        <f>'REF. DE PREÇOS n editavel'!H565</f>
        <v>0</v>
      </c>
      <c r="I565" s="876">
        <f>'REF. DE PREÇOS n editavel'!I565</f>
        <v>0</v>
      </c>
      <c r="J565" s="865">
        <f>'REF. DE PREÇOS n editavel'!J565</f>
        <v>0</v>
      </c>
      <c r="K565" s="878" t="str">
        <f>'REF. DE PREÇOS n editavel'!K565</f>
        <v xml:space="preserve">     </v>
      </c>
      <c r="L565" s="1092"/>
      <c r="M565" s="1095">
        <f t="shared" si="73"/>
        <v>0</v>
      </c>
      <c r="N565" s="907">
        <f t="shared" si="77"/>
        <v>0</v>
      </c>
      <c r="O565" s="880"/>
      <c r="Q565" s="317" t="str">
        <f t="shared" si="74"/>
        <v/>
      </c>
      <c r="R565" s="317" t="str">
        <f t="shared" si="75"/>
        <v/>
      </c>
      <c r="S565" s="317" t="str">
        <f t="shared" si="76"/>
        <v/>
      </c>
      <c r="T565" s="317" t="str">
        <f>'REF. DE PREÇOS n editavel'!S565</f>
        <v/>
      </c>
      <c r="W565" s="577">
        <v>0</v>
      </c>
      <c r="X565" s="575"/>
      <c r="Y565" s="578">
        <f>IF('REF. DE PREÇOS n editavel'!W565=0,0,IF('REF. DE PREÇOS n editavel'!W565&gt;0,"c","b"))</f>
        <v>0</v>
      </c>
    </row>
    <row r="566" spans="1:25">
      <c r="A566" s="317" t="s">
        <v>165</v>
      </c>
      <c r="B566" s="1010" t="str">
        <f>'REF. DE PREÇOS n editavel'!B566</f>
        <v/>
      </c>
      <c r="C566" s="1045" t="str">
        <f>'REF. DE PREÇOS n editavel'!C566</f>
        <v/>
      </c>
      <c r="D566" s="1096">
        <f>'REF. DE PREÇOS n editavel'!D566</f>
        <v>0</v>
      </c>
      <c r="E566" s="882">
        <f>'REF. DE PREÇOS n editavel'!E566</f>
        <v>0</v>
      </c>
      <c r="F566" s="883">
        <f>'REF. DE PREÇOS n editavel'!F566</f>
        <v>0</v>
      </c>
      <c r="G566" s="887">
        <f>'REF. DE PREÇOS n editavel'!G566</f>
        <v>0</v>
      </c>
      <c r="H566" s="876">
        <f>'REF. DE PREÇOS n editavel'!H566</f>
        <v>0</v>
      </c>
      <c r="I566" s="876">
        <f>'REF. DE PREÇOS n editavel'!I566</f>
        <v>0</v>
      </c>
      <c r="J566" s="865">
        <f>'REF. DE PREÇOS n editavel'!J566</f>
        <v>0</v>
      </c>
      <c r="K566" s="878" t="str">
        <f>'REF. DE PREÇOS n editavel'!K566</f>
        <v xml:space="preserve">     </v>
      </c>
      <c r="L566" s="1092"/>
      <c r="M566" s="1095">
        <f t="shared" si="73"/>
        <v>0</v>
      </c>
      <c r="N566" s="907">
        <f t="shared" si="77"/>
        <v>0</v>
      </c>
      <c r="O566" s="880"/>
      <c r="Q566" s="317" t="str">
        <f t="shared" si="74"/>
        <v/>
      </c>
      <c r="R566" s="317" t="str">
        <f t="shared" si="75"/>
        <v/>
      </c>
      <c r="S566" s="317" t="str">
        <f t="shared" si="76"/>
        <v/>
      </c>
      <c r="T566" s="317" t="str">
        <f>'REF. DE PREÇOS n editavel'!S566</f>
        <v/>
      </c>
      <c r="W566" s="577">
        <v>0</v>
      </c>
      <c r="X566" s="575"/>
      <c r="Y566" s="578">
        <f>IF('REF. DE PREÇOS n editavel'!W566=0,0,IF('REF. DE PREÇOS n editavel'!W566&gt;0,"c","b"))</f>
        <v>0</v>
      </c>
    </row>
    <row r="567" spans="1:25">
      <c r="A567" s="317" t="s">
        <v>165</v>
      </c>
      <c r="B567" s="1010" t="str">
        <f>'REF. DE PREÇOS n editavel'!B567</f>
        <v/>
      </c>
      <c r="C567" s="1045" t="str">
        <f>'REF. DE PREÇOS n editavel'!C567</f>
        <v/>
      </c>
      <c r="D567" s="1096">
        <f>'REF. DE PREÇOS n editavel'!D567</f>
        <v>0</v>
      </c>
      <c r="E567" s="882">
        <f>'REF. DE PREÇOS n editavel'!E567</f>
        <v>0</v>
      </c>
      <c r="F567" s="883">
        <f>'REF. DE PREÇOS n editavel'!F567</f>
        <v>0</v>
      </c>
      <c r="G567" s="887">
        <f>'REF. DE PREÇOS n editavel'!G567</f>
        <v>0</v>
      </c>
      <c r="H567" s="876">
        <f>'REF. DE PREÇOS n editavel'!H567</f>
        <v>0</v>
      </c>
      <c r="I567" s="876">
        <f>'REF. DE PREÇOS n editavel'!I567</f>
        <v>0</v>
      </c>
      <c r="J567" s="865">
        <f>'REF. DE PREÇOS n editavel'!J567</f>
        <v>0</v>
      </c>
      <c r="K567" s="878" t="str">
        <f>'REF. DE PREÇOS n editavel'!K567</f>
        <v xml:space="preserve">     </v>
      </c>
      <c r="L567" s="1092"/>
      <c r="M567" s="1095">
        <f t="shared" si="73"/>
        <v>0</v>
      </c>
      <c r="N567" s="907">
        <f t="shared" si="77"/>
        <v>0</v>
      </c>
      <c r="O567" s="880"/>
      <c r="Q567" s="317" t="str">
        <f t="shared" si="74"/>
        <v/>
      </c>
      <c r="R567" s="317" t="str">
        <f t="shared" si="75"/>
        <v/>
      </c>
      <c r="S567" s="317" t="str">
        <f t="shared" si="76"/>
        <v/>
      </c>
      <c r="T567" s="317" t="str">
        <f>'REF. DE PREÇOS n editavel'!S567</f>
        <v/>
      </c>
      <c r="W567" s="577">
        <v>0</v>
      </c>
      <c r="X567" s="575"/>
      <c r="Y567" s="578">
        <f>IF('REF. DE PREÇOS n editavel'!W567=0,0,IF('REF. DE PREÇOS n editavel'!W567&gt;0,"c","b"))</f>
        <v>0</v>
      </c>
    </row>
    <row r="568" spans="1:25">
      <c r="A568" s="317" t="s">
        <v>165</v>
      </c>
      <c r="B568" s="1010" t="str">
        <f>'REF. DE PREÇOS n editavel'!B568</f>
        <v/>
      </c>
      <c r="C568" s="1045" t="str">
        <f>'REF. DE PREÇOS n editavel'!C568</f>
        <v/>
      </c>
      <c r="D568" s="1096">
        <f>'REF. DE PREÇOS n editavel'!D568</f>
        <v>0</v>
      </c>
      <c r="E568" s="882">
        <f>'REF. DE PREÇOS n editavel'!E568</f>
        <v>0</v>
      </c>
      <c r="F568" s="883">
        <f>'REF. DE PREÇOS n editavel'!F568</f>
        <v>0</v>
      </c>
      <c r="G568" s="887">
        <f>'REF. DE PREÇOS n editavel'!G568</f>
        <v>0</v>
      </c>
      <c r="H568" s="876">
        <f>'REF. DE PREÇOS n editavel'!H568</f>
        <v>0</v>
      </c>
      <c r="I568" s="876">
        <f>'REF. DE PREÇOS n editavel'!I568</f>
        <v>0</v>
      </c>
      <c r="J568" s="865">
        <f>'REF. DE PREÇOS n editavel'!J568</f>
        <v>0</v>
      </c>
      <c r="K568" s="878" t="str">
        <f>'REF. DE PREÇOS n editavel'!K568</f>
        <v xml:space="preserve">     </v>
      </c>
      <c r="L568" s="1092"/>
      <c r="M568" s="1095">
        <f t="shared" si="73"/>
        <v>0</v>
      </c>
      <c r="N568" s="907">
        <f t="shared" si="77"/>
        <v>0</v>
      </c>
      <c r="O568" s="880"/>
      <c r="Q568" s="317" t="str">
        <f t="shared" si="74"/>
        <v/>
      </c>
      <c r="R568" s="317" t="str">
        <f t="shared" si="75"/>
        <v/>
      </c>
      <c r="S568" s="317" t="str">
        <f t="shared" si="76"/>
        <v/>
      </c>
      <c r="T568" s="317" t="str">
        <f>'REF. DE PREÇOS n editavel'!S568</f>
        <v/>
      </c>
      <c r="W568" s="577">
        <v>0</v>
      </c>
      <c r="X568" s="575"/>
      <c r="Y568" s="578">
        <f>IF('REF. DE PREÇOS n editavel'!W568=0,0,IF('REF. DE PREÇOS n editavel'!W568&gt;0,"c","b"))</f>
        <v>0</v>
      </c>
    </row>
    <row r="569" spans="1:25">
      <c r="A569" s="317" t="s">
        <v>165</v>
      </c>
      <c r="B569" s="1010" t="str">
        <f>'REF. DE PREÇOS n editavel'!B569</f>
        <v/>
      </c>
      <c r="C569" s="1045" t="str">
        <f>'REF. DE PREÇOS n editavel'!C569</f>
        <v/>
      </c>
      <c r="D569" s="1096">
        <f>'REF. DE PREÇOS n editavel'!D569</f>
        <v>0</v>
      </c>
      <c r="E569" s="882">
        <f>'REF. DE PREÇOS n editavel'!E569</f>
        <v>0</v>
      </c>
      <c r="F569" s="883">
        <f>'REF. DE PREÇOS n editavel'!F569</f>
        <v>0</v>
      </c>
      <c r="G569" s="887">
        <f>'REF. DE PREÇOS n editavel'!G569</f>
        <v>0</v>
      </c>
      <c r="H569" s="876">
        <f>'REF. DE PREÇOS n editavel'!H569</f>
        <v>0</v>
      </c>
      <c r="I569" s="876">
        <f>'REF. DE PREÇOS n editavel'!I569</f>
        <v>0</v>
      </c>
      <c r="J569" s="865">
        <f>'REF. DE PREÇOS n editavel'!J569</f>
        <v>0</v>
      </c>
      <c r="K569" s="878" t="str">
        <f>'REF. DE PREÇOS n editavel'!K569</f>
        <v xml:space="preserve">     </v>
      </c>
      <c r="L569" s="1092"/>
      <c r="M569" s="1095">
        <f t="shared" si="73"/>
        <v>0</v>
      </c>
      <c r="N569" s="907">
        <f t="shared" si="77"/>
        <v>0</v>
      </c>
      <c r="O569" s="880"/>
      <c r="Q569" s="317" t="str">
        <f t="shared" si="74"/>
        <v/>
      </c>
      <c r="R569" s="317" t="str">
        <f t="shared" si="75"/>
        <v/>
      </c>
      <c r="S569" s="317" t="str">
        <f t="shared" si="76"/>
        <v/>
      </c>
      <c r="T569" s="317" t="str">
        <f>'REF. DE PREÇOS n editavel'!S569</f>
        <v/>
      </c>
      <c r="W569" s="577">
        <v>0</v>
      </c>
      <c r="X569" s="575"/>
      <c r="Y569" s="578">
        <f>IF('REF. DE PREÇOS n editavel'!W569=0,0,IF('REF. DE PREÇOS n editavel'!W569&gt;0,"c","b"))</f>
        <v>0</v>
      </c>
    </row>
    <row r="570" spans="1:25">
      <c r="A570" s="317" t="s">
        <v>165</v>
      </c>
      <c r="B570" s="1010" t="str">
        <f>'REF. DE PREÇOS n editavel'!B570</f>
        <v/>
      </c>
      <c r="C570" s="1045" t="str">
        <f>'REF. DE PREÇOS n editavel'!C570</f>
        <v/>
      </c>
      <c r="D570" s="1096">
        <f>'REF. DE PREÇOS n editavel'!D570</f>
        <v>0</v>
      </c>
      <c r="E570" s="882">
        <f>'REF. DE PREÇOS n editavel'!E570</f>
        <v>0</v>
      </c>
      <c r="F570" s="883">
        <f>'REF. DE PREÇOS n editavel'!F570</f>
        <v>0</v>
      </c>
      <c r="G570" s="887">
        <f>'REF. DE PREÇOS n editavel'!G570</f>
        <v>0</v>
      </c>
      <c r="H570" s="876">
        <f>'REF. DE PREÇOS n editavel'!H570</f>
        <v>0</v>
      </c>
      <c r="I570" s="876">
        <f>'REF. DE PREÇOS n editavel'!I570</f>
        <v>0</v>
      </c>
      <c r="J570" s="865">
        <f>'REF. DE PREÇOS n editavel'!J570</f>
        <v>0</v>
      </c>
      <c r="K570" s="878" t="str">
        <f>'REF. DE PREÇOS n editavel'!K570</f>
        <v xml:space="preserve">     </v>
      </c>
      <c r="L570" s="1092"/>
      <c r="M570" s="1095">
        <f t="shared" si="73"/>
        <v>0</v>
      </c>
      <c r="N570" s="907">
        <f t="shared" si="77"/>
        <v>0</v>
      </c>
      <c r="O570" s="880"/>
      <c r="Q570" s="317" t="str">
        <f t="shared" si="74"/>
        <v/>
      </c>
      <c r="R570" s="317" t="str">
        <f t="shared" si="75"/>
        <v/>
      </c>
      <c r="S570" s="317" t="str">
        <f t="shared" si="76"/>
        <v/>
      </c>
      <c r="T570" s="317" t="str">
        <f>'REF. DE PREÇOS n editavel'!S570</f>
        <v/>
      </c>
      <c r="W570" s="577">
        <v>0</v>
      </c>
      <c r="X570" s="575"/>
      <c r="Y570" s="578">
        <f>IF('REF. DE PREÇOS n editavel'!W570=0,0,IF('REF. DE PREÇOS n editavel'!W570&gt;0,"c","b"))</f>
        <v>0</v>
      </c>
    </row>
    <row r="571" spans="1:25">
      <c r="A571" s="317" t="s">
        <v>165</v>
      </c>
      <c r="B571" s="1010" t="str">
        <f>'REF. DE PREÇOS n editavel'!B571</f>
        <v/>
      </c>
      <c r="C571" s="1045" t="str">
        <f>'REF. DE PREÇOS n editavel'!C571</f>
        <v/>
      </c>
      <c r="D571" s="1096">
        <f>'REF. DE PREÇOS n editavel'!D571</f>
        <v>0</v>
      </c>
      <c r="E571" s="882">
        <f>'REF. DE PREÇOS n editavel'!E571</f>
        <v>0</v>
      </c>
      <c r="F571" s="883">
        <f>'REF. DE PREÇOS n editavel'!F571</f>
        <v>0</v>
      </c>
      <c r="G571" s="887">
        <f>'REF. DE PREÇOS n editavel'!G571</f>
        <v>0</v>
      </c>
      <c r="H571" s="876">
        <f>'REF. DE PREÇOS n editavel'!H571</f>
        <v>0</v>
      </c>
      <c r="I571" s="876">
        <f>'REF. DE PREÇOS n editavel'!I571</f>
        <v>0</v>
      </c>
      <c r="J571" s="865">
        <f>'REF. DE PREÇOS n editavel'!J571</f>
        <v>0</v>
      </c>
      <c r="K571" s="878" t="str">
        <f>'REF. DE PREÇOS n editavel'!K571</f>
        <v xml:space="preserve">     </v>
      </c>
      <c r="L571" s="1092"/>
      <c r="M571" s="1095">
        <f t="shared" si="73"/>
        <v>0</v>
      </c>
      <c r="N571" s="907">
        <f t="shared" si="77"/>
        <v>0</v>
      </c>
      <c r="O571" s="880"/>
      <c r="Q571" s="317" t="str">
        <f t="shared" si="74"/>
        <v/>
      </c>
      <c r="R571" s="317" t="str">
        <f t="shared" si="75"/>
        <v/>
      </c>
      <c r="S571" s="317" t="str">
        <f t="shared" si="76"/>
        <v/>
      </c>
      <c r="T571" s="317" t="str">
        <f>'REF. DE PREÇOS n editavel'!S571</f>
        <v/>
      </c>
      <c r="W571" s="577">
        <v>0</v>
      </c>
      <c r="X571" s="575"/>
      <c r="Y571" s="578">
        <f>IF('REF. DE PREÇOS n editavel'!W571=0,0,IF('REF. DE PREÇOS n editavel'!W571&gt;0,"c","b"))</f>
        <v>0</v>
      </c>
    </row>
    <row r="572" spans="1:25">
      <c r="A572" s="317" t="s">
        <v>165</v>
      </c>
      <c r="B572" s="1010" t="str">
        <f>'REF. DE PREÇOS n editavel'!B572</f>
        <v/>
      </c>
      <c r="C572" s="1045" t="str">
        <f>'REF. DE PREÇOS n editavel'!C572</f>
        <v/>
      </c>
      <c r="D572" s="1096">
        <f>'REF. DE PREÇOS n editavel'!D572</f>
        <v>0</v>
      </c>
      <c r="E572" s="882">
        <f>'REF. DE PREÇOS n editavel'!E572</f>
        <v>0</v>
      </c>
      <c r="F572" s="883">
        <f>'REF. DE PREÇOS n editavel'!F572</f>
        <v>0</v>
      </c>
      <c r="G572" s="887">
        <f>'REF. DE PREÇOS n editavel'!G572</f>
        <v>0</v>
      </c>
      <c r="H572" s="876">
        <f>'REF. DE PREÇOS n editavel'!H572</f>
        <v>0</v>
      </c>
      <c r="I572" s="876">
        <f>'REF. DE PREÇOS n editavel'!I572</f>
        <v>0</v>
      </c>
      <c r="J572" s="865">
        <f>'REF. DE PREÇOS n editavel'!J572</f>
        <v>0</v>
      </c>
      <c r="K572" s="878" t="str">
        <f>'REF. DE PREÇOS n editavel'!K572</f>
        <v xml:space="preserve">     </v>
      </c>
      <c r="L572" s="1092"/>
      <c r="M572" s="1095">
        <f t="shared" si="73"/>
        <v>0</v>
      </c>
      <c r="N572" s="907">
        <f t="shared" si="77"/>
        <v>0</v>
      </c>
      <c r="O572" s="880"/>
      <c r="Q572" s="317" t="str">
        <f t="shared" si="74"/>
        <v/>
      </c>
      <c r="R572" s="317" t="str">
        <f t="shared" si="75"/>
        <v/>
      </c>
      <c r="S572" s="317" t="str">
        <f t="shared" si="76"/>
        <v/>
      </c>
      <c r="T572" s="317" t="str">
        <f>'REF. DE PREÇOS n editavel'!S572</f>
        <v/>
      </c>
      <c r="W572" s="577">
        <v>0</v>
      </c>
      <c r="X572" s="575"/>
      <c r="Y572" s="578">
        <f>IF('REF. DE PREÇOS n editavel'!W572=0,0,IF('REF. DE PREÇOS n editavel'!W572&gt;0,"c","b"))</f>
        <v>0</v>
      </c>
    </row>
    <row r="573" spans="1:25">
      <c r="A573" s="317" t="s">
        <v>165</v>
      </c>
      <c r="B573" s="1010" t="str">
        <f>'REF. DE PREÇOS n editavel'!B573</f>
        <v/>
      </c>
      <c r="C573" s="1045" t="str">
        <f>'REF. DE PREÇOS n editavel'!C573</f>
        <v/>
      </c>
      <c r="D573" s="1096">
        <f>'REF. DE PREÇOS n editavel'!D573</f>
        <v>0</v>
      </c>
      <c r="E573" s="882">
        <f>'REF. DE PREÇOS n editavel'!E573</f>
        <v>0</v>
      </c>
      <c r="F573" s="883">
        <f>'REF. DE PREÇOS n editavel'!F573</f>
        <v>0</v>
      </c>
      <c r="G573" s="887">
        <f>'REF. DE PREÇOS n editavel'!G573</f>
        <v>0</v>
      </c>
      <c r="H573" s="876">
        <f>'REF. DE PREÇOS n editavel'!H573</f>
        <v>0</v>
      </c>
      <c r="I573" s="876">
        <f>'REF. DE PREÇOS n editavel'!I573</f>
        <v>0</v>
      </c>
      <c r="J573" s="865">
        <f>'REF. DE PREÇOS n editavel'!J573</f>
        <v>0</v>
      </c>
      <c r="K573" s="878" t="str">
        <f>'REF. DE PREÇOS n editavel'!K573</f>
        <v xml:space="preserve">     </v>
      </c>
      <c r="L573" s="1092"/>
      <c r="M573" s="1095">
        <f t="shared" si="73"/>
        <v>0</v>
      </c>
      <c r="N573" s="907">
        <f t="shared" si="77"/>
        <v>0</v>
      </c>
      <c r="O573" s="880"/>
      <c r="Q573" s="317" t="str">
        <f t="shared" si="74"/>
        <v/>
      </c>
      <c r="R573" s="317" t="str">
        <f t="shared" si="75"/>
        <v/>
      </c>
      <c r="S573" s="317" t="str">
        <f t="shared" si="76"/>
        <v/>
      </c>
      <c r="T573" s="317" t="str">
        <f>'REF. DE PREÇOS n editavel'!S573</f>
        <v/>
      </c>
      <c r="W573" s="577">
        <v>0</v>
      </c>
      <c r="X573" s="575"/>
      <c r="Y573" s="578">
        <f>IF('REF. DE PREÇOS n editavel'!W573=0,0,IF('REF. DE PREÇOS n editavel'!W573&gt;0,"c","b"))</f>
        <v>0</v>
      </c>
    </row>
    <row r="574" spans="1:25">
      <c r="A574" s="317" t="s">
        <v>165</v>
      </c>
      <c r="B574" s="1010" t="str">
        <f>'REF. DE PREÇOS n editavel'!B574</f>
        <v/>
      </c>
      <c r="C574" s="1045" t="str">
        <f>'REF. DE PREÇOS n editavel'!C574</f>
        <v/>
      </c>
      <c r="D574" s="1096">
        <f>'REF. DE PREÇOS n editavel'!D574</f>
        <v>0</v>
      </c>
      <c r="E574" s="882">
        <f>'REF. DE PREÇOS n editavel'!E574</f>
        <v>0</v>
      </c>
      <c r="F574" s="883">
        <f>'REF. DE PREÇOS n editavel'!F574</f>
        <v>0</v>
      </c>
      <c r="G574" s="887">
        <f>'REF. DE PREÇOS n editavel'!G574</f>
        <v>0</v>
      </c>
      <c r="H574" s="876">
        <f>'REF. DE PREÇOS n editavel'!H574</f>
        <v>0</v>
      </c>
      <c r="I574" s="876">
        <f>'REF. DE PREÇOS n editavel'!I574</f>
        <v>0</v>
      </c>
      <c r="J574" s="865">
        <f>'REF. DE PREÇOS n editavel'!J574</f>
        <v>0</v>
      </c>
      <c r="K574" s="878" t="str">
        <f>'REF. DE PREÇOS n editavel'!K574</f>
        <v xml:space="preserve">     </v>
      </c>
      <c r="L574" s="1092"/>
      <c r="M574" s="1095">
        <f t="shared" si="73"/>
        <v>0</v>
      </c>
      <c r="N574" s="907">
        <f t="shared" si="77"/>
        <v>0</v>
      </c>
      <c r="O574" s="880"/>
      <c r="Q574" s="317" t="str">
        <f t="shared" si="74"/>
        <v/>
      </c>
      <c r="R574" s="317" t="str">
        <f t="shared" si="75"/>
        <v/>
      </c>
      <c r="S574" s="317" t="str">
        <f t="shared" si="76"/>
        <v/>
      </c>
      <c r="T574" s="317" t="str">
        <f>'REF. DE PREÇOS n editavel'!S574</f>
        <v/>
      </c>
      <c r="W574" s="577">
        <v>0</v>
      </c>
      <c r="X574" s="575"/>
      <c r="Y574" s="578">
        <f>IF('REF. DE PREÇOS n editavel'!W574=0,0,IF('REF. DE PREÇOS n editavel'!W574&gt;0,"c","b"))</f>
        <v>0</v>
      </c>
    </row>
    <row r="575" spans="1:25">
      <c r="A575" s="317" t="s">
        <v>165</v>
      </c>
      <c r="B575" s="1010" t="str">
        <f>'REF. DE PREÇOS n editavel'!B575</f>
        <v/>
      </c>
      <c r="C575" s="1045" t="str">
        <f>'REF. DE PREÇOS n editavel'!C575</f>
        <v/>
      </c>
      <c r="D575" s="1096">
        <f>'REF. DE PREÇOS n editavel'!D575</f>
        <v>0</v>
      </c>
      <c r="E575" s="882">
        <f>'REF. DE PREÇOS n editavel'!E575</f>
        <v>0</v>
      </c>
      <c r="F575" s="883">
        <f>'REF. DE PREÇOS n editavel'!F575</f>
        <v>0</v>
      </c>
      <c r="G575" s="887">
        <f>'REF. DE PREÇOS n editavel'!G575</f>
        <v>0</v>
      </c>
      <c r="H575" s="876">
        <f>'REF. DE PREÇOS n editavel'!H575</f>
        <v>0</v>
      </c>
      <c r="I575" s="876">
        <f>'REF. DE PREÇOS n editavel'!I575</f>
        <v>0</v>
      </c>
      <c r="J575" s="865">
        <f>'REF. DE PREÇOS n editavel'!J575</f>
        <v>0</v>
      </c>
      <c r="K575" s="878" t="str">
        <f>'REF. DE PREÇOS n editavel'!K575</f>
        <v xml:space="preserve">     </v>
      </c>
      <c r="L575" s="1092"/>
      <c r="M575" s="1095">
        <f t="shared" si="73"/>
        <v>0</v>
      </c>
      <c r="N575" s="907">
        <f t="shared" si="77"/>
        <v>0</v>
      </c>
      <c r="O575" s="880"/>
      <c r="Q575" s="317" t="str">
        <f t="shared" si="74"/>
        <v/>
      </c>
      <c r="R575" s="317" t="str">
        <f t="shared" si="75"/>
        <v/>
      </c>
      <c r="S575" s="317" t="str">
        <f t="shared" si="76"/>
        <v/>
      </c>
      <c r="T575" s="317" t="str">
        <f>'REF. DE PREÇOS n editavel'!S575</f>
        <v/>
      </c>
      <c r="W575" s="577">
        <v>0</v>
      </c>
      <c r="X575" s="575"/>
      <c r="Y575" s="578">
        <f>IF('REF. DE PREÇOS n editavel'!W575=0,0,IF('REF. DE PREÇOS n editavel'!W575&gt;0,"c","b"))</f>
        <v>0</v>
      </c>
    </row>
    <row r="576" spans="1:25">
      <c r="A576" s="317" t="s">
        <v>165</v>
      </c>
      <c r="B576" s="1010" t="str">
        <f>'REF. DE PREÇOS n editavel'!B576</f>
        <v/>
      </c>
      <c r="C576" s="1045" t="str">
        <f>'REF. DE PREÇOS n editavel'!C576</f>
        <v/>
      </c>
      <c r="D576" s="1096">
        <f>'REF. DE PREÇOS n editavel'!D576</f>
        <v>0</v>
      </c>
      <c r="E576" s="882">
        <f>'REF. DE PREÇOS n editavel'!E576</f>
        <v>0</v>
      </c>
      <c r="F576" s="883">
        <f>'REF. DE PREÇOS n editavel'!F576</f>
        <v>0</v>
      </c>
      <c r="G576" s="887">
        <f>'REF. DE PREÇOS n editavel'!G576</f>
        <v>0</v>
      </c>
      <c r="H576" s="876">
        <f>'REF. DE PREÇOS n editavel'!H576</f>
        <v>0</v>
      </c>
      <c r="I576" s="876">
        <f>'REF. DE PREÇOS n editavel'!I576</f>
        <v>0</v>
      </c>
      <c r="J576" s="865">
        <f>'REF. DE PREÇOS n editavel'!J576</f>
        <v>0</v>
      </c>
      <c r="K576" s="878" t="str">
        <f>'REF. DE PREÇOS n editavel'!K576</f>
        <v xml:space="preserve">     </v>
      </c>
      <c r="L576" s="1092"/>
      <c r="M576" s="1095">
        <f t="shared" si="73"/>
        <v>0</v>
      </c>
      <c r="N576" s="907">
        <f t="shared" si="77"/>
        <v>0</v>
      </c>
      <c r="O576" s="880"/>
      <c r="Q576" s="317" t="str">
        <f t="shared" si="74"/>
        <v/>
      </c>
      <c r="R576" s="317" t="str">
        <f t="shared" si="75"/>
        <v/>
      </c>
      <c r="S576" s="317" t="str">
        <f t="shared" si="76"/>
        <v/>
      </c>
      <c r="T576" s="317" t="str">
        <f>'REF. DE PREÇOS n editavel'!S576</f>
        <v/>
      </c>
      <c r="W576" s="577">
        <v>0</v>
      </c>
      <c r="X576" s="575"/>
      <c r="Y576" s="578">
        <f>IF('REF. DE PREÇOS n editavel'!W576=0,0,IF('REF. DE PREÇOS n editavel'!W576&gt;0,"c","b"))</f>
        <v>0</v>
      </c>
    </row>
    <row r="577" spans="1:25">
      <c r="A577" s="317" t="s">
        <v>165</v>
      </c>
      <c r="B577" s="1010" t="str">
        <f>'REF. DE PREÇOS n editavel'!B577</f>
        <v/>
      </c>
      <c r="C577" s="1045" t="str">
        <f>'REF. DE PREÇOS n editavel'!C577</f>
        <v/>
      </c>
      <c r="D577" s="1096">
        <f>'REF. DE PREÇOS n editavel'!D577</f>
        <v>0</v>
      </c>
      <c r="E577" s="882">
        <f>'REF. DE PREÇOS n editavel'!E577</f>
        <v>0</v>
      </c>
      <c r="F577" s="883">
        <f>'REF. DE PREÇOS n editavel'!F577</f>
        <v>0</v>
      </c>
      <c r="G577" s="887">
        <f>'REF. DE PREÇOS n editavel'!G577</f>
        <v>0</v>
      </c>
      <c r="H577" s="876">
        <f>'REF. DE PREÇOS n editavel'!H577</f>
        <v>0</v>
      </c>
      <c r="I577" s="876">
        <f>'REF. DE PREÇOS n editavel'!I577</f>
        <v>0</v>
      </c>
      <c r="J577" s="865">
        <f>'REF. DE PREÇOS n editavel'!J577</f>
        <v>0</v>
      </c>
      <c r="K577" s="878" t="str">
        <f>'REF. DE PREÇOS n editavel'!K577</f>
        <v xml:space="preserve">     </v>
      </c>
      <c r="L577" s="1092"/>
      <c r="M577" s="1095">
        <f t="shared" si="73"/>
        <v>0</v>
      </c>
      <c r="N577" s="907">
        <f t="shared" si="77"/>
        <v>0</v>
      </c>
      <c r="O577" s="880"/>
      <c r="Q577" s="317" t="str">
        <f t="shared" si="74"/>
        <v/>
      </c>
      <c r="R577" s="317" t="str">
        <f t="shared" si="75"/>
        <v/>
      </c>
      <c r="S577" s="317" t="str">
        <f t="shared" si="76"/>
        <v/>
      </c>
      <c r="T577" s="317" t="str">
        <f>'REF. DE PREÇOS n editavel'!S577</f>
        <v/>
      </c>
      <c r="W577" s="577">
        <v>0</v>
      </c>
      <c r="X577" s="575"/>
      <c r="Y577" s="578">
        <f>IF('REF. DE PREÇOS n editavel'!W577=0,0,IF('REF. DE PREÇOS n editavel'!W577&gt;0,"c","b"))</f>
        <v>0</v>
      </c>
    </row>
    <row r="578" spans="1:25">
      <c r="A578" s="317" t="s">
        <v>165</v>
      </c>
      <c r="B578" s="1010" t="str">
        <f>'REF. DE PREÇOS n editavel'!B578</f>
        <v/>
      </c>
      <c r="C578" s="1045" t="str">
        <f>'REF. DE PREÇOS n editavel'!C578</f>
        <v/>
      </c>
      <c r="D578" s="1096">
        <f>'REF. DE PREÇOS n editavel'!D578</f>
        <v>0</v>
      </c>
      <c r="E578" s="882">
        <f>'REF. DE PREÇOS n editavel'!E578</f>
        <v>0</v>
      </c>
      <c r="F578" s="883">
        <f>'REF. DE PREÇOS n editavel'!F578</f>
        <v>0</v>
      </c>
      <c r="G578" s="887">
        <f>'REF. DE PREÇOS n editavel'!G578</f>
        <v>0</v>
      </c>
      <c r="H578" s="876">
        <f>'REF. DE PREÇOS n editavel'!H578</f>
        <v>0</v>
      </c>
      <c r="I578" s="876">
        <f>'REF. DE PREÇOS n editavel'!I578</f>
        <v>0</v>
      </c>
      <c r="J578" s="865">
        <f>'REF. DE PREÇOS n editavel'!J578</f>
        <v>0</v>
      </c>
      <c r="K578" s="878" t="str">
        <f>'REF. DE PREÇOS n editavel'!K578</f>
        <v xml:space="preserve">     </v>
      </c>
      <c r="L578" s="1092"/>
      <c r="M578" s="1095">
        <f t="shared" si="73"/>
        <v>0</v>
      </c>
      <c r="N578" s="907">
        <f t="shared" si="77"/>
        <v>0</v>
      </c>
      <c r="O578" s="880"/>
      <c r="Q578" s="317" t="str">
        <f t="shared" si="74"/>
        <v/>
      </c>
      <c r="R578" s="317" t="str">
        <f t="shared" si="75"/>
        <v/>
      </c>
      <c r="S578" s="317" t="str">
        <f t="shared" si="76"/>
        <v/>
      </c>
      <c r="T578" s="317" t="str">
        <f>'REF. DE PREÇOS n editavel'!S578</f>
        <v/>
      </c>
      <c r="W578" s="577">
        <v>0</v>
      </c>
      <c r="X578" s="575"/>
      <c r="Y578" s="578">
        <f>IF('REF. DE PREÇOS n editavel'!W578=0,0,IF('REF. DE PREÇOS n editavel'!W578&gt;0,"c","b"))</f>
        <v>0</v>
      </c>
    </row>
    <row r="579" spans="1:25">
      <c r="A579" s="317" t="s">
        <v>165</v>
      </c>
      <c r="B579" s="1010" t="str">
        <f>'REF. DE PREÇOS n editavel'!B579</f>
        <v/>
      </c>
      <c r="C579" s="1045" t="str">
        <f>'REF. DE PREÇOS n editavel'!C579</f>
        <v/>
      </c>
      <c r="D579" s="1096">
        <f>'REF. DE PREÇOS n editavel'!D579</f>
        <v>0</v>
      </c>
      <c r="E579" s="882">
        <f>'REF. DE PREÇOS n editavel'!E579</f>
        <v>0</v>
      </c>
      <c r="F579" s="883">
        <f>'REF. DE PREÇOS n editavel'!F579</f>
        <v>0</v>
      </c>
      <c r="G579" s="887">
        <f>'REF. DE PREÇOS n editavel'!G579</f>
        <v>0</v>
      </c>
      <c r="H579" s="876">
        <f>'REF. DE PREÇOS n editavel'!H579</f>
        <v>0</v>
      </c>
      <c r="I579" s="876">
        <f>'REF. DE PREÇOS n editavel'!I579</f>
        <v>0</v>
      </c>
      <c r="J579" s="865">
        <f>'REF. DE PREÇOS n editavel'!J579</f>
        <v>0</v>
      </c>
      <c r="K579" s="878" t="str">
        <f>'REF. DE PREÇOS n editavel'!K579</f>
        <v xml:space="preserve">     </v>
      </c>
      <c r="L579" s="1092"/>
      <c r="M579" s="1095">
        <f t="shared" si="73"/>
        <v>0</v>
      </c>
      <c r="N579" s="907">
        <f t="shared" si="77"/>
        <v>0</v>
      </c>
      <c r="O579" s="880"/>
      <c r="Q579" s="317" t="str">
        <f t="shared" si="74"/>
        <v/>
      </c>
      <c r="R579" s="317" t="str">
        <f t="shared" si="75"/>
        <v/>
      </c>
      <c r="S579" s="317" t="str">
        <f t="shared" si="76"/>
        <v/>
      </c>
      <c r="T579" s="317" t="str">
        <f>'REF. DE PREÇOS n editavel'!S579</f>
        <v/>
      </c>
      <c r="W579" s="577">
        <v>0</v>
      </c>
      <c r="X579" s="575"/>
      <c r="Y579" s="578">
        <f>IF('REF. DE PREÇOS n editavel'!W579=0,0,IF('REF. DE PREÇOS n editavel'!W579&gt;0,"c","b"))</f>
        <v>0</v>
      </c>
    </row>
    <row r="580" spans="1:25">
      <c r="A580" s="317" t="s">
        <v>165</v>
      </c>
      <c r="B580" s="1010" t="str">
        <f>'REF. DE PREÇOS n editavel'!B580</f>
        <v/>
      </c>
      <c r="C580" s="1045" t="str">
        <f>'REF. DE PREÇOS n editavel'!C580</f>
        <v/>
      </c>
      <c r="D580" s="1096">
        <f>'REF. DE PREÇOS n editavel'!D580</f>
        <v>0</v>
      </c>
      <c r="E580" s="882">
        <f>'REF. DE PREÇOS n editavel'!E580</f>
        <v>0</v>
      </c>
      <c r="F580" s="883">
        <f>'REF. DE PREÇOS n editavel'!F580</f>
        <v>0</v>
      </c>
      <c r="G580" s="887">
        <f>'REF. DE PREÇOS n editavel'!G580</f>
        <v>0</v>
      </c>
      <c r="H580" s="876">
        <f>'REF. DE PREÇOS n editavel'!H580</f>
        <v>0</v>
      </c>
      <c r="I580" s="876">
        <f>'REF. DE PREÇOS n editavel'!I580</f>
        <v>0</v>
      </c>
      <c r="J580" s="865">
        <f>'REF. DE PREÇOS n editavel'!J580</f>
        <v>0</v>
      </c>
      <c r="K580" s="878" t="str">
        <f>'REF. DE PREÇOS n editavel'!K580</f>
        <v xml:space="preserve">     </v>
      </c>
      <c r="L580" s="1092"/>
      <c r="M580" s="1095">
        <f t="shared" si="73"/>
        <v>0</v>
      </c>
      <c r="N580" s="907">
        <f t="shared" si="77"/>
        <v>0</v>
      </c>
      <c r="O580" s="880"/>
      <c r="Q580" s="317" t="str">
        <f t="shared" si="74"/>
        <v/>
      </c>
      <c r="R580" s="317" t="str">
        <f t="shared" si="75"/>
        <v/>
      </c>
      <c r="S580" s="317" t="str">
        <f t="shared" si="76"/>
        <v/>
      </c>
      <c r="T580" s="317" t="str">
        <f>'REF. DE PREÇOS n editavel'!S580</f>
        <v/>
      </c>
      <c r="W580" s="577">
        <v>0</v>
      </c>
      <c r="X580" s="575"/>
      <c r="Y580" s="578">
        <f>IF('REF. DE PREÇOS n editavel'!W580=0,0,IF('REF. DE PREÇOS n editavel'!W580&gt;0,"c","b"))</f>
        <v>0</v>
      </c>
    </row>
    <row r="581" spans="1:25">
      <c r="A581" s="317" t="s">
        <v>165</v>
      </c>
      <c r="B581" s="1010" t="str">
        <f>'REF. DE PREÇOS n editavel'!B581</f>
        <v/>
      </c>
      <c r="C581" s="1045" t="str">
        <f>'REF. DE PREÇOS n editavel'!C581</f>
        <v/>
      </c>
      <c r="D581" s="1096">
        <f>'REF. DE PREÇOS n editavel'!D581</f>
        <v>0</v>
      </c>
      <c r="E581" s="882">
        <f>'REF. DE PREÇOS n editavel'!E581</f>
        <v>0</v>
      </c>
      <c r="F581" s="883">
        <f>'REF. DE PREÇOS n editavel'!F581</f>
        <v>0</v>
      </c>
      <c r="G581" s="887">
        <f>'REF. DE PREÇOS n editavel'!G581</f>
        <v>0</v>
      </c>
      <c r="H581" s="876">
        <f>'REF. DE PREÇOS n editavel'!H581</f>
        <v>0</v>
      </c>
      <c r="I581" s="876">
        <f>'REF. DE PREÇOS n editavel'!I581</f>
        <v>0</v>
      </c>
      <c r="J581" s="865">
        <f>'REF. DE PREÇOS n editavel'!J581</f>
        <v>0</v>
      </c>
      <c r="K581" s="878" t="str">
        <f>'REF. DE PREÇOS n editavel'!K581</f>
        <v xml:space="preserve">     </v>
      </c>
      <c r="L581" s="1092"/>
      <c r="M581" s="1095">
        <f t="shared" si="73"/>
        <v>0</v>
      </c>
      <c r="N581" s="907">
        <f t="shared" si="77"/>
        <v>0</v>
      </c>
      <c r="O581" s="880"/>
      <c r="Q581" s="317" t="str">
        <f t="shared" si="74"/>
        <v/>
      </c>
      <c r="R581" s="317" t="str">
        <f t="shared" si="75"/>
        <v/>
      </c>
      <c r="S581" s="317" t="str">
        <f t="shared" si="76"/>
        <v/>
      </c>
      <c r="T581" s="317" t="str">
        <f>'REF. DE PREÇOS n editavel'!S581</f>
        <v/>
      </c>
      <c r="W581" s="577">
        <v>0</v>
      </c>
      <c r="X581" s="575"/>
      <c r="Y581" s="578">
        <f>IF('REF. DE PREÇOS n editavel'!W581=0,0,IF('REF. DE PREÇOS n editavel'!W581&gt;0,"c","b"))</f>
        <v>0</v>
      </c>
    </row>
    <row r="582" spans="1:25">
      <c r="A582" s="317" t="s">
        <v>165</v>
      </c>
      <c r="B582" s="1010" t="str">
        <f>'REF. DE PREÇOS n editavel'!B582</f>
        <v/>
      </c>
      <c r="C582" s="1045" t="str">
        <f>'REF. DE PREÇOS n editavel'!C582</f>
        <v/>
      </c>
      <c r="D582" s="1096">
        <f>'REF. DE PREÇOS n editavel'!D582</f>
        <v>0</v>
      </c>
      <c r="E582" s="882">
        <f>'REF. DE PREÇOS n editavel'!E582</f>
        <v>0</v>
      </c>
      <c r="F582" s="883">
        <f>'REF. DE PREÇOS n editavel'!F582</f>
        <v>0</v>
      </c>
      <c r="G582" s="887">
        <f>'REF. DE PREÇOS n editavel'!G582</f>
        <v>0</v>
      </c>
      <c r="H582" s="876">
        <f>'REF. DE PREÇOS n editavel'!H582</f>
        <v>0</v>
      </c>
      <c r="I582" s="876">
        <f>'REF. DE PREÇOS n editavel'!I582</f>
        <v>0</v>
      </c>
      <c r="J582" s="865">
        <f>'REF. DE PREÇOS n editavel'!J582</f>
        <v>0</v>
      </c>
      <c r="K582" s="878" t="str">
        <f>'REF. DE PREÇOS n editavel'!K582</f>
        <v xml:space="preserve">     </v>
      </c>
      <c r="L582" s="1092"/>
      <c r="M582" s="1095">
        <f t="shared" si="73"/>
        <v>0</v>
      </c>
      <c r="N582" s="907">
        <f t="shared" si="77"/>
        <v>0</v>
      </c>
      <c r="O582" s="880"/>
      <c r="Q582" s="317" t="str">
        <f t="shared" si="74"/>
        <v/>
      </c>
      <c r="R582" s="317" t="str">
        <f t="shared" si="75"/>
        <v/>
      </c>
      <c r="S582" s="317" t="str">
        <f t="shared" si="76"/>
        <v/>
      </c>
      <c r="T582" s="317" t="str">
        <f>'REF. DE PREÇOS n editavel'!S582</f>
        <v/>
      </c>
      <c r="W582" s="577">
        <v>0</v>
      </c>
      <c r="X582" s="575"/>
      <c r="Y582" s="578">
        <f>IF('REF. DE PREÇOS n editavel'!W582=0,0,IF('REF. DE PREÇOS n editavel'!W582&gt;0,"c","b"))</f>
        <v>0</v>
      </c>
    </row>
    <row r="583" spans="1:25">
      <c r="A583" s="317" t="s">
        <v>165</v>
      </c>
      <c r="B583" s="1010" t="str">
        <f>'REF. DE PREÇOS n editavel'!B583</f>
        <v/>
      </c>
      <c r="C583" s="1045" t="str">
        <f>'REF. DE PREÇOS n editavel'!C583</f>
        <v/>
      </c>
      <c r="D583" s="1096">
        <f>'REF. DE PREÇOS n editavel'!D583</f>
        <v>0</v>
      </c>
      <c r="E583" s="882">
        <f>'REF. DE PREÇOS n editavel'!E583</f>
        <v>0</v>
      </c>
      <c r="F583" s="883">
        <f>'REF. DE PREÇOS n editavel'!F583</f>
        <v>0</v>
      </c>
      <c r="G583" s="887">
        <f>'REF. DE PREÇOS n editavel'!G583</f>
        <v>0</v>
      </c>
      <c r="H583" s="876">
        <f>'REF. DE PREÇOS n editavel'!H583</f>
        <v>0</v>
      </c>
      <c r="I583" s="876">
        <f>'REF. DE PREÇOS n editavel'!I583</f>
        <v>0</v>
      </c>
      <c r="J583" s="865">
        <f>'REF. DE PREÇOS n editavel'!J583</f>
        <v>0</v>
      </c>
      <c r="K583" s="878" t="str">
        <f>'REF. DE PREÇOS n editavel'!K583</f>
        <v xml:space="preserve">     </v>
      </c>
      <c r="L583" s="1092"/>
      <c r="M583" s="1095">
        <f t="shared" si="73"/>
        <v>0</v>
      </c>
      <c r="N583" s="907">
        <f t="shared" si="77"/>
        <v>0</v>
      </c>
      <c r="O583" s="880"/>
      <c r="Q583" s="317" t="str">
        <f t="shared" si="74"/>
        <v/>
      </c>
      <c r="R583" s="317" t="str">
        <f t="shared" si="75"/>
        <v/>
      </c>
      <c r="S583" s="317" t="str">
        <f t="shared" si="76"/>
        <v/>
      </c>
      <c r="T583" s="317" t="str">
        <f>'REF. DE PREÇOS n editavel'!S583</f>
        <v/>
      </c>
      <c r="W583" s="577">
        <v>0</v>
      </c>
      <c r="X583" s="575"/>
      <c r="Y583" s="578">
        <f>IF('REF. DE PREÇOS n editavel'!W583=0,0,IF('REF. DE PREÇOS n editavel'!W583&gt;0,"c","b"))</f>
        <v>0</v>
      </c>
    </row>
    <row r="584" spans="1:25">
      <c r="A584" s="317" t="s">
        <v>165</v>
      </c>
      <c r="B584" s="1010" t="str">
        <f>'REF. DE PREÇOS n editavel'!B584</f>
        <v/>
      </c>
      <c r="C584" s="1045" t="str">
        <f>'REF. DE PREÇOS n editavel'!C584</f>
        <v/>
      </c>
      <c r="D584" s="1096">
        <f>'REF. DE PREÇOS n editavel'!D584</f>
        <v>0</v>
      </c>
      <c r="E584" s="882">
        <f>'REF. DE PREÇOS n editavel'!E584</f>
        <v>0</v>
      </c>
      <c r="F584" s="883">
        <f>'REF. DE PREÇOS n editavel'!F584</f>
        <v>0</v>
      </c>
      <c r="G584" s="887">
        <f>'REF. DE PREÇOS n editavel'!G584</f>
        <v>0</v>
      </c>
      <c r="H584" s="876">
        <f>'REF. DE PREÇOS n editavel'!H584</f>
        <v>0</v>
      </c>
      <c r="I584" s="876">
        <f>'REF. DE PREÇOS n editavel'!I584</f>
        <v>0</v>
      </c>
      <c r="J584" s="865">
        <f>'REF. DE PREÇOS n editavel'!J584</f>
        <v>0</v>
      </c>
      <c r="K584" s="878" t="str">
        <f>'REF. DE PREÇOS n editavel'!K584</f>
        <v xml:space="preserve">     </v>
      </c>
      <c r="L584" s="1092"/>
      <c r="M584" s="1095">
        <f t="shared" si="73"/>
        <v>0</v>
      </c>
      <c r="N584" s="907">
        <f t="shared" si="77"/>
        <v>0</v>
      </c>
      <c r="O584" s="880"/>
      <c r="Q584" s="317" t="str">
        <f t="shared" si="74"/>
        <v/>
      </c>
      <c r="R584" s="317" t="str">
        <f t="shared" si="75"/>
        <v/>
      </c>
      <c r="S584" s="317" t="str">
        <f t="shared" si="76"/>
        <v/>
      </c>
      <c r="T584" s="317" t="str">
        <f>'REF. DE PREÇOS n editavel'!S584</f>
        <v/>
      </c>
      <c r="W584" s="577">
        <v>0</v>
      </c>
      <c r="X584" s="575"/>
      <c r="Y584" s="578">
        <f>IF('REF. DE PREÇOS n editavel'!W584=0,0,IF('REF. DE PREÇOS n editavel'!W584&gt;0,"c","b"))</f>
        <v>0</v>
      </c>
    </row>
    <row r="585" spans="1:25">
      <c r="A585" s="317" t="s">
        <v>165</v>
      </c>
      <c r="B585" s="1010" t="str">
        <f>'REF. DE PREÇOS n editavel'!B585</f>
        <v/>
      </c>
      <c r="C585" s="1045" t="str">
        <f>'REF. DE PREÇOS n editavel'!C585</f>
        <v/>
      </c>
      <c r="D585" s="1096">
        <f>'REF. DE PREÇOS n editavel'!D585</f>
        <v>0</v>
      </c>
      <c r="E585" s="882">
        <f>'REF. DE PREÇOS n editavel'!E585</f>
        <v>0</v>
      </c>
      <c r="F585" s="883">
        <f>'REF. DE PREÇOS n editavel'!F585</f>
        <v>0</v>
      </c>
      <c r="G585" s="887">
        <f>'REF. DE PREÇOS n editavel'!G585</f>
        <v>0</v>
      </c>
      <c r="H585" s="876">
        <f>'REF. DE PREÇOS n editavel'!H585</f>
        <v>0</v>
      </c>
      <c r="I585" s="876">
        <f>'REF. DE PREÇOS n editavel'!I585</f>
        <v>0</v>
      </c>
      <c r="J585" s="865">
        <f>'REF. DE PREÇOS n editavel'!J585</f>
        <v>0</v>
      </c>
      <c r="K585" s="878" t="str">
        <f>'REF. DE PREÇOS n editavel'!K585</f>
        <v xml:space="preserve">     </v>
      </c>
      <c r="L585" s="1092"/>
      <c r="M585" s="1095">
        <f t="shared" si="73"/>
        <v>0</v>
      </c>
      <c r="N585" s="907">
        <f t="shared" si="77"/>
        <v>0</v>
      </c>
      <c r="O585" s="880"/>
      <c r="Q585" s="317" t="str">
        <f t="shared" si="74"/>
        <v/>
      </c>
      <c r="R585" s="317" t="str">
        <f t="shared" si="75"/>
        <v/>
      </c>
      <c r="S585" s="317" t="str">
        <f t="shared" si="76"/>
        <v/>
      </c>
      <c r="T585" s="317" t="str">
        <f>'REF. DE PREÇOS n editavel'!S585</f>
        <v/>
      </c>
      <c r="W585" s="577">
        <v>0</v>
      </c>
      <c r="X585" s="575"/>
      <c r="Y585" s="578">
        <f>IF('REF. DE PREÇOS n editavel'!W585=0,0,IF('REF. DE PREÇOS n editavel'!W585&gt;0,"c","b"))</f>
        <v>0</v>
      </c>
    </row>
    <row r="586" spans="1:25">
      <c r="A586" s="317" t="s">
        <v>165</v>
      </c>
      <c r="B586" s="1010" t="str">
        <f>'REF. DE PREÇOS n editavel'!B586</f>
        <v/>
      </c>
      <c r="C586" s="1045" t="str">
        <f>'REF. DE PREÇOS n editavel'!C586</f>
        <v/>
      </c>
      <c r="D586" s="1096">
        <f>'REF. DE PREÇOS n editavel'!D586</f>
        <v>0</v>
      </c>
      <c r="E586" s="882">
        <f>'REF. DE PREÇOS n editavel'!E586</f>
        <v>0</v>
      </c>
      <c r="F586" s="883">
        <f>'REF. DE PREÇOS n editavel'!F586</f>
        <v>0</v>
      </c>
      <c r="G586" s="887">
        <f>'REF. DE PREÇOS n editavel'!G586</f>
        <v>0</v>
      </c>
      <c r="H586" s="876">
        <f>'REF. DE PREÇOS n editavel'!H586</f>
        <v>0</v>
      </c>
      <c r="I586" s="876">
        <f>'REF. DE PREÇOS n editavel'!I586</f>
        <v>0</v>
      </c>
      <c r="J586" s="865">
        <f>'REF. DE PREÇOS n editavel'!J586</f>
        <v>0</v>
      </c>
      <c r="K586" s="878" t="str">
        <f>'REF. DE PREÇOS n editavel'!K586</f>
        <v xml:space="preserve">     </v>
      </c>
      <c r="L586" s="1092"/>
      <c r="M586" s="1095">
        <f t="shared" si="73"/>
        <v>0</v>
      </c>
      <c r="N586" s="907">
        <f t="shared" si="77"/>
        <v>0</v>
      </c>
      <c r="O586" s="880"/>
      <c r="Q586" s="317" t="str">
        <f t="shared" si="74"/>
        <v/>
      </c>
      <c r="R586" s="317" t="str">
        <f t="shared" si="75"/>
        <v/>
      </c>
      <c r="S586" s="317" t="str">
        <f t="shared" si="76"/>
        <v/>
      </c>
      <c r="T586" s="317" t="str">
        <f>'REF. DE PREÇOS n editavel'!S586</f>
        <v/>
      </c>
      <c r="W586" s="577">
        <v>0</v>
      </c>
      <c r="X586" s="575"/>
      <c r="Y586" s="578">
        <f>IF('REF. DE PREÇOS n editavel'!W586=0,0,IF('REF. DE PREÇOS n editavel'!W586&gt;0,"c","b"))</f>
        <v>0</v>
      </c>
    </row>
    <row r="587" spans="1:25">
      <c r="A587" s="317" t="s">
        <v>165</v>
      </c>
      <c r="B587" s="1010" t="str">
        <f>'REF. DE PREÇOS n editavel'!B587</f>
        <v/>
      </c>
      <c r="C587" s="1045" t="str">
        <f>'REF. DE PREÇOS n editavel'!C587</f>
        <v/>
      </c>
      <c r="D587" s="1096">
        <f>'REF. DE PREÇOS n editavel'!D587</f>
        <v>0</v>
      </c>
      <c r="E587" s="882">
        <f>'REF. DE PREÇOS n editavel'!E587</f>
        <v>0</v>
      </c>
      <c r="F587" s="883">
        <f>'REF. DE PREÇOS n editavel'!F587</f>
        <v>0</v>
      </c>
      <c r="G587" s="887">
        <f>'REF. DE PREÇOS n editavel'!G587</f>
        <v>0</v>
      </c>
      <c r="H587" s="876">
        <f>'REF. DE PREÇOS n editavel'!H587</f>
        <v>0</v>
      </c>
      <c r="I587" s="876">
        <f>'REF. DE PREÇOS n editavel'!I587</f>
        <v>0</v>
      </c>
      <c r="J587" s="865">
        <f>'REF. DE PREÇOS n editavel'!J587</f>
        <v>0</v>
      </c>
      <c r="K587" s="878" t="str">
        <f>'REF. DE PREÇOS n editavel'!K587</f>
        <v xml:space="preserve">     </v>
      </c>
      <c r="L587" s="1092"/>
      <c r="M587" s="1095">
        <f t="shared" si="73"/>
        <v>0</v>
      </c>
      <c r="N587" s="907">
        <f t="shared" si="77"/>
        <v>0</v>
      </c>
      <c r="O587" s="880"/>
      <c r="Q587" s="317" t="str">
        <f t="shared" si="74"/>
        <v/>
      </c>
      <c r="R587" s="317" t="str">
        <f t="shared" si="75"/>
        <v/>
      </c>
      <c r="S587" s="317" t="str">
        <f t="shared" si="76"/>
        <v/>
      </c>
      <c r="T587" s="317" t="str">
        <f>'REF. DE PREÇOS n editavel'!S587</f>
        <v/>
      </c>
      <c r="W587" s="577">
        <v>0</v>
      </c>
      <c r="X587" s="575"/>
      <c r="Y587" s="578">
        <f>IF('REF. DE PREÇOS n editavel'!W587=0,0,IF('REF. DE PREÇOS n editavel'!W587&gt;0,"c","b"))</f>
        <v>0</v>
      </c>
    </row>
    <row r="588" spans="1:25" ht="13.5" thickBot="1">
      <c r="A588" s="317" t="s">
        <v>165</v>
      </c>
      <c r="B588" s="1010" t="str">
        <f>'REF. DE PREÇOS n editavel'!B588</f>
        <v/>
      </c>
      <c r="C588" s="1045" t="str">
        <f>'REF. DE PREÇOS n editavel'!C588</f>
        <v/>
      </c>
      <c r="D588" s="1096">
        <f>'REF. DE PREÇOS n editavel'!D588</f>
        <v>0</v>
      </c>
      <c r="E588" s="882">
        <f>'REF. DE PREÇOS n editavel'!E588</f>
        <v>0</v>
      </c>
      <c r="F588" s="883">
        <f>'REF. DE PREÇOS n editavel'!F588</f>
        <v>0</v>
      </c>
      <c r="G588" s="887">
        <f>'REF. DE PREÇOS n editavel'!G588</f>
        <v>0</v>
      </c>
      <c r="H588" s="876">
        <f>'REF. DE PREÇOS n editavel'!H588</f>
        <v>0</v>
      </c>
      <c r="I588" s="876">
        <f>'REF. DE PREÇOS n editavel'!I588</f>
        <v>0</v>
      </c>
      <c r="J588" s="865">
        <f>'REF. DE PREÇOS n editavel'!J588</f>
        <v>0</v>
      </c>
      <c r="K588" s="878" t="str">
        <f>'REF. DE PREÇOS n editavel'!K588</f>
        <v xml:space="preserve">     </v>
      </c>
      <c r="L588" s="1092"/>
      <c r="M588" s="1095">
        <f t="shared" si="73"/>
        <v>0</v>
      </c>
      <c r="N588" s="907">
        <f t="shared" si="77"/>
        <v>0</v>
      </c>
      <c r="O588" s="880"/>
      <c r="Q588" s="317" t="str">
        <f t="shared" si="74"/>
        <v/>
      </c>
      <c r="R588" s="317" t="str">
        <f t="shared" si="75"/>
        <v/>
      </c>
      <c r="S588" s="317" t="str">
        <f t="shared" si="76"/>
        <v/>
      </c>
      <c r="T588" s="317" t="str">
        <f>'REF. DE PREÇOS n editavel'!S588</f>
        <v/>
      </c>
      <c r="W588" s="577">
        <v>0</v>
      </c>
      <c r="X588" s="575"/>
      <c r="Y588" s="578">
        <f>IF('REF. DE PREÇOS n editavel'!W588=0,0,IF('REF. DE PREÇOS n editavel'!W588&gt;0,"c","b"))</f>
        <v>0</v>
      </c>
    </row>
    <row r="589" spans="1:25" ht="13.5" thickBot="1">
      <c r="A589" s="317" t="s">
        <v>166</v>
      </c>
      <c r="B589" s="924" t="s">
        <v>166</v>
      </c>
      <c r="C589" s="925"/>
      <c r="D589" s="926" t="s">
        <v>430</v>
      </c>
      <c r="E589" s="917">
        <f>'REF. DE PREÇOS n editavel'!E589</f>
        <v>0</v>
      </c>
      <c r="F589" s="851">
        <f>'REF. DE PREÇOS n editavel'!F589</f>
        <v>0</v>
      </c>
      <c r="G589" s="918"/>
      <c r="H589" s="919">
        <f>'REF. DE PREÇOS n editavel'!H589</f>
        <v>0</v>
      </c>
      <c r="I589" s="919">
        <f>'REF. DE PREÇOS n editavel'!I589</f>
        <v>0</v>
      </c>
      <c r="J589" s="919">
        <f>'REF. DE PREÇOS n editavel'!J589</f>
        <v>0</v>
      </c>
      <c r="K589" s="853" t="s">
        <v>506</v>
      </c>
      <c r="L589" s="854"/>
      <c r="M589" s="855"/>
      <c r="N589" s="856">
        <f t="shared" si="77"/>
        <v>0</v>
      </c>
      <c r="O589" s="857">
        <f>SUM(N590:N643)</f>
        <v>0</v>
      </c>
      <c r="P589" s="58" t="str">
        <f>IF(OR(O589&gt;0,O589&gt;0),"X","")</f>
        <v/>
      </c>
      <c r="Q589" s="317" t="str">
        <f t="shared" si="74"/>
        <v/>
      </c>
      <c r="R589" s="317" t="str">
        <f t="shared" si="75"/>
        <v/>
      </c>
      <c r="S589" s="317" t="str">
        <f t="shared" si="76"/>
        <v/>
      </c>
      <c r="T589" s="317" t="str">
        <f>'REF. DE PREÇOS n editavel'!S589</f>
        <v/>
      </c>
      <c r="W589" s="577">
        <v>0</v>
      </c>
      <c r="X589" s="575"/>
      <c r="Y589" s="578">
        <f>IF('REF. DE PREÇOS n editavel'!W589=0,0,IF('REF. DE PREÇOS n editavel'!W589&gt;0,"c","b"))</f>
        <v>0</v>
      </c>
    </row>
    <row r="590" spans="1:25">
      <c r="A590" s="317" t="s">
        <v>817</v>
      </c>
      <c r="B590" s="870" t="str">
        <f>'REF. DE PREÇOS n editavel'!B590</f>
        <v>PAV-071</v>
      </c>
      <c r="C590" s="871" t="str">
        <f>'REF. DE PREÇOS n editavel'!C590</f>
        <v>PM Curitiba-abr/22</v>
      </c>
      <c r="D590" s="881" t="str">
        <f>'REF. DE PREÇOS n editavel'!D590</f>
        <v>Arrancamento de Meio-Fio</v>
      </c>
      <c r="E590" s="882">
        <f>'REF. DE PREÇOS n editavel'!E590</f>
        <v>0</v>
      </c>
      <c r="F590" s="883">
        <f>'REF. DE PREÇOS n editavel'!F590</f>
        <v>0</v>
      </c>
      <c r="G590" s="887">
        <f>'REF. DE PREÇOS n editavel'!G590</f>
        <v>0</v>
      </c>
      <c r="H590" s="876">
        <f>'REF. DE PREÇOS n editavel'!H590</f>
        <v>22.14</v>
      </c>
      <c r="I590" s="876">
        <f>'REF. DE PREÇOS n editavel'!I590</f>
        <v>22.14</v>
      </c>
      <c r="J590" s="877">
        <f>'REF. DE PREÇOS n editavel'!J590</f>
        <v>27.06</v>
      </c>
      <c r="K590" s="878" t="s">
        <v>13</v>
      </c>
      <c r="L590" s="1092"/>
      <c r="M590" s="1093">
        <f t="shared" ref="M590:M652" si="78">IF(L590=0,0,ROUND(J590,2))</f>
        <v>0</v>
      </c>
      <c r="N590" s="868">
        <f t="shared" si="77"/>
        <v>0</v>
      </c>
      <c r="O590" s="880"/>
      <c r="Q590" s="317" t="str">
        <f t="shared" si="74"/>
        <v/>
      </c>
      <c r="R590" s="317" t="str">
        <f t="shared" si="75"/>
        <v/>
      </c>
      <c r="S590" s="317" t="str">
        <f t="shared" si="76"/>
        <v/>
      </c>
      <c r="T590" s="317" t="str">
        <f>'REF. DE PREÇOS n editavel'!S590</f>
        <v/>
      </c>
      <c r="W590" s="577">
        <v>0</v>
      </c>
      <c r="X590" s="575"/>
      <c r="Y590" s="578">
        <f>IF('REF. DE PREÇOS n editavel'!W590=0,0,IF('REF. DE PREÇOS n editavel'!W590&gt;0,"c","b"))</f>
        <v>0</v>
      </c>
    </row>
    <row r="591" spans="1:25">
      <c r="A591" s="317" t="s">
        <v>818</v>
      </c>
      <c r="B591" s="870" t="str">
        <f>'REF. DE PREÇOS n editavel'!B591</f>
        <v>PAV-077</v>
      </c>
      <c r="C591" s="871" t="str">
        <f>'REF. DE PREÇOS n editavel'!C591</f>
        <v>PM Curitiba-abr/22</v>
      </c>
      <c r="D591" s="881" t="str">
        <f>'REF. DE PREÇOS n editavel'!D591</f>
        <v>Arrancamento e reassentamento de Meio-Fio de Concreto com sarjeta</v>
      </c>
      <c r="E591" s="873">
        <f>'REF. DE PREÇOS n editavel'!E591</f>
        <v>0</v>
      </c>
      <c r="F591" s="874">
        <f>'REF. DE PREÇOS n editavel'!F591</f>
        <v>0</v>
      </c>
      <c r="G591" s="875">
        <f>'REF. DE PREÇOS n editavel'!G591</f>
        <v>0</v>
      </c>
      <c r="H591" s="876">
        <f>'REF. DE PREÇOS n editavel'!H591</f>
        <v>6.56</v>
      </c>
      <c r="I591" s="876">
        <f>'REF. DE PREÇOS n editavel'!I591</f>
        <v>6.56</v>
      </c>
      <c r="J591" s="877">
        <f>'REF. DE PREÇOS n editavel'!J591</f>
        <v>8.02</v>
      </c>
      <c r="K591" s="878" t="s">
        <v>13</v>
      </c>
      <c r="L591" s="1094"/>
      <c r="M591" s="1095">
        <f t="shared" si="78"/>
        <v>0</v>
      </c>
      <c r="N591" s="868">
        <f t="shared" si="77"/>
        <v>0</v>
      </c>
      <c r="O591" s="880"/>
      <c r="Q591" s="317" t="str">
        <f t="shared" ref="Q591:Q654" si="79">IF(P591="X","x",IF(P591="xx","x",IF(P591="xy","x",IF(P591="y","x",IF(OR(N591&gt;0,N591&gt;0),"x","")))))</f>
        <v/>
      </c>
      <c r="R591" s="317" t="str">
        <f t="shared" si="75"/>
        <v/>
      </c>
      <c r="S591" s="317" t="str">
        <f t="shared" si="76"/>
        <v/>
      </c>
      <c r="T591" s="317" t="str">
        <f>'REF. DE PREÇOS n editavel'!S591</f>
        <v/>
      </c>
      <c r="W591" s="577">
        <v>0</v>
      </c>
      <c r="X591" s="575"/>
      <c r="Y591" s="578">
        <f>IF('REF. DE PREÇOS n editavel'!W591=0,0,IF('REF. DE PREÇOS n editavel'!W591&gt;0,"c","b"))</f>
        <v>0</v>
      </c>
    </row>
    <row r="592" spans="1:25">
      <c r="A592" s="317">
        <v>535200</v>
      </c>
      <c r="B592" s="870" t="s">
        <v>1592</v>
      </c>
      <c r="C592" s="871" t="s">
        <v>184</v>
      </c>
      <c r="D592" s="881" t="s">
        <v>220</v>
      </c>
      <c r="E592" s="882">
        <f>'REF. DE PREÇOS n editavel'!E592</f>
        <v>43.1</v>
      </c>
      <c r="F592" s="874">
        <f>'REF. DE PREÇOS n editavel'!F592</f>
        <v>7.6999999999999999E-2</v>
      </c>
      <c r="G592" s="923">
        <f>'REF. DE PREÇOS n editavel'!G592</f>
        <v>3.7573690000000002</v>
      </c>
      <c r="H592" s="876">
        <f>'REF. DE PREÇOS n editavel'!H592</f>
        <v>11.65</v>
      </c>
      <c r="I592" s="876">
        <f>'REF. DE PREÇOS n editavel'!I592</f>
        <v>15.407369000000001</v>
      </c>
      <c r="J592" s="877">
        <f>'REF. DE PREÇOS n editavel'!J592</f>
        <v>18.829999999999998</v>
      </c>
      <c r="K592" s="878" t="s">
        <v>13</v>
      </c>
      <c r="L592" s="1092"/>
      <c r="M592" s="1093">
        <f t="shared" si="78"/>
        <v>0</v>
      </c>
      <c r="N592" s="868">
        <f t="shared" si="77"/>
        <v>0</v>
      </c>
      <c r="O592" s="880"/>
      <c r="Q592" s="317" t="str">
        <f t="shared" si="79"/>
        <v/>
      </c>
      <c r="R592" s="317" t="str">
        <f t="shared" si="75"/>
        <v/>
      </c>
      <c r="S592" s="317" t="str">
        <f t="shared" si="76"/>
        <v/>
      </c>
      <c r="T592" s="317" t="str">
        <f>'REF. DE PREÇOS n editavel'!S592</f>
        <v/>
      </c>
      <c r="W592" s="577">
        <v>0</v>
      </c>
      <c r="X592" s="575"/>
      <c r="Y592" s="578">
        <f>IF('REF. DE PREÇOS n editavel'!W592=0,0,IF('REF. DE PREÇOS n editavel'!W592&gt;0,"c","b"))</f>
        <v>0</v>
      </c>
    </row>
    <row r="593" spans="1:25">
      <c r="A593" s="317">
        <v>810100</v>
      </c>
      <c r="B593" s="870">
        <v>810100</v>
      </c>
      <c r="C593" s="871" t="s">
        <v>184</v>
      </c>
      <c r="D593" s="881" t="s">
        <v>248</v>
      </c>
      <c r="E593" s="882">
        <f>'REF. DE PREÇOS n editavel'!E593</f>
        <v>0</v>
      </c>
      <c r="F593" s="883">
        <f>'REF. DE PREÇOS n editavel'!F593</f>
        <v>0</v>
      </c>
      <c r="G593" s="887">
        <f>'REF. DE PREÇOS n editavel'!G593</f>
        <v>41.151282199999997</v>
      </c>
      <c r="H593" s="876">
        <f>'REF. DE PREÇOS n editavel'!H593</f>
        <v>66.03</v>
      </c>
      <c r="I593" s="876">
        <f>'REF. DE PREÇOS n editavel'!I593</f>
        <v>107.1812822</v>
      </c>
      <c r="J593" s="877">
        <f>'REF. DE PREÇOS n editavel'!J593</f>
        <v>131</v>
      </c>
      <c r="K593" s="878" t="s">
        <v>13</v>
      </c>
      <c r="L593" s="1092"/>
      <c r="M593" s="1093">
        <f t="shared" si="78"/>
        <v>0</v>
      </c>
      <c r="N593" s="868">
        <f t="shared" si="77"/>
        <v>0</v>
      </c>
      <c r="O593" s="880"/>
      <c r="Q593" s="317" t="str">
        <f t="shared" si="79"/>
        <v/>
      </c>
      <c r="R593" s="317" t="str">
        <f t="shared" ref="R593:R656" si="80">IF(P593="X","x",IF(P593="y","x",IF(P593="xx","x",IF(N593&gt;0,"x",""))))</f>
        <v/>
      </c>
      <c r="S593" s="317" t="str">
        <f t="shared" ref="S593:S656" si="81">IF(P593="X","x",IF(N593&gt;0,"x",""))</f>
        <v/>
      </c>
      <c r="T593" s="317" t="str">
        <f>'REF. DE PREÇOS n editavel'!S593</f>
        <v/>
      </c>
      <c r="W593" s="577">
        <v>0</v>
      </c>
      <c r="X593" s="575"/>
      <c r="Y593" s="578">
        <f>IF('REF. DE PREÇOS n editavel'!W593=0,0,IF('REF. DE PREÇOS n editavel'!W593&gt;0,"c","b"))</f>
        <v>0</v>
      </c>
    </row>
    <row r="594" spans="1:25">
      <c r="A594" s="317" t="s">
        <v>147</v>
      </c>
      <c r="B594" s="870" t="s">
        <v>147</v>
      </c>
      <c r="C594" s="871"/>
      <c r="D594" s="931" t="s">
        <v>190</v>
      </c>
      <c r="E594" s="882">
        <f>'REF. DE PREÇOS n editavel'!E594</f>
        <v>445</v>
      </c>
      <c r="F594" s="883">
        <f>'REF. DE PREÇOS n editavel'!F594</f>
        <v>2.7799999999999998E-2</v>
      </c>
      <c r="G594" s="884">
        <f>'REF. DE PREÇOS n editavel'!G594</f>
        <v>9.8667759999999998</v>
      </c>
      <c r="H594" s="876">
        <f>'REF. DE PREÇOS n editavel'!H594</f>
        <v>0</v>
      </c>
      <c r="I594" s="876">
        <f>'REF. DE PREÇOS n editavel'!I594</f>
        <v>0</v>
      </c>
      <c r="J594" s="877">
        <f>'REF. DE PREÇOS n editavel'!J594</f>
        <v>0</v>
      </c>
      <c r="K594" s="932" t="s">
        <v>506</v>
      </c>
      <c r="L594" s="933"/>
      <c r="M594" s="1112">
        <f t="shared" si="78"/>
        <v>0</v>
      </c>
      <c r="N594" s="868">
        <f t="shared" si="77"/>
        <v>0</v>
      </c>
      <c r="O594" s="880"/>
      <c r="P594" s="58" t="str">
        <f>IF(N593&gt;0,"xx",IF(N593&gt;0,"xy",""))</f>
        <v/>
      </c>
      <c r="Q594" s="317" t="str">
        <f t="shared" si="79"/>
        <v/>
      </c>
      <c r="R594" s="317" t="str">
        <f t="shared" si="80"/>
        <v/>
      </c>
      <c r="S594" s="317" t="str">
        <f t="shared" si="81"/>
        <v/>
      </c>
      <c r="T594" s="317" t="str">
        <f>'REF. DE PREÇOS n editavel'!S594</f>
        <v/>
      </c>
      <c r="W594" s="577">
        <v>0</v>
      </c>
      <c r="X594" s="575"/>
      <c r="Y594" s="578">
        <f>IF('REF. DE PREÇOS n editavel'!W594=0,0,IF('REF. DE PREÇOS n editavel'!W594&gt;0,"c","b"))</f>
        <v>0</v>
      </c>
    </row>
    <row r="595" spans="1:25">
      <c r="A595" s="317" t="s">
        <v>147</v>
      </c>
      <c r="B595" s="870" t="s">
        <v>147</v>
      </c>
      <c r="C595" s="871"/>
      <c r="D595" s="931" t="s">
        <v>229</v>
      </c>
      <c r="E595" s="882">
        <f>'REF. DE PREÇOS n editavel'!E595</f>
        <v>290</v>
      </c>
      <c r="F595" s="883">
        <f>'REF. DE PREÇOS n editavel'!F595</f>
        <v>9.8900000000000002E-2</v>
      </c>
      <c r="G595" s="923">
        <f>'REF. DE PREÇOS n editavel'!G595</f>
        <v>30.953722000000003</v>
      </c>
      <c r="H595" s="876">
        <f>'REF. DE PREÇOS n editavel'!H595</f>
        <v>0</v>
      </c>
      <c r="I595" s="876">
        <f>'REF. DE PREÇOS n editavel'!I595</f>
        <v>0</v>
      </c>
      <c r="J595" s="877">
        <f>'REF. DE PREÇOS n editavel'!J595</f>
        <v>0</v>
      </c>
      <c r="K595" s="932" t="s">
        <v>506</v>
      </c>
      <c r="L595" s="933"/>
      <c r="M595" s="1112">
        <f t="shared" si="78"/>
        <v>0</v>
      </c>
      <c r="N595" s="868">
        <f t="shared" si="77"/>
        <v>0</v>
      </c>
      <c r="O595" s="880"/>
      <c r="P595" s="58" t="str">
        <f>IF(N593&gt;0,"xx",IF(N593&gt;0,"xy",""))</f>
        <v/>
      </c>
      <c r="Q595" s="317" t="str">
        <f t="shared" si="79"/>
        <v/>
      </c>
      <c r="R595" s="317" t="str">
        <f t="shared" si="80"/>
        <v/>
      </c>
      <c r="S595" s="317" t="str">
        <f t="shared" si="81"/>
        <v/>
      </c>
      <c r="T595" s="317" t="str">
        <f>'REF. DE PREÇOS n editavel'!S595</f>
        <v/>
      </c>
      <c r="W595" s="577">
        <v>0</v>
      </c>
      <c r="X595" s="575"/>
      <c r="Y595" s="578">
        <f>IF('REF. DE PREÇOS n editavel'!W595=0,0,IF('REF. DE PREÇOS n editavel'!W595&gt;0,"c","b"))</f>
        <v>0</v>
      </c>
    </row>
    <row r="596" spans="1:25">
      <c r="A596" s="317" t="s">
        <v>147</v>
      </c>
      <c r="B596" s="870" t="s">
        <v>147</v>
      </c>
      <c r="C596" s="871"/>
      <c r="D596" s="931" t="s">
        <v>233</v>
      </c>
      <c r="E596" s="882">
        <f>'REF. DE PREÇOS n editavel'!E596</f>
        <v>0.2</v>
      </c>
      <c r="F596" s="883">
        <f>'REF. DE PREÇOS n editavel'!F596</f>
        <v>0.1143</v>
      </c>
      <c r="G596" s="923">
        <f>'REF. DE PREÇOS n editavel'!G596</f>
        <v>0.33078420000000003</v>
      </c>
      <c r="H596" s="876">
        <f>'REF. DE PREÇOS n editavel'!H596</f>
        <v>0</v>
      </c>
      <c r="I596" s="876">
        <f>'REF. DE PREÇOS n editavel'!I596</f>
        <v>0</v>
      </c>
      <c r="J596" s="877">
        <f>'REF. DE PREÇOS n editavel'!J596</f>
        <v>0</v>
      </c>
      <c r="K596" s="932" t="s">
        <v>506</v>
      </c>
      <c r="L596" s="933"/>
      <c r="M596" s="1112">
        <f t="shared" si="78"/>
        <v>0</v>
      </c>
      <c r="N596" s="868">
        <f t="shared" si="77"/>
        <v>0</v>
      </c>
      <c r="O596" s="880"/>
      <c r="P596" s="58" t="str">
        <f>IF(N593&gt;0,"xx",IF(N593&gt;0,"xy",""))</f>
        <v/>
      </c>
      <c r="Q596" s="317" t="str">
        <f t="shared" si="79"/>
        <v/>
      </c>
      <c r="R596" s="317" t="str">
        <f t="shared" si="80"/>
        <v/>
      </c>
      <c r="S596" s="317" t="str">
        <f t="shared" si="81"/>
        <v/>
      </c>
      <c r="T596" s="317" t="str">
        <f>'REF. DE PREÇOS n editavel'!S596</f>
        <v/>
      </c>
      <c r="W596" s="577">
        <v>0</v>
      </c>
      <c r="X596" s="575"/>
      <c r="Y596" s="578">
        <f>IF('REF. DE PREÇOS n editavel'!W596=0,0,IF('REF. DE PREÇOS n editavel'!W596&gt;0,"c","b"))</f>
        <v>0</v>
      </c>
    </row>
    <row r="597" spans="1:25">
      <c r="A597" s="317">
        <v>810050</v>
      </c>
      <c r="B597" s="870">
        <v>810050</v>
      </c>
      <c r="C597" s="871" t="s">
        <v>184</v>
      </c>
      <c r="D597" s="881" t="s">
        <v>249</v>
      </c>
      <c r="E597" s="882">
        <f>'REF. DE PREÇOS n editavel'!E597</f>
        <v>28</v>
      </c>
      <c r="F597" s="883">
        <f>'REF. DE PREÇOS n editavel'!F597</f>
        <v>0.2409</v>
      </c>
      <c r="G597" s="923">
        <f>'REF. DE PREÇOS n editavel'!G597</f>
        <v>7.8629760000000006</v>
      </c>
      <c r="H597" s="876">
        <f>'REF. DE PREÇOS n editavel'!H597</f>
        <v>104.81</v>
      </c>
      <c r="I597" s="876">
        <f>'REF. DE PREÇOS n editavel'!I597</f>
        <v>112.67297600000001</v>
      </c>
      <c r="J597" s="877">
        <f>'REF. DE PREÇOS n editavel'!J597</f>
        <v>137.71</v>
      </c>
      <c r="K597" s="878" t="s">
        <v>13</v>
      </c>
      <c r="L597" s="1092"/>
      <c r="M597" s="1093">
        <f t="shared" si="78"/>
        <v>0</v>
      </c>
      <c r="N597" s="868">
        <f t="shared" ref="N597:N660" si="82">IF(ISBLANK(L597),0,IF(W597=0,ROUND(L597*M597,2),IF(W597="b",ROUNDDOWN(L597*M597,2),ROUNDUP(L597*M597,2))))</f>
        <v>0</v>
      </c>
      <c r="O597" s="880"/>
      <c r="P597" s="58"/>
      <c r="Q597" s="317" t="str">
        <f t="shared" si="79"/>
        <v/>
      </c>
      <c r="R597" s="317" t="str">
        <f t="shared" si="80"/>
        <v/>
      </c>
      <c r="S597" s="317" t="str">
        <f t="shared" si="81"/>
        <v/>
      </c>
      <c r="T597" s="317" t="str">
        <f>'REF. DE PREÇOS n editavel'!S597</f>
        <v/>
      </c>
      <c r="W597" s="577">
        <v>0</v>
      </c>
      <c r="X597" s="575"/>
      <c r="Y597" s="578">
        <f>IF('REF. DE PREÇOS n editavel'!W597=0,0,IF('REF. DE PREÇOS n editavel'!W597&gt;0,"c","b"))</f>
        <v>0</v>
      </c>
    </row>
    <row r="598" spans="1:25">
      <c r="A598" s="317">
        <v>810200</v>
      </c>
      <c r="B598" s="870">
        <v>810200</v>
      </c>
      <c r="C598" s="871" t="s">
        <v>184</v>
      </c>
      <c r="D598" s="881" t="s">
        <v>250</v>
      </c>
      <c r="E598" s="882">
        <f>'REF. DE PREÇOS n editavel'!E598</f>
        <v>0</v>
      </c>
      <c r="F598" s="883">
        <f>'REF. DE PREÇOS n editavel'!F598</f>
        <v>0</v>
      </c>
      <c r="G598" s="887">
        <f>'REF. DE PREÇOS n editavel'!G598</f>
        <v>16.758550400000004</v>
      </c>
      <c r="H598" s="876">
        <f>'REF. DE PREÇOS n editavel'!H598</f>
        <v>28.65</v>
      </c>
      <c r="I598" s="876">
        <f>'REF. DE PREÇOS n editavel'!I598</f>
        <v>45.408550400000003</v>
      </c>
      <c r="J598" s="877">
        <f>'REF. DE PREÇOS n editavel'!J598</f>
        <v>55.5</v>
      </c>
      <c r="K598" s="878" t="s">
        <v>13</v>
      </c>
      <c r="L598" s="1092"/>
      <c r="M598" s="1093">
        <f t="shared" si="78"/>
        <v>0</v>
      </c>
      <c r="N598" s="868">
        <f t="shared" si="82"/>
        <v>0</v>
      </c>
      <c r="O598" s="880"/>
      <c r="P598" s="58"/>
      <c r="Q598" s="317" t="str">
        <f t="shared" si="79"/>
        <v/>
      </c>
      <c r="R598" s="317" t="str">
        <f t="shared" si="80"/>
        <v/>
      </c>
      <c r="S598" s="317" t="str">
        <f t="shared" si="81"/>
        <v/>
      </c>
      <c r="T598" s="317" t="str">
        <f>'REF. DE PREÇOS n editavel'!S598</f>
        <v/>
      </c>
      <c r="W598" s="577">
        <v>0</v>
      </c>
      <c r="X598" s="575"/>
      <c r="Y598" s="578">
        <f>IF('REF. DE PREÇOS n editavel'!W598=0,0,IF('REF. DE PREÇOS n editavel'!W598&gt;0,"c","b"))</f>
        <v>0</v>
      </c>
    </row>
    <row r="599" spans="1:25">
      <c r="A599" s="317" t="s">
        <v>147</v>
      </c>
      <c r="B599" s="870" t="s">
        <v>147</v>
      </c>
      <c r="C599" s="871"/>
      <c r="D599" s="931" t="s">
        <v>190</v>
      </c>
      <c r="E599" s="882">
        <f>'REF. DE PREÇOS n editavel'!E599</f>
        <v>445</v>
      </c>
      <c r="F599" s="883">
        <f>'REF. DE PREÇOS n editavel'!F599</f>
        <v>1.1299999999999999E-2</v>
      </c>
      <c r="G599" s="884">
        <f>'REF. DE PREÇOS n editavel'!G599</f>
        <v>4.0105959999999996</v>
      </c>
      <c r="H599" s="876">
        <f>'REF. DE PREÇOS n editavel'!H599</f>
        <v>0</v>
      </c>
      <c r="I599" s="876">
        <f>'REF. DE PREÇOS n editavel'!I599</f>
        <v>0</v>
      </c>
      <c r="J599" s="877">
        <f>'REF. DE PREÇOS n editavel'!J599</f>
        <v>0</v>
      </c>
      <c r="K599" s="932" t="s">
        <v>506</v>
      </c>
      <c r="L599" s="933"/>
      <c r="M599" s="1112">
        <f t="shared" si="78"/>
        <v>0</v>
      </c>
      <c r="N599" s="868">
        <f t="shared" si="82"/>
        <v>0</v>
      </c>
      <c r="O599" s="880"/>
      <c r="P599" s="58" t="str">
        <f>IF(N598&gt;0,"xx",IF(N598&gt;0,"xy",""))</f>
        <v/>
      </c>
      <c r="Q599" s="317" t="str">
        <f t="shared" si="79"/>
        <v/>
      </c>
      <c r="R599" s="317" t="str">
        <f t="shared" si="80"/>
        <v/>
      </c>
      <c r="S599" s="317" t="str">
        <f t="shared" si="81"/>
        <v/>
      </c>
      <c r="T599" s="317" t="str">
        <f>'REF. DE PREÇOS n editavel'!S599</f>
        <v/>
      </c>
      <c r="W599" s="577">
        <v>0</v>
      </c>
      <c r="X599" s="575"/>
      <c r="Y599" s="578">
        <f>IF('REF. DE PREÇOS n editavel'!W599=0,0,IF('REF. DE PREÇOS n editavel'!W599&gt;0,"c","b"))</f>
        <v>0</v>
      </c>
    </row>
    <row r="600" spans="1:25">
      <c r="A600" s="317" t="s">
        <v>147</v>
      </c>
      <c r="B600" s="870" t="s">
        <v>147</v>
      </c>
      <c r="C600" s="871"/>
      <c r="D600" s="931" t="s">
        <v>229</v>
      </c>
      <c r="E600" s="882">
        <f>'REF. DE PREÇOS n editavel'!E600</f>
        <v>290</v>
      </c>
      <c r="F600" s="883">
        <f>'REF. DE PREÇOS n editavel'!F600</f>
        <v>4.0300000000000002E-2</v>
      </c>
      <c r="G600" s="923">
        <f>'REF. DE PREÇOS n editavel'!G600</f>
        <v>12.613094000000002</v>
      </c>
      <c r="H600" s="876">
        <f>'REF. DE PREÇOS n editavel'!H600</f>
        <v>0</v>
      </c>
      <c r="I600" s="876">
        <f>'REF. DE PREÇOS n editavel'!I600</f>
        <v>0</v>
      </c>
      <c r="J600" s="877">
        <f>'REF. DE PREÇOS n editavel'!J600</f>
        <v>0</v>
      </c>
      <c r="K600" s="932" t="s">
        <v>506</v>
      </c>
      <c r="L600" s="933"/>
      <c r="M600" s="1112">
        <f t="shared" si="78"/>
        <v>0</v>
      </c>
      <c r="N600" s="868">
        <f t="shared" si="82"/>
        <v>0</v>
      </c>
      <c r="O600" s="880"/>
      <c r="P600" s="58" t="str">
        <f>IF(N598&gt;0,"xx",IF(N598&gt;0,"xy",""))</f>
        <v/>
      </c>
      <c r="Q600" s="317" t="str">
        <f t="shared" si="79"/>
        <v/>
      </c>
      <c r="R600" s="317" t="str">
        <f t="shared" si="80"/>
        <v/>
      </c>
      <c r="S600" s="317" t="str">
        <f t="shared" si="81"/>
        <v/>
      </c>
      <c r="T600" s="317" t="str">
        <f>'REF. DE PREÇOS n editavel'!S600</f>
        <v/>
      </c>
      <c r="W600" s="577">
        <v>0</v>
      </c>
      <c r="X600" s="575"/>
      <c r="Y600" s="578">
        <f>IF('REF. DE PREÇOS n editavel'!W600=0,0,IF('REF. DE PREÇOS n editavel'!W600&gt;0,"c","b"))</f>
        <v>0</v>
      </c>
    </row>
    <row r="601" spans="1:25">
      <c r="A601" s="317" t="s">
        <v>147</v>
      </c>
      <c r="B601" s="870" t="s">
        <v>147</v>
      </c>
      <c r="C601" s="871"/>
      <c r="D601" s="931" t="s">
        <v>233</v>
      </c>
      <c r="E601" s="882">
        <f>'REF. DE PREÇOS n editavel'!E601</f>
        <v>0.2</v>
      </c>
      <c r="F601" s="883">
        <f>'REF. DE PREÇOS n editavel'!F601</f>
        <v>4.6600000000000003E-2</v>
      </c>
      <c r="G601" s="923">
        <f>'REF. DE PREÇOS n editavel'!G601</f>
        <v>0.13486040000000002</v>
      </c>
      <c r="H601" s="876">
        <f>'REF. DE PREÇOS n editavel'!H601</f>
        <v>0</v>
      </c>
      <c r="I601" s="876">
        <f>'REF. DE PREÇOS n editavel'!I601</f>
        <v>0</v>
      </c>
      <c r="J601" s="877">
        <f>'REF. DE PREÇOS n editavel'!J601</f>
        <v>0</v>
      </c>
      <c r="K601" s="932" t="s">
        <v>506</v>
      </c>
      <c r="L601" s="933"/>
      <c r="M601" s="1112">
        <f t="shared" si="78"/>
        <v>0</v>
      </c>
      <c r="N601" s="868">
        <f t="shared" si="82"/>
        <v>0</v>
      </c>
      <c r="O601" s="880"/>
      <c r="P601" s="58" t="str">
        <f>IF(N598&gt;0,"xx",IF(N598&gt;0,"xy",""))</f>
        <v/>
      </c>
      <c r="Q601" s="317" t="str">
        <f t="shared" si="79"/>
        <v/>
      </c>
      <c r="R601" s="317" t="str">
        <f t="shared" si="80"/>
        <v/>
      </c>
      <c r="S601" s="317" t="str">
        <f t="shared" si="81"/>
        <v/>
      </c>
      <c r="T601" s="317" t="str">
        <f>'REF. DE PREÇOS n editavel'!S601</f>
        <v/>
      </c>
      <c r="W601" s="577">
        <v>0</v>
      </c>
      <c r="X601" s="575"/>
      <c r="Y601" s="578">
        <f>IF('REF. DE PREÇOS n editavel'!W601=0,0,IF('REF. DE PREÇOS n editavel'!W601&gt;0,"c","b"))</f>
        <v>0</v>
      </c>
    </row>
    <row r="602" spans="1:25">
      <c r="A602" s="317">
        <v>810150</v>
      </c>
      <c r="B602" s="870">
        <v>810150</v>
      </c>
      <c r="C602" s="871" t="s">
        <v>184</v>
      </c>
      <c r="D602" s="881" t="s">
        <v>251</v>
      </c>
      <c r="E602" s="882">
        <f>'REF. DE PREÇOS n editavel'!E602</f>
        <v>28</v>
      </c>
      <c r="F602" s="883">
        <f>'REF. DE PREÇOS n editavel'!F602</f>
        <v>9.8199999999999996E-2</v>
      </c>
      <c r="G602" s="923">
        <f>'REF. DE PREÇOS n editavel'!G602</f>
        <v>3.2052480000000001</v>
      </c>
      <c r="H602" s="876">
        <f>'REF. DE PREÇOS n editavel'!H602</f>
        <v>48.6</v>
      </c>
      <c r="I602" s="876">
        <f>'REF. DE PREÇOS n editavel'!I602</f>
        <v>51.805247999999999</v>
      </c>
      <c r="J602" s="877">
        <f>'REF. DE PREÇOS n editavel'!J602</f>
        <v>63.32</v>
      </c>
      <c r="K602" s="878" t="s">
        <v>13</v>
      </c>
      <c r="L602" s="1092"/>
      <c r="M602" s="1093">
        <f t="shared" si="78"/>
        <v>0</v>
      </c>
      <c r="N602" s="868">
        <f t="shared" si="82"/>
        <v>0</v>
      </c>
      <c r="O602" s="880"/>
      <c r="Q602" s="317" t="str">
        <f t="shared" si="79"/>
        <v/>
      </c>
      <c r="R602" s="317" t="str">
        <f t="shared" si="80"/>
        <v/>
      </c>
      <c r="S602" s="317" t="str">
        <f t="shared" si="81"/>
        <v/>
      </c>
      <c r="T602" s="317" t="str">
        <f>'REF. DE PREÇOS n editavel'!S602</f>
        <v/>
      </c>
      <c r="W602" s="577">
        <v>0</v>
      </c>
      <c r="X602" s="575"/>
      <c r="Y602" s="578">
        <f>IF('REF. DE PREÇOS n editavel'!W602=0,0,IF('REF. DE PREÇOS n editavel'!W602&gt;0,"c","b"))</f>
        <v>0</v>
      </c>
    </row>
    <row r="603" spans="1:25">
      <c r="A603" s="317">
        <v>810700</v>
      </c>
      <c r="B603" s="870">
        <v>810700</v>
      </c>
      <c r="C603" s="871" t="s">
        <v>184</v>
      </c>
      <c r="D603" s="881" t="s">
        <v>252</v>
      </c>
      <c r="E603" s="882">
        <f>'REF. DE PREÇOS n editavel'!E603</f>
        <v>0</v>
      </c>
      <c r="F603" s="883">
        <f>'REF. DE PREÇOS n editavel'!F603</f>
        <v>0</v>
      </c>
      <c r="G603" s="887">
        <f>'REF. DE PREÇOS n editavel'!G603</f>
        <v>12.407685600000001</v>
      </c>
      <c r="H603" s="876">
        <f>'REF. DE PREÇOS n editavel'!H603</f>
        <v>23.47</v>
      </c>
      <c r="I603" s="876">
        <f>'REF. DE PREÇOS n editavel'!I603</f>
        <v>35.8776856</v>
      </c>
      <c r="J603" s="877">
        <f>'REF. DE PREÇOS n editavel'!J603</f>
        <v>43.85</v>
      </c>
      <c r="K603" s="878" t="s">
        <v>13</v>
      </c>
      <c r="L603" s="1092"/>
      <c r="M603" s="1093">
        <f t="shared" si="78"/>
        <v>0</v>
      </c>
      <c r="N603" s="868">
        <f t="shared" si="82"/>
        <v>0</v>
      </c>
      <c r="O603" s="880"/>
      <c r="Q603" s="317" t="str">
        <f t="shared" si="79"/>
        <v/>
      </c>
      <c r="R603" s="317" t="str">
        <f t="shared" si="80"/>
        <v/>
      </c>
      <c r="S603" s="317" t="str">
        <f t="shared" si="81"/>
        <v/>
      </c>
      <c r="T603" s="317" t="str">
        <f>'REF. DE PREÇOS n editavel'!S603</f>
        <v/>
      </c>
      <c r="W603" s="577">
        <v>0</v>
      </c>
      <c r="X603" s="575"/>
      <c r="Y603" s="578">
        <f>IF('REF. DE PREÇOS n editavel'!W603=0,0,IF('REF. DE PREÇOS n editavel'!W603&gt;0,"c","b"))</f>
        <v>0</v>
      </c>
    </row>
    <row r="604" spans="1:25">
      <c r="A604" s="317" t="s">
        <v>147</v>
      </c>
      <c r="B604" s="870" t="s">
        <v>147</v>
      </c>
      <c r="C604" s="871"/>
      <c r="D604" s="931" t="s">
        <v>190</v>
      </c>
      <c r="E604" s="882">
        <f>'REF. DE PREÇOS n editavel'!E604</f>
        <v>445</v>
      </c>
      <c r="F604" s="883">
        <f>'REF. DE PREÇOS n editavel'!F604</f>
        <v>8.3999999999999995E-3</v>
      </c>
      <c r="G604" s="884">
        <f>'REF. DE PREÇOS n editavel'!G604</f>
        <v>2.981328</v>
      </c>
      <c r="H604" s="876">
        <f>'REF. DE PREÇOS n editavel'!H604</f>
        <v>0</v>
      </c>
      <c r="I604" s="876">
        <f>'REF. DE PREÇOS n editavel'!I604</f>
        <v>0</v>
      </c>
      <c r="J604" s="877">
        <f>'REF. DE PREÇOS n editavel'!J604</f>
        <v>0</v>
      </c>
      <c r="K604" s="932" t="s">
        <v>506</v>
      </c>
      <c r="L604" s="933"/>
      <c r="M604" s="1112">
        <f t="shared" si="78"/>
        <v>0</v>
      </c>
      <c r="N604" s="868">
        <f t="shared" si="82"/>
        <v>0</v>
      </c>
      <c r="O604" s="880"/>
      <c r="P604" s="58" t="str">
        <f>IF(N603&gt;0,"xx",IF(N603&gt;0,"xy",""))</f>
        <v/>
      </c>
      <c r="Q604" s="317" t="str">
        <f t="shared" si="79"/>
        <v/>
      </c>
      <c r="R604" s="317" t="str">
        <f t="shared" si="80"/>
        <v/>
      </c>
      <c r="S604" s="317" t="str">
        <f t="shared" si="81"/>
        <v/>
      </c>
      <c r="T604" s="317" t="str">
        <f>'REF. DE PREÇOS n editavel'!S604</f>
        <v/>
      </c>
      <c r="W604" s="577">
        <v>0</v>
      </c>
      <c r="X604" s="575"/>
      <c r="Y604" s="578">
        <f>IF('REF. DE PREÇOS n editavel'!W604=0,0,IF('REF. DE PREÇOS n editavel'!W604&gt;0,"c","b"))</f>
        <v>0</v>
      </c>
    </row>
    <row r="605" spans="1:25">
      <c r="A605" s="317" t="s">
        <v>147</v>
      </c>
      <c r="B605" s="870" t="s">
        <v>147</v>
      </c>
      <c r="C605" s="871"/>
      <c r="D605" s="931" t="s">
        <v>229</v>
      </c>
      <c r="E605" s="882">
        <f>'REF. DE PREÇOS n editavel'!E605</f>
        <v>290</v>
      </c>
      <c r="F605" s="883">
        <f>'REF. DE PREÇOS n editavel'!F605</f>
        <v>2.98E-2</v>
      </c>
      <c r="G605" s="923">
        <f>'REF. DE PREÇOS n editavel'!G605</f>
        <v>9.326804000000001</v>
      </c>
      <c r="H605" s="876">
        <f>'REF. DE PREÇOS n editavel'!H605</f>
        <v>0</v>
      </c>
      <c r="I605" s="876">
        <f>'REF. DE PREÇOS n editavel'!I605</f>
        <v>0</v>
      </c>
      <c r="J605" s="877">
        <f>'REF. DE PREÇOS n editavel'!J605</f>
        <v>0</v>
      </c>
      <c r="K605" s="932" t="s">
        <v>506</v>
      </c>
      <c r="L605" s="933"/>
      <c r="M605" s="1112">
        <f t="shared" si="78"/>
        <v>0</v>
      </c>
      <c r="N605" s="868">
        <f t="shared" si="82"/>
        <v>0</v>
      </c>
      <c r="O605" s="880"/>
      <c r="P605" s="58" t="str">
        <f>IF(N603&gt;0,"xx",IF(N603&gt;0,"xy",""))</f>
        <v/>
      </c>
      <c r="Q605" s="317" t="str">
        <f t="shared" si="79"/>
        <v/>
      </c>
      <c r="R605" s="317" t="str">
        <f t="shared" si="80"/>
        <v/>
      </c>
      <c r="S605" s="317" t="str">
        <f t="shared" si="81"/>
        <v/>
      </c>
      <c r="T605" s="317" t="str">
        <f>'REF. DE PREÇOS n editavel'!S605</f>
        <v/>
      </c>
      <c r="W605" s="577">
        <v>0</v>
      </c>
      <c r="X605" s="575"/>
      <c r="Y605" s="578">
        <f>IF('REF. DE PREÇOS n editavel'!W605=0,0,IF('REF. DE PREÇOS n editavel'!W605&gt;0,"c","b"))</f>
        <v>0</v>
      </c>
    </row>
    <row r="606" spans="1:25">
      <c r="A606" s="317" t="s">
        <v>147</v>
      </c>
      <c r="B606" s="870" t="s">
        <v>147</v>
      </c>
      <c r="C606" s="871"/>
      <c r="D606" s="931" t="s">
        <v>233</v>
      </c>
      <c r="E606" s="882">
        <f>'REF. DE PREÇOS n editavel'!E606</f>
        <v>0.2</v>
      </c>
      <c r="F606" s="883">
        <f>'REF. DE PREÇOS n editavel'!F606</f>
        <v>3.44E-2</v>
      </c>
      <c r="G606" s="923">
        <f>'REF. DE PREÇOS n editavel'!G606</f>
        <v>9.9553600000000006E-2</v>
      </c>
      <c r="H606" s="876">
        <f>'REF. DE PREÇOS n editavel'!H606</f>
        <v>0</v>
      </c>
      <c r="I606" s="876">
        <f>'REF. DE PREÇOS n editavel'!I606</f>
        <v>0</v>
      </c>
      <c r="J606" s="877">
        <f>'REF. DE PREÇOS n editavel'!J606</f>
        <v>0</v>
      </c>
      <c r="K606" s="932" t="s">
        <v>506</v>
      </c>
      <c r="L606" s="933"/>
      <c r="M606" s="1112">
        <f t="shared" si="78"/>
        <v>0</v>
      </c>
      <c r="N606" s="868">
        <f t="shared" si="82"/>
        <v>0</v>
      </c>
      <c r="O606" s="880"/>
      <c r="P606" s="58" t="str">
        <f>IF(N603&gt;0,"xx",IF(N603&gt;0,"xy",""))</f>
        <v/>
      </c>
      <c r="Q606" s="317" t="str">
        <f t="shared" si="79"/>
        <v/>
      </c>
      <c r="R606" s="317" t="str">
        <f t="shared" si="80"/>
        <v/>
      </c>
      <c r="S606" s="317" t="str">
        <f t="shared" si="81"/>
        <v/>
      </c>
      <c r="T606" s="317" t="str">
        <f>'REF. DE PREÇOS n editavel'!S606</f>
        <v/>
      </c>
      <c r="W606" s="577">
        <v>0</v>
      </c>
      <c r="X606" s="575"/>
      <c r="Y606" s="578">
        <f>IF('REF. DE PREÇOS n editavel'!W606=0,0,IF('REF. DE PREÇOS n editavel'!W606&gt;0,"c","b"))</f>
        <v>0</v>
      </c>
    </row>
    <row r="607" spans="1:25">
      <c r="A607" s="317">
        <v>810650</v>
      </c>
      <c r="B607" s="870">
        <v>810650</v>
      </c>
      <c r="C607" s="871" t="s">
        <v>184</v>
      </c>
      <c r="D607" s="881" t="s">
        <v>253</v>
      </c>
      <c r="E607" s="882">
        <f>'REF. DE PREÇOS n editavel'!E607</f>
        <v>28</v>
      </c>
      <c r="F607" s="883">
        <f>'REF. DE PREÇOS n editavel'!F607</f>
        <v>7.2599999999999998E-2</v>
      </c>
      <c r="G607" s="923">
        <f>'REF. DE PREÇOS n editavel'!G607</f>
        <v>2.3696639999999998</v>
      </c>
      <c r="H607" s="876">
        <f>'REF. DE PREÇOS n editavel'!H607</f>
        <v>40.98</v>
      </c>
      <c r="I607" s="876">
        <f>'REF. DE PREÇOS n editavel'!I607</f>
        <v>43.349663999999997</v>
      </c>
      <c r="J607" s="877">
        <f>'REF. DE PREÇOS n editavel'!J607</f>
        <v>52.98</v>
      </c>
      <c r="K607" s="878" t="s">
        <v>13</v>
      </c>
      <c r="L607" s="1092"/>
      <c r="M607" s="1093">
        <f t="shared" si="78"/>
        <v>0</v>
      </c>
      <c r="N607" s="868">
        <f t="shared" si="82"/>
        <v>0</v>
      </c>
      <c r="O607" s="880"/>
      <c r="Q607" s="317" t="str">
        <f t="shared" si="79"/>
        <v/>
      </c>
      <c r="R607" s="317" t="str">
        <f t="shared" si="80"/>
        <v/>
      </c>
      <c r="S607" s="317" t="str">
        <f t="shared" si="81"/>
        <v/>
      </c>
      <c r="T607" s="317" t="str">
        <f>'REF. DE PREÇOS n editavel'!S607</f>
        <v/>
      </c>
      <c r="W607" s="577">
        <v>0</v>
      </c>
      <c r="X607" s="575"/>
      <c r="Y607" s="578">
        <f>IF('REF. DE PREÇOS n editavel'!W607=0,0,IF('REF. DE PREÇOS n editavel'!W607&gt;0,"c","b"))</f>
        <v>0</v>
      </c>
    </row>
    <row r="608" spans="1:25">
      <c r="A608" s="317">
        <v>810300</v>
      </c>
      <c r="B608" s="870">
        <v>810300</v>
      </c>
      <c r="C608" s="871" t="s">
        <v>184</v>
      </c>
      <c r="D608" s="881" t="s">
        <v>254</v>
      </c>
      <c r="E608" s="882">
        <f>'REF. DE PREÇOS n editavel'!E608</f>
        <v>0</v>
      </c>
      <c r="F608" s="883">
        <f>'REF. DE PREÇOS n editavel'!F608</f>
        <v>0</v>
      </c>
      <c r="G608" s="887">
        <f>'REF. DE PREÇOS n editavel'!G608</f>
        <v>13.5775158</v>
      </c>
      <c r="H608" s="876">
        <f>'REF. DE PREÇOS n editavel'!H608</f>
        <v>22.58</v>
      </c>
      <c r="I608" s="876">
        <f>'REF. DE PREÇOS n editavel'!I608</f>
        <v>36.157515799999999</v>
      </c>
      <c r="J608" s="877">
        <f>'REF. DE PREÇOS n editavel'!J608</f>
        <v>44.19</v>
      </c>
      <c r="K608" s="878" t="s">
        <v>13</v>
      </c>
      <c r="L608" s="1092"/>
      <c r="M608" s="1093">
        <f t="shared" si="78"/>
        <v>0</v>
      </c>
      <c r="N608" s="868">
        <f t="shared" si="82"/>
        <v>0</v>
      </c>
      <c r="O608" s="880"/>
      <c r="Q608" s="317" t="str">
        <f t="shared" si="79"/>
        <v/>
      </c>
      <c r="R608" s="317" t="str">
        <f t="shared" si="80"/>
        <v/>
      </c>
      <c r="S608" s="317" t="str">
        <f t="shared" si="81"/>
        <v/>
      </c>
      <c r="T608" s="317" t="str">
        <f>'REF. DE PREÇOS n editavel'!S608</f>
        <v/>
      </c>
      <c r="W608" s="577">
        <v>0</v>
      </c>
      <c r="X608" s="575"/>
      <c r="Y608" s="578">
        <f>IF('REF. DE PREÇOS n editavel'!W608=0,0,IF('REF. DE PREÇOS n editavel'!W608&gt;0,"c","b"))</f>
        <v>0</v>
      </c>
    </row>
    <row r="609" spans="1:25">
      <c r="A609" s="317" t="s">
        <v>147</v>
      </c>
      <c r="B609" s="870" t="s">
        <v>147</v>
      </c>
      <c r="C609" s="871"/>
      <c r="D609" s="931" t="s">
        <v>190</v>
      </c>
      <c r="E609" s="882">
        <f>'REF. DE PREÇOS n editavel'!E609</f>
        <v>445</v>
      </c>
      <c r="F609" s="883">
        <f>'REF. DE PREÇOS n editavel'!F609</f>
        <v>9.1999999999999998E-3</v>
      </c>
      <c r="G609" s="884">
        <f>'REF. DE PREÇOS n editavel'!G609</f>
        <v>3.2652640000000002</v>
      </c>
      <c r="H609" s="876">
        <f>'REF. DE PREÇOS n editavel'!H609</f>
        <v>0</v>
      </c>
      <c r="I609" s="876">
        <f>'REF. DE PREÇOS n editavel'!I609</f>
        <v>0</v>
      </c>
      <c r="J609" s="877">
        <f>'REF. DE PREÇOS n editavel'!J609</f>
        <v>0</v>
      </c>
      <c r="K609" s="932" t="s">
        <v>506</v>
      </c>
      <c r="L609" s="933"/>
      <c r="M609" s="1112">
        <f t="shared" si="78"/>
        <v>0</v>
      </c>
      <c r="N609" s="868">
        <f t="shared" si="82"/>
        <v>0</v>
      </c>
      <c r="O609" s="880"/>
      <c r="P609" s="58" t="str">
        <f>IF(N608&gt;0,"xx",IF(N608&gt;0,"xy",""))</f>
        <v/>
      </c>
      <c r="Q609" s="317" t="str">
        <f t="shared" si="79"/>
        <v/>
      </c>
      <c r="R609" s="317" t="str">
        <f t="shared" si="80"/>
        <v/>
      </c>
      <c r="S609" s="317" t="str">
        <f t="shared" si="81"/>
        <v/>
      </c>
      <c r="T609" s="317" t="str">
        <f>'REF. DE PREÇOS n editavel'!S609</f>
        <v/>
      </c>
      <c r="W609" s="577">
        <v>0</v>
      </c>
      <c r="X609" s="575"/>
      <c r="Y609" s="578">
        <f>IF('REF. DE PREÇOS n editavel'!W609=0,0,IF('REF. DE PREÇOS n editavel'!W609&gt;0,"c","b"))</f>
        <v>0</v>
      </c>
    </row>
    <row r="610" spans="1:25">
      <c r="A610" s="317" t="s">
        <v>147</v>
      </c>
      <c r="B610" s="870" t="s">
        <v>147</v>
      </c>
      <c r="C610" s="871"/>
      <c r="D610" s="931" t="s">
        <v>229</v>
      </c>
      <c r="E610" s="882">
        <f>'REF. DE PREÇOS n editavel'!E610</f>
        <v>290</v>
      </c>
      <c r="F610" s="883">
        <f>'REF. DE PREÇOS n editavel'!F610</f>
        <v>3.2599999999999997E-2</v>
      </c>
      <c r="G610" s="923">
        <f>'REF. DE PREÇOS n editavel'!G610</f>
        <v>10.203148000000001</v>
      </c>
      <c r="H610" s="876">
        <f>'REF. DE PREÇOS n editavel'!H610</f>
        <v>0</v>
      </c>
      <c r="I610" s="876">
        <f>'REF. DE PREÇOS n editavel'!I610</f>
        <v>0</v>
      </c>
      <c r="J610" s="877">
        <f>'REF. DE PREÇOS n editavel'!J610</f>
        <v>0</v>
      </c>
      <c r="K610" s="932" t="s">
        <v>506</v>
      </c>
      <c r="L610" s="933"/>
      <c r="M610" s="1112">
        <f t="shared" si="78"/>
        <v>0</v>
      </c>
      <c r="N610" s="868">
        <f t="shared" si="82"/>
        <v>0</v>
      </c>
      <c r="O610" s="880"/>
      <c r="P610" s="58" t="str">
        <f>IF(N608&gt;0,"xx",IF(N608&gt;0,"xy",""))</f>
        <v/>
      </c>
      <c r="Q610" s="317" t="str">
        <f t="shared" si="79"/>
        <v/>
      </c>
      <c r="R610" s="317" t="str">
        <f t="shared" si="80"/>
        <v/>
      </c>
      <c r="S610" s="317" t="str">
        <f t="shared" si="81"/>
        <v/>
      </c>
      <c r="T610" s="317" t="str">
        <f>'REF. DE PREÇOS n editavel'!S610</f>
        <v/>
      </c>
      <c r="W610" s="577">
        <v>0</v>
      </c>
      <c r="X610" s="575"/>
      <c r="Y610" s="578">
        <f>IF('REF. DE PREÇOS n editavel'!W610=0,0,IF('REF. DE PREÇOS n editavel'!W610&gt;0,"c","b"))</f>
        <v>0</v>
      </c>
    </row>
    <row r="611" spans="1:25">
      <c r="A611" s="317" t="s">
        <v>147</v>
      </c>
      <c r="B611" s="870" t="s">
        <v>147</v>
      </c>
      <c r="C611" s="871"/>
      <c r="D611" s="931" t="s">
        <v>233</v>
      </c>
      <c r="E611" s="882">
        <f>'REF. DE PREÇOS n editavel'!E611</f>
        <v>0.2</v>
      </c>
      <c r="F611" s="883">
        <f>'REF. DE PREÇOS n editavel'!F611</f>
        <v>3.7699999999999997E-2</v>
      </c>
      <c r="G611" s="923">
        <f>'REF. DE PREÇOS n editavel'!G611</f>
        <v>0.1091038</v>
      </c>
      <c r="H611" s="876">
        <f>'REF. DE PREÇOS n editavel'!H611</f>
        <v>0</v>
      </c>
      <c r="I611" s="876">
        <f>'REF. DE PREÇOS n editavel'!I611</f>
        <v>0</v>
      </c>
      <c r="J611" s="877">
        <f>'REF. DE PREÇOS n editavel'!J611</f>
        <v>0</v>
      </c>
      <c r="K611" s="932" t="s">
        <v>506</v>
      </c>
      <c r="L611" s="933"/>
      <c r="M611" s="1112">
        <f t="shared" si="78"/>
        <v>0</v>
      </c>
      <c r="N611" s="868">
        <f t="shared" si="82"/>
        <v>0</v>
      </c>
      <c r="O611" s="880"/>
      <c r="P611" s="58" t="str">
        <f>IF(N608&gt;0,"xx",IF(N608&gt;0,"xy",""))</f>
        <v/>
      </c>
      <c r="Q611" s="317" t="str">
        <f t="shared" si="79"/>
        <v/>
      </c>
      <c r="R611" s="317" t="str">
        <f t="shared" si="80"/>
        <v/>
      </c>
      <c r="S611" s="317" t="str">
        <f t="shared" si="81"/>
        <v/>
      </c>
      <c r="T611" s="317" t="str">
        <f>'REF. DE PREÇOS n editavel'!S611</f>
        <v/>
      </c>
      <c r="W611" s="577">
        <v>0</v>
      </c>
      <c r="X611" s="575"/>
      <c r="Y611" s="578">
        <f>IF('REF. DE PREÇOS n editavel'!W611=0,0,IF('REF. DE PREÇOS n editavel'!W611&gt;0,"c","b"))</f>
        <v>0</v>
      </c>
    </row>
    <row r="612" spans="1:25">
      <c r="A612" s="317">
        <v>810250</v>
      </c>
      <c r="B612" s="870" t="s">
        <v>1694</v>
      </c>
      <c r="C612" s="871" t="s">
        <v>184</v>
      </c>
      <c r="D612" s="881" t="s">
        <v>255</v>
      </c>
      <c r="E612" s="882">
        <f>'REF. DE PREÇOS n editavel'!E612</f>
        <v>28</v>
      </c>
      <c r="F612" s="883">
        <f>'REF. DE PREÇOS n editavel'!F612</f>
        <v>7.9500000000000001E-2</v>
      </c>
      <c r="G612" s="923">
        <f>'REF. DE PREÇOS n editavel'!G612</f>
        <v>2.5948800000000003</v>
      </c>
      <c r="H612" s="876">
        <f>'REF. DE PREÇOS n editavel'!H612</f>
        <v>40.090000000000003</v>
      </c>
      <c r="I612" s="876">
        <f>'REF. DE PREÇOS n editavel'!I612</f>
        <v>42.684880000000007</v>
      </c>
      <c r="J612" s="877">
        <f>'REF. DE PREÇOS n editavel'!J612</f>
        <v>52.17</v>
      </c>
      <c r="K612" s="878" t="s">
        <v>13</v>
      </c>
      <c r="L612" s="1092"/>
      <c r="M612" s="1093">
        <f t="shared" si="78"/>
        <v>0</v>
      </c>
      <c r="N612" s="868">
        <f t="shared" si="82"/>
        <v>0</v>
      </c>
      <c r="O612" s="880"/>
      <c r="Q612" s="317" t="str">
        <f t="shared" si="79"/>
        <v/>
      </c>
      <c r="R612" s="317" t="str">
        <f t="shared" si="80"/>
        <v/>
      </c>
      <c r="S612" s="317" t="str">
        <f t="shared" si="81"/>
        <v/>
      </c>
      <c r="T612" s="317" t="str">
        <f>'REF. DE PREÇOS n editavel'!S612</f>
        <v/>
      </c>
      <c r="W612" s="577">
        <v>0</v>
      </c>
      <c r="X612" s="575"/>
      <c r="Y612" s="578">
        <f>IF('REF. DE PREÇOS n editavel'!W612=0,0,IF('REF. DE PREÇOS n editavel'!W612&gt;0,"c","b"))</f>
        <v>0</v>
      </c>
    </row>
    <row r="613" spans="1:25">
      <c r="A613" s="317">
        <v>810400</v>
      </c>
      <c r="B613" s="870">
        <v>810400</v>
      </c>
      <c r="C613" s="871" t="s">
        <v>184</v>
      </c>
      <c r="D613" s="881" t="s">
        <v>256</v>
      </c>
      <c r="E613" s="882">
        <f>'REF. DE PREÇOS n editavel'!E613</f>
        <v>0</v>
      </c>
      <c r="F613" s="883">
        <f>'REF. DE PREÇOS n editavel'!F613</f>
        <v>0</v>
      </c>
      <c r="G613" s="887">
        <f>'REF. DE PREÇOS n editavel'!G613</f>
        <v>28.7435966</v>
      </c>
      <c r="H613" s="876">
        <f>'REF. DE PREÇOS n editavel'!H613</f>
        <v>41.97</v>
      </c>
      <c r="I613" s="876">
        <f>'REF. DE PREÇOS n editavel'!I613</f>
        <v>70.713596600000002</v>
      </c>
      <c r="J613" s="877">
        <f>'REF. DE PREÇOS n editavel'!J613</f>
        <v>86.43</v>
      </c>
      <c r="K613" s="878" t="s">
        <v>13</v>
      </c>
      <c r="L613" s="1092"/>
      <c r="M613" s="1093">
        <f t="shared" si="78"/>
        <v>0</v>
      </c>
      <c r="N613" s="868">
        <f t="shared" si="82"/>
        <v>0</v>
      </c>
      <c r="O613" s="880"/>
      <c r="Q613" s="317" t="str">
        <f t="shared" si="79"/>
        <v/>
      </c>
      <c r="R613" s="317" t="str">
        <f t="shared" si="80"/>
        <v/>
      </c>
      <c r="S613" s="317" t="str">
        <f t="shared" si="81"/>
        <v/>
      </c>
      <c r="T613" s="317" t="str">
        <f>'REF. DE PREÇOS n editavel'!S613</f>
        <v/>
      </c>
      <c r="W613" s="577">
        <v>0</v>
      </c>
      <c r="X613" s="575"/>
      <c r="Y613" s="578">
        <f>IF('REF. DE PREÇOS n editavel'!W613=0,0,IF('REF. DE PREÇOS n editavel'!W613&gt;0,"c","b"))</f>
        <v>0</v>
      </c>
    </row>
    <row r="614" spans="1:25">
      <c r="A614" s="317" t="s">
        <v>147</v>
      </c>
      <c r="B614" s="870" t="s">
        <v>147</v>
      </c>
      <c r="C614" s="871"/>
      <c r="D614" s="931" t="s">
        <v>190</v>
      </c>
      <c r="E614" s="882">
        <f>'REF. DE PREÇOS n editavel'!E614</f>
        <v>445</v>
      </c>
      <c r="F614" s="883">
        <f>'REF. DE PREÇOS n editavel'!F614</f>
        <v>1.9400000000000001E-2</v>
      </c>
      <c r="G614" s="884">
        <f>'REF. DE PREÇOS n editavel'!G614</f>
        <v>6.8854480000000002</v>
      </c>
      <c r="H614" s="876">
        <f>'REF. DE PREÇOS n editavel'!H614</f>
        <v>0</v>
      </c>
      <c r="I614" s="876">
        <f>'REF. DE PREÇOS n editavel'!I614</f>
        <v>0</v>
      </c>
      <c r="J614" s="877">
        <f>'REF. DE PREÇOS n editavel'!J614</f>
        <v>0</v>
      </c>
      <c r="K614" s="932" t="s">
        <v>506</v>
      </c>
      <c r="L614" s="933"/>
      <c r="M614" s="1112">
        <f t="shared" si="78"/>
        <v>0</v>
      </c>
      <c r="N614" s="868">
        <f t="shared" si="82"/>
        <v>0</v>
      </c>
      <c r="O614" s="880"/>
      <c r="P614" s="58" t="str">
        <f>IF(N613&gt;0,"xx",IF(N613&gt;0,"xy",""))</f>
        <v/>
      </c>
      <c r="Q614" s="317" t="str">
        <f t="shared" si="79"/>
        <v/>
      </c>
      <c r="R614" s="317" t="str">
        <f t="shared" si="80"/>
        <v/>
      </c>
      <c r="S614" s="317" t="str">
        <f t="shared" si="81"/>
        <v/>
      </c>
      <c r="T614" s="317" t="str">
        <f>'REF. DE PREÇOS n editavel'!S614</f>
        <v/>
      </c>
      <c r="W614" s="577">
        <v>0</v>
      </c>
      <c r="X614" s="575"/>
      <c r="Y614" s="578">
        <f>IF('REF. DE PREÇOS n editavel'!W614=0,0,IF('REF. DE PREÇOS n editavel'!W614&gt;0,"c","b"))</f>
        <v>0</v>
      </c>
    </row>
    <row r="615" spans="1:25">
      <c r="A615" s="317" t="s">
        <v>147</v>
      </c>
      <c r="B615" s="870" t="s">
        <v>147</v>
      </c>
      <c r="C615" s="871"/>
      <c r="D615" s="931" t="s">
        <v>229</v>
      </c>
      <c r="E615" s="882">
        <f>'REF. DE PREÇOS n editavel'!E615</f>
        <v>290</v>
      </c>
      <c r="F615" s="883">
        <f>'REF. DE PREÇOS n editavel'!F615</f>
        <v>6.9099999999999995E-2</v>
      </c>
      <c r="G615" s="923">
        <f>'REF. DE PREÇOS n editavel'!G615</f>
        <v>21.626918</v>
      </c>
      <c r="H615" s="876">
        <f>'REF. DE PREÇOS n editavel'!H615</f>
        <v>0</v>
      </c>
      <c r="I615" s="876">
        <f>'REF. DE PREÇOS n editavel'!I615</f>
        <v>0</v>
      </c>
      <c r="J615" s="877">
        <f>'REF. DE PREÇOS n editavel'!J615</f>
        <v>0</v>
      </c>
      <c r="K615" s="932" t="s">
        <v>506</v>
      </c>
      <c r="L615" s="933"/>
      <c r="M615" s="1112">
        <f t="shared" si="78"/>
        <v>0</v>
      </c>
      <c r="N615" s="868">
        <f t="shared" si="82"/>
        <v>0</v>
      </c>
      <c r="O615" s="880"/>
      <c r="P615" s="58" t="str">
        <f>IF(N613&gt;0,"xx",IF(N613&gt;0,"xy",""))</f>
        <v/>
      </c>
      <c r="Q615" s="317" t="str">
        <f t="shared" si="79"/>
        <v/>
      </c>
      <c r="R615" s="317" t="str">
        <f t="shared" si="80"/>
        <v/>
      </c>
      <c r="S615" s="317" t="str">
        <f t="shared" si="81"/>
        <v/>
      </c>
      <c r="T615" s="317" t="str">
        <f>'REF. DE PREÇOS n editavel'!S615</f>
        <v/>
      </c>
      <c r="W615" s="577">
        <v>0</v>
      </c>
      <c r="X615" s="575"/>
      <c r="Y615" s="578">
        <f>IF('REF. DE PREÇOS n editavel'!W615=0,0,IF('REF. DE PREÇOS n editavel'!W615&gt;0,"c","b"))</f>
        <v>0</v>
      </c>
    </row>
    <row r="616" spans="1:25">
      <c r="A616" s="317" t="s">
        <v>147</v>
      </c>
      <c r="B616" s="870" t="s">
        <v>147</v>
      </c>
      <c r="C616" s="871"/>
      <c r="D616" s="931" t="s">
        <v>233</v>
      </c>
      <c r="E616" s="882">
        <f>'REF. DE PREÇOS n editavel'!E616</f>
        <v>0.2</v>
      </c>
      <c r="F616" s="883">
        <f>'REF. DE PREÇOS n editavel'!F616</f>
        <v>7.9899999999999999E-2</v>
      </c>
      <c r="G616" s="923">
        <f>'REF. DE PREÇOS n editavel'!G616</f>
        <v>0.23123060000000001</v>
      </c>
      <c r="H616" s="876">
        <f>'REF. DE PREÇOS n editavel'!H616</f>
        <v>0</v>
      </c>
      <c r="I616" s="876">
        <f>'REF. DE PREÇOS n editavel'!I616</f>
        <v>0</v>
      </c>
      <c r="J616" s="877">
        <f>'REF. DE PREÇOS n editavel'!J616</f>
        <v>0</v>
      </c>
      <c r="K616" s="932" t="s">
        <v>506</v>
      </c>
      <c r="L616" s="933"/>
      <c r="M616" s="1112">
        <f t="shared" si="78"/>
        <v>0</v>
      </c>
      <c r="N616" s="868">
        <f t="shared" si="82"/>
        <v>0</v>
      </c>
      <c r="O616" s="880"/>
      <c r="P616" s="58" t="str">
        <f>IF(N613&gt;0,"xx",IF(N613&gt;0,"xy",""))</f>
        <v/>
      </c>
      <c r="Q616" s="317" t="str">
        <f t="shared" si="79"/>
        <v/>
      </c>
      <c r="R616" s="317" t="str">
        <f t="shared" si="80"/>
        <v/>
      </c>
      <c r="S616" s="317" t="str">
        <f t="shared" si="81"/>
        <v/>
      </c>
      <c r="T616" s="317" t="str">
        <f>'REF. DE PREÇOS n editavel'!S616</f>
        <v/>
      </c>
      <c r="W616" s="577">
        <v>0</v>
      </c>
      <c r="X616" s="575"/>
      <c r="Y616" s="578">
        <f>IF('REF. DE PREÇOS n editavel'!W616=0,0,IF('REF. DE PREÇOS n editavel'!W616&gt;0,"c","b"))</f>
        <v>0</v>
      </c>
    </row>
    <row r="617" spans="1:25">
      <c r="A617" s="317">
        <v>810350</v>
      </c>
      <c r="B617" s="870">
        <v>810350</v>
      </c>
      <c r="C617" s="871" t="s">
        <v>184</v>
      </c>
      <c r="D617" s="881" t="s">
        <v>257</v>
      </c>
      <c r="E617" s="882">
        <f>'REF. DE PREÇOS n editavel'!E617</f>
        <v>28</v>
      </c>
      <c r="F617" s="883">
        <f>'REF. DE PREÇOS n editavel'!F617</f>
        <v>0.16839999999999999</v>
      </c>
      <c r="G617" s="923">
        <f>'REF. DE PREÇOS n editavel'!G617</f>
        <v>5.4965760000000001</v>
      </c>
      <c r="H617" s="876">
        <f>'REF. DE PREÇOS n editavel'!H617</f>
        <v>64.56</v>
      </c>
      <c r="I617" s="876">
        <f>'REF. DE PREÇOS n editavel'!I617</f>
        <v>70.056576000000007</v>
      </c>
      <c r="J617" s="877">
        <f>'REF. DE PREÇOS n editavel'!J617</f>
        <v>85.62</v>
      </c>
      <c r="K617" s="878" t="s">
        <v>13</v>
      </c>
      <c r="L617" s="1094"/>
      <c r="M617" s="1095">
        <f t="shared" si="78"/>
        <v>0</v>
      </c>
      <c r="N617" s="868">
        <f t="shared" si="82"/>
        <v>0</v>
      </c>
      <c r="O617" s="880"/>
      <c r="Q617" s="317" t="str">
        <f t="shared" si="79"/>
        <v/>
      </c>
      <c r="R617" s="317" t="str">
        <f t="shared" si="80"/>
        <v/>
      </c>
      <c r="S617" s="317" t="str">
        <f t="shared" si="81"/>
        <v/>
      </c>
      <c r="T617" s="317" t="str">
        <f>'REF. DE PREÇOS n editavel'!S617</f>
        <v/>
      </c>
      <c r="W617" s="577">
        <v>0</v>
      </c>
      <c r="X617" s="575"/>
      <c r="Y617" s="578">
        <f>IF('REF. DE PREÇOS n editavel'!W617=0,0,IF('REF. DE PREÇOS n editavel'!W617&gt;0,"c","b"))</f>
        <v>0</v>
      </c>
    </row>
    <row r="618" spans="1:25">
      <c r="A618" s="634" t="s">
        <v>165</v>
      </c>
      <c r="B618" s="888" t="s">
        <v>165</v>
      </c>
      <c r="C618" s="889"/>
      <c r="D618" s="890" t="s">
        <v>214</v>
      </c>
      <c r="E618" s="891">
        <f>'REF. DE PREÇOS n editavel'!E618</f>
        <v>0</v>
      </c>
      <c r="F618" s="892">
        <f>'REF. DE PREÇOS n editavel'!F618</f>
        <v>0</v>
      </c>
      <c r="G618" s="893">
        <f>'REF. DE PREÇOS n editavel'!G618</f>
        <v>0</v>
      </c>
      <c r="H618" s="894">
        <f>'REF. DE PREÇOS n editavel'!H618</f>
        <v>0</v>
      </c>
      <c r="I618" s="894">
        <f>'REF. DE PREÇOS n editavel'!I618</f>
        <v>0</v>
      </c>
      <c r="J618" s="894">
        <f>'REF. DE PREÇOS n editavel'!J618</f>
        <v>0</v>
      </c>
      <c r="K618" s="895" t="s">
        <v>506</v>
      </c>
      <c r="L618" s="1117"/>
      <c r="M618" s="1118"/>
      <c r="N618" s="1119">
        <f t="shared" si="82"/>
        <v>0</v>
      </c>
      <c r="O618" s="1120"/>
      <c r="P618" s="58" t="str">
        <f>IF(OR(SUM(N619:N643)&gt;0,SUM(N619:N643)&gt;0),"y","")</f>
        <v/>
      </c>
      <c r="Q618" s="317" t="str">
        <f t="shared" si="79"/>
        <v/>
      </c>
      <c r="R618" s="317" t="str">
        <f t="shared" si="80"/>
        <v/>
      </c>
      <c r="S618" s="317" t="str">
        <f t="shared" si="81"/>
        <v/>
      </c>
      <c r="T618" s="317" t="str">
        <f>'REF. DE PREÇOS n editavel'!S618</f>
        <v/>
      </c>
      <c r="W618" s="577">
        <v>0</v>
      </c>
      <c r="X618" s="575"/>
      <c r="Y618" s="578">
        <f>IF('REF. DE PREÇOS n editavel'!W618=0,0,IF('REF. DE PREÇOS n editavel'!W618&gt;0,"c","b"))</f>
        <v>0</v>
      </c>
    </row>
    <row r="619" spans="1:25">
      <c r="A619" s="634" t="s">
        <v>165</v>
      </c>
      <c r="B619" s="1010" t="str">
        <f>'REF. DE PREÇOS n editavel'!B619</f>
        <v/>
      </c>
      <c r="C619" s="1045" t="str">
        <f>'REF. DE PREÇOS n editavel'!C619</f>
        <v/>
      </c>
      <c r="D619" s="1096">
        <f>'REF. DE PREÇOS n editavel'!D619</f>
        <v>0</v>
      </c>
      <c r="E619" s="882">
        <f>'REF. DE PREÇOS n editavel'!E619</f>
        <v>0</v>
      </c>
      <c r="F619" s="883">
        <f>'REF. DE PREÇOS n editavel'!F619</f>
        <v>0</v>
      </c>
      <c r="G619" s="887">
        <f>'REF. DE PREÇOS n editavel'!G619</f>
        <v>0</v>
      </c>
      <c r="H619" s="876">
        <f>'REF. DE PREÇOS n editavel'!H619</f>
        <v>0</v>
      </c>
      <c r="I619" s="876">
        <f>'REF. DE PREÇOS n editavel'!I619</f>
        <v>0</v>
      </c>
      <c r="J619" s="877">
        <f>'REF. DE PREÇOS n editavel'!J619</f>
        <v>0</v>
      </c>
      <c r="K619" s="878" t="str">
        <f>'REF. DE PREÇOS n editavel'!K619</f>
        <v xml:space="preserve">     </v>
      </c>
      <c r="L619" s="1092"/>
      <c r="M619" s="1095">
        <f t="shared" si="78"/>
        <v>0</v>
      </c>
      <c r="N619" s="1121">
        <f t="shared" si="82"/>
        <v>0</v>
      </c>
      <c r="O619" s="1120"/>
      <c r="Q619" s="317" t="str">
        <f t="shared" si="79"/>
        <v/>
      </c>
      <c r="R619" s="317" t="str">
        <f t="shared" si="80"/>
        <v/>
      </c>
      <c r="S619" s="317" t="str">
        <f t="shared" si="81"/>
        <v/>
      </c>
      <c r="T619" s="317" t="str">
        <f>'REF. DE PREÇOS n editavel'!S619</f>
        <v/>
      </c>
      <c r="W619" s="577">
        <v>0</v>
      </c>
      <c r="X619" s="575"/>
      <c r="Y619" s="578">
        <f>IF('REF. DE PREÇOS n editavel'!W619=0,0,IF('REF. DE PREÇOS n editavel'!W619&gt;0,"c","b"))</f>
        <v>0</v>
      </c>
    </row>
    <row r="620" spans="1:25">
      <c r="A620" s="634" t="s">
        <v>165</v>
      </c>
      <c r="B620" s="1010" t="str">
        <f>'REF. DE PREÇOS n editavel'!B620</f>
        <v/>
      </c>
      <c r="C620" s="1045" t="str">
        <f>'REF. DE PREÇOS n editavel'!C620</f>
        <v/>
      </c>
      <c r="D620" s="1096">
        <f>'REF. DE PREÇOS n editavel'!D620</f>
        <v>0</v>
      </c>
      <c r="E620" s="882">
        <f>'REF. DE PREÇOS n editavel'!E620</f>
        <v>0</v>
      </c>
      <c r="F620" s="883">
        <f>'REF. DE PREÇOS n editavel'!F620</f>
        <v>0</v>
      </c>
      <c r="G620" s="887">
        <f>'REF. DE PREÇOS n editavel'!G620</f>
        <v>0</v>
      </c>
      <c r="H620" s="876">
        <f>'REF. DE PREÇOS n editavel'!H620</f>
        <v>0</v>
      </c>
      <c r="I620" s="876">
        <f>'REF. DE PREÇOS n editavel'!I620</f>
        <v>0</v>
      </c>
      <c r="J620" s="865">
        <f>'REF. DE PREÇOS n editavel'!J620</f>
        <v>0</v>
      </c>
      <c r="K620" s="878" t="str">
        <f>'REF. DE PREÇOS n editavel'!K620</f>
        <v xml:space="preserve">     </v>
      </c>
      <c r="L620" s="1092"/>
      <c r="M620" s="1095">
        <f t="shared" si="78"/>
        <v>0</v>
      </c>
      <c r="N620" s="1122">
        <f t="shared" si="82"/>
        <v>0</v>
      </c>
      <c r="O620" s="1120"/>
      <c r="Q620" s="317" t="str">
        <f t="shared" si="79"/>
        <v/>
      </c>
      <c r="R620" s="317" t="str">
        <f t="shared" si="80"/>
        <v/>
      </c>
      <c r="S620" s="317" t="str">
        <f t="shared" si="81"/>
        <v/>
      </c>
      <c r="T620" s="317" t="str">
        <f>'REF. DE PREÇOS n editavel'!S620</f>
        <v/>
      </c>
      <c r="W620" s="577">
        <v>0</v>
      </c>
      <c r="X620" s="575"/>
      <c r="Y620" s="578">
        <f>IF('REF. DE PREÇOS n editavel'!W620=0,0,IF('REF. DE PREÇOS n editavel'!W620&gt;0,"c","b"))</f>
        <v>0</v>
      </c>
    </row>
    <row r="621" spans="1:25">
      <c r="A621" s="634" t="s">
        <v>165</v>
      </c>
      <c r="B621" s="1010" t="str">
        <f>'REF. DE PREÇOS n editavel'!B621</f>
        <v/>
      </c>
      <c r="C621" s="1045" t="str">
        <f>'REF. DE PREÇOS n editavel'!C621</f>
        <v/>
      </c>
      <c r="D621" s="1096">
        <f>'REF. DE PREÇOS n editavel'!D621</f>
        <v>0</v>
      </c>
      <c r="E621" s="882">
        <f>'REF. DE PREÇOS n editavel'!E621</f>
        <v>0</v>
      </c>
      <c r="F621" s="883">
        <f>'REF. DE PREÇOS n editavel'!F621</f>
        <v>0</v>
      </c>
      <c r="G621" s="887">
        <f>'REF. DE PREÇOS n editavel'!G621</f>
        <v>0</v>
      </c>
      <c r="H621" s="876">
        <f>'REF. DE PREÇOS n editavel'!H621</f>
        <v>0</v>
      </c>
      <c r="I621" s="876">
        <f>'REF. DE PREÇOS n editavel'!I621</f>
        <v>0</v>
      </c>
      <c r="J621" s="865">
        <f>'REF. DE PREÇOS n editavel'!J621</f>
        <v>0</v>
      </c>
      <c r="K621" s="878" t="str">
        <f>'REF. DE PREÇOS n editavel'!K621</f>
        <v xml:space="preserve">     </v>
      </c>
      <c r="L621" s="1092"/>
      <c r="M621" s="1095">
        <f t="shared" si="78"/>
        <v>0</v>
      </c>
      <c r="N621" s="1122">
        <f t="shared" si="82"/>
        <v>0</v>
      </c>
      <c r="O621" s="1120"/>
      <c r="Q621" s="317" t="str">
        <f t="shared" si="79"/>
        <v/>
      </c>
      <c r="R621" s="317" t="str">
        <f t="shared" si="80"/>
        <v/>
      </c>
      <c r="S621" s="317" t="str">
        <f t="shared" si="81"/>
        <v/>
      </c>
      <c r="T621" s="317" t="str">
        <f>'REF. DE PREÇOS n editavel'!S621</f>
        <v/>
      </c>
      <c r="W621" s="577">
        <v>0</v>
      </c>
      <c r="X621" s="575"/>
      <c r="Y621" s="578">
        <f>IF('REF. DE PREÇOS n editavel'!W621=0,0,IF('REF. DE PREÇOS n editavel'!W621&gt;0,"c","b"))</f>
        <v>0</v>
      </c>
    </row>
    <row r="622" spans="1:25">
      <c r="A622" s="634" t="s">
        <v>165</v>
      </c>
      <c r="B622" s="1010" t="str">
        <f>'REF. DE PREÇOS n editavel'!B622</f>
        <v/>
      </c>
      <c r="C622" s="1045" t="str">
        <f>'REF. DE PREÇOS n editavel'!C622</f>
        <v/>
      </c>
      <c r="D622" s="1096">
        <f>'REF. DE PREÇOS n editavel'!D622</f>
        <v>0</v>
      </c>
      <c r="E622" s="882">
        <f>'REF. DE PREÇOS n editavel'!E622</f>
        <v>0</v>
      </c>
      <c r="F622" s="883">
        <f>'REF. DE PREÇOS n editavel'!F622</f>
        <v>0</v>
      </c>
      <c r="G622" s="887">
        <f>'REF. DE PREÇOS n editavel'!G622</f>
        <v>0</v>
      </c>
      <c r="H622" s="876">
        <f>'REF. DE PREÇOS n editavel'!H622</f>
        <v>0</v>
      </c>
      <c r="I622" s="876">
        <f>'REF. DE PREÇOS n editavel'!I622</f>
        <v>0</v>
      </c>
      <c r="J622" s="865">
        <f>'REF. DE PREÇOS n editavel'!J622</f>
        <v>0</v>
      </c>
      <c r="K622" s="878" t="str">
        <f>'REF. DE PREÇOS n editavel'!K622</f>
        <v xml:space="preserve">     </v>
      </c>
      <c r="L622" s="1092"/>
      <c r="M622" s="1095">
        <f t="shared" si="78"/>
        <v>0</v>
      </c>
      <c r="N622" s="1122">
        <f t="shared" si="82"/>
        <v>0</v>
      </c>
      <c r="O622" s="1120"/>
      <c r="Q622" s="317" t="str">
        <f t="shared" si="79"/>
        <v/>
      </c>
      <c r="R622" s="317" t="str">
        <f t="shared" si="80"/>
        <v/>
      </c>
      <c r="S622" s="317" t="str">
        <f t="shared" si="81"/>
        <v/>
      </c>
      <c r="T622" s="317" t="str">
        <f>'REF. DE PREÇOS n editavel'!S622</f>
        <v/>
      </c>
      <c r="W622" s="577">
        <v>0</v>
      </c>
      <c r="X622" s="575"/>
      <c r="Y622" s="578">
        <f>IF('REF. DE PREÇOS n editavel'!W622=0,0,IF('REF. DE PREÇOS n editavel'!W622&gt;0,"c","b"))</f>
        <v>0</v>
      </c>
    </row>
    <row r="623" spans="1:25">
      <c r="A623" s="634" t="s">
        <v>165</v>
      </c>
      <c r="B623" s="1010" t="str">
        <f>'REF. DE PREÇOS n editavel'!B623</f>
        <v/>
      </c>
      <c r="C623" s="1045" t="str">
        <f>'REF. DE PREÇOS n editavel'!C623</f>
        <v/>
      </c>
      <c r="D623" s="1096">
        <f>'REF. DE PREÇOS n editavel'!D623</f>
        <v>0</v>
      </c>
      <c r="E623" s="882">
        <f>'REF. DE PREÇOS n editavel'!E623</f>
        <v>0</v>
      </c>
      <c r="F623" s="883">
        <f>'REF. DE PREÇOS n editavel'!F623</f>
        <v>0</v>
      </c>
      <c r="G623" s="887">
        <f>'REF. DE PREÇOS n editavel'!G623</f>
        <v>0</v>
      </c>
      <c r="H623" s="876">
        <f>'REF. DE PREÇOS n editavel'!H623</f>
        <v>0</v>
      </c>
      <c r="I623" s="876">
        <f>'REF. DE PREÇOS n editavel'!I623</f>
        <v>0</v>
      </c>
      <c r="J623" s="865">
        <f>'REF. DE PREÇOS n editavel'!J623</f>
        <v>0</v>
      </c>
      <c r="K623" s="878" t="str">
        <f>'REF. DE PREÇOS n editavel'!K623</f>
        <v xml:space="preserve">     </v>
      </c>
      <c r="L623" s="1092"/>
      <c r="M623" s="1095">
        <f t="shared" si="78"/>
        <v>0</v>
      </c>
      <c r="N623" s="1122">
        <f t="shared" si="82"/>
        <v>0</v>
      </c>
      <c r="O623" s="1120"/>
      <c r="Q623" s="317" t="str">
        <f t="shared" si="79"/>
        <v/>
      </c>
      <c r="R623" s="317" t="str">
        <f t="shared" si="80"/>
        <v/>
      </c>
      <c r="S623" s="317" t="str">
        <f t="shared" si="81"/>
        <v/>
      </c>
      <c r="T623" s="317" t="str">
        <f>'REF. DE PREÇOS n editavel'!S623</f>
        <v/>
      </c>
      <c r="W623" s="577">
        <v>0</v>
      </c>
      <c r="X623" s="575"/>
      <c r="Y623" s="578">
        <f>IF('REF. DE PREÇOS n editavel'!W623=0,0,IF('REF. DE PREÇOS n editavel'!W623&gt;0,"c","b"))</f>
        <v>0</v>
      </c>
    </row>
    <row r="624" spans="1:25">
      <c r="A624" s="634" t="s">
        <v>165</v>
      </c>
      <c r="B624" s="1010" t="str">
        <f>'REF. DE PREÇOS n editavel'!B624</f>
        <v/>
      </c>
      <c r="C624" s="1045" t="str">
        <f>'REF. DE PREÇOS n editavel'!C624</f>
        <v/>
      </c>
      <c r="D624" s="1096">
        <f>'REF. DE PREÇOS n editavel'!D624</f>
        <v>0</v>
      </c>
      <c r="E624" s="882">
        <f>'REF. DE PREÇOS n editavel'!E624</f>
        <v>0</v>
      </c>
      <c r="F624" s="883">
        <f>'REF. DE PREÇOS n editavel'!F624</f>
        <v>0</v>
      </c>
      <c r="G624" s="887">
        <f>'REF. DE PREÇOS n editavel'!G624</f>
        <v>0</v>
      </c>
      <c r="H624" s="876">
        <f>'REF. DE PREÇOS n editavel'!H624</f>
        <v>0</v>
      </c>
      <c r="I624" s="876">
        <f>'REF. DE PREÇOS n editavel'!I624</f>
        <v>0</v>
      </c>
      <c r="J624" s="865">
        <f>'REF. DE PREÇOS n editavel'!J624</f>
        <v>0</v>
      </c>
      <c r="K624" s="878" t="str">
        <f>'REF. DE PREÇOS n editavel'!K624</f>
        <v xml:space="preserve">     </v>
      </c>
      <c r="L624" s="1092"/>
      <c r="M624" s="1095">
        <f t="shared" si="78"/>
        <v>0</v>
      </c>
      <c r="N624" s="1122">
        <f t="shared" si="82"/>
        <v>0</v>
      </c>
      <c r="O624" s="1120"/>
      <c r="Q624" s="317" t="str">
        <f t="shared" si="79"/>
        <v/>
      </c>
      <c r="R624" s="317" t="str">
        <f t="shared" si="80"/>
        <v/>
      </c>
      <c r="S624" s="317" t="str">
        <f t="shared" si="81"/>
        <v/>
      </c>
      <c r="T624" s="317" t="str">
        <f>'REF. DE PREÇOS n editavel'!S624</f>
        <v/>
      </c>
      <c r="W624" s="577">
        <v>0</v>
      </c>
      <c r="X624" s="575"/>
      <c r="Y624" s="578">
        <f>IF('REF. DE PREÇOS n editavel'!W624=0,0,IF('REF. DE PREÇOS n editavel'!W624&gt;0,"c","b"))</f>
        <v>0</v>
      </c>
    </row>
    <row r="625" spans="1:25">
      <c r="A625" s="634" t="s">
        <v>165</v>
      </c>
      <c r="B625" s="1010" t="str">
        <f>'REF. DE PREÇOS n editavel'!B625</f>
        <v/>
      </c>
      <c r="C625" s="1045" t="str">
        <f>'REF. DE PREÇOS n editavel'!C625</f>
        <v/>
      </c>
      <c r="D625" s="1096">
        <f>'REF. DE PREÇOS n editavel'!D625</f>
        <v>0</v>
      </c>
      <c r="E625" s="882">
        <f>'REF. DE PREÇOS n editavel'!E625</f>
        <v>0</v>
      </c>
      <c r="F625" s="883">
        <f>'REF. DE PREÇOS n editavel'!F625</f>
        <v>0</v>
      </c>
      <c r="G625" s="887">
        <f>'REF. DE PREÇOS n editavel'!G625</f>
        <v>0</v>
      </c>
      <c r="H625" s="876">
        <f>'REF. DE PREÇOS n editavel'!H625</f>
        <v>0</v>
      </c>
      <c r="I625" s="876">
        <f>'REF. DE PREÇOS n editavel'!I625</f>
        <v>0</v>
      </c>
      <c r="J625" s="865">
        <f>'REF. DE PREÇOS n editavel'!J625</f>
        <v>0</v>
      </c>
      <c r="K625" s="878" t="str">
        <f>'REF. DE PREÇOS n editavel'!K625</f>
        <v xml:space="preserve">     </v>
      </c>
      <c r="L625" s="1092"/>
      <c r="M625" s="1095">
        <f t="shared" si="78"/>
        <v>0</v>
      </c>
      <c r="N625" s="1122">
        <f t="shared" si="82"/>
        <v>0</v>
      </c>
      <c r="O625" s="1120"/>
      <c r="Q625" s="317" t="str">
        <f t="shared" si="79"/>
        <v/>
      </c>
      <c r="R625" s="317" t="str">
        <f t="shared" si="80"/>
        <v/>
      </c>
      <c r="S625" s="317" t="str">
        <f t="shared" si="81"/>
        <v/>
      </c>
      <c r="T625" s="317" t="str">
        <f>'REF. DE PREÇOS n editavel'!S625</f>
        <v/>
      </c>
      <c r="W625" s="577">
        <v>0</v>
      </c>
      <c r="X625" s="575"/>
      <c r="Y625" s="578">
        <f>IF('REF. DE PREÇOS n editavel'!W625=0,0,IF('REF. DE PREÇOS n editavel'!W625&gt;0,"c","b"))</f>
        <v>0</v>
      </c>
    </row>
    <row r="626" spans="1:25">
      <c r="A626" s="634" t="s">
        <v>165</v>
      </c>
      <c r="B626" s="1010" t="str">
        <f>'REF. DE PREÇOS n editavel'!B626</f>
        <v/>
      </c>
      <c r="C626" s="1045" t="str">
        <f>'REF. DE PREÇOS n editavel'!C626</f>
        <v/>
      </c>
      <c r="D626" s="1096">
        <f>'REF. DE PREÇOS n editavel'!D626</f>
        <v>0</v>
      </c>
      <c r="E626" s="882">
        <f>'REF. DE PREÇOS n editavel'!E626</f>
        <v>0</v>
      </c>
      <c r="F626" s="883">
        <f>'REF. DE PREÇOS n editavel'!F626</f>
        <v>0</v>
      </c>
      <c r="G626" s="887">
        <f>'REF. DE PREÇOS n editavel'!G626</f>
        <v>0</v>
      </c>
      <c r="H626" s="876">
        <f>'REF. DE PREÇOS n editavel'!H626</f>
        <v>0</v>
      </c>
      <c r="I626" s="876">
        <f>'REF. DE PREÇOS n editavel'!I626</f>
        <v>0</v>
      </c>
      <c r="J626" s="865">
        <f>'REF. DE PREÇOS n editavel'!J626</f>
        <v>0</v>
      </c>
      <c r="K626" s="878" t="str">
        <f>'REF. DE PREÇOS n editavel'!K626</f>
        <v xml:space="preserve">     </v>
      </c>
      <c r="L626" s="1092"/>
      <c r="M626" s="1095">
        <f t="shared" si="78"/>
        <v>0</v>
      </c>
      <c r="N626" s="1122">
        <f t="shared" si="82"/>
        <v>0</v>
      </c>
      <c r="O626" s="1120"/>
      <c r="Q626" s="317" t="str">
        <f t="shared" si="79"/>
        <v/>
      </c>
      <c r="R626" s="317" t="str">
        <f t="shared" si="80"/>
        <v/>
      </c>
      <c r="S626" s="317" t="str">
        <f t="shared" si="81"/>
        <v/>
      </c>
      <c r="T626" s="317" t="str">
        <f>'REF. DE PREÇOS n editavel'!S626</f>
        <v/>
      </c>
      <c r="W626" s="577">
        <v>0</v>
      </c>
      <c r="X626" s="575"/>
      <c r="Y626" s="578">
        <f>IF('REF. DE PREÇOS n editavel'!W626=0,0,IF('REF. DE PREÇOS n editavel'!W626&gt;0,"c","b"))</f>
        <v>0</v>
      </c>
    </row>
    <row r="627" spans="1:25">
      <c r="A627" s="634" t="s">
        <v>165</v>
      </c>
      <c r="B627" s="1010" t="str">
        <f>'REF. DE PREÇOS n editavel'!B627</f>
        <v/>
      </c>
      <c r="C627" s="1045" t="str">
        <f>'REF. DE PREÇOS n editavel'!C627</f>
        <v/>
      </c>
      <c r="D627" s="1096">
        <f>'REF. DE PREÇOS n editavel'!D627</f>
        <v>0</v>
      </c>
      <c r="E627" s="882">
        <f>'REF. DE PREÇOS n editavel'!E627</f>
        <v>0</v>
      </c>
      <c r="F627" s="883">
        <f>'REF. DE PREÇOS n editavel'!F627</f>
        <v>0</v>
      </c>
      <c r="G627" s="887">
        <f>'REF. DE PREÇOS n editavel'!G627</f>
        <v>0</v>
      </c>
      <c r="H627" s="876">
        <f>'REF. DE PREÇOS n editavel'!H627</f>
        <v>0</v>
      </c>
      <c r="I627" s="876">
        <f>'REF. DE PREÇOS n editavel'!I627</f>
        <v>0</v>
      </c>
      <c r="J627" s="865">
        <f>'REF. DE PREÇOS n editavel'!J627</f>
        <v>0</v>
      </c>
      <c r="K627" s="878" t="str">
        <f>'REF. DE PREÇOS n editavel'!K627</f>
        <v xml:space="preserve">     </v>
      </c>
      <c r="L627" s="1092"/>
      <c r="M627" s="1095">
        <f t="shared" si="78"/>
        <v>0</v>
      </c>
      <c r="N627" s="1122">
        <f t="shared" si="82"/>
        <v>0</v>
      </c>
      <c r="O627" s="1120"/>
      <c r="Q627" s="317" t="str">
        <f t="shared" si="79"/>
        <v/>
      </c>
      <c r="R627" s="317" t="str">
        <f t="shared" si="80"/>
        <v/>
      </c>
      <c r="S627" s="317" t="str">
        <f t="shared" si="81"/>
        <v/>
      </c>
      <c r="T627" s="317" t="str">
        <f>'REF. DE PREÇOS n editavel'!S627</f>
        <v/>
      </c>
      <c r="W627" s="577">
        <v>0</v>
      </c>
      <c r="X627" s="575"/>
      <c r="Y627" s="578">
        <f>IF('REF. DE PREÇOS n editavel'!W627=0,0,IF('REF. DE PREÇOS n editavel'!W627&gt;0,"c","b"))</f>
        <v>0</v>
      </c>
    </row>
    <row r="628" spans="1:25">
      <c r="A628" s="634" t="s">
        <v>165</v>
      </c>
      <c r="B628" s="1010" t="str">
        <f>'REF. DE PREÇOS n editavel'!B628</f>
        <v/>
      </c>
      <c r="C628" s="1045" t="str">
        <f>'REF. DE PREÇOS n editavel'!C628</f>
        <v/>
      </c>
      <c r="D628" s="1096">
        <f>'REF. DE PREÇOS n editavel'!D628</f>
        <v>0</v>
      </c>
      <c r="E628" s="882">
        <f>'REF. DE PREÇOS n editavel'!E628</f>
        <v>0</v>
      </c>
      <c r="F628" s="883">
        <f>'REF. DE PREÇOS n editavel'!F628</f>
        <v>0</v>
      </c>
      <c r="G628" s="887">
        <f>'REF. DE PREÇOS n editavel'!G628</f>
        <v>0</v>
      </c>
      <c r="H628" s="876">
        <f>'REF. DE PREÇOS n editavel'!H628</f>
        <v>0</v>
      </c>
      <c r="I628" s="876">
        <f>'REF. DE PREÇOS n editavel'!I628</f>
        <v>0</v>
      </c>
      <c r="J628" s="865">
        <f>'REF. DE PREÇOS n editavel'!J628</f>
        <v>0</v>
      </c>
      <c r="K628" s="878" t="str">
        <f>'REF. DE PREÇOS n editavel'!K628</f>
        <v xml:space="preserve">     </v>
      </c>
      <c r="L628" s="1092"/>
      <c r="M628" s="1095">
        <f t="shared" si="78"/>
        <v>0</v>
      </c>
      <c r="N628" s="1122">
        <f t="shared" si="82"/>
        <v>0</v>
      </c>
      <c r="O628" s="1120"/>
      <c r="Q628" s="317" t="str">
        <f t="shared" si="79"/>
        <v/>
      </c>
      <c r="R628" s="317" t="str">
        <f t="shared" si="80"/>
        <v/>
      </c>
      <c r="S628" s="317" t="str">
        <f t="shared" si="81"/>
        <v/>
      </c>
      <c r="T628" s="317" t="str">
        <f>'REF. DE PREÇOS n editavel'!S628</f>
        <v/>
      </c>
      <c r="W628" s="577">
        <v>0</v>
      </c>
      <c r="X628" s="575"/>
      <c r="Y628" s="578">
        <f>IF('REF. DE PREÇOS n editavel'!W628=0,0,IF('REF. DE PREÇOS n editavel'!W628&gt;0,"c","b"))</f>
        <v>0</v>
      </c>
    </row>
    <row r="629" spans="1:25">
      <c r="A629" s="634" t="s">
        <v>165</v>
      </c>
      <c r="B629" s="1010" t="str">
        <f>'REF. DE PREÇOS n editavel'!B629</f>
        <v/>
      </c>
      <c r="C629" s="1045" t="str">
        <f>'REF. DE PREÇOS n editavel'!C629</f>
        <v/>
      </c>
      <c r="D629" s="1096">
        <f>'REF. DE PREÇOS n editavel'!D629</f>
        <v>0</v>
      </c>
      <c r="E629" s="882">
        <f>'REF. DE PREÇOS n editavel'!E629</f>
        <v>0</v>
      </c>
      <c r="F629" s="883">
        <f>'REF. DE PREÇOS n editavel'!F629</f>
        <v>0</v>
      </c>
      <c r="G629" s="887">
        <f>'REF. DE PREÇOS n editavel'!G629</f>
        <v>0</v>
      </c>
      <c r="H629" s="876">
        <f>'REF. DE PREÇOS n editavel'!H629</f>
        <v>0</v>
      </c>
      <c r="I629" s="876">
        <f>'REF. DE PREÇOS n editavel'!I629</f>
        <v>0</v>
      </c>
      <c r="J629" s="865">
        <f>'REF. DE PREÇOS n editavel'!J629</f>
        <v>0</v>
      </c>
      <c r="K629" s="878" t="str">
        <f>'REF. DE PREÇOS n editavel'!K629</f>
        <v xml:space="preserve">     </v>
      </c>
      <c r="L629" s="1092"/>
      <c r="M629" s="1095">
        <f t="shared" si="78"/>
        <v>0</v>
      </c>
      <c r="N629" s="1122">
        <f t="shared" si="82"/>
        <v>0</v>
      </c>
      <c r="O629" s="1120"/>
      <c r="Q629" s="317" t="str">
        <f t="shared" si="79"/>
        <v/>
      </c>
      <c r="R629" s="317" t="str">
        <f t="shared" si="80"/>
        <v/>
      </c>
      <c r="S629" s="317" t="str">
        <f t="shared" si="81"/>
        <v/>
      </c>
      <c r="T629" s="317" t="str">
        <f>'REF. DE PREÇOS n editavel'!S629</f>
        <v/>
      </c>
      <c r="W629" s="577">
        <v>0</v>
      </c>
      <c r="X629" s="575"/>
      <c r="Y629" s="578">
        <f>IF('REF. DE PREÇOS n editavel'!W629=0,0,IF('REF. DE PREÇOS n editavel'!W629&gt;0,"c","b"))</f>
        <v>0</v>
      </c>
    </row>
    <row r="630" spans="1:25">
      <c r="A630" s="634" t="s">
        <v>165</v>
      </c>
      <c r="B630" s="1010" t="str">
        <f>'REF. DE PREÇOS n editavel'!B630</f>
        <v/>
      </c>
      <c r="C630" s="1045" t="str">
        <f>'REF. DE PREÇOS n editavel'!C630</f>
        <v/>
      </c>
      <c r="D630" s="1096">
        <f>'REF. DE PREÇOS n editavel'!D630</f>
        <v>0</v>
      </c>
      <c r="E630" s="882">
        <f>'REF. DE PREÇOS n editavel'!E630</f>
        <v>0</v>
      </c>
      <c r="F630" s="883">
        <f>'REF. DE PREÇOS n editavel'!F630</f>
        <v>0</v>
      </c>
      <c r="G630" s="887">
        <f>'REF. DE PREÇOS n editavel'!G630</f>
        <v>0</v>
      </c>
      <c r="H630" s="876">
        <f>'REF. DE PREÇOS n editavel'!H630</f>
        <v>0</v>
      </c>
      <c r="I630" s="876">
        <f>'REF. DE PREÇOS n editavel'!I630</f>
        <v>0</v>
      </c>
      <c r="J630" s="865">
        <f>'REF. DE PREÇOS n editavel'!J630</f>
        <v>0</v>
      </c>
      <c r="K630" s="878" t="str">
        <f>'REF. DE PREÇOS n editavel'!K630</f>
        <v xml:space="preserve">     </v>
      </c>
      <c r="L630" s="1092"/>
      <c r="M630" s="1095">
        <f t="shared" si="78"/>
        <v>0</v>
      </c>
      <c r="N630" s="1122">
        <f t="shared" si="82"/>
        <v>0</v>
      </c>
      <c r="O630" s="1120"/>
      <c r="Q630" s="317" t="str">
        <f t="shared" si="79"/>
        <v/>
      </c>
      <c r="R630" s="317" t="str">
        <f t="shared" si="80"/>
        <v/>
      </c>
      <c r="S630" s="317" t="str">
        <f t="shared" si="81"/>
        <v/>
      </c>
      <c r="T630" s="317" t="str">
        <f>'REF. DE PREÇOS n editavel'!S630</f>
        <v/>
      </c>
      <c r="W630" s="577">
        <v>0</v>
      </c>
      <c r="X630" s="575"/>
      <c r="Y630" s="578">
        <f>IF('REF. DE PREÇOS n editavel'!W630=0,0,IF('REF. DE PREÇOS n editavel'!W630&gt;0,"c","b"))</f>
        <v>0</v>
      </c>
    </row>
    <row r="631" spans="1:25">
      <c r="A631" s="634" t="s">
        <v>165</v>
      </c>
      <c r="B631" s="1010" t="str">
        <f>'REF. DE PREÇOS n editavel'!B631</f>
        <v/>
      </c>
      <c r="C631" s="1045" t="str">
        <f>'REF. DE PREÇOS n editavel'!C631</f>
        <v/>
      </c>
      <c r="D631" s="1096">
        <f>'REF. DE PREÇOS n editavel'!D631</f>
        <v>0</v>
      </c>
      <c r="E631" s="882">
        <f>'REF. DE PREÇOS n editavel'!E631</f>
        <v>0</v>
      </c>
      <c r="F631" s="883">
        <f>'REF. DE PREÇOS n editavel'!F631</f>
        <v>0</v>
      </c>
      <c r="G631" s="887">
        <f>'REF. DE PREÇOS n editavel'!G631</f>
        <v>0</v>
      </c>
      <c r="H631" s="876">
        <f>'REF. DE PREÇOS n editavel'!H631</f>
        <v>0</v>
      </c>
      <c r="I631" s="876">
        <f>'REF. DE PREÇOS n editavel'!I631</f>
        <v>0</v>
      </c>
      <c r="J631" s="865">
        <f>'REF. DE PREÇOS n editavel'!J631</f>
        <v>0</v>
      </c>
      <c r="K631" s="878" t="str">
        <f>'REF. DE PREÇOS n editavel'!K631</f>
        <v xml:space="preserve">     </v>
      </c>
      <c r="L631" s="1092"/>
      <c r="M631" s="1095">
        <f t="shared" si="78"/>
        <v>0</v>
      </c>
      <c r="N631" s="1122">
        <f t="shared" si="82"/>
        <v>0</v>
      </c>
      <c r="O631" s="1120"/>
      <c r="Q631" s="317" t="str">
        <f t="shared" si="79"/>
        <v/>
      </c>
      <c r="R631" s="317" t="str">
        <f t="shared" si="80"/>
        <v/>
      </c>
      <c r="S631" s="317" t="str">
        <f t="shared" si="81"/>
        <v/>
      </c>
      <c r="T631" s="317" t="str">
        <f>'REF. DE PREÇOS n editavel'!S631</f>
        <v/>
      </c>
      <c r="W631" s="577">
        <v>0</v>
      </c>
      <c r="X631" s="575"/>
      <c r="Y631" s="578">
        <f>IF('REF. DE PREÇOS n editavel'!W631=0,0,IF('REF. DE PREÇOS n editavel'!W631&gt;0,"c","b"))</f>
        <v>0</v>
      </c>
    </row>
    <row r="632" spans="1:25">
      <c r="A632" s="634" t="s">
        <v>165</v>
      </c>
      <c r="B632" s="1010" t="str">
        <f>'REF. DE PREÇOS n editavel'!B632</f>
        <v/>
      </c>
      <c r="C632" s="1045" t="str">
        <f>'REF. DE PREÇOS n editavel'!C632</f>
        <v/>
      </c>
      <c r="D632" s="1096">
        <f>'REF. DE PREÇOS n editavel'!D632</f>
        <v>0</v>
      </c>
      <c r="E632" s="882">
        <f>'REF. DE PREÇOS n editavel'!E632</f>
        <v>0</v>
      </c>
      <c r="F632" s="883">
        <f>'REF. DE PREÇOS n editavel'!F632</f>
        <v>0</v>
      </c>
      <c r="G632" s="887">
        <f>'REF. DE PREÇOS n editavel'!G632</f>
        <v>0</v>
      </c>
      <c r="H632" s="876">
        <f>'REF. DE PREÇOS n editavel'!H632</f>
        <v>0</v>
      </c>
      <c r="I632" s="876">
        <f>'REF. DE PREÇOS n editavel'!I632</f>
        <v>0</v>
      </c>
      <c r="J632" s="865">
        <f>'REF. DE PREÇOS n editavel'!J632</f>
        <v>0</v>
      </c>
      <c r="K632" s="878" t="str">
        <f>'REF. DE PREÇOS n editavel'!K632</f>
        <v xml:space="preserve">     </v>
      </c>
      <c r="L632" s="1092"/>
      <c r="M632" s="1095">
        <f t="shared" si="78"/>
        <v>0</v>
      </c>
      <c r="N632" s="1122">
        <f t="shared" si="82"/>
        <v>0</v>
      </c>
      <c r="O632" s="1120"/>
      <c r="Q632" s="317" t="str">
        <f t="shared" si="79"/>
        <v/>
      </c>
      <c r="R632" s="317" t="str">
        <f t="shared" si="80"/>
        <v/>
      </c>
      <c r="S632" s="317" t="str">
        <f t="shared" si="81"/>
        <v/>
      </c>
      <c r="T632" s="317" t="str">
        <f>'REF. DE PREÇOS n editavel'!S632</f>
        <v/>
      </c>
      <c r="W632" s="577">
        <v>0</v>
      </c>
      <c r="X632" s="575"/>
      <c r="Y632" s="578">
        <f>IF('REF. DE PREÇOS n editavel'!W632=0,0,IF('REF. DE PREÇOS n editavel'!W632&gt;0,"c","b"))</f>
        <v>0</v>
      </c>
    </row>
    <row r="633" spans="1:25">
      <c r="A633" s="634" t="s">
        <v>165</v>
      </c>
      <c r="B633" s="1010" t="str">
        <f>'REF. DE PREÇOS n editavel'!B633</f>
        <v/>
      </c>
      <c r="C633" s="1045" t="str">
        <f>'REF. DE PREÇOS n editavel'!C633</f>
        <v/>
      </c>
      <c r="D633" s="1096">
        <f>'REF. DE PREÇOS n editavel'!D633</f>
        <v>0</v>
      </c>
      <c r="E633" s="882">
        <f>'REF. DE PREÇOS n editavel'!E633</f>
        <v>0</v>
      </c>
      <c r="F633" s="883">
        <f>'REF. DE PREÇOS n editavel'!F633</f>
        <v>0</v>
      </c>
      <c r="G633" s="887">
        <f>'REF. DE PREÇOS n editavel'!G633</f>
        <v>0</v>
      </c>
      <c r="H633" s="876">
        <f>'REF. DE PREÇOS n editavel'!H633</f>
        <v>0</v>
      </c>
      <c r="I633" s="876">
        <f>'REF. DE PREÇOS n editavel'!I633</f>
        <v>0</v>
      </c>
      <c r="J633" s="865">
        <f>'REF. DE PREÇOS n editavel'!J633</f>
        <v>0</v>
      </c>
      <c r="K633" s="878" t="str">
        <f>'REF. DE PREÇOS n editavel'!K633</f>
        <v xml:space="preserve">     </v>
      </c>
      <c r="L633" s="1092"/>
      <c r="M633" s="1095">
        <f t="shared" si="78"/>
        <v>0</v>
      </c>
      <c r="N633" s="1122">
        <f t="shared" si="82"/>
        <v>0</v>
      </c>
      <c r="O633" s="1120"/>
      <c r="Q633" s="317" t="str">
        <f t="shared" si="79"/>
        <v/>
      </c>
      <c r="R633" s="317" t="str">
        <f t="shared" si="80"/>
        <v/>
      </c>
      <c r="S633" s="317" t="str">
        <f t="shared" si="81"/>
        <v/>
      </c>
      <c r="T633" s="317" t="str">
        <f>'REF. DE PREÇOS n editavel'!S633</f>
        <v/>
      </c>
      <c r="W633" s="577">
        <v>0</v>
      </c>
      <c r="X633" s="575"/>
      <c r="Y633" s="578">
        <f>IF('REF. DE PREÇOS n editavel'!W633=0,0,IF('REF. DE PREÇOS n editavel'!W633&gt;0,"c","b"))</f>
        <v>0</v>
      </c>
    </row>
    <row r="634" spans="1:25">
      <c r="A634" s="634" t="s">
        <v>165</v>
      </c>
      <c r="B634" s="1010" t="str">
        <f>'REF. DE PREÇOS n editavel'!B634</f>
        <v/>
      </c>
      <c r="C634" s="1045" t="str">
        <f>'REF. DE PREÇOS n editavel'!C634</f>
        <v/>
      </c>
      <c r="D634" s="1096">
        <f>'REF. DE PREÇOS n editavel'!D634</f>
        <v>0</v>
      </c>
      <c r="E634" s="882">
        <f>'REF. DE PREÇOS n editavel'!E634</f>
        <v>0</v>
      </c>
      <c r="F634" s="883">
        <f>'REF. DE PREÇOS n editavel'!F634</f>
        <v>0</v>
      </c>
      <c r="G634" s="887">
        <f>'REF. DE PREÇOS n editavel'!G634</f>
        <v>0</v>
      </c>
      <c r="H634" s="876">
        <f>'REF. DE PREÇOS n editavel'!H634</f>
        <v>0</v>
      </c>
      <c r="I634" s="876">
        <f>'REF. DE PREÇOS n editavel'!I634</f>
        <v>0</v>
      </c>
      <c r="J634" s="865">
        <f>'REF. DE PREÇOS n editavel'!J634</f>
        <v>0</v>
      </c>
      <c r="K634" s="878" t="str">
        <f>'REF. DE PREÇOS n editavel'!K634</f>
        <v xml:space="preserve">     </v>
      </c>
      <c r="L634" s="1092"/>
      <c r="M634" s="1095">
        <f t="shared" si="78"/>
        <v>0</v>
      </c>
      <c r="N634" s="1122">
        <f t="shared" si="82"/>
        <v>0</v>
      </c>
      <c r="O634" s="1120"/>
      <c r="Q634" s="317" t="str">
        <f t="shared" si="79"/>
        <v/>
      </c>
      <c r="R634" s="317" t="str">
        <f t="shared" si="80"/>
        <v/>
      </c>
      <c r="S634" s="317" t="str">
        <f t="shared" si="81"/>
        <v/>
      </c>
      <c r="T634" s="317" t="str">
        <f>'REF. DE PREÇOS n editavel'!S634</f>
        <v/>
      </c>
      <c r="W634" s="577">
        <v>0</v>
      </c>
      <c r="X634" s="575"/>
      <c r="Y634" s="578">
        <f>IF('REF. DE PREÇOS n editavel'!W634=0,0,IF('REF. DE PREÇOS n editavel'!W634&gt;0,"c","b"))</f>
        <v>0</v>
      </c>
    </row>
    <row r="635" spans="1:25">
      <c r="A635" s="634" t="s">
        <v>165</v>
      </c>
      <c r="B635" s="1010" t="str">
        <f>'REF. DE PREÇOS n editavel'!B635</f>
        <v/>
      </c>
      <c r="C635" s="1045" t="str">
        <f>'REF. DE PREÇOS n editavel'!C635</f>
        <v/>
      </c>
      <c r="D635" s="1096">
        <f>'REF. DE PREÇOS n editavel'!D635</f>
        <v>0</v>
      </c>
      <c r="E635" s="882">
        <f>'REF. DE PREÇOS n editavel'!E635</f>
        <v>0</v>
      </c>
      <c r="F635" s="883">
        <f>'REF. DE PREÇOS n editavel'!F635</f>
        <v>0</v>
      </c>
      <c r="G635" s="887">
        <f>'REF. DE PREÇOS n editavel'!G635</f>
        <v>0</v>
      </c>
      <c r="H635" s="876">
        <f>'REF. DE PREÇOS n editavel'!H635</f>
        <v>0</v>
      </c>
      <c r="I635" s="876">
        <f>'REF. DE PREÇOS n editavel'!I635</f>
        <v>0</v>
      </c>
      <c r="J635" s="865">
        <f>'REF. DE PREÇOS n editavel'!J635</f>
        <v>0</v>
      </c>
      <c r="K635" s="878" t="str">
        <f>'REF. DE PREÇOS n editavel'!K635</f>
        <v xml:space="preserve">     </v>
      </c>
      <c r="L635" s="1092"/>
      <c r="M635" s="1095">
        <f t="shared" si="78"/>
        <v>0</v>
      </c>
      <c r="N635" s="1122">
        <f t="shared" si="82"/>
        <v>0</v>
      </c>
      <c r="O635" s="1120"/>
      <c r="Q635" s="317" t="str">
        <f t="shared" si="79"/>
        <v/>
      </c>
      <c r="R635" s="317" t="str">
        <f t="shared" si="80"/>
        <v/>
      </c>
      <c r="S635" s="317" t="str">
        <f t="shared" si="81"/>
        <v/>
      </c>
      <c r="T635" s="317" t="str">
        <f>'REF. DE PREÇOS n editavel'!S635</f>
        <v/>
      </c>
      <c r="W635" s="577">
        <v>0</v>
      </c>
      <c r="X635" s="575"/>
      <c r="Y635" s="578">
        <f>IF('REF. DE PREÇOS n editavel'!W635=0,0,IF('REF. DE PREÇOS n editavel'!W635&gt;0,"c","b"))</f>
        <v>0</v>
      </c>
    </row>
    <row r="636" spans="1:25">
      <c r="A636" s="634" t="s">
        <v>165</v>
      </c>
      <c r="B636" s="1010" t="str">
        <f>'REF. DE PREÇOS n editavel'!B636</f>
        <v/>
      </c>
      <c r="C636" s="1045" t="str">
        <f>'REF. DE PREÇOS n editavel'!C636</f>
        <v/>
      </c>
      <c r="D636" s="1096">
        <f>'REF. DE PREÇOS n editavel'!D636</f>
        <v>0</v>
      </c>
      <c r="E636" s="882">
        <f>'REF. DE PREÇOS n editavel'!E636</f>
        <v>0</v>
      </c>
      <c r="F636" s="883">
        <f>'REF. DE PREÇOS n editavel'!F636</f>
        <v>0</v>
      </c>
      <c r="G636" s="887">
        <f>'REF. DE PREÇOS n editavel'!G636</f>
        <v>0</v>
      </c>
      <c r="H636" s="876">
        <f>'REF. DE PREÇOS n editavel'!H636</f>
        <v>0</v>
      </c>
      <c r="I636" s="876">
        <f>'REF. DE PREÇOS n editavel'!I636</f>
        <v>0</v>
      </c>
      <c r="J636" s="865">
        <f>'REF. DE PREÇOS n editavel'!J636</f>
        <v>0</v>
      </c>
      <c r="K636" s="878" t="str">
        <f>'REF. DE PREÇOS n editavel'!K636</f>
        <v xml:space="preserve">     </v>
      </c>
      <c r="L636" s="1092"/>
      <c r="M636" s="1095">
        <f t="shared" si="78"/>
        <v>0</v>
      </c>
      <c r="N636" s="1122">
        <f t="shared" si="82"/>
        <v>0</v>
      </c>
      <c r="O636" s="1120"/>
      <c r="Q636" s="317" t="str">
        <f t="shared" si="79"/>
        <v/>
      </c>
      <c r="R636" s="317" t="str">
        <f t="shared" si="80"/>
        <v/>
      </c>
      <c r="S636" s="317" t="str">
        <f t="shared" si="81"/>
        <v/>
      </c>
      <c r="T636" s="317" t="str">
        <f>'REF. DE PREÇOS n editavel'!S636</f>
        <v/>
      </c>
      <c r="W636" s="577">
        <v>0</v>
      </c>
      <c r="X636" s="575"/>
      <c r="Y636" s="578">
        <f>IF('REF. DE PREÇOS n editavel'!W636=0,0,IF('REF. DE PREÇOS n editavel'!W636&gt;0,"c","b"))</f>
        <v>0</v>
      </c>
    </row>
    <row r="637" spans="1:25">
      <c r="A637" s="634" t="s">
        <v>165</v>
      </c>
      <c r="B637" s="1010" t="str">
        <f>'REF. DE PREÇOS n editavel'!B637</f>
        <v/>
      </c>
      <c r="C637" s="1045" t="str">
        <f>'REF. DE PREÇOS n editavel'!C637</f>
        <v/>
      </c>
      <c r="D637" s="1096">
        <f>'REF. DE PREÇOS n editavel'!D637</f>
        <v>0</v>
      </c>
      <c r="E637" s="882">
        <f>'REF. DE PREÇOS n editavel'!E637</f>
        <v>0</v>
      </c>
      <c r="F637" s="883">
        <f>'REF. DE PREÇOS n editavel'!F637</f>
        <v>0</v>
      </c>
      <c r="G637" s="887">
        <f>'REF. DE PREÇOS n editavel'!G637</f>
        <v>0</v>
      </c>
      <c r="H637" s="876">
        <f>'REF. DE PREÇOS n editavel'!H637</f>
        <v>0</v>
      </c>
      <c r="I637" s="876">
        <f>'REF. DE PREÇOS n editavel'!I637</f>
        <v>0</v>
      </c>
      <c r="J637" s="865">
        <f>'REF. DE PREÇOS n editavel'!J637</f>
        <v>0</v>
      </c>
      <c r="K637" s="878" t="str">
        <f>'REF. DE PREÇOS n editavel'!K637</f>
        <v xml:space="preserve">     </v>
      </c>
      <c r="L637" s="1092"/>
      <c r="M637" s="1095">
        <f t="shared" si="78"/>
        <v>0</v>
      </c>
      <c r="N637" s="1122">
        <f t="shared" si="82"/>
        <v>0</v>
      </c>
      <c r="O637" s="1120"/>
      <c r="Q637" s="317" t="str">
        <f t="shared" si="79"/>
        <v/>
      </c>
      <c r="R637" s="317" t="str">
        <f t="shared" si="80"/>
        <v/>
      </c>
      <c r="S637" s="317" t="str">
        <f t="shared" si="81"/>
        <v/>
      </c>
      <c r="T637" s="317" t="str">
        <f>'REF. DE PREÇOS n editavel'!S637</f>
        <v/>
      </c>
      <c r="W637" s="577">
        <v>0</v>
      </c>
      <c r="X637" s="575"/>
      <c r="Y637" s="578">
        <f>IF('REF. DE PREÇOS n editavel'!W637=0,0,IF('REF. DE PREÇOS n editavel'!W637&gt;0,"c","b"))</f>
        <v>0</v>
      </c>
    </row>
    <row r="638" spans="1:25">
      <c r="A638" s="634" t="s">
        <v>165</v>
      </c>
      <c r="B638" s="1010" t="str">
        <f>'REF. DE PREÇOS n editavel'!B638</f>
        <v/>
      </c>
      <c r="C638" s="1045" t="str">
        <f>'REF. DE PREÇOS n editavel'!C638</f>
        <v/>
      </c>
      <c r="D638" s="1096">
        <f>'REF. DE PREÇOS n editavel'!D638</f>
        <v>0</v>
      </c>
      <c r="E638" s="882">
        <f>'REF. DE PREÇOS n editavel'!E638</f>
        <v>0</v>
      </c>
      <c r="F638" s="883">
        <f>'REF. DE PREÇOS n editavel'!F638</f>
        <v>0</v>
      </c>
      <c r="G638" s="887">
        <f>'REF. DE PREÇOS n editavel'!G638</f>
        <v>0</v>
      </c>
      <c r="H638" s="876">
        <f>'REF. DE PREÇOS n editavel'!H638</f>
        <v>0</v>
      </c>
      <c r="I638" s="876">
        <f>'REF. DE PREÇOS n editavel'!I638</f>
        <v>0</v>
      </c>
      <c r="J638" s="865">
        <f>'REF. DE PREÇOS n editavel'!J638</f>
        <v>0</v>
      </c>
      <c r="K638" s="878" t="str">
        <f>'REF. DE PREÇOS n editavel'!K638</f>
        <v xml:space="preserve">     </v>
      </c>
      <c r="L638" s="1092"/>
      <c r="M638" s="1095">
        <f t="shared" si="78"/>
        <v>0</v>
      </c>
      <c r="N638" s="1122">
        <f t="shared" si="82"/>
        <v>0</v>
      </c>
      <c r="O638" s="1120"/>
      <c r="Q638" s="317" t="str">
        <f t="shared" si="79"/>
        <v/>
      </c>
      <c r="R638" s="317" t="str">
        <f t="shared" si="80"/>
        <v/>
      </c>
      <c r="S638" s="317" t="str">
        <f t="shared" si="81"/>
        <v/>
      </c>
      <c r="T638" s="317" t="str">
        <f>'REF. DE PREÇOS n editavel'!S638</f>
        <v/>
      </c>
      <c r="W638" s="577">
        <v>0</v>
      </c>
      <c r="X638" s="575"/>
      <c r="Y638" s="578">
        <f>IF('REF. DE PREÇOS n editavel'!W638=0,0,IF('REF. DE PREÇOS n editavel'!W638&gt;0,"c","b"))</f>
        <v>0</v>
      </c>
    </row>
    <row r="639" spans="1:25">
      <c r="A639" s="634" t="s">
        <v>165</v>
      </c>
      <c r="B639" s="1010" t="str">
        <f>'REF. DE PREÇOS n editavel'!B639</f>
        <v/>
      </c>
      <c r="C639" s="1045" t="str">
        <f>'REF. DE PREÇOS n editavel'!C639</f>
        <v/>
      </c>
      <c r="D639" s="1096">
        <f>'REF. DE PREÇOS n editavel'!D639</f>
        <v>0</v>
      </c>
      <c r="E639" s="882">
        <f>'REF. DE PREÇOS n editavel'!E639</f>
        <v>0</v>
      </c>
      <c r="F639" s="883">
        <f>'REF. DE PREÇOS n editavel'!F639</f>
        <v>0</v>
      </c>
      <c r="G639" s="887">
        <f>'REF. DE PREÇOS n editavel'!G639</f>
        <v>0</v>
      </c>
      <c r="H639" s="876">
        <f>'REF. DE PREÇOS n editavel'!H639</f>
        <v>0</v>
      </c>
      <c r="I639" s="876">
        <f>'REF. DE PREÇOS n editavel'!I639</f>
        <v>0</v>
      </c>
      <c r="J639" s="865">
        <f>'REF. DE PREÇOS n editavel'!J639</f>
        <v>0</v>
      </c>
      <c r="K639" s="878" t="str">
        <f>'REF. DE PREÇOS n editavel'!K639</f>
        <v xml:space="preserve">     </v>
      </c>
      <c r="L639" s="1092"/>
      <c r="M639" s="1095">
        <f t="shared" si="78"/>
        <v>0</v>
      </c>
      <c r="N639" s="1122">
        <f t="shared" si="82"/>
        <v>0</v>
      </c>
      <c r="O639" s="1120"/>
      <c r="Q639" s="317" t="str">
        <f t="shared" si="79"/>
        <v/>
      </c>
      <c r="R639" s="317" t="str">
        <f t="shared" si="80"/>
        <v/>
      </c>
      <c r="S639" s="317" t="str">
        <f t="shared" si="81"/>
        <v/>
      </c>
      <c r="T639" s="317" t="str">
        <f>'REF. DE PREÇOS n editavel'!S639</f>
        <v/>
      </c>
      <c r="W639" s="577">
        <v>0</v>
      </c>
      <c r="X639" s="575"/>
      <c r="Y639" s="578">
        <f>IF('REF. DE PREÇOS n editavel'!W639=0,0,IF('REF. DE PREÇOS n editavel'!W639&gt;0,"c","b"))</f>
        <v>0</v>
      </c>
    </row>
    <row r="640" spans="1:25">
      <c r="A640" s="634" t="s">
        <v>165</v>
      </c>
      <c r="B640" s="1010" t="str">
        <f>'REF. DE PREÇOS n editavel'!B640</f>
        <v/>
      </c>
      <c r="C640" s="1045" t="str">
        <f>'REF. DE PREÇOS n editavel'!C640</f>
        <v/>
      </c>
      <c r="D640" s="1096">
        <f>'REF. DE PREÇOS n editavel'!D640</f>
        <v>0</v>
      </c>
      <c r="E640" s="882">
        <f>'REF. DE PREÇOS n editavel'!E640</f>
        <v>0</v>
      </c>
      <c r="F640" s="883">
        <f>'REF. DE PREÇOS n editavel'!F640</f>
        <v>0</v>
      </c>
      <c r="G640" s="887">
        <f>'REF. DE PREÇOS n editavel'!G640</f>
        <v>0</v>
      </c>
      <c r="H640" s="876">
        <f>'REF. DE PREÇOS n editavel'!H640</f>
        <v>0</v>
      </c>
      <c r="I640" s="876">
        <f>'REF. DE PREÇOS n editavel'!I640</f>
        <v>0</v>
      </c>
      <c r="J640" s="865">
        <f>'REF. DE PREÇOS n editavel'!J640</f>
        <v>0</v>
      </c>
      <c r="K640" s="878" t="str">
        <f>'REF. DE PREÇOS n editavel'!K640</f>
        <v xml:space="preserve">     </v>
      </c>
      <c r="L640" s="1092"/>
      <c r="M640" s="1095">
        <f t="shared" si="78"/>
        <v>0</v>
      </c>
      <c r="N640" s="1122">
        <f t="shared" si="82"/>
        <v>0</v>
      </c>
      <c r="O640" s="1120"/>
      <c r="Q640" s="317" t="str">
        <f t="shared" si="79"/>
        <v/>
      </c>
      <c r="R640" s="317" t="str">
        <f t="shared" si="80"/>
        <v/>
      </c>
      <c r="S640" s="317" t="str">
        <f t="shared" si="81"/>
        <v/>
      </c>
      <c r="T640" s="317" t="str">
        <f>'REF. DE PREÇOS n editavel'!S640</f>
        <v/>
      </c>
      <c r="W640" s="577">
        <v>0</v>
      </c>
      <c r="X640" s="575"/>
      <c r="Y640" s="578">
        <f>IF('REF. DE PREÇOS n editavel'!W640=0,0,IF('REF. DE PREÇOS n editavel'!W640&gt;0,"c","b"))</f>
        <v>0</v>
      </c>
    </row>
    <row r="641" spans="1:25">
      <c r="A641" s="634" t="s">
        <v>165</v>
      </c>
      <c r="B641" s="1010" t="str">
        <f>'REF. DE PREÇOS n editavel'!B641</f>
        <v/>
      </c>
      <c r="C641" s="1045" t="str">
        <f>'REF. DE PREÇOS n editavel'!C641</f>
        <v/>
      </c>
      <c r="D641" s="1096">
        <f>'REF. DE PREÇOS n editavel'!D641</f>
        <v>0</v>
      </c>
      <c r="E641" s="882">
        <f>'REF. DE PREÇOS n editavel'!E641</f>
        <v>0</v>
      </c>
      <c r="F641" s="883">
        <f>'REF. DE PREÇOS n editavel'!F641</f>
        <v>0</v>
      </c>
      <c r="G641" s="887">
        <f>'REF. DE PREÇOS n editavel'!G641</f>
        <v>0</v>
      </c>
      <c r="H641" s="876">
        <f>'REF. DE PREÇOS n editavel'!H641</f>
        <v>0</v>
      </c>
      <c r="I641" s="876">
        <f>'REF. DE PREÇOS n editavel'!I641</f>
        <v>0</v>
      </c>
      <c r="J641" s="865">
        <f>'REF. DE PREÇOS n editavel'!J641</f>
        <v>0</v>
      </c>
      <c r="K641" s="878" t="str">
        <f>'REF. DE PREÇOS n editavel'!K641</f>
        <v xml:space="preserve">     </v>
      </c>
      <c r="L641" s="1092"/>
      <c r="M641" s="1095">
        <f t="shared" si="78"/>
        <v>0</v>
      </c>
      <c r="N641" s="1122">
        <f t="shared" si="82"/>
        <v>0</v>
      </c>
      <c r="O641" s="1120"/>
      <c r="Q641" s="317" t="str">
        <f t="shared" si="79"/>
        <v/>
      </c>
      <c r="R641" s="317" t="str">
        <f t="shared" si="80"/>
        <v/>
      </c>
      <c r="S641" s="317" t="str">
        <f t="shared" si="81"/>
        <v/>
      </c>
      <c r="T641" s="317" t="str">
        <f>'REF. DE PREÇOS n editavel'!S641</f>
        <v/>
      </c>
      <c r="W641" s="577">
        <v>0</v>
      </c>
      <c r="X641" s="575"/>
      <c r="Y641" s="578">
        <f>IF('REF. DE PREÇOS n editavel'!W641=0,0,IF('REF. DE PREÇOS n editavel'!W641&gt;0,"c","b"))</f>
        <v>0</v>
      </c>
    </row>
    <row r="642" spans="1:25">
      <c r="A642" s="634" t="s">
        <v>165</v>
      </c>
      <c r="B642" s="1010" t="str">
        <f>'REF. DE PREÇOS n editavel'!B642</f>
        <v/>
      </c>
      <c r="C642" s="1045" t="str">
        <f>'REF. DE PREÇOS n editavel'!C642</f>
        <v/>
      </c>
      <c r="D642" s="1096">
        <f>'REF. DE PREÇOS n editavel'!D642</f>
        <v>0</v>
      </c>
      <c r="E642" s="882">
        <f>'REF. DE PREÇOS n editavel'!E642</f>
        <v>0</v>
      </c>
      <c r="F642" s="883">
        <f>'REF. DE PREÇOS n editavel'!F642</f>
        <v>0</v>
      </c>
      <c r="G642" s="887">
        <f>'REF. DE PREÇOS n editavel'!G642</f>
        <v>0</v>
      </c>
      <c r="H642" s="876">
        <f>'REF. DE PREÇOS n editavel'!H642</f>
        <v>0</v>
      </c>
      <c r="I642" s="876">
        <f>'REF. DE PREÇOS n editavel'!I642</f>
        <v>0</v>
      </c>
      <c r="J642" s="865">
        <f>'REF. DE PREÇOS n editavel'!J642</f>
        <v>0</v>
      </c>
      <c r="K642" s="878" t="str">
        <f>'REF. DE PREÇOS n editavel'!K642</f>
        <v xml:space="preserve">     </v>
      </c>
      <c r="L642" s="1092"/>
      <c r="M642" s="1095">
        <f t="shared" si="78"/>
        <v>0</v>
      </c>
      <c r="N642" s="1122">
        <f t="shared" si="82"/>
        <v>0</v>
      </c>
      <c r="O642" s="1120"/>
      <c r="Q642" s="317" t="str">
        <f t="shared" si="79"/>
        <v/>
      </c>
      <c r="R642" s="317" t="str">
        <f t="shared" si="80"/>
        <v/>
      </c>
      <c r="S642" s="317" t="str">
        <f t="shared" si="81"/>
        <v/>
      </c>
      <c r="T642" s="317" t="str">
        <f>'REF. DE PREÇOS n editavel'!S642</f>
        <v/>
      </c>
      <c r="W642" s="577">
        <v>0</v>
      </c>
      <c r="X642" s="575"/>
      <c r="Y642" s="578">
        <f>IF('REF. DE PREÇOS n editavel'!W642=0,0,IF('REF. DE PREÇOS n editavel'!W642&gt;0,"c","b"))</f>
        <v>0</v>
      </c>
    </row>
    <row r="643" spans="1:25" ht="13.5" thickBot="1">
      <c r="A643" s="634" t="s">
        <v>165</v>
      </c>
      <c r="B643" s="1010" t="str">
        <f>'REF. DE PREÇOS n editavel'!B643</f>
        <v/>
      </c>
      <c r="C643" s="1045" t="str">
        <f>'REF. DE PREÇOS n editavel'!C643</f>
        <v/>
      </c>
      <c r="D643" s="1096">
        <f>'REF. DE PREÇOS n editavel'!D643</f>
        <v>0</v>
      </c>
      <c r="E643" s="882">
        <f>'REF. DE PREÇOS n editavel'!E643</f>
        <v>0</v>
      </c>
      <c r="F643" s="883">
        <f>'REF. DE PREÇOS n editavel'!F643</f>
        <v>0</v>
      </c>
      <c r="G643" s="887">
        <f>'REF. DE PREÇOS n editavel'!G643</f>
        <v>0</v>
      </c>
      <c r="H643" s="876">
        <f>'REF. DE PREÇOS n editavel'!H643</f>
        <v>0</v>
      </c>
      <c r="I643" s="876">
        <f>'REF. DE PREÇOS n editavel'!I643</f>
        <v>0</v>
      </c>
      <c r="J643" s="865">
        <f>'REF. DE PREÇOS n editavel'!J643</f>
        <v>0</v>
      </c>
      <c r="K643" s="878" t="str">
        <f>'REF. DE PREÇOS n editavel'!K643</f>
        <v xml:space="preserve">     </v>
      </c>
      <c r="L643" s="1092"/>
      <c r="M643" s="1095">
        <f t="shared" si="78"/>
        <v>0</v>
      </c>
      <c r="N643" s="1122">
        <f t="shared" si="82"/>
        <v>0</v>
      </c>
      <c r="O643" s="1120"/>
      <c r="Q643" s="317" t="str">
        <f t="shared" si="79"/>
        <v/>
      </c>
      <c r="R643" s="317" t="str">
        <f t="shared" si="80"/>
        <v/>
      </c>
      <c r="S643" s="317" t="str">
        <f t="shared" si="81"/>
        <v/>
      </c>
      <c r="T643" s="317" t="str">
        <f>'REF. DE PREÇOS n editavel'!S643</f>
        <v/>
      </c>
      <c r="W643" s="577">
        <v>0</v>
      </c>
      <c r="X643" s="575"/>
      <c r="Y643" s="578">
        <f>IF('REF. DE PREÇOS n editavel'!W643=0,0,IF('REF. DE PREÇOS n editavel'!W643&gt;0,"c","b"))</f>
        <v>0</v>
      </c>
    </row>
    <row r="644" spans="1:25" ht="13.5" thickBot="1">
      <c r="A644" s="317" t="s">
        <v>205</v>
      </c>
      <c r="B644" s="924" t="s">
        <v>205</v>
      </c>
      <c r="C644" s="925"/>
      <c r="D644" s="926" t="s">
        <v>569</v>
      </c>
      <c r="E644" s="917">
        <f>'REF. DE PREÇOS n editavel'!E644</f>
        <v>0</v>
      </c>
      <c r="F644" s="851">
        <f>'REF. DE PREÇOS n editavel'!F644</f>
        <v>0</v>
      </c>
      <c r="G644" s="918"/>
      <c r="H644" s="919">
        <f>'REF. DE PREÇOS n editavel'!H644</f>
        <v>0</v>
      </c>
      <c r="I644" s="919">
        <f>'REF. DE PREÇOS n editavel'!I644</f>
        <v>0</v>
      </c>
      <c r="J644" s="919">
        <f>'REF. DE PREÇOS n editavel'!J644</f>
        <v>0</v>
      </c>
      <c r="K644" s="853" t="s">
        <v>506</v>
      </c>
      <c r="L644" s="854"/>
      <c r="M644" s="855"/>
      <c r="N644" s="856">
        <f t="shared" si="82"/>
        <v>0</v>
      </c>
      <c r="O644" s="857">
        <f>SUM(N645:N852)</f>
        <v>0</v>
      </c>
      <c r="P644" s="58" t="str">
        <f>IF(OR(O644&gt;0,O644&gt;0),"X","")</f>
        <v/>
      </c>
      <c r="Q644" s="317" t="str">
        <f t="shared" si="79"/>
        <v/>
      </c>
      <c r="R644" s="317" t="str">
        <f t="shared" si="80"/>
        <v/>
      </c>
      <c r="S644" s="317" t="str">
        <f t="shared" si="81"/>
        <v/>
      </c>
      <c r="T644" s="317" t="str">
        <f>'REF. DE PREÇOS n editavel'!S644</f>
        <v/>
      </c>
      <c r="W644" s="577">
        <v>0</v>
      </c>
      <c r="X644" s="575"/>
      <c r="Y644" s="578">
        <f>IF('REF. DE PREÇOS n editavel'!W644=0,0,IF('REF. DE PREÇOS n editavel'!W644&gt;0,"c","b"))</f>
        <v>0</v>
      </c>
    </row>
    <row r="645" spans="1:25">
      <c r="A645" s="317">
        <v>810250</v>
      </c>
      <c r="B645" s="870" t="s">
        <v>1691</v>
      </c>
      <c r="C645" s="871" t="s">
        <v>184</v>
      </c>
      <c r="D645" s="881" t="s">
        <v>455</v>
      </c>
      <c r="E645" s="882">
        <f>'REF. DE PREÇOS n editavel'!E645</f>
        <v>10</v>
      </c>
      <c r="F645" s="883">
        <f>'REF. DE PREÇOS n editavel'!F645</f>
        <v>3.9800000000000002E-2</v>
      </c>
      <c r="G645" s="923">
        <f>'REF. DE PREÇOS n editavel'!G645</f>
        <v>0.53252400000000011</v>
      </c>
      <c r="H645" s="876">
        <f>'REF. DE PREÇOS n editavel'!H645</f>
        <v>20.16</v>
      </c>
      <c r="I645" s="876">
        <f>'REF. DE PREÇOS n editavel'!I645</f>
        <v>20.692523999999999</v>
      </c>
      <c r="J645" s="877">
        <f>'REF. DE PREÇOS n editavel'!J645</f>
        <v>25.29</v>
      </c>
      <c r="K645" s="878" t="s">
        <v>13</v>
      </c>
      <c r="L645" s="1092"/>
      <c r="M645" s="1093">
        <f t="shared" si="78"/>
        <v>0</v>
      </c>
      <c r="N645" s="868">
        <f t="shared" si="82"/>
        <v>0</v>
      </c>
      <c r="O645" s="880"/>
      <c r="Q645" s="317" t="str">
        <f t="shared" si="79"/>
        <v/>
      </c>
      <c r="R645" s="317" t="str">
        <f t="shared" si="80"/>
        <v/>
      </c>
      <c r="S645" s="317" t="str">
        <f t="shared" si="81"/>
        <v/>
      </c>
      <c r="T645" s="317" t="str">
        <f>'REF. DE PREÇOS n editavel'!S645</f>
        <v/>
      </c>
      <c r="W645" s="577">
        <v>0</v>
      </c>
      <c r="X645" s="575"/>
      <c r="Y645" s="578">
        <f>IF('REF. DE PREÇOS n editavel'!W645=0,0,IF('REF. DE PREÇOS n editavel'!W645&gt;0,"c","b"))</f>
        <v>0</v>
      </c>
    </row>
    <row r="646" spans="1:25">
      <c r="A646" s="317">
        <v>810250</v>
      </c>
      <c r="B646" s="870" t="s">
        <v>1692</v>
      </c>
      <c r="C646" s="871" t="s">
        <v>184</v>
      </c>
      <c r="D646" s="881" t="s">
        <v>510</v>
      </c>
      <c r="E646" s="882">
        <f>'REF. DE PREÇOS n editavel'!E646</f>
        <v>10</v>
      </c>
      <c r="F646" s="883">
        <f>'REF. DE PREÇOS n editavel'!F646</f>
        <v>2.63E-2</v>
      </c>
      <c r="G646" s="923">
        <f>'REF. DE PREÇOS n editavel'!G646</f>
        <v>0.35189400000000004</v>
      </c>
      <c r="H646" s="876">
        <f>'REF. DE PREÇOS n editavel'!H646</f>
        <v>13.27</v>
      </c>
      <c r="I646" s="876">
        <f>'REF. DE PREÇOS n editavel'!I646</f>
        <v>13.621893999999999</v>
      </c>
      <c r="J646" s="877">
        <f>'REF. DE PREÇOS n editavel'!J646</f>
        <v>16.649999999999999</v>
      </c>
      <c r="K646" s="878" t="s">
        <v>13</v>
      </c>
      <c r="L646" s="1092"/>
      <c r="M646" s="1093">
        <f t="shared" si="78"/>
        <v>0</v>
      </c>
      <c r="N646" s="868">
        <f t="shared" si="82"/>
        <v>0</v>
      </c>
      <c r="O646" s="880"/>
      <c r="Q646" s="317" t="str">
        <f t="shared" si="79"/>
        <v/>
      </c>
      <c r="R646" s="317" t="str">
        <f t="shared" si="80"/>
        <v/>
      </c>
      <c r="S646" s="317" t="str">
        <f t="shared" si="81"/>
        <v/>
      </c>
      <c r="T646" s="317" t="str">
        <f>'REF. DE PREÇOS n editavel'!S646</f>
        <v/>
      </c>
      <c r="W646" s="577">
        <v>0</v>
      </c>
      <c r="X646" s="575"/>
      <c r="Y646" s="578">
        <f>IF('REF. DE PREÇOS n editavel'!W646=0,0,IF('REF. DE PREÇOS n editavel'!W646&gt;0,"c","b"))</f>
        <v>0</v>
      </c>
    </row>
    <row r="647" spans="1:25">
      <c r="A647" s="317">
        <v>810250</v>
      </c>
      <c r="B647" s="870" t="s">
        <v>1693</v>
      </c>
      <c r="C647" s="871" t="s">
        <v>184</v>
      </c>
      <c r="D647" s="881" t="s">
        <v>456</v>
      </c>
      <c r="E647" s="882">
        <f>'REF. DE PREÇOS n editavel'!E647</f>
        <v>10</v>
      </c>
      <c r="F647" s="883">
        <f>'REF. DE PREÇOS n editavel'!F647</f>
        <v>3.2800000000000003E-2</v>
      </c>
      <c r="G647" s="923">
        <f>'REF. DE PREÇOS n editavel'!G647</f>
        <v>0.43886400000000009</v>
      </c>
      <c r="H647" s="876">
        <f>'REF. DE PREÇOS n editavel'!H647</f>
        <v>16.510000000000002</v>
      </c>
      <c r="I647" s="876">
        <f>'REF. DE PREÇOS n editavel'!I647</f>
        <v>16.948864</v>
      </c>
      <c r="J647" s="877">
        <f>'REF. DE PREÇOS n editavel'!J647</f>
        <v>20.71</v>
      </c>
      <c r="K647" s="878" t="s">
        <v>13</v>
      </c>
      <c r="L647" s="1092"/>
      <c r="M647" s="1093">
        <f t="shared" si="78"/>
        <v>0</v>
      </c>
      <c r="N647" s="868">
        <f t="shared" si="82"/>
        <v>0</v>
      </c>
      <c r="O647" s="880"/>
      <c r="Q647" s="317" t="str">
        <f t="shared" si="79"/>
        <v/>
      </c>
      <c r="R647" s="317" t="str">
        <f t="shared" si="80"/>
        <v/>
      </c>
      <c r="S647" s="317" t="str">
        <f t="shared" si="81"/>
        <v/>
      </c>
      <c r="T647" s="317" t="str">
        <f>'REF. DE PREÇOS n editavel'!S647</f>
        <v/>
      </c>
      <c r="W647" s="577">
        <v>0</v>
      </c>
      <c r="X647" s="575"/>
      <c r="Y647" s="578">
        <f>IF('REF. DE PREÇOS n editavel'!W647=0,0,IF('REF. DE PREÇOS n editavel'!W647&gt;0,"c","b"))</f>
        <v>0</v>
      </c>
    </row>
    <row r="648" spans="1:25">
      <c r="A648" s="317" t="s">
        <v>451</v>
      </c>
      <c r="B648" s="870" t="str">
        <f>'REF. DE PREÇOS n editavel'!B648</f>
        <v>PAI-004B</v>
      </c>
      <c r="C648" s="871" t="str">
        <f>'REF. DE PREÇOS n editavel'!C648</f>
        <v>PM Curitiba-abr/22</v>
      </c>
      <c r="D648" s="881" t="str">
        <f>'REF. DE PREÇOS n editavel'!D648</f>
        <v>Fincadinha de Granito - (100x8x15cm)</v>
      </c>
      <c r="E648" s="882">
        <f>'REF. DE PREÇOS n editavel'!E648</f>
        <v>43.1</v>
      </c>
      <c r="F648" s="883">
        <f>'REF. DE PREÇOS n editavel'!F648</f>
        <v>2.1600000000000001E-2</v>
      </c>
      <c r="G648" s="923">
        <f>'REF. DE PREÇOS n editavel'!G648</f>
        <v>1.0540152</v>
      </c>
      <c r="H648" s="876">
        <f>'REF. DE PREÇOS n editavel'!H648</f>
        <v>64.709999999999994</v>
      </c>
      <c r="I648" s="876">
        <f>'REF. DE PREÇOS n editavel'!I648</f>
        <v>65.764015199999989</v>
      </c>
      <c r="J648" s="877">
        <f>'REF. DE PREÇOS n editavel'!J648</f>
        <v>80.38</v>
      </c>
      <c r="K648" s="878" t="s">
        <v>13</v>
      </c>
      <c r="L648" s="1092"/>
      <c r="M648" s="1093">
        <f t="shared" si="78"/>
        <v>0</v>
      </c>
      <c r="N648" s="868">
        <f t="shared" si="82"/>
        <v>0</v>
      </c>
      <c r="O648" s="880"/>
      <c r="Q648" s="317" t="str">
        <f t="shared" si="79"/>
        <v/>
      </c>
      <c r="R648" s="317" t="str">
        <f t="shared" si="80"/>
        <v/>
      </c>
      <c r="S648" s="317" t="str">
        <f t="shared" si="81"/>
        <v/>
      </c>
      <c r="T648" s="317" t="str">
        <f>'REF. DE PREÇOS n editavel'!S648</f>
        <v/>
      </c>
      <c r="W648" s="577">
        <v>0</v>
      </c>
      <c r="X648" s="575"/>
      <c r="Y648" s="578">
        <f>IF('REF. DE PREÇOS n editavel'!W648=0,0,IF('REF. DE PREÇOS n editavel'!W648&gt;0,"c","b"))</f>
        <v>0</v>
      </c>
    </row>
    <row r="649" spans="1:25">
      <c r="A649" s="317">
        <v>606700</v>
      </c>
      <c r="B649" s="870" t="s">
        <v>1688</v>
      </c>
      <c r="C649" s="871" t="s">
        <v>184</v>
      </c>
      <c r="D649" s="881" t="s">
        <v>258</v>
      </c>
      <c r="E649" s="882">
        <f>'REF. DE PREÇOS n editavel'!E649</f>
        <v>0</v>
      </c>
      <c r="F649" s="883">
        <f>'REF. DE PREÇOS n editavel'!F649</f>
        <v>0</v>
      </c>
      <c r="G649" s="887">
        <f>'REF. DE PREÇOS n editavel'!G649</f>
        <v>0</v>
      </c>
      <c r="H649" s="876">
        <f>'REF. DE PREÇOS n editavel'!H649</f>
        <v>148.04</v>
      </c>
      <c r="I649" s="876">
        <f>'REF. DE PREÇOS n editavel'!I649</f>
        <v>148.04</v>
      </c>
      <c r="J649" s="877">
        <f>'REF. DE PREÇOS n editavel'!J649</f>
        <v>180.93</v>
      </c>
      <c r="K649" s="878" t="s">
        <v>10</v>
      </c>
      <c r="L649" s="1092"/>
      <c r="M649" s="1093">
        <f t="shared" si="78"/>
        <v>0</v>
      </c>
      <c r="N649" s="868">
        <f t="shared" si="82"/>
        <v>0</v>
      </c>
      <c r="O649" s="880"/>
      <c r="Q649" s="317" t="str">
        <f t="shared" si="79"/>
        <v/>
      </c>
      <c r="R649" s="317" t="str">
        <f t="shared" si="80"/>
        <v/>
      </c>
      <c r="S649" s="317" t="str">
        <f t="shared" si="81"/>
        <v/>
      </c>
      <c r="T649" s="317" t="str">
        <f>'REF. DE PREÇOS n editavel'!S649</f>
        <v/>
      </c>
      <c r="W649" s="577">
        <v>0</v>
      </c>
      <c r="X649" s="575"/>
      <c r="Y649" s="578">
        <f>IF('REF. DE PREÇOS n editavel'!W649=0,0,IF('REF. DE PREÇOS n editavel'!W649&gt;0,"c","b"))</f>
        <v>0</v>
      </c>
    </row>
    <row r="650" spans="1:25">
      <c r="A650" s="317">
        <v>606600</v>
      </c>
      <c r="B650" s="870" t="s">
        <v>1685</v>
      </c>
      <c r="C650" s="871" t="s">
        <v>184</v>
      </c>
      <c r="D650" s="881" t="s">
        <v>793</v>
      </c>
      <c r="E650" s="882">
        <f>'REF. DE PREÇOS n editavel'!E650</f>
        <v>0</v>
      </c>
      <c r="F650" s="883">
        <f>'REF. DE PREÇOS n editavel'!F650</f>
        <v>0</v>
      </c>
      <c r="G650" s="887">
        <f>'REF. DE PREÇOS n editavel'!G650</f>
        <v>0</v>
      </c>
      <c r="H650" s="876">
        <f>'REF. DE PREÇOS n editavel'!H650</f>
        <v>309.52999999999997</v>
      </c>
      <c r="I650" s="876">
        <f>'REF. DE PREÇOS n editavel'!I650</f>
        <v>309.52999999999997</v>
      </c>
      <c r="J650" s="877">
        <f>'REF. DE PREÇOS n editavel'!J650</f>
        <v>378.31</v>
      </c>
      <c r="K650" s="878" t="s">
        <v>10</v>
      </c>
      <c r="L650" s="1092"/>
      <c r="M650" s="1093">
        <f t="shared" si="78"/>
        <v>0</v>
      </c>
      <c r="N650" s="868">
        <f t="shared" si="82"/>
        <v>0</v>
      </c>
      <c r="O650" s="880"/>
      <c r="Q650" s="317" t="str">
        <f t="shared" si="79"/>
        <v/>
      </c>
      <c r="R650" s="317" t="str">
        <f t="shared" si="80"/>
        <v/>
      </c>
      <c r="S650" s="317" t="str">
        <f t="shared" si="81"/>
        <v/>
      </c>
      <c r="T650" s="317" t="str">
        <f>'REF. DE PREÇOS n editavel'!S650</f>
        <v/>
      </c>
      <c r="W650" s="577">
        <v>0</v>
      </c>
      <c r="X650" s="575"/>
      <c r="Y650" s="578">
        <f>IF('REF. DE PREÇOS n editavel'!W650=0,0,IF('REF. DE PREÇOS n editavel'!W650&gt;0,"c","b"))</f>
        <v>0</v>
      </c>
    </row>
    <row r="651" spans="1:25">
      <c r="A651" s="317">
        <v>100576</v>
      </c>
      <c r="B651" s="870" t="s">
        <v>1729</v>
      </c>
      <c r="C651" s="871" t="s">
        <v>590</v>
      </c>
      <c r="D651" s="881" t="s">
        <v>183</v>
      </c>
      <c r="E651" s="873">
        <f>'REF. DE PREÇOS n editavel'!E651</f>
        <v>0</v>
      </c>
      <c r="F651" s="883">
        <f>'REF. DE PREÇOS n editavel'!F651</f>
        <v>0</v>
      </c>
      <c r="G651" s="887">
        <f>'REF. DE PREÇOS n editavel'!G651</f>
        <v>0</v>
      </c>
      <c r="H651" s="876">
        <f>'REF. DE PREÇOS n editavel'!H651</f>
        <v>2.6</v>
      </c>
      <c r="I651" s="876">
        <f>'REF. DE PREÇOS n editavel'!I651</f>
        <v>2.6</v>
      </c>
      <c r="J651" s="877">
        <f>'REF. DE PREÇOS n editavel'!J651</f>
        <v>3.18</v>
      </c>
      <c r="K651" s="878" t="s">
        <v>12</v>
      </c>
      <c r="L651" s="1092"/>
      <c r="M651" s="1093">
        <f t="shared" si="78"/>
        <v>0</v>
      </c>
      <c r="N651" s="868">
        <f t="shared" si="82"/>
        <v>0</v>
      </c>
      <c r="O651" s="880"/>
      <c r="Q651" s="317" t="str">
        <f t="shared" si="79"/>
        <v/>
      </c>
      <c r="R651" s="317" t="str">
        <f t="shared" si="80"/>
        <v/>
      </c>
      <c r="S651" s="317" t="str">
        <f t="shared" si="81"/>
        <v/>
      </c>
      <c r="T651" s="317" t="str">
        <f>'REF. DE PREÇOS n editavel'!S651</f>
        <v/>
      </c>
      <c r="W651" s="577">
        <v>0</v>
      </c>
      <c r="X651" s="575"/>
      <c r="Y651" s="578">
        <f>IF('REF. DE PREÇOS n editavel'!W651=0,0,IF('REF. DE PREÇOS n editavel'!W651&gt;0,"c","b"))</f>
        <v>0</v>
      </c>
    </row>
    <row r="652" spans="1:25">
      <c r="A652" s="317">
        <v>532500</v>
      </c>
      <c r="B652" s="870" t="s">
        <v>1516</v>
      </c>
      <c r="C652" s="871" t="s">
        <v>184</v>
      </c>
      <c r="D652" s="931" t="s">
        <v>329</v>
      </c>
      <c r="E652" s="882">
        <f>'REF. DE PREÇOS n editavel'!E652</f>
        <v>290</v>
      </c>
      <c r="F652" s="883">
        <f>'REF. DE PREÇOS n editavel'!F652</f>
        <v>1.7250000000000001</v>
      </c>
      <c r="G652" s="923">
        <f>'REF. DE PREÇOS n editavel'!G652</f>
        <v>539.89050000000009</v>
      </c>
      <c r="H652" s="876">
        <f>'REF. DE PREÇOS n editavel'!H652</f>
        <v>102.38</v>
      </c>
      <c r="I652" s="876">
        <f>'REF. DE PREÇOS n editavel'!I652</f>
        <v>642.27050000000008</v>
      </c>
      <c r="J652" s="877">
        <f>'REF. DE PREÇOS n editavel'!J652</f>
        <v>784.98</v>
      </c>
      <c r="K652" s="878" t="s">
        <v>10</v>
      </c>
      <c r="L652" s="1092"/>
      <c r="M652" s="1093">
        <f t="shared" si="78"/>
        <v>0</v>
      </c>
      <c r="N652" s="868">
        <f t="shared" si="82"/>
        <v>0</v>
      </c>
      <c r="O652" s="880"/>
      <c r="Q652" s="317" t="str">
        <f t="shared" si="79"/>
        <v/>
      </c>
      <c r="R652" s="317" t="str">
        <f t="shared" si="80"/>
        <v/>
      </c>
      <c r="S652" s="317" t="str">
        <f t="shared" si="81"/>
        <v/>
      </c>
      <c r="T652" s="317" t="str">
        <f>'REF. DE PREÇOS n editavel'!S652</f>
        <v/>
      </c>
      <c r="W652" s="577">
        <v>0</v>
      </c>
      <c r="X652" s="575"/>
      <c r="Y652" s="578">
        <f>IF('REF. DE PREÇOS n editavel'!W652=0,0,IF('REF. DE PREÇOS n editavel'!W652&gt;0,"c","b"))</f>
        <v>0</v>
      </c>
    </row>
    <row r="653" spans="1:25" ht="14.45" customHeight="1">
      <c r="A653" s="317">
        <v>603900</v>
      </c>
      <c r="B653" s="870" t="s">
        <v>1715</v>
      </c>
      <c r="C653" s="871" t="s">
        <v>184</v>
      </c>
      <c r="D653" s="931" t="s">
        <v>330</v>
      </c>
      <c r="E653" s="882">
        <f>'REF. DE PREÇOS n editavel'!E653</f>
        <v>43.1</v>
      </c>
      <c r="F653" s="883">
        <f>'REF. DE PREÇOS n editavel'!F653</f>
        <v>1.5</v>
      </c>
      <c r="G653" s="923">
        <f>'REF. DE PREÇOS n editavel'!G653</f>
        <v>73.19550000000001</v>
      </c>
      <c r="H653" s="876">
        <f>'REF. DE PREÇOS n editavel'!H653</f>
        <v>131.84</v>
      </c>
      <c r="I653" s="876">
        <f>'REF. DE PREÇOS n editavel'!I653</f>
        <v>205.03550000000001</v>
      </c>
      <c r="J653" s="877">
        <f>'REF. DE PREÇOS n editavel'!J653</f>
        <v>250.59</v>
      </c>
      <c r="K653" s="878" t="s">
        <v>10</v>
      </c>
      <c r="L653" s="1092">
        <f>ROUND(((L651)*0.05),2)</f>
        <v>0</v>
      </c>
      <c r="M653" s="1093">
        <f t="shared" ref="M653:M716" si="83">IF(L653=0,0,ROUND(J653,2))</f>
        <v>0</v>
      </c>
      <c r="N653" s="868">
        <f t="shared" si="82"/>
        <v>0</v>
      </c>
      <c r="O653" s="880"/>
      <c r="Q653" s="317" t="str">
        <f t="shared" si="79"/>
        <v/>
      </c>
      <c r="R653" s="317" t="str">
        <f t="shared" si="80"/>
        <v/>
      </c>
      <c r="S653" s="317" t="str">
        <f t="shared" si="81"/>
        <v/>
      </c>
      <c r="T653" s="317" t="str">
        <f>'REF. DE PREÇOS n editavel'!S653</f>
        <v/>
      </c>
      <c r="W653" s="577">
        <v>0</v>
      </c>
      <c r="X653" s="575"/>
      <c r="Y653" s="578">
        <f>IF('REF. DE PREÇOS n editavel'!W653=0,0,IF('REF. DE PREÇOS n editavel'!W653&gt;0,"c","b"))</f>
        <v>0</v>
      </c>
    </row>
    <row r="654" spans="1:25">
      <c r="A654" s="317">
        <v>605000</v>
      </c>
      <c r="B654" s="870" t="s">
        <v>216</v>
      </c>
      <c r="C654" s="871" t="s">
        <v>184</v>
      </c>
      <c r="D654" s="881" t="s">
        <v>259</v>
      </c>
      <c r="E654" s="882">
        <f>'REF. DE PREÇOS n editavel'!E654</f>
        <v>0</v>
      </c>
      <c r="F654" s="883">
        <f>'REF. DE PREÇOS n editavel'!F654</f>
        <v>0</v>
      </c>
      <c r="G654" s="887">
        <f>'REF. DE PREÇOS n editavel'!G654</f>
        <v>449.80907000000002</v>
      </c>
      <c r="H654" s="876">
        <f>'REF. DE PREÇOS n editavel'!H654</f>
        <v>425.25</v>
      </c>
      <c r="I654" s="876">
        <f>'REF. DE PREÇOS n editavel'!I654</f>
        <v>875.05907000000002</v>
      </c>
      <c r="J654" s="877">
        <f>'REF. DE PREÇOS n editavel'!J654</f>
        <v>1069.5</v>
      </c>
      <c r="K654" s="878" t="s">
        <v>10</v>
      </c>
      <c r="L654" s="1092"/>
      <c r="M654" s="1093">
        <f t="shared" si="83"/>
        <v>0</v>
      </c>
      <c r="N654" s="868">
        <f t="shared" si="82"/>
        <v>0</v>
      </c>
      <c r="O654" s="880"/>
      <c r="Q654" s="317" t="str">
        <f t="shared" si="79"/>
        <v/>
      </c>
      <c r="R654" s="317" t="str">
        <f t="shared" si="80"/>
        <v/>
      </c>
      <c r="S654" s="317" t="str">
        <f t="shared" si="81"/>
        <v/>
      </c>
      <c r="T654" s="317" t="str">
        <f>'REF. DE PREÇOS n editavel'!S654</f>
        <v/>
      </c>
      <c r="W654" s="577">
        <v>0</v>
      </c>
      <c r="X654" s="575"/>
      <c r="Y654" s="578">
        <f>IF('REF. DE PREÇOS n editavel'!W654=0,0,IF('REF. DE PREÇOS n editavel'!W654&gt;0,"c","b"))</f>
        <v>0</v>
      </c>
    </row>
    <row r="655" spans="1:25">
      <c r="A655" s="317" t="s">
        <v>147</v>
      </c>
      <c r="B655" s="870" t="s">
        <v>147</v>
      </c>
      <c r="C655" s="871"/>
      <c r="D655" s="931" t="s">
        <v>190</v>
      </c>
      <c r="E655" s="882">
        <f>'REF. DE PREÇOS n editavel'!E655</f>
        <v>445</v>
      </c>
      <c r="F655" s="883">
        <f>'REF. DE PREÇOS n editavel'!F655</f>
        <v>0.18</v>
      </c>
      <c r="G655" s="884">
        <f>'REF. DE PREÇOS n editavel'!G655</f>
        <v>63.885600000000004</v>
      </c>
      <c r="H655" s="876">
        <f>'REF. DE PREÇOS n editavel'!H655</f>
        <v>0</v>
      </c>
      <c r="I655" s="876">
        <f>'REF. DE PREÇOS n editavel'!I655</f>
        <v>0</v>
      </c>
      <c r="J655" s="877">
        <f>'REF. DE PREÇOS n editavel'!J655</f>
        <v>0</v>
      </c>
      <c r="K655" s="932" t="s">
        <v>506</v>
      </c>
      <c r="L655" s="933"/>
      <c r="M655" s="1112">
        <f t="shared" si="83"/>
        <v>0</v>
      </c>
      <c r="N655" s="868">
        <f t="shared" si="82"/>
        <v>0</v>
      </c>
      <c r="O655" s="880"/>
      <c r="P655" s="58" t="str">
        <f>IF(N654&gt;0,"xx",IF(N654&gt;0,"xy",""))</f>
        <v/>
      </c>
      <c r="Q655" s="317" t="str">
        <f t="shared" ref="Q655:Q718" si="84">IF(P655="X","x",IF(P655="xx","x",IF(P655="xy","x",IF(P655="y","x",IF(OR(N655&gt;0,N655&gt;0),"x","")))))</f>
        <v/>
      </c>
      <c r="R655" s="317" t="str">
        <f t="shared" si="80"/>
        <v/>
      </c>
      <c r="S655" s="317" t="str">
        <f t="shared" si="81"/>
        <v/>
      </c>
      <c r="T655" s="317" t="str">
        <f>'REF. DE PREÇOS n editavel'!S655</f>
        <v/>
      </c>
      <c r="W655" s="577">
        <v>0</v>
      </c>
      <c r="X655" s="575"/>
      <c r="Y655" s="578">
        <f>IF('REF. DE PREÇOS n editavel'!W655=0,0,IF('REF. DE PREÇOS n editavel'!W655&gt;0,"c","b"))</f>
        <v>0</v>
      </c>
    </row>
    <row r="656" spans="1:25">
      <c r="A656" s="317" t="s">
        <v>147</v>
      </c>
      <c r="B656" s="870" t="s">
        <v>147</v>
      </c>
      <c r="C656" s="871"/>
      <c r="D656" s="931" t="s">
        <v>229</v>
      </c>
      <c r="E656" s="882">
        <f>'REF. DE PREÇOS n editavel'!E656</f>
        <v>290</v>
      </c>
      <c r="F656" s="883">
        <f>'REF. DE PREÇOS n editavel'!F656</f>
        <v>1.06</v>
      </c>
      <c r="G656" s="923">
        <f>'REF. DE PREÇOS n editavel'!G656</f>
        <v>331.75880000000001</v>
      </c>
      <c r="H656" s="876">
        <f>'REF. DE PREÇOS n editavel'!H656</f>
        <v>0</v>
      </c>
      <c r="I656" s="876">
        <f>'REF. DE PREÇOS n editavel'!I656</f>
        <v>0</v>
      </c>
      <c r="J656" s="877">
        <f>'REF. DE PREÇOS n editavel'!J656</f>
        <v>0</v>
      </c>
      <c r="K656" s="932" t="s">
        <v>506</v>
      </c>
      <c r="L656" s="933"/>
      <c r="M656" s="1112">
        <f t="shared" si="83"/>
        <v>0</v>
      </c>
      <c r="N656" s="868">
        <f t="shared" si="82"/>
        <v>0</v>
      </c>
      <c r="O656" s="880"/>
      <c r="P656" s="58" t="str">
        <f>IF(N654&gt;0,"xx",IF(N654&gt;0,"xy",""))</f>
        <v/>
      </c>
      <c r="Q656" s="317" t="str">
        <f t="shared" si="84"/>
        <v/>
      </c>
      <c r="R656" s="317" t="str">
        <f t="shared" si="80"/>
        <v/>
      </c>
      <c r="S656" s="317" t="str">
        <f t="shared" si="81"/>
        <v/>
      </c>
      <c r="T656" s="317" t="str">
        <f>'REF. DE PREÇOS n editavel'!S656</f>
        <v/>
      </c>
      <c r="W656" s="577">
        <v>0</v>
      </c>
      <c r="X656" s="575"/>
      <c r="Y656" s="578">
        <f>IF('REF. DE PREÇOS n editavel'!W656=0,0,IF('REF. DE PREÇOS n editavel'!W656&gt;0,"c","b"))</f>
        <v>0</v>
      </c>
    </row>
    <row r="657" spans="1:25">
      <c r="A657" s="317" t="s">
        <v>147</v>
      </c>
      <c r="B657" s="870" t="s">
        <v>147</v>
      </c>
      <c r="C657" s="871"/>
      <c r="D657" s="931" t="s">
        <v>233</v>
      </c>
      <c r="E657" s="882">
        <f>'REF. DE PREÇOS n editavel'!E657</f>
        <v>43.1</v>
      </c>
      <c r="F657" s="883">
        <f>'REF. DE PREÇOS n editavel'!F657</f>
        <v>1.1100000000000001</v>
      </c>
      <c r="G657" s="923">
        <f>'REF. DE PREÇOS n editavel'!G657</f>
        <v>54.164670000000008</v>
      </c>
      <c r="H657" s="876">
        <f>'REF. DE PREÇOS n editavel'!H657</f>
        <v>0</v>
      </c>
      <c r="I657" s="876">
        <f>'REF. DE PREÇOS n editavel'!I657</f>
        <v>0</v>
      </c>
      <c r="J657" s="877">
        <f>'REF. DE PREÇOS n editavel'!J657</f>
        <v>0</v>
      </c>
      <c r="K657" s="932" t="s">
        <v>506</v>
      </c>
      <c r="L657" s="933"/>
      <c r="M657" s="1112">
        <f t="shared" si="83"/>
        <v>0</v>
      </c>
      <c r="N657" s="868">
        <f t="shared" si="82"/>
        <v>0</v>
      </c>
      <c r="O657" s="880"/>
      <c r="P657" s="58" t="str">
        <f>IF(N654&gt;0,"xx",IF(N654&gt;0,"xy",""))</f>
        <v/>
      </c>
      <c r="Q657" s="317" t="str">
        <f t="shared" si="84"/>
        <v/>
      </c>
      <c r="R657" s="317" t="str">
        <f t="shared" ref="R657:R720" si="85">IF(P657="X","x",IF(P657="y","x",IF(P657="xx","x",IF(N657&gt;0,"x",""))))</f>
        <v/>
      </c>
      <c r="S657" s="317" t="str">
        <f t="shared" ref="S657:S720" si="86">IF(P657="X","x",IF(N657&gt;0,"x",""))</f>
        <v/>
      </c>
      <c r="T657" s="317" t="str">
        <f>'REF. DE PREÇOS n editavel'!S657</f>
        <v/>
      </c>
      <c r="W657" s="577">
        <v>0</v>
      </c>
      <c r="X657" s="575"/>
      <c r="Y657" s="578">
        <f>IF('REF. DE PREÇOS n editavel'!W657=0,0,IF('REF. DE PREÇOS n editavel'!W657&gt;0,"c","b"))</f>
        <v>0</v>
      </c>
    </row>
    <row r="658" spans="1:25">
      <c r="A658" s="317">
        <v>400500</v>
      </c>
      <c r="B658" s="870" t="s">
        <v>1549</v>
      </c>
      <c r="C658" s="871" t="s">
        <v>184</v>
      </c>
      <c r="D658" s="881" t="s">
        <v>1716</v>
      </c>
      <c r="E658" s="882">
        <f>'REF. DE PREÇOS n editavel'!E658</f>
        <v>290</v>
      </c>
      <c r="F658" s="883">
        <f>'REF. DE PREÇOS n editavel'!F658</f>
        <v>1.73</v>
      </c>
      <c r="G658" s="923">
        <f>'REF. DE PREÇOS n editavel'!G658</f>
        <v>541.45540000000005</v>
      </c>
      <c r="H658" s="876">
        <f>'REF. DE PREÇOS n editavel'!H658</f>
        <v>83.83</v>
      </c>
      <c r="I658" s="876">
        <f>'REF. DE PREÇOS n editavel'!I658</f>
        <v>625.2854000000001</v>
      </c>
      <c r="J658" s="877">
        <f>'REF. DE PREÇOS n editavel'!J658</f>
        <v>764.22</v>
      </c>
      <c r="K658" s="878" t="s">
        <v>10</v>
      </c>
      <c r="L658" s="1092"/>
      <c r="M658" s="1093">
        <f t="shared" si="83"/>
        <v>0</v>
      </c>
      <c r="N658" s="868">
        <f t="shared" si="82"/>
        <v>0</v>
      </c>
      <c r="O658" s="880"/>
      <c r="Q658" s="317" t="str">
        <f t="shared" si="84"/>
        <v/>
      </c>
      <c r="R658" s="317" t="str">
        <f t="shared" si="85"/>
        <v/>
      </c>
      <c r="S658" s="317" t="str">
        <f t="shared" si="86"/>
        <v/>
      </c>
      <c r="T658" s="317" t="str">
        <f>'REF. DE PREÇOS n editavel'!S658</f>
        <v/>
      </c>
      <c r="W658" s="577">
        <v>0</v>
      </c>
      <c r="X658" s="575"/>
      <c r="Y658" s="578">
        <f>IF('REF. DE PREÇOS n editavel'!W658=0,0,IF('REF. DE PREÇOS n editavel'!W658&gt;0,"c","b"))</f>
        <v>0</v>
      </c>
    </row>
    <row r="659" spans="1:25">
      <c r="A659" s="317">
        <v>532500</v>
      </c>
      <c r="B659" s="870" t="s">
        <v>1517</v>
      </c>
      <c r="C659" s="871" t="s">
        <v>184</v>
      </c>
      <c r="D659" s="881" t="s">
        <v>1719</v>
      </c>
      <c r="E659" s="882">
        <f>'REF. DE PREÇOS n editavel'!E659</f>
        <v>290</v>
      </c>
      <c r="F659" s="883">
        <f>'REF. DE PREÇOS n editavel'!F659</f>
        <v>1.7250000000000001</v>
      </c>
      <c r="G659" s="923">
        <f>'REF. DE PREÇOS n editavel'!G659</f>
        <v>539.89050000000009</v>
      </c>
      <c r="H659" s="876">
        <f>'REF. DE PREÇOS n editavel'!H659</f>
        <v>102.38</v>
      </c>
      <c r="I659" s="876">
        <f>'REF. DE PREÇOS n editavel'!I659</f>
        <v>642.27050000000008</v>
      </c>
      <c r="J659" s="877">
        <f>'REF. DE PREÇOS n editavel'!J659</f>
        <v>784.98</v>
      </c>
      <c r="K659" s="878" t="s">
        <v>10</v>
      </c>
      <c r="L659" s="1092"/>
      <c r="M659" s="1093">
        <f t="shared" si="83"/>
        <v>0</v>
      </c>
      <c r="N659" s="868">
        <f t="shared" si="82"/>
        <v>0</v>
      </c>
      <c r="O659" s="880"/>
      <c r="Q659" s="317" t="str">
        <f t="shared" si="84"/>
        <v/>
      </c>
      <c r="R659" s="317" t="str">
        <f t="shared" si="85"/>
        <v/>
      </c>
      <c r="S659" s="317" t="str">
        <f t="shared" si="86"/>
        <v/>
      </c>
      <c r="T659" s="317" t="str">
        <f>'REF. DE PREÇOS n editavel'!S659</f>
        <v/>
      </c>
      <c r="W659" s="577">
        <v>0</v>
      </c>
      <c r="X659" s="575"/>
      <c r="Y659" s="578">
        <f>IF('REF. DE PREÇOS n editavel'!W659=0,0,IF('REF. DE PREÇOS n editavel'!W659&gt;0,"c","b"))</f>
        <v>0</v>
      </c>
    </row>
    <row r="660" spans="1:25">
      <c r="A660" s="317">
        <v>532600</v>
      </c>
      <c r="B660" s="870" t="s">
        <v>1550</v>
      </c>
      <c r="C660" s="871" t="s">
        <v>184</v>
      </c>
      <c r="D660" s="881" t="s">
        <v>1717</v>
      </c>
      <c r="E660" s="873">
        <f>'REF. DE PREÇOS n editavel'!E660</f>
        <v>43.1</v>
      </c>
      <c r="F660" s="883">
        <f>'REF. DE PREÇOS n editavel'!F660</f>
        <v>2.25</v>
      </c>
      <c r="G660" s="923">
        <f>'REF. DE PREÇOS n editavel'!G660</f>
        <v>109.79325000000001</v>
      </c>
      <c r="H660" s="876">
        <f>'REF. DE PREÇOS n editavel'!H660</f>
        <v>16.07</v>
      </c>
      <c r="I660" s="876">
        <f>'REF. DE PREÇOS n editavel'!I660</f>
        <v>125.86325000000002</v>
      </c>
      <c r="J660" s="877">
        <f>'REF. DE PREÇOS n editavel'!J660</f>
        <v>153.83000000000001</v>
      </c>
      <c r="K660" s="878" t="s">
        <v>10</v>
      </c>
      <c r="L660" s="1092"/>
      <c r="M660" s="1093">
        <f t="shared" si="83"/>
        <v>0</v>
      </c>
      <c r="N660" s="868">
        <f t="shared" si="82"/>
        <v>0</v>
      </c>
      <c r="O660" s="880"/>
      <c r="Q660" s="317" t="str">
        <f t="shared" si="84"/>
        <v/>
      </c>
      <c r="R660" s="317" t="str">
        <f t="shared" si="85"/>
        <v/>
      </c>
      <c r="S660" s="317" t="str">
        <f t="shared" si="86"/>
        <v/>
      </c>
      <c r="T660" s="317" t="str">
        <f>'REF. DE PREÇOS n editavel'!S660</f>
        <v/>
      </c>
      <c r="W660" s="577">
        <v>0</v>
      </c>
      <c r="X660" s="575"/>
      <c r="Y660" s="578">
        <f>IF('REF. DE PREÇOS n editavel'!W660=0,0,IF('REF. DE PREÇOS n editavel'!W660&gt;0,"c","b"))</f>
        <v>0</v>
      </c>
    </row>
    <row r="661" spans="1:25">
      <c r="A661" s="317">
        <v>603900</v>
      </c>
      <c r="B661" s="870" t="s">
        <v>1725</v>
      </c>
      <c r="C661" s="871" t="s">
        <v>184</v>
      </c>
      <c r="D661" s="881" t="s">
        <v>1718</v>
      </c>
      <c r="E661" s="882">
        <f>'REF. DE PREÇOS n editavel'!E661</f>
        <v>10</v>
      </c>
      <c r="F661" s="883">
        <f>'REF. DE PREÇOS n editavel'!F661</f>
        <v>1.5</v>
      </c>
      <c r="G661" s="923">
        <f>'REF. DE PREÇOS n editavel'!G661</f>
        <v>20.07</v>
      </c>
      <c r="H661" s="876">
        <f>'REF. DE PREÇOS n editavel'!H661</f>
        <v>131.84</v>
      </c>
      <c r="I661" s="876">
        <f>'REF. DE PREÇOS n editavel'!I661</f>
        <v>151.91</v>
      </c>
      <c r="J661" s="877">
        <f>'REF. DE PREÇOS n editavel'!J661</f>
        <v>185.66</v>
      </c>
      <c r="K661" s="878" t="s">
        <v>10</v>
      </c>
      <c r="L661" s="1092"/>
      <c r="M661" s="1093">
        <f t="shared" si="83"/>
        <v>0</v>
      </c>
      <c r="N661" s="868">
        <f t="shared" ref="N661:N724" si="87">IF(ISBLANK(L661),0,IF(W661=0,ROUND(L661*M661,2),IF(W661="b",ROUNDDOWN(L661*M661,2),ROUNDUP(L661*M661,2))))</f>
        <v>0</v>
      </c>
      <c r="O661" s="880"/>
      <c r="Q661" s="317" t="str">
        <f t="shared" si="84"/>
        <v/>
      </c>
      <c r="R661" s="317" t="str">
        <f t="shared" si="85"/>
        <v/>
      </c>
      <c r="S661" s="317" t="str">
        <f t="shared" si="86"/>
        <v/>
      </c>
      <c r="T661" s="317" t="str">
        <f>'REF. DE PREÇOS n editavel'!S661</f>
        <v/>
      </c>
      <c r="W661" s="577">
        <v>0</v>
      </c>
      <c r="X661" s="575"/>
      <c r="Y661" s="578">
        <f>IF('REF. DE PREÇOS n editavel'!W661=0,0,IF('REF. DE PREÇOS n editavel'!W661&gt;0,"c","b"))</f>
        <v>0</v>
      </c>
    </row>
    <row r="662" spans="1:25">
      <c r="A662" s="317">
        <v>601100</v>
      </c>
      <c r="B662" s="870" t="s">
        <v>1750</v>
      </c>
      <c r="C662" s="871" t="s">
        <v>184</v>
      </c>
      <c r="D662" s="881" t="s">
        <v>260</v>
      </c>
      <c r="E662" s="882">
        <f>'REF. DE PREÇOS n editavel'!E662</f>
        <v>0</v>
      </c>
      <c r="F662" s="883">
        <f>'REF. DE PREÇOS n editavel'!F662</f>
        <v>0</v>
      </c>
      <c r="G662" s="887">
        <f>'REF. DE PREÇOS n editavel'!G662</f>
        <v>0</v>
      </c>
      <c r="H662" s="876">
        <f>'REF. DE PREÇOS n editavel'!H662</f>
        <v>54.05</v>
      </c>
      <c r="I662" s="876">
        <f>'REF. DE PREÇOS n editavel'!I662</f>
        <v>54.05</v>
      </c>
      <c r="J662" s="877">
        <f>'REF. DE PREÇOS n editavel'!J662</f>
        <v>66.06</v>
      </c>
      <c r="K662" s="878" t="s">
        <v>10</v>
      </c>
      <c r="L662" s="1092"/>
      <c r="M662" s="1093">
        <f t="shared" si="83"/>
        <v>0</v>
      </c>
      <c r="N662" s="868">
        <f t="shared" si="87"/>
        <v>0</v>
      </c>
      <c r="O662" s="880"/>
      <c r="Q662" s="317" t="str">
        <f t="shared" si="84"/>
        <v/>
      </c>
      <c r="R662" s="317" t="str">
        <f t="shared" si="85"/>
        <v/>
      </c>
      <c r="S662" s="317" t="str">
        <f t="shared" si="86"/>
        <v/>
      </c>
      <c r="T662" s="317" t="str">
        <f>'REF. DE PREÇOS n editavel'!S662</f>
        <v/>
      </c>
      <c r="W662" s="577">
        <v>0</v>
      </c>
      <c r="X662" s="575"/>
      <c r="Y662" s="578">
        <f>IF('REF. DE PREÇOS n editavel'!W662=0,0,IF('REF. DE PREÇOS n editavel'!W662&gt;0,"c","b"))</f>
        <v>0</v>
      </c>
    </row>
    <row r="663" spans="1:25">
      <c r="A663" s="317">
        <v>602000</v>
      </c>
      <c r="B663" s="870" t="s">
        <v>1980</v>
      </c>
      <c r="C663" s="871" t="s">
        <v>184</v>
      </c>
      <c r="D663" s="881" t="s">
        <v>1978</v>
      </c>
      <c r="E663" s="882">
        <f>'REF. DE PREÇOS n editavel'!E663</f>
        <v>0</v>
      </c>
      <c r="F663" s="883">
        <f>'REF. DE PREÇOS n editavel'!F663</f>
        <v>0</v>
      </c>
      <c r="G663" s="887">
        <f>'REF. DE PREÇOS n editavel'!G663</f>
        <v>0</v>
      </c>
      <c r="H663" s="876">
        <f>'REF. DE PREÇOS n editavel'!H663</f>
        <v>62.53</v>
      </c>
      <c r="I663" s="876">
        <f>'REF. DE PREÇOS n editavel'!I663</f>
        <v>62.53</v>
      </c>
      <c r="J663" s="877">
        <f>'REF. DE PREÇOS n editavel'!J663</f>
        <v>76.42</v>
      </c>
      <c r="K663" s="878" t="s">
        <v>12</v>
      </c>
      <c r="L663" s="1092"/>
      <c r="M663" s="1093">
        <f t="shared" si="83"/>
        <v>0</v>
      </c>
      <c r="N663" s="868">
        <f t="shared" si="87"/>
        <v>0</v>
      </c>
      <c r="O663" s="880"/>
      <c r="Q663" s="317" t="str">
        <f t="shared" si="84"/>
        <v/>
      </c>
      <c r="R663" s="317" t="str">
        <f t="shared" si="85"/>
        <v/>
      </c>
      <c r="S663" s="317" t="str">
        <f t="shared" si="86"/>
        <v/>
      </c>
      <c r="T663" s="317" t="str">
        <f>'REF. DE PREÇOS n editavel'!S663</f>
        <v/>
      </c>
      <c r="W663" s="577">
        <v>0</v>
      </c>
      <c r="X663" s="575"/>
      <c r="Y663" s="578">
        <f>IF('REF. DE PREÇOS n editavel'!W663=0,0,IF('REF. DE PREÇOS n editavel'!W663&gt;0,"c","b"))</f>
        <v>0</v>
      </c>
    </row>
    <row r="664" spans="1:25">
      <c r="A664" s="317">
        <v>603000</v>
      </c>
      <c r="B664" s="870" t="s">
        <v>1752</v>
      </c>
      <c r="C664" s="871" t="s">
        <v>184</v>
      </c>
      <c r="D664" s="881" t="s">
        <v>261</v>
      </c>
      <c r="E664" s="882">
        <f>'REF. DE PREÇOS n editavel'!E664</f>
        <v>0</v>
      </c>
      <c r="F664" s="883">
        <f>'REF. DE PREÇOS n editavel'!F664</f>
        <v>0</v>
      </c>
      <c r="G664" s="887">
        <f>'REF. DE PREÇOS n editavel'!G664</f>
        <v>0</v>
      </c>
      <c r="H664" s="876">
        <f>'REF. DE PREÇOS n editavel'!H664</f>
        <v>18.34</v>
      </c>
      <c r="I664" s="876">
        <f>'REF. DE PREÇOS n editavel'!I664</f>
        <v>18.34</v>
      </c>
      <c r="J664" s="877">
        <f>'REF. DE PREÇOS n editavel'!J664</f>
        <v>22.42</v>
      </c>
      <c r="K664" s="878" t="s">
        <v>16</v>
      </c>
      <c r="L664" s="1092"/>
      <c r="M664" s="1093">
        <f t="shared" si="83"/>
        <v>0</v>
      </c>
      <c r="N664" s="868">
        <f t="shared" si="87"/>
        <v>0</v>
      </c>
      <c r="O664" s="880"/>
      <c r="Q664" s="317" t="str">
        <f t="shared" si="84"/>
        <v/>
      </c>
      <c r="R664" s="317" t="str">
        <f t="shared" si="85"/>
        <v/>
      </c>
      <c r="S664" s="317" t="str">
        <f t="shared" si="86"/>
        <v/>
      </c>
      <c r="T664" s="317" t="str">
        <f>'REF. DE PREÇOS n editavel'!S664</f>
        <v/>
      </c>
      <c r="W664" s="577">
        <v>0</v>
      </c>
      <c r="X664" s="575"/>
      <c r="Y664" s="578">
        <f>IF('REF. DE PREÇOS n editavel'!W664=0,0,IF('REF. DE PREÇOS n editavel'!W664&gt;0,"c","b"))</f>
        <v>0</v>
      </c>
    </row>
    <row r="665" spans="1:25">
      <c r="A665" s="317">
        <v>603300</v>
      </c>
      <c r="B665" s="870" t="s">
        <v>1755</v>
      </c>
      <c r="C665" s="871" t="s">
        <v>184</v>
      </c>
      <c r="D665" s="881" t="s">
        <v>262</v>
      </c>
      <c r="E665" s="882">
        <f>'REF. DE PREÇOS n editavel'!E665</f>
        <v>0</v>
      </c>
      <c r="F665" s="883">
        <f>'REF. DE PREÇOS n editavel'!F665</f>
        <v>0</v>
      </c>
      <c r="G665" s="887">
        <f>'REF. DE PREÇOS n editavel'!G665</f>
        <v>0</v>
      </c>
      <c r="H665" s="876">
        <f>'REF. DE PREÇOS n editavel'!H665</f>
        <v>20.91</v>
      </c>
      <c r="I665" s="876">
        <f>'REF. DE PREÇOS n editavel'!I665</f>
        <v>20.91</v>
      </c>
      <c r="J665" s="877">
        <f>'REF. DE PREÇOS n editavel'!J665</f>
        <v>25.56</v>
      </c>
      <c r="K665" s="878" t="s">
        <v>16</v>
      </c>
      <c r="L665" s="1092"/>
      <c r="M665" s="1093">
        <f t="shared" si="83"/>
        <v>0</v>
      </c>
      <c r="N665" s="868">
        <f t="shared" si="87"/>
        <v>0</v>
      </c>
      <c r="O665" s="880"/>
      <c r="Q665" s="317" t="str">
        <f t="shared" si="84"/>
        <v/>
      </c>
      <c r="R665" s="317" t="str">
        <f t="shared" si="85"/>
        <v/>
      </c>
      <c r="S665" s="317" t="str">
        <f t="shared" si="86"/>
        <v/>
      </c>
      <c r="T665" s="317" t="str">
        <f>'REF. DE PREÇOS n editavel'!S665</f>
        <v/>
      </c>
      <c r="W665" s="577">
        <v>0</v>
      </c>
      <c r="X665" s="575"/>
      <c r="Y665" s="578">
        <f>IF('REF. DE PREÇOS n editavel'!W665=0,0,IF('REF. DE PREÇOS n editavel'!W665&gt;0,"c","b"))</f>
        <v>0</v>
      </c>
    </row>
    <row r="666" spans="1:25">
      <c r="A666" s="317">
        <v>605000</v>
      </c>
      <c r="B666" s="870" t="s">
        <v>299</v>
      </c>
      <c r="C666" s="871" t="s">
        <v>184</v>
      </c>
      <c r="D666" s="881" t="s">
        <v>263</v>
      </c>
      <c r="E666" s="882">
        <f>'REF. DE PREÇOS n editavel'!E666</f>
        <v>0</v>
      </c>
      <c r="F666" s="883">
        <f>'REF. DE PREÇOS n editavel'!F666</f>
        <v>0</v>
      </c>
      <c r="G666" s="887">
        <f>'REF. DE PREÇOS n editavel'!G666</f>
        <v>1.1261346750000001</v>
      </c>
      <c r="H666" s="876">
        <f>'REF. DE PREÇOS n editavel'!H666</f>
        <v>26.85</v>
      </c>
      <c r="I666" s="876">
        <f>'REF. DE PREÇOS n editavel'!I666</f>
        <v>27.976134675000001</v>
      </c>
      <c r="J666" s="877">
        <f>'REF. DE PREÇOS n editavel'!J666</f>
        <v>34.19</v>
      </c>
      <c r="K666" s="878" t="s">
        <v>12</v>
      </c>
      <c r="L666" s="1092"/>
      <c r="M666" s="1093">
        <f t="shared" si="83"/>
        <v>0</v>
      </c>
      <c r="N666" s="868">
        <f t="shared" si="87"/>
        <v>0</v>
      </c>
      <c r="O666" s="880"/>
      <c r="Q666" s="317" t="str">
        <f t="shared" si="84"/>
        <v/>
      </c>
      <c r="R666" s="317" t="str">
        <f t="shared" si="85"/>
        <v/>
      </c>
      <c r="S666" s="317" t="str">
        <f t="shared" si="86"/>
        <v/>
      </c>
      <c r="T666" s="317" t="str">
        <f>'REF. DE PREÇOS n editavel'!S666</f>
        <v/>
      </c>
      <c r="W666" s="577">
        <v>0</v>
      </c>
      <c r="X666" s="575"/>
      <c r="Y666" s="578">
        <f>IF('REF. DE PREÇOS n editavel'!W666=0,0,IF('REF. DE PREÇOS n editavel'!W666&gt;0,"c","b"))</f>
        <v>0</v>
      </c>
    </row>
    <row r="667" spans="1:25">
      <c r="A667" s="317" t="s">
        <v>147</v>
      </c>
      <c r="B667" s="870" t="s">
        <v>147</v>
      </c>
      <c r="C667" s="871"/>
      <c r="D667" s="931" t="s">
        <v>190</v>
      </c>
      <c r="E667" s="882">
        <f>'REF. DE PREÇOS n editavel'!E667</f>
        <v>445</v>
      </c>
      <c r="F667" s="883">
        <f>'REF. DE PREÇOS n editavel'!F667</f>
        <v>1.35E-2</v>
      </c>
      <c r="G667" s="884">
        <f>'REF. DE PREÇOS n editavel'!G667</f>
        <v>4.7914200000000005</v>
      </c>
      <c r="H667" s="876">
        <f>'REF. DE PREÇOS n editavel'!H667</f>
        <v>0</v>
      </c>
      <c r="I667" s="876">
        <f>'REF. DE PREÇOS n editavel'!I667</f>
        <v>4.7914200000000005</v>
      </c>
      <c r="J667" s="877">
        <f>'REF. DE PREÇOS n editavel'!J667</f>
        <v>0</v>
      </c>
      <c r="K667" s="932" t="s">
        <v>506</v>
      </c>
      <c r="L667" s="933"/>
      <c r="M667" s="1112">
        <f t="shared" si="83"/>
        <v>0</v>
      </c>
      <c r="N667" s="868">
        <f t="shared" si="87"/>
        <v>0</v>
      </c>
      <c r="O667" s="880"/>
      <c r="P667" s="58" t="str">
        <f>IF(N666&gt;0,"xx",IF(N666&gt;0,"xy",""))</f>
        <v/>
      </c>
      <c r="Q667" s="317" t="str">
        <f t="shared" si="84"/>
        <v/>
      </c>
      <c r="R667" s="317" t="str">
        <f t="shared" si="85"/>
        <v/>
      </c>
      <c r="S667" s="317" t="str">
        <f t="shared" si="86"/>
        <v/>
      </c>
      <c r="T667" s="317" t="str">
        <f>'REF. DE PREÇOS n editavel'!S667</f>
        <v/>
      </c>
      <c r="W667" s="577">
        <v>0</v>
      </c>
      <c r="X667" s="575"/>
      <c r="Y667" s="578">
        <f>IF('REF. DE PREÇOS n editavel'!W667=0,0,IF('REF. DE PREÇOS n editavel'!W667&gt;0,"c","b"))</f>
        <v>0</v>
      </c>
    </row>
    <row r="668" spans="1:25">
      <c r="A668" s="317" t="s">
        <v>147</v>
      </c>
      <c r="B668" s="870" t="s">
        <v>147</v>
      </c>
      <c r="C668" s="871"/>
      <c r="D668" s="931" t="s">
        <v>229</v>
      </c>
      <c r="E668" s="882">
        <f>'REF. DE PREÇOS n editavel'!E668</f>
        <v>290</v>
      </c>
      <c r="F668" s="883">
        <f>'REF. DE PREÇOS n editavel'!F668</f>
        <v>4.8000000000000001E-2</v>
      </c>
      <c r="G668" s="923">
        <f>'REF. DE PREÇOS n editavel'!G668</f>
        <v>15.023040000000002</v>
      </c>
      <c r="H668" s="876">
        <f>'REF. DE PREÇOS n editavel'!H668</f>
        <v>0</v>
      </c>
      <c r="I668" s="876">
        <f>'REF. DE PREÇOS n editavel'!I668</f>
        <v>15.023040000000002</v>
      </c>
      <c r="J668" s="877">
        <f>'REF. DE PREÇOS n editavel'!J668</f>
        <v>0</v>
      </c>
      <c r="K668" s="932" t="s">
        <v>506</v>
      </c>
      <c r="L668" s="933"/>
      <c r="M668" s="1112">
        <f t="shared" si="83"/>
        <v>0</v>
      </c>
      <c r="N668" s="868">
        <f t="shared" si="87"/>
        <v>0</v>
      </c>
      <c r="O668" s="880"/>
      <c r="P668" s="58" t="str">
        <f>IF(N666&gt;0,"xx",IF(N666&gt;0,"xy",""))</f>
        <v/>
      </c>
      <c r="Q668" s="317" t="str">
        <f t="shared" si="84"/>
        <v/>
      </c>
      <c r="R668" s="317" t="str">
        <f t="shared" si="85"/>
        <v/>
      </c>
      <c r="S668" s="317" t="str">
        <f t="shared" si="86"/>
        <v/>
      </c>
      <c r="T668" s="317" t="str">
        <f>'REF. DE PREÇOS n editavel'!S668</f>
        <v/>
      </c>
      <c r="W668" s="577">
        <v>0</v>
      </c>
      <c r="X668" s="575"/>
      <c r="Y668" s="578">
        <f>IF('REF. DE PREÇOS n editavel'!W668=0,0,IF('REF. DE PREÇOS n editavel'!W668&gt;0,"c","b"))</f>
        <v>0</v>
      </c>
    </row>
    <row r="669" spans="1:25">
      <c r="A669" s="317" t="s">
        <v>147</v>
      </c>
      <c r="B669" s="870" t="s">
        <v>147</v>
      </c>
      <c r="C669" s="871"/>
      <c r="D669" s="931" t="s">
        <v>233</v>
      </c>
      <c r="E669" s="882">
        <f>'REF. DE PREÇOS n editavel'!E669</f>
        <v>43.1</v>
      </c>
      <c r="F669" s="883">
        <f>'REF. DE PREÇOS n editavel'!F669</f>
        <v>5.5500000000000001E-2</v>
      </c>
      <c r="G669" s="923">
        <f>'REF. DE PREÇOS n editavel'!G669</f>
        <v>2.7082335000000004</v>
      </c>
      <c r="H669" s="876">
        <f>'REF. DE PREÇOS n editavel'!H669</f>
        <v>0</v>
      </c>
      <c r="I669" s="876">
        <f>'REF. DE PREÇOS n editavel'!I669</f>
        <v>2.7082335000000004</v>
      </c>
      <c r="J669" s="877">
        <f>'REF. DE PREÇOS n editavel'!J669</f>
        <v>0</v>
      </c>
      <c r="K669" s="932" t="s">
        <v>506</v>
      </c>
      <c r="L669" s="933"/>
      <c r="M669" s="1112">
        <f t="shared" si="83"/>
        <v>0</v>
      </c>
      <c r="N669" s="868">
        <f t="shared" si="87"/>
        <v>0</v>
      </c>
      <c r="O669" s="880"/>
      <c r="P669" s="58" t="str">
        <f>IF(N666&gt;0,"xx",IF(N666&gt;0,"xy",""))</f>
        <v/>
      </c>
      <c r="Q669" s="317" t="str">
        <f t="shared" si="84"/>
        <v/>
      </c>
      <c r="R669" s="317" t="str">
        <f t="shared" si="85"/>
        <v/>
      </c>
      <c r="S669" s="317" t="str">
        <f t="shared" si="86"/>
        <v/>
      </c>
      <c r="T669" s="317" t="str">
        <f>'REF. DE PREÇOS n editavel'!S669</f>
        <v/>
      </c>
      <c r="W669" s="577">
        <v>0</v>
      </c>
      <c r="X669" s="575"/>
      <c r="Y669" s="578">
        <f>IF('REF. DE PREÇOS n editavel'!W669=0,0,IF('REF. DE PREÇOS n editavel'!W669&gt;0,"c","b"))</f>
        <v>0</v>
      </c>
    </row>
    <row r="670" spans="1:25">
      <c r="A670" s="317">
        <v>605000</v>
      </c>
      <c r="B670" s="870" t="s">
        <v>300</v>
      </c>
      <c r="C670" s="871" t="s">
        <v>184</v>
      </c>
      <c r="D670" s="881" t="s">
        <v>515</v>
      </c>
      <c r="E670" s="882">
        <f>'REF. DE PREÇOS n editavel'!E670</f>
        <v>0</v>
      </c>
      <c r="F670" s="883">
        <f>'REF. DE PREÇOS n editavel'!F670</f>
        <v>0</v>
      </c>
      <c r="G670" s="887">
        <f>'REF. DE PREÇOS n editavel'!G670</f>
        <v>1.3513616100000001</v>
      </c>
      <c r="H670" s="876">
        <f>'REF. DE PREÇOS n editavel'!H670</f>
        <v>31.71</v>
      </c>
      <c r="I670" s="876">
        <f>'REF. DE PREÇOS n editavel'!I670</f>
        <v>33.061361609999999</v>
      </c>
      <c r="J670" s="877">
        <f>'REF. DE PREÇOS n editavel'!J670</f>
        <v>40.409999999999997</v>
      </c>
      <c r="K670" s="878" t="s">
        <v>12</v>
      </c>
      <c r="L670" s="1092"/>
      <c r="M670" s="1093">
        <f t="shared" si="83"/>
        <v>0</v>
      </c>
      <c r="N670" s="868">
        <f t="shared" si="87"/>
        <v>0</v>
      </c>
      <c r="O670" s="880"/>
      <c r="Q670" s="317" t="str">
        <f t="shared" si="84"/>
        <v/>
      </c>
      <c r="R670" s="317" t="str">
        <f t="shared" si="85"/>
        <v/>
      </c>
      <c r="S670" s="317" t="str">
        <f t="shared" si="86"/>
        <v/>
      </c>
      <c r="T670" s="317" t="str">
        <f>'REF. DE PREÇOS n editavel'!S670</f>
        <v/>
      </c>
      <c r="W670" s="577">
        <v>0</v>
      </c>
      <c r="X670" s="575"/>
      <c r="Y670" s="578">
        <f>IF('REF. DE PREÇOS n editavel'!W670=0,0,IF('REF. DE PREÇOS n editavel'!W670&gt;0,"c","b"))</f>
        <v>0</v>
      </c>
    </row>
    <row r="671" spans="1:25">
      <c r="A671" s="317" t="s">
        <v>147</v>
      </c>
      <c r="B671" s="870" t="s">
        <v>147</v>
      </c>
      <c r="C671" s="871"/>
      <c r="D671" s="931" t="s">
        <v>190</v>
      </c>
      <c r="E671" s="882">
        <f>'REF. DE PREÇOS n editavel'!E671</f>
        <v>445</v>
      </c>
      <c r="F671" s="883">
        <f>'REF. DE PREÇOS n editavel'!F671</f>
        <v>1.6199999999999999E-2</v>
      </c>
      <c r="G671" s="884">
        <f>'REF. DE PREÇOS n editavel'!G671</f>
        <v>5.7497040000000004</v>
      </c>
      <c r="H671" s="876">
        <f>'REF. DE PREÇOS n editavel'!H671</f>
        <v>0</v>
      </c>
      <c r="I671" s="876">
        <f>'REF. DE PREÇOS n editavel'!I671</f>
        <v>5.7497040000000004</v>
      </c>
      <c r="J671" s="877">
        <f>'REF. DE PREÇOS n editavel'!J671</f>
        <v>0</v>
      </c>
      <c r="K671" s="932" t="s">
        <v>506</v>
      </c>
      <c r="L671" s="933"/>
      <c r="M671" s="1112">
        <f t="shared" si="83"/>
        <v>0</v>
      </c>
      <c r="N671" s="868">
        <f t="shared" si="87"/>
        <v>0</v>
      </c>
      <c r="O671" s="880"/>
      <c r="P671" s="58" t="str">
        <f>IF(N670&gt;0,"xx",IF(N670&gt;0,"xy",""))</f>
        <v/>
      </c>
      <c r="Q671" s="317" t="str">
        <f t="shared" si="84"/>
        <v/>
      </c>
      <c r="R671" s="317" t="str">
        <f t="shared" si="85"/>
        <v/>
      </c>
      <c r="S671" s="317" t="str">
        <f t="shared" si="86"/>
        <v/>
      </c>
      <c r="T671" s="317" t="str">
        <f>'REF. DE PREÇOS n editavel'!S671</f>
        <v/>
      </c>
      <c r="W671" s="577">
        <v>0</v>
      </c>
      <c r="X671" s="575"/>
      <c r="Y671" s="578">
        <f>IF('REF. DE PREÇOS n editavel'!W671=0,0,IF('REF. DE PREÇOS n editavel'!W671&gt;0,"c","b"))</f>
        <v>0</v>
      </c>
    </row>
    <row r="672" spans="1:25">
      <c r="A672" s="317" t="s">
        <v>147</v>
      </c>
      <c r="B672" s="870" t="s">
        <v>147</v>
      </c>
      <c r="C672" s="871"/>
      <c r="D672" s="931" t="s">
        <v>229</v>
      </c>
      <c r="E672" s="882">
        <f>'REF. DE PREÇOS n editavel'!E672</f>
        <v>290</v>
      </c>
      <c r="F672" s="883">
        <f>'REF. DE PREÇOS n editavel'!F672</f>
        <v>5.7599999999999998E-2</v>
      </c>
      <c r="G672" s="923">
        <f>'REF. DE PREÇOS n editavel'!G672</f>
        <v>18.027647999999999</v>
      </c>
      <c r="H672" s="876">
        <f>'REF. DE PREÇOS n editavel'!H672</f>
        <v>0</v>
      </c>
      <c r="I672" s="876">
        <f>'REF. DE PREÇOS n editavel'!I672</f>
        <v>18.027647999999999</v>
      </c>
      <c r="J672" s="877">
        <f>'REF. DE PREÇOS n editavel'!J672</f>
        <v>0</v>
      </c>
      <c r="K672" s="932" t="s">
        <v>506</v>
      </c>
      <c r="L672" s="933"/>
      <c r="M672" s="1112">
        <f t="shared" si="83"/>
        <v>0</v>
      </c>
      <c r="N672" s="868">
        <f t="shared" si="87"/>
        <v>0</v>
      </c>
      <c r="O672" s="880"/>
      <c r="P672" s="58" t="str">
        <f>IF(N670&gt;0,"xx",IF(N670&gt;0,"xy",""))</f>
        <v/>
      </c>
      <c r="Q672" s="317" t="str">
        <f t="shared" si="84"/>
        <v/>
      </c>
      <c r="R672" s="317" t="str">
        <f t="shared" si="85"/>
        <v/>
      </c>
      <c r="S672" s="317" t="str">
        <f t="shared" si="86"/>
        <v/>
      </c>
      <c r="T672" s="317" t="str">
        <f>'REF. DE PREÇOS n editavel'!S672</f>
        <v/>
      </c>
      <c r="W672" s="577">
        <v>0</v>
      </c>
      <c r="X672" s="575"/>
      <c r="Y672" s="578">
        <f>IF('REF. DE PREÇOS n editavel'!W672=0,0,IF('REF. DE PREÇOS n editavel'!W672&gt;0,"c","b"))</f>
        <v>0</v>
      </c>
    </row>
    <row r="673" spans="1:25">
      <c r="A673" s="317" t="s">
        <v>147</v>
      </c>
      <c r="B673" s="870" t="s">
        <v>147</v>
      </c>
      <c r="C673" s="871"/>
      <c r="D673" s="931" t="s">
        <v>233</v>
      </c>
      <c r="E673" s="882">
        <f>'REF. DE PREÇOS n editavel'!E673</f>
        <v>43.1</v>
      </c>
      <c r="F673" s="883">
        <f>'REF. DE PREÇOS n editavel'!F673</f>
        <v>6.6600000000000006E-2</v>
      </c>
      <c r="G673" s="923">
        <f>'REF. DE PREÇOS n editavel'!G673</f>
        <v>3.2498802000000007</v>
      </c>
      <c r="H673" s="876">
        <f>'REF. DE PREÇOS n editavel'!H673</f>
        <v>0</v>
      </c>
      <c r="I673" s="876">
        <f>'REF. DE PREÇOS n editavel'!I673</f>
        <v>3.2498802000000007</v>
      </c>
      <c r="J673" s="877">
        <f>'REF. DE PREÇOS n editavel'!J673</f>
        <v>0</v>
      </c>
      <c r="K673" s="932" t="s">
        <v>506</v>
      </c>
      <c r="L673" s="933"/>
      <c r="M673" s="1112">
        <f t="shared" si="83"/>
        <v>0</v>
      </c>
      <c r="N673" s="868">
        <f t="shared" si="87"/>
        <v>0</v>
      </c>
      <c r="O673" s="880"/>
      <c r="P673" s="58" t="str">
        <f>IF(N670&gt;0,"xx",IF(N670&gt;0,"xy",""))</f>
        <v/>
      </c>
      <c r="Q673" s="317" t="str">
        <f t="shared" si="84"/>
        <v/>
      </c>
      <c r="R673" s="317" t="str">
        <f t="shared" si="85"/>
        <v/>
      </c>
      <c r="S673" s="317" t="str">
        <f t="shared" si="86"/>
        <v/>
      </c>
      <c r="T673" s="317" t="str">
        <f>'REF. DE PREÇOS n editavel'!S673</f>
        <v/>
      </c>
      <c r="W673" s="577">
        <v>0</v>
      </c>
      <c r="X673" s="575"/>
      <c r="Y673" s="578">
        <f>IF('REF. DE PREÇOS n editavel'!W673=0,0,IF('REF. DE PREÇOS n editavel'!W673&gt;0,"c","b"))</f>
        <v>0</v>
      </c>
    </row>
    <row r="674" spans="1:25">
      <c r="A674" s="317">
        <v>605000</v>
      </c>
      <c r="B674" s="870" t="s">
        <v>301</v>
      </c>
      <c r="C674" s="871" t="s">
        <v>184</v>
      </c>
      <c r="D674" s="881" t="s">
        <v>516</v>
      </c>
      <c r="E674" s="882">
        <f>'REF. DE PREÇOS n editavel'!E674</f>
        <v>0</v>
      </c>
      <c r="F674" s="883">
        <f>'REF. DE PREÇOS n editavel'!F674</f>
        <v>0</v>
      </c>
      <c r="G674" s="887">
        <f>'REF. DE PREÇOS n editavel'!G674</f>
        <v>1.5765885450000001</v>
      </c>
      <c r="H674" s="876">
        <f>'REF. DE PREÇOS n editavel'!H674</f>
        <v>36.58</v>
      </c>
      <c r="I674" s="876">
        <f>'REF. DE PREÇOS n editavel'!I674</f>
        <v>38.156588544999998</v>
      </c>
      <c r="J674" s="877">
        <f>'REF. DE PREÇOS n editavel'!J674</f>
        <v>46.63</v>
      </c>
      <c r="K674" s="878" t="s">
        <v>12</v>
      </c>
      <c r="L674" s="1092"/>
      <c r="M674" s="1093">
        <f t="shared" si="83"/>
        <v>0</v>
      </c>
      <c r="N674" s="868">
        <f t="shared" si="87"/>
        <v>0</v>
      </c>
      <c r="O674" s="880"/>
      <c r="Q674" s="317" t="str">
        <f t="shared" si="84"/>
        <v/>
      </c>
      <c r="R674" s="317" t="str">
        <f t="shared" si="85"/>
        <v/>
      </c>
      <c r="S674" s="317" t="str">
        <f t="shared" si="86"/>
        <v/>
      </c>
      <c r="T674" s="317" t="str">
        <f>'REF. DE PREÇOS n editavel'!S674</f>
        <v/>
      </c>
      <c r="W674" s="577">
        <v>0</v>
      </c>
      <c r="X674" s="575"/>
      <c r="Y674" s="578">
        <f>IF('REF. DE PREÇOS n editavel'!W674=0,0,IF('REF. DE PREÇOS n editavel'!W674&gt;0,"c","b"))</f>
        <v>0</v>
      </c>
    </row>
    <row r="675" spans="1:25">
      <c r="A675" s="317" t="s">
        <v>147</v>
      </c>
      <c r="B675" s="870" t="s">
        <v>147</v>
      </c>
      <c r="C675" s="871"/>
      <c r="D675" s="931" t="s">
        <v>190</v>
      </c>
      <c r="E675" s="882">
        <f>'REF. DE PREÇOS n editavel'!E675</f>
        <v>445</v>
      </c>
      <c r="F675" s="883">
        <f>'REF. DE PREÇOS n editavel'!F675</f>
        <v>1.89E-2</v>
      </c>
      <c r="G675" s="884">
        <f>'REF. DE PREÇOS n editavel'!G675</f>
        <v>6.7079880000000003</v>
      </c>
      <c r="H675" s="876">
        <f>'REF. DE PREÇOS n editavel'!H675</f>
        <v>0</v>
      </c>
      <c r="I675" s="876">
        <f>'REF. DE PREÇOS n editavel'!I675</f>
        <v>6.7079880000000003</v>
      </c>
      <c r="J675" s="877">
        <f>'REF. DE PREÇOS n editavel'!J675</f>
        <v>0</v>
      </c>
      <c r="K675" s="932" t="s">
        <v>506</v>
      </c>
      <c r="L675" s="933"/>
      <c r="M675" s="1112">
        <f t="shared" si="83"/>
        <v>0</v>
      </c>
      <c r="N675" s="868">
        <f t="shared" si="87"/>
        <v>0</v>
      </c>
      <c r="O675" s="880"/>
      <c r="P675" s="58" t="str">
        <f>IF(N674&gt;0,"xx",IF(N674&gt;0,"xy",""))</f>
        <v/>
      </c>
      <c r="Q675" s="317" t="str">
        <f t="shared" si="84"/>
        <v/>
      </c>
      <c r="R675" s="317" t="str">
        <f t="shared" si="85"/>
        <v/>
      </c>
      <c r="S675" s="317" t="str">
        <f t="shared" si="86"/>
        <v/>
      </c>
      <c r="T675" s="317" t="str">
        <f>'REF. DE PREÇOS n editavel'!S675</f>
        <v/>
      </c>
      <c r="W675" s="577">
        <v>0</v>
      </c>
      <c r="X675" s="575"/>
      <c r="Y675" s="578">
        <f>IF('REF. DE PREÇOS n editavel'!W675=0,0,IF('REF. DE PREÇOS n editavel'!W675&gt;0,"c","b"))</f>
        <v>0</v>
      </c>
    </row>
    <row r="676" spans="1:25">
      <c r="A676" s="317" t="s">
        <v>147</v>
      </c>
      <c r="B676" s="870" t="s">
        <v>147</v>
      </c>
      <c r="C676" s="871"/>
      <c r="D676" s="931" t="s">
        <v>229</v>
      </c>
      <c r="E676" s="882">
        <f>'REF. DE PREÇOS n editavel'!E676</f>
        <v>290</v>
      </c>
      <c r="F676" s="883">
        <f>'REF. DE PREÇOS n editavel'!F676</f>
        <v>6.7199999999999996E-2</v>
      </c>
      <c r="G676" s="923">
        <f>'REF. DE PREÇOS n editavel'!G676</f>
        <v>21.032256</v>
      </c>
      <c r="H676" s="876">
        <f>'REF. DE PREÇOS n editavel'!H676</f>
        <v>0</v>
      </c>
      <c r="I676" s="876">
        <f>'REF. DE PREÇOS n editavel'!I676</f>
        <v>21.032256</v>
      </c>
      <c r="J676" s="877">
        <f>'REF. DE PREÇOS n editavel'!J676</f>
        <v>0</v>
      </c>
      <c r="K676" s="932" t="s">
        <v>506</v>
      </c>
      <c r="L676" s="933"/>
      <c r="M676" s="1112">
        <f t="shared" si="83"/>
        <v>0</v>
      </c>
      <c r="N676" s="868">
        <f t="shared" si="87"/>
        <v>0</v>
      </c>
      <c r="O676" s="880"/>
      <c r="P676" s="58" t="str">
        <f>IF(N674&gt;0,"xx",IF(N674&gt;0,"xy",""))</f>
        <v/>
      </c>
      <c r="Q676" s="317" t="str">
        <f t="shared" si="84"/>
        <v/>
      </c>
      <c r="R676" s="317" t="str">
        <f t="shared" si="85"/>
        <v/>
      </c>
      <c r="S676" s="317" t="str">
        <f t="shared" si="86"/>
        <v/>
      </c>
      <c r="T676" s="317" t="str">
        <f>'REF. DE PREÇOS n editavel'!S676</f>
        <v/>
      </c>
      <c r="W676" s="577">
        <v>0</v>
      </c>
      <c r="X676" s="575"/>
      <c r="Y676" s="578">
        <f>IF('REF. DE PREÇOS n editavel'!W676=0,0,IF('REF. DE PREÇOS n editavel'!W676&gt;0,"c","b"))</f>
        <v>0</v>
      </c>
    </row>
    <row r="677" spans="1:25">
      <c r="A677" s="317" t="s">
        <v>147</v>
      </c>
      <c r="B677" s="870" t="s">
        <v>147</v>
      </c>
      <c r="C677" s="871"/>
      <c r="D677" s="931" t="s">
        <v>233</v>
      </c>
      <c r="E677" s="882">
        <f>'REF. DE PREÇOS n editavel'!E677</f>
        <v>43.1</v>
      </c>
      <c r="F677" s="883">
        <f>'REF. DE PREÇOS n editavel'!F677</f>
        <v>7.7700000000000005E-2</v>
      </c>
      <c r="G677" s="923">
        <f>'REF. DE PREÇOS n editavel'!G677</f>
        <v>3.7915269000000005</v>
      </c>
      <c r="H677" s="876">
        <f>'REF. DE PREÇOS n editavel'!H677</f>
        <v>0</v>
      </c>
      <c r="I677" s="876">
        <f>'REF. DE PREÇOS n editavel'!I677</f>
        <v>3.7915269000000005</v>
      </c>
      <c r="J677" s="877">
        <f>'REF. DE PREÇOS n editavel'!J677</f>
        <v>0</v>
      </c>
      <c r="K677" s="932" t="s">
        <v>506</v>
      </c>
      <c r="L677" s="933"/>
      <c r="M677" s="1112">
        <f t="shared" si="83"/>
        <v>0</v>
      </c>
      <c r="N677" s="868">
        <f t="shared" si="87"/>
        <v>0</v>
      </c>
      <c r="O677" s="880"/>
      <c r="P677" s="58" t="str">
        <f>IF(N674&gt;0,"xx",IF(N674&gt;0,"xy",""))</f>
        <v/>
      </c>
      <c r="Q677" s="317" t="str">
        <f t="shared" si="84"/>
        <v/>
      </c>
      <c r="R677" s="317" t="str">
        <f t="shared" si="85"/>
        <v/>
      </c>
      <c r="S677" s="317" t="str">
        <f t="shared" si="86"/>
        <v/>
      </c>
      <c r="T677" s="317" t="str">
        <f>'REF. DE PREÇOS n editavel'!S677</f>
        <v/>
      </c>
      <c r="W677" s="577">
        <v>0</v>
      </c>
      <c r="X677" s="575"/>
      <c r="Y677" s="578">
        <f>IF('REF. DE PREÇOS n editavel'!W677=0,0,IF('REF. DE PREÇOS n editavel'!W677&gt;0,"c","b"))</f>
        <v>0</v>
      </c>
    </row>
    <row r="678" spans="1:25">
      <c r="A678" s="317">
        <v>605000</v>
      </c>
      <c r="B678" s="870" t="s">
        <v>1759</v>
      </c>
      <c r="C678" s="871" t="s">
        <v>184</v>
      </c>
      <c r="D678" s="881" t="s">
        <v>525</v>
      </c>
      <c r="E678" s="882">
        <f>'REF. DE PREÇOS n editavel'!E678</f>
        <v>0</v>
      </c>
      <c r="F678" s="883">
        <f>'REF. DE PREÇOS n editavel'!F678</f>
        <v>0</v>
      </c>
      <c r="G678" s="887">
        <f>'REF. DE PREÇOS n editavel'!G678</f>
        <v>1.8018154800000001</v>
      </c>
      <c r="H678" s="876">
        <f>'REF. DE PREÇOS n editavel'!H678</f>
        <v>41.44</v>
      </c>
      <c r="I678" s="876">
        <f>'REF. DE PREÇOS n editavel'!I678</f>
        <v>43.24181548</v>
      </c>
      <c r="J678" s="877">
        <f>'REF. DE PREÇOS n editavel'!J678</f>
        <v>52.85</v>
      </c>
      <c r="K678" s="878" t="s">
        <v>12</v>
      </c>
      <c r="L678" s="1092"/>
      <c r="M678" s="1093">
        <f t="shared" si="83"/>
        <v>0</v>
      </c>
      <c r="N678" s="868">
        <f t="shared" si="87"/>
        <v>0</v>
      </c>
      <c r="O678" s="880"/>
      <c r="Q678" s="317" t="str">
        <f t="shared" si="84"/>
        <v/>
      </c>
      <c r="R678" s="317" t="str">
        <f t="shared" si="85"/>
        <v/>
      </c>
      <c r="S678" s="317" t="str">
        <f t="shared" si="86"/>
        <v/>
      </c>
      <c r="T678" s="317" t="str">
        <f>'REF. DE PREÇOS n editavel'!S678</f>
        <v/>
      </c>
      <c r="W678" s="577">
        <v>0</v>
      </c>
      <c r="X678" s="575"/>
      <c r="Y678" s="578">
        <f>IF('REF. DE PREÇOS n editavel'!W678=0,0,IF('REF. DE PREÇOS n editavel'!W678&gt;0,"c","b"))</f>
        <v>0</v>
      </c>
    </row>
    <row r="679" spans="1:25">
      <c r="A679" s="317" t="s">
        <v>147</v>
      </c>
      <c r="B679" s="870" t="s">
        <v>147</v>
      </c>
      <c r="C679" s="871"/>
      <c r="D679" s="931" t="s">
        <v>190</v>
      </c>
      <c r="E679" s="882">
        <f>'REF. DE PREÇOS n editavel'!E679</f>
        <v>445</v>
      </c>
      <c r="F679" s="883">
        <f>'REF. DE PREÇOS n editavel'!F679</f>
        <v>2.1600000000000001E-2</v>
      </c>
      <c r="G679" s="884">
        <f>'REF. DE PREÇOS n editavel'!G679</f>
        <v>7.6662720000000011</v>
      </c>
      <c r="H679" s="876">
        <f>'REF. DE PREÇOS n editavel'!H679</f>
        <v>0</v>
      </c>
      <c r="I679" s="876">
        <f>'REF. DE PREÇOS n editavel'!I679</f>
        <v>0</v>
      </c>
      <c r="J679" s="877">
        <f>'REF. DE PREÇOS n editavel'!J679</f>
        <v>0</v>
      </c>
      <c r="K679" s="932" t="s">
        <v>506</v>
      </c>
      <c r="L679" s="933"/>
      <c r="M679" s="1112">
        <f t="shared" si="83"/>
        <v>0</v>
      </c>
      <c r="N679" s="868">
        <f t="shared" si="87"/>
        <v>0</v>
      </c>
      <c r="O679" s="880"/>
      <c r="P679" s="58" t="str">
        <f>IF(N678&gt;0,"xx",IF(N678&gt;0,"xy",""))</f>
        <v/>
      </c>
      <c r="Q679" s="317" t="str">
        <f t="shared" si="84"/>
        <v/>
      </c>
      <c r="R679" s="317" t="str">
        <f t="shared" si="85"/>
        <v/>
      </c>
      <c r="S679" s="317" t="str">
        <f t="shared" si="86"/>
        <v/>
      </c>
      <c r="T679" s="317" t="str">
        <f>'REF. DE PREÇOS n editavel'!S679</f>
        <v/>
      </c>
      <c r="W679" s="577">
        <v>0</v>
      </c>
      <c r="X679" s="575"/>
      <c r="Y679" s="578">
        <f>IF('REF. DE PREÇOS n editavel'!W679=0,0,IF('REF. DE PREÇOS n editavel'!W679&gt;0,"c","b"))</f>
        <v>0</v>
      </c>
    </row>
    <row r="680" spans="1:25">
      <c r="A680" s="317" t="s">
        <v>147</v>
      </c>
      <c r="B680" s="870" t="s">
        <v>147</v>
      </c>
      <c r="C680" s="871"/>
      <c r="D680" s="931" t="s">
        <v>229</v>
      </c>
      <c r="E680" s="882">
        <f>'REF. DE PREÇOS n editavel'!E680</f>
        <v>290</v>
      </c>
      <c r="F680" s="883">
        <f>'REF. DE PREÇOS n editavel'!F680</f>
        <v>7.6799999999999993E-2</v>
      </c>
      <c r="G680" s="923">
        <f>'REF. DE PREÇOS n editavel'!G680</f>
        <v>24.036863999999998</v>
      </c>
      <c r="H680" s="876">
        <f>'REF. DE PREÇOS n editavel'!H680</f>
        <v>0</v>
      </c>
      <c r="I680" s="876">
        <f>'REF. DE PREÇOS n editavel'!I680</f>
        <v>0</v>
      </c>
      <c r="J680" s="877">
        <f>'REF. DE PREÇOS n editavel'!J680</f>
        <v>0</v>
      </c>
      <c r="K680" s="932" t="s">
        <v>506</v>
      </c>
      <c r="L680" s="933"/>
      <c r="M680" s="1112">
        <f t="shared" si="83"/>
        <v>0</v>
      </c>
      <c r="N680" s="868">
        <f t="shared" si="87"/>
        <v>0</v>
      </c>
      <c r="O680" s="880"/>
      <c r="P680" s="58" t="str">
        <f>IF(N678&gt;0,"xx",IF(N678&gt;0,"xy",""))</f>
        <v/>
      </c>
      <c r="Q680" s="317" t="str">
        <f t="shared" si="84"/>
        <v/>
      </c>
      <c r="R680" s="317" t="str">
        <f t="shared" si="85"/>
        <v/>
      </c>
      <c r="S680" s="317" t="str">
        <f t="shared" si="86"/>
        <v/>
      </c>
      <c r="T680" s="317" t="str">
        <f>'REF. DE PREÇOS n editavel'!S680</f>
        <v/>
      </c>
      <c r="W680" s="577">
        <v>0</v>
      </c>
      <c r="X680" s="575"/>
      <c r="Y680" s="578">
        <f>IF('REF. DE PREÇOS n editavel'!W680=0,0,IF('REF. DE PREÇOS n editavel'!W680&gt;0,"c","b"))</f>
        <v>0</v>
      </c>
    </row>
    <row r="681" spans="1:25">
      <c r="A681" s="317" t="s">
        <v>147</v>
      </c>
      <c r="B681" s="870" t="s">
        <v>147</v>
      </c>
      <c r="C681" s="871"/>
      <c r="D681" s="931" t="s">
        <v>233</v>
      </c>
      <c r="E681" s="882">
        <f>'REF. DE PREÇOS n editavel'!E681</f>
        <v>43.1</v>
      </c>
      <c r="F681" s="883">
        <f>'REF. DE PREÇOS n editavel'!F681</f>
        <v>8.8800000000000004E-2</v>
      </c>
      <c r="G681" s="923">
        <f>'REF. DE PREÇOS n editavel'!G681</f>
        <v>4.3331736000000003</v>
      </c>
      <c r="H681" s="876">
        <f>'REF. DE PREÇOS n editavel'!H681</f>
        <v>0</v>
      </c>
      <c r="I681" s="876">
        <f>'REF. DE PREÇOS n editavel'!I681</f>
        <v>0</v>
      </c>
      <c r="J681" s="877">
        <f>'REF. DE PREÇOS n editavel'!J681</f>
        <v>0</v>
      </c>
      <c r="K681" s="932" t="s">
        <v>506</v>
      </c>
      <c r="L681" s="933"/>
      <c r="M681" s="1112">
        <f t="shared" si="83"/>
        <v>0</v>
      </c>
      <c r="N681" s="868">
        <f t="shared" si="87"/>
        <v>0</v>
      </c>
      <c r="O681" s="880"/>
      <c r="P681" s="58" t="str">
        <f>IF(N678&gt;0,"xx",IF(N678&gt;0,"xy",""))</f>
        <v/>
      </c>
      <c r="Q681" s="317" t="str">
        <f t="shared" si="84"/>
        <v/>
      </c>
      <c r="R681" s="317" t="str">
        <f t="shared" si="85"/>
        <v/>
      </c>
      <c r="S681" s="317" t="str">
        <f t="shared" si="86"/>
        <v/>
      </c>
      <c r="T681" s="317" t="str">
        <f>'REF. DE PREÇOS n editavel'!S681</f>
        <v/>
      </c>
      <c r="W681" s="577">
        <v>0</v>
      </c>
      <c r="X681" s="575"/>
      <c r="Y681" s="578">
        <f>IF('REF. DE PREÇOS n editavel'!W681=0,0,IF('REF. DE PREÇOS n editavel'!W681&gt;0,"c","b"))</f>
        <v>0</v>
      </c>
    </row>
    <row r="682" spans="1:25">
      <c r="A682" s="317">
        <v>511000</v>
      </c>
      <c r="B682" s="870" t="s">
        <v>1541</v>
      </c>
      <c r="C682" s="871" t="s">
        <v>184</v>
      </c>
      <c r="D682" s="881" t="s">
        <v>268</v>
      </c>
      <c r="E682" s="882">
        <f>'REF. DE PREÇOS n editavel'!E682</f>
        <v>0</v>
      </c>
      <c r="F682" s="883">
        <f>'REF. DE PREÇOS n editavel'!F682</f>
        <v>0</v>
      </c>
      <c r="G682" s="887">
        <f>'REF. DE PREÇOS n editavel'!G682</f>
        <v>0</v>
      </c>
      <c r="H682" s="876">
        <f>'REF. DE PREÇOS n editavel'!H682</f>
        <v>4.91</v>
      </c>
      <c r="I682" s="876">
        <f>'REF. DE PREÇOS n editavel'!I682</f>
        <v>4.91</v>
      </c>
      <c r="J682" s="877">
        <f>'REF. DE PREÇOS n editavel'!J682</f>
        <v>6</v>
      </c>
      <c r="K682" s="878" t="s">
        <v>12</v>
      </c>
      <c r="L682" s="1092"/>
      <c r="M682" s="1093">
        <f t="shared" si="83"/>
        <v>0</v>
      </c>
      <c r="N682" s="868">
        <f t="shared" si="87"/>
        <v>0</v>
      </c>
      <c r="O682" s="880"/>
      <c r="Q682" s="317" t="str">
        <f t="shared" si="84"/>
        <v/>
      </c>
      <c r="R682" s="317" t="str">
        <f t="shared" si="85"/>
        <v/>
      </c>
      <c r="S682" s="317" t="str">
        <f t="shared" si="86"/>
        <v/>
      </c>
      <c r="T682" s="317" t="str">
        <f>'REF. DE PREÇOS n editavel'!S682</f>
        <v/>
      </c>
      <c r="W682" s="577">
        <v>0</v>
      </c>
      <c r="X682" s="575"/>
      <c r="Y682" s="578">
        <f>IF('REF. DE PREÇOS n editavel'!W682=0,0,IF('REF. DE PREÇOS n editavel'!W682&gt;0,"c","b"))</f>
        <v>0</v>
      </c>
    </row>
    <row r="683" spans="1:25">
      <c r="A683" s="317">
        <v>511100</v>
      </c>
      <c r="B683" s="870" t="s">
        <v>1553</v>
      </c>
      <c r="C683" s="871" t="s">
        <v>184</v>
      </c>
      <c r="D683" s="881" t="s">
        <v>269</v>
      </c>
      <c r="E683" s="882">
        <f>'REF. DE PREÇOS n editavel'!E683</f>
        <v>0</v>
      </c>
      <c r="F683" s="883">
        <f>'REF. DE PREÇOS n editavel'!F683</f>
        <v>0</v>
      </c>
      <c r="G683" s="887">
        <f>'REF. DE PREÇOS n editavel'!G683</f>
        <v>0</v>
      </c>
      <c r="H683" s="876">
        <f>'REF. DE PREÇOS n editavel'!H683</f>
        <v>4.25</v>
      </c>
      <c r="I683" s="876">
        <f>'REF. DE PREÇOS n editavel'!I683</f>
        <v>4.25</v>
      </c>
      <c r="J683" s="877">
        <f>'REF. DE PREÇOS n editavel'!J683</f>
        <v>5.19</v>
      </c>
      <c r="K683" s="878" t="s">
        <v>12</v>
      </c>
      <c r="L683" s="1092"/>
      <c r="M683" s="1093">
        <f t="shared" si="83"/>
        <v>0</v>
      </c>
      <c r="N683" s="868">
        <f t="shared" si="87"/>
        <v>0</v>
      </c>
      <c r="O683" s="880"/>
      <c r="Q683" s="317" t="str">
        <f t="shared" si="84"/>
        <v/>
      </c>
      <c r="R683" s="317" t="str">
        <f t="shared" si="85"/>
        <v/>
      </c>
      <c r="S683" s="317" t="str">
        <f t="shared" si="86"/>
        <v/>
      </c>
      <c r="T683" s="317" t="str">
        <f>'REF. DE PREÇOS n editavel'!S683</f>
        <v/>
      </c>
      <c r="W683" s="577">
        <v>0</v>
      </c>
      <c r="X683" s="575"/>
      <c r="Y683" s="578">
        <f>IF('REF. DE PREÇOS n editavel'!W683=0,0,IF('REF. DE PREÇOS n editavel'!W683&gt;0,"c","b"))</f>
        <v>0</v>
      </c>
    </row>
    <row r="684" spans="1:25">
      <c r="A684" s="317">
        <v>520100</v>
      </c>
      <c r="B684" s="870" t="s">
        <v>1544</v>
      </c>
      <c r="C684" s="871" t="s">
        <v>184</v>
      </c>
      <c r="D684" s="881" t="s">
        <v>270</v>
      </c>
      <c r="E684" s="873">
        <f>'REF. DE PREÇOS n editavel'!E684</f>
        <v>1</v>
      </c>
      <c r="F684" s="874">
        <f>'REF. DE PREÇOS n editavel'!F684</f>
        <v>2.0999999999999996</v>
      </c>
      <c r="G684" s="923">
        <f>'REF. DE PREÇOS n editavel'!G684</f>
        <v>7.8749999999999982</v>
      </c>
      <c r="H684" s="928">
        <f>'REF. DE PREÇOS n editavel'!H684</f>
        <v>5.45</v>
      </c>
      <c r="I684" s="876">
        <f>'REF. DE PREÇOS n editavel'!I684</f>
        <v>13.324999999999999</v>
      </c>
      <c r="J684" s="877">
        <f>'REF. DE PREÇOS n editavel'!J684</f>
        <v>16.29</v>
      </c>
      <c r="K684" s="878" t="s">
        <v>10</v>
      </c>
      <c r="L684" s="1092"/>
      <c r="M684" s="1093">
        <f t="shared" si="83"/>
        <v>0</v>
      </c>
      <c r="N684" s="868">
        <f t="shared" si="87"/>
        <v>0</v>
      </c>
      <c r="O684" s="880"/>
      <c r="Q684" s="317" t="str">
        <f t="shared" si="84"/>
        <v/>
      </c>
      <c r="R684" s="317" t="str">
        <f t="shared" si="85"/>
        <v/>
      </c>
      <c r="S684" s="317" t="str">
        <f t="shared" si="86"/>
        <v/>
      </c>
      <c r="T684" s="317" t="str">
        <f>'REF. DE PREÇOS n editavel'!S684</f>
        <v/>
      </c>
      <c r="W684" s="577">
        <v>0</v>
      </c>
      <c r="X684" s="575"/>
      <c r="Y684" s="578">
        <f>IF('REF. DE PREÇOS n editavel'!W684=0,0,IF('REF. DE PREÇOS n editavel'!W684&gt;0,"c","b"))</f>
        <v>0</v>
      </c>
    </row>
    <row r="685" spans="1:25">
      <c r="A685" s="317">
        <v>520100</v>
      </c>
      <c r="B685" s="870" t="s">
        <v>1545</v>
      </c>
      <c r="C685" s="871" t="s">
        <v>184</v>
      </c>
      <c r="D685" s="881" t="s">
        <v>271</v>
      </c>
      <c r="E685" s="873">
        <f>'REF. DE PREÇOS n editavel'!E685</f>
        <v>10</v>
      </c>
      <c r="F685" s="874">
        <f>'REF. DE PREÇOS n editavel'!F685</f>
        <v>2.0999999999999996</v>
      </c>
      <c r="G685" s="923">
        <f>'REF. DE PREÇOS n editavel'!G685</f>
        <v>28.097999999999995</v>
      </c>
      <c r="H685" s="928">
        <f>'REF. DE PREÇOS n editavel'!H685</f>
        <v>5.45</v>
      </c>
      <c r="I685" s="876">
        <f>'REF. DE PREÇOS n editavel'!I685</f>
        <v>33.547999999999995</v>
      </c>
      <c r="J685" s="877">
        <f>'REF. DE PREÇOS n editavel'!J685</f>
        <v>41</v>
      </c>
      <c r="K685" s="878" t="s">
        <v>10</v>
      </c>
      <c r="L685" s="1092"/>
      <c r="M685" s="1093">
        <f t="shared" si="83"/>
        <v>0</v>
      </c>
      <c r="N685" s="868">
        <f t="shared" si="87"/>
        <v>0</v>
      </c>
      <c r="O685" s="880"/>
      <c r="Q685" s="317" t="str">
        <f t="shared" si="84"/>
        <v/>
      </c>
      <c r="R685" s="317" t="str">
        <f t="shared" si="85"/>
        <v/>
      </c>
      <c r="S685" s="317" t="str">
        <f t="shared" si="86"/>
        <v/>
      </c>
      <c r="T685" s="317" t="str">
        <f>'REF. DE PREÇOS n editavel'!S685</f>
        <v/>
      </c>
      <c r="W685" s="577">
        <v>0</v>
      </c>
      <c r="X685" s="575"/>
      <c r="Y685" s="578">
        <f>IF('REF. DE PREÇOS n editavel'!W685=0,0,IF('REF. DE PREÇOS n editavel'!W685&gt;0,"c","b"))</f>
        <v>0</v>
      </c>
    </row>
    <row r="686" spans="1:25">
      <c r="A686" s="317">
        <v>533500</v>
      </c>
      <c r="B686" s="870" t="s">
        <v>1535</v>
      </c>
      <c r="C686" s="871" t="s">
        <v>184</v>
      </c>
      <c r="D686" s="881" t="s">
        <v>449</v>
      </c>
      <c r="E686" s="873">
        <f>'REF. DE PREÇOS n editavel'!E686</f>
        <v>17</v>
      </c>
      <c r="F686" s="874">
        <f>'REF. DE PREÇOS n editavel'!F686</f>
        <v>1.95</v>
      </c>
      <c r="G686" s="923">
        <f>'REF. DE PREÇOS n editavel'!G686</f>
        <v>40.6965</v>
      </c>
      <c r="H686" s="876">
        <f>'REF. DE PREÇOS n editavel'!H686</f>
        <v>25.79</v>
      </c>
      <c r="I686" s="876">
        <f>'REF. DE PREÇOS n editavel'!I686</f>
        <v>66.486500000000007</v>
      </c>
      <c r="J686" s="877">
        <f>'REF. DE PREÇOS n editavel'!J686</f>
        <v>81.260000000000005</v>
      </c>
      <c r="K686" s="878" t="s">
        <v>10</v>
      </c>
      <c r="L686" s="1092"/>
      <c r="M686" s="1093">
        <f t="shared" si="83"/>
        <v>0</v>
      </c>
      <c r="N686" s="868">
        <f t="shared" si="87"/>
        <v>0</v>
      </c>
      <c r="O686" s="880"/>
      <c r="Q686" s="317" t="str">
        <f t="shared" si="84"/>
        <v/>
      </c>
      <c r="R686" s="317" t="str">
        <f t="shared" si="85"/>
        <v/>
      </c>
      <c r="S686" s="317" t="str">
        <f t="shared" si="86"/>
        <v/>
      </c>
      <c r="T686" s="317" t="str">
        <f>'REF. DE PREÇOS n editavel'!S686</f>
        <v/>
      </c>
      <c r="W686" s="577">
        <v>0</v>
      </c>
      <c r="X686" s="575"/>
      <c r="Y686" s="578">
        <f>IF('REF. DE PREÇOS n editavel'!W686=0,0,IF('REF. DE PREÇOS n editavel'!W686&gt;0,"c","b"))</f>
        <v>0</v>
      </c>
    </row>
    <row r="687" spans="1:25">
      <c r="A687" s="317">
        <v>533100</v>
      </c>
      <c r="B687" s="870" t="s">
        <v>1538</v>
      </c>
      <c r="C687" s="871" t="s">
        <v>184</v>
      </c>
      <c r="D687" s="881" t="s">
        <v>457</v>
      </c>
      <c r="E687" s="873">
        <f>'REF. DE PREÇOS n editavel'!E687</f>
        <v>43.1</v>
      </c>
      <c r="F687" s="874">
        <f>'REF. DE PREÇOS n editavel'!F687</f>
        <v>1.98</v>
      </c>
      <c r="G687" s="923">
        <f>'REF. DE PREÇOS n editavel'!G687</f>
        <v>96.618060000000014</v>
      </c>
      <c r="H687" s="876">
        <f>'REF. DE PREÇOS n editavel'!H687</f>
        <v>30.58</v>
      </c>
      <c r="I687" s="876">
        <f>'REF. DE PREÇOS n editavel'!I687</f>
        <v>127.19806000000001</v>
      </c>
      <c r="J687" s="877">
        <f>'REF. DE PREÇOS n editavel'!J687</f>
        <v>155.46</v>
      </c>
      <c r="K687" s="878" t="s">
        <v>10</v>
      </c>
      <c r="L687" s="1092"/>
      <c r="M687" s="1093">
        <f t="shared" si="83"/>
        <v>0</v>
      </c>
      <c r="N687" s="868">
        <f t="shared" si="87"/>
        <v>0</v>
      </c>
      <c r="O687" s="880"/>
      <c r="Q687" s="317" t="str">
        <f t="shared" si="84"/>
        <v/>
      </c>
      <c r="R687" s="317" t="str">
        <f t="shared" si="85"/>
        <v/>
      </c>
      <c r="S687" s="317" t="str">
        <f t="shared" si="86"/>
        <v/>
      </c>
      <c r="T687" s="317" t="str">
        <f>'REF. DE PREÇOS n editavel'!S687</f>
        <v/>
      </c>
      <c r="W687" s="577">
        <v>0</v>
      </c>
      <c r="X687" s="575"/>
      <c r="Y687" s="578">
        <f>IF('REF. DE PREÇOS n editavel'!W687=0,0,IF('REF. DE PREÇOS n editavel'!W687&gt;0,"c","b"))</f>
        <v>0</v>
      </c>
    </row>
    <row r="688" spans="1:25">
      <c r="A688" s="317">
        <v>533100</v>
      </c>
      <c r="B688" s="870" t="s">
        <v>1539</v>
      </c>
      <c r="C688" s="871" t="s">
        <v>184</v>
      </c>
      <c r="D688" s="881" t="s">
        <v>272</v>
      </c>
      <c r="E688" s="873">
        <f>'REF. DE PREÇOS n editavel'!E688</f>
        <v>10</v>
      </c>
      <c r="F688" s="874">
        <f>'REF. DE PREÇOS n editavel'!F688</f>
        <v>2.1</v>
      </c>
      <c r="G688" s="923">
        <f>'REF. DE PREÇOS n editavel'!G688</f>
        <v>28.098000000000003</v>
      </c>
      <c r="H688" s="876">
        <f>'REF. DE PREÇOS n editavel'!H688</f>
        <v>30.58</v>
      </c>
      <c r="I688" s="876">
        <f>'REF. DE PREÇOS n editavel'!I688</f>
        <v>58.677999999999997</v>
      </c>
      <c r="J688" s="877">
        <f>'REF. DE PREÇOS n editavel'!J688</f>
        <v>71.72</v>
      </c>
      <c r="K688" s="878" t="s">
        <v>10</v>
      </c>
      <c r="L688" s="1092"/>
      <c r="M688" s="1093">
        <f t="shared" si="83"/>
        <v>0</v>
      </c>
      <c r="N688" s="868">
        <f t="shared" si="87"/>
        <v>0</v>
      </c>
      <c r="O688" s="880"/>
      <c r="Q688" s="317" t="str">
        <f t="shared" si="84"/>
        <v/>
      </c>
      <c r="R688" s="317" t="str">
        <f t="shared" si="85"/>
        <v/>
      </c>
      <c r="S688" s="317" t="str">
        <f t="shared" si="86"/>
        <v/>
      </c>
      <c r="T688" s="317" t="str">
        <f>'REF. DE PREÇOS n editavel'!S688</f>
        <v/>
      </c>
      <c r="W688" s="577">
        <v>0</v>
      </c>
      <c r="X688" s="575"/>
      <c r="Y688" s="578">
        <f>IF('REF. DE PREÇOS n editavel'!W688=0,0,IF('REF. DE PREÇOS n editavel'!W688&gt;0,"c","b"))</f>
        <v>0</v>
      </c>
    </row>
    <row r="689" spans="1:25">
      <c r="A689" s="317">
        <v>530200</v>
      </c>
      <c r="B689" s="870" t="s">
        <v>1731</v>
      </c>
      <c r="C689" s="871" t="s">
        <v>184</v>
      </c>
      <c r="D689" s="881" t="s">
        <v>217</v>
      </c>
      <c r="E689" s="873">
        <f>'REF. DE PREÇOS n editavel'!E689</f>
        <v>43.1</v>
      </c>
      <c r="F689" s="874">
        <f>'REF. DE PREÇOS n editavel'!F689</f>
        <v>2.2000000000000002</v>
      </c>
      <c r="G689" s="923">
        <f>'REF. DE PREÇOS n editavel'!G689</f>
        <v>107.35340000000002</v>
      </c>
      <c r="H689" s="876">
        <f>'REF. DE PREÇOS n editavel'!H689</f>
        <v>98.29</v>
      </c>
      <c r="I689" s="876">
        <f>'REF. DE PREÇOS n editavel'!I689</f>
        <v>205.64340000000004</v>
      </c>
      <c r="J689" s="877">
        <f>'REF. DE PREÇOS n editavel'!J689</f>
        <v>251.34</v>
      </c>
      <c r="K689" s="878" t="s">
        <v>10</v>
      </c>
      <c r="L689" s="1092"/>
      <c r="M689" s="1093">
        <f t="shared" si="83"/>
        <v>0</v>
      </c>
      <c r="N689" s="868">
        <f t="shared" si="87"/>
        <v>0</v>
      </c>
      <c r="O689" s="880"/>
      <c r="Q689" s="317" t="str">
        <f t="shared" si="84"/>
        <v/>
      </c>
      <c r="R689" s="317" t="str">
        <f t="shared" si="85"/>
        <v/>
      </c>
      <c r="S689" s="317" t="str">
        <f t="shared" si="86"/>
        <v/>
      </c>
      <c r="T689" s="317" t="str">
        <f>'REF. DE PREÇOS n editavel'!S689</f>
        <v/>
      </c>
      <c r="W689" s="577">
        <v>0</v>
      </c>
      <c r="X689" s="575"/>
      <c r="Y689" s="578">
        <f>IF('REF. DE PREÇOS n editavel'!W689=0,0,IF('REF. DE PREÇOS n editavel'!W689&gt;0,"c","b"))</f>
        <v>0</v>
      </c>
    </row>
    <row r="690" spans="1:25">
      <c r="A690" s="317" t="s">
        <v>814</v>
      </c>
      <c r="B690" s="870" t="str">
        <f>'REF. DE PREÇOS n editavel'!B690</f>
        <v>PAV-003B</v>
      </c>
      <c r="C690" s="871" t="str">
        <f>'REF. DE PREÇOS n editavel'!C690</f>
        <v>PM Curitiba-abr/22</v>
      </c>
      <c r="D690" s="881" t="str">
        <f>'REF. DE PREÇOS n editavel'!D690</f>
        <v>Saibro Compactado CBR&gt;=20 (Base ou Sub-Base)</v>
      </c>
      <c r="E690" s="873">
        <f>'REF. DE PREÇOS n editavel'!E690</f>
        <v>43.1</v>
      </c>
      <c r="F690" s="874">
        <f>'REF. DE PREÇOS n editavel'!F690</f>
        <v>1.95</v>
      </c>
      <c r="G690" s="923">
        <f>'REF. DE PREÇOS n editavel'!G690</f>
        <v>95.154150000000001</v>
      </c>
      <c r="H690" s="876">
        <f>'REF. DE PREÇOS n editavel'!H690</f>
        <v>81.2</v>
      </c>
      <c r="I690" s="876">
        <f>'REF. DE PREÇOS n editavel'!I690</f>
        <v>176.35415</v>
      </c>
      <c r="J690" s="877">
        <f>'REF. DE PREÇOS n editavel'!J690</f>
        <v>215.54</v>
      </c>
      <c r="K690" s="878" t="s">
        <v>10</v>
      </c>
      <c r="L690" s="1092"/>
      <c r="M690" s="1093">
        <f t="shared" si="83"/>
        <v>0</v>
      </c>
      <c r="N690" s="868">
        <f t="shared" si="87"/>
        <v>0</v>
      </c>
      <c r="O690" s="880"/>
      <c r="Q690" s="317" t="str">
        <f t="shared" si="84"/>
        <v/>
      </c>
      <c r="R690" s="317" t="str">
        <f t="shared" si="85"/>
        <v/>
      </c>
      <c r="S690" s="317" t="str">
        <f t="shared" si="86"/>
        <v/>
      </c>
      <c r="T690" s="317" t="str">
        <f>'REF. DE PREÇOS n editavel'!S690</f>
        <v/>
      </c>
      <c r="W690" s="577">
        <v>0</v>
      </c>
      <c r="X690" s="575"/>
      <c r="Y690" s="578">
        <f>IF('REF. DE PREÇOS n editavel'!W690=0,0,IF('REF. DE PREÇOS n editavel'!W690&gt;0,"c","b"))</f>
        <v>0</v>
      </c>
    </row>
    <row r="691" spans="1:25">
      <c r="A691" s="317" t="s">
        <v>815</v>
      </c>
      <c r="B691" s="870" t="str">
        <f>'REF. DE PREÇOS n editavel'!B691</f>
        <v>PAV-005B</v>
      </c>
      <c r="C691" s="871" t="str">
        <f>'REF. DE PREÇOS n editavel'!C691</f>
        <v>PM Curitiba-abr/22</v>
      </c>
      <c r="D691" s="881" t="str">
        <f>'REF. DE PREÇOS n editavel'!D691</f>
        <v>Moledo Compactado CBR&gt;=20(Base ou Sub-Base)</v>
      </c>
      <c r="E691" s="873">
        <f>'REF. DE PREÇOS n editavel'!E691</f>
        <v>43.1</v>
      </c>
      <c r="F691" s="874">
        <f>'REF. DE PREÇOS n editavel'!F691</f>
        <v>2.1</v>
      </c>
      <c r="G691" s="923">
        <f>'REF. DE PREÇOS n editavel'!G691</f>
        <v>102.47370000000001</v>
      </c>
      <c r="H691" s="876">
        <f>'REF. DE PREÇOS n editavel'!H691</f>
        <v>44.92</v>
      </c>
      <c r="I691" s="876">
        <f>'REF. DE PREÇOS n editavel'!I691</f>
        <v>147.39370000000002</v>
      </c>
      <c r="J691" s="877">
        <f>'REF. DE PREÇOS n editavel'!J691</f>
        <v>180.14</v>
      </c>
      <c r="K691" s="878" t="s">
        <v>10</v>
      </c>
      <c r="L691" s="1092"/>
      <c r="M691" s="1093">
        <f t="shared" si="83"/>
        <v>0</v>
      </c>
      <c r="N691" s="868">
        <f t="shared" si="87"/>
        <v>0</v>
      </c>
      <c r="O691" s="880"/>
      <c r="Q691" s="317" t="str">
        <f t="shared" si="84"/>
        <v/>
      </c>
      <c r="R691" s="317" t="str">
        <f t="shared" si="85"/>
        <v/>
      </c>
      <c r="S691" s="317" t="str">
        <f t="shared" si="86"/>
        <v/>
      </c>
      <c r="T691" s="317" t="str">
        <f>'REF. DE PREÇOS n editavel'!S691</f>
        <v/>
      </c>
      <c r="W691" s="577">
        <v>0</v>
      </c>
      <c r="X691" s="575"/>
      <c r="Y691" s="578">
        <f>IF('REF. DE PREÇOS n editavel'!W691=0,0,IF('REF. DE PREÇOS n editavel'!W691&gt;0,"c","b"))</f>
        <v>0</v>
      </c>
    </row>
    <row r="692" spans="1:25">
      <c r="A692" s="317">
        <v>530200</v>
      </c>
      <c r="B692" s="870" t="s">
        <v>1732</v>
      </c>
      <c r="C692" s="871" t="s">
        <v>184</v>
      </c>
      <c r="D692" s="881" t="s">
        <v>458</v>
      </c>
      <c r="E692" s="873">
        <f>'REF. DE PREÇOS n editavel'!E692</f>
        <v>43.1</v>
      </c>
      <c r="F692" s="874">
        <f>'REF. DE PREÇOS n editavel'!F692</f>
        <v>2.2000000000000002</v>
      </c>
      <c r="G692" s="923">
        <f>'REF. DE PREÇOS n editavel'!G692</f>
        <v>107.35340000000002</v>
      </c>
      <c r="H692" s="876">
        <f>'REF. DE PREÇOS n editavel'!H692</f>
        <v>98.29</v>
      </c>
      <c r="I692" s="876">
        <f>'REF. DE PREÇOS n editavel'!I692</f>
        <v>205.64340000000004</v>
      </c>
      <c r="J692" s="877">
        <f>'REF. DE PREÇOS n editavel'!J692</f>
        <v>251.34</v>
      </c>
      <c r="K692" s="878" t="s">
        <v>10</v>
      </c>
      <c r="L692" s="1092"/>
      <c r="M692" s="1093">
        <f t="shared" si="83"/>
        <v>0</v>
      </c>
      <c r="N692" s="868">
        <f t="shared" si="87"/>
        <v>0</v>
      </c>
      <c r="O692" s="880"/>
      <c r="Q692" s="317" t="str">
        <f t="shared" si="84"/>
        <v/>
      </c>
      <c r="R692" s="317" t="str">
        <f t="shared" si="85"/>
        <v/>
      </c>
      <c r="S692" s="317" t="str">
        <f t="shared" si="86"/>
        <v/>
      </c>
      <c r="T692" s="317" t="str">
        <f>'REF. DE PREÇOS n editavel'!S692</f>
        <v/>
      </c>
      <c r="W692" s="577">
        <v>0</v>
      </c>
      <c r="X692" s="575"/>
      <c r="Y692" s="578">
        <f>IF('REF. DE PREÇOS n editavel'!W692=0,0,IF('REF. DE PREÇOS n editavel'!W692&gt;0,"c","b"))</f>
        <v>0</v>
      </c>
    </row>
    <row r="693" spans="1:25" ht="13.5" thickBot="1">
      <c r="A693" s="317">
        <v>531000</v>
      </c>
      <c r="B693" s="870" t="s">
        <v>1771</v>
      </c>
      <c r="C693" s="871" t="s">
        <v>184</v>
      </c>
      <c r="D693" s="881" t="s">
        <v>273</v>
      </c>
      <c r="E693" s="882">
        <f>'REF. DE PREÇOS n editavel'!E693</f>
        <v>43.1</v>
      </c>
      <c r="F693" s="883">
        <f>'REF. DE PREÇOS n editavel'!F693</f>
        <v>2.4</v>
      </c>
      <c r="G693" s="887">
        <f>'REF. DE PREÇOS n editavel'!G693</f>
        <v>117.11280000000001</v>
      </c>
      <c r="H693" s="876">
        <f>'REF. DE PREÇOS n editavel'!H693</f>
        <v>132.22999999999999</v>
      </c>
      <c r="I693" s="876">
        <f>'REF. DE PREÇOS n editavel'!I693</f>
        <v>249.34280000000001</v>
      </c>
      <c r="J693" s="877">
        <f>'REF. DE PREÇOS n editavel'!J693</f>
        <v>304.75</v>
      </c>
      <c r="K693" s="878" t="s">
        <v>10</v>
      </c>
      <c r="L693" s="1092"/>
      <c r="M693" s="1093">
        <f t="shared" si="83"/>
        <v>0</v>
      </c>
      <c r="N693" s="868">
        <f t="shared" si="87"/>
        <v>0</v>
      </c>
      <c r="O693" s="880"/>
      <c r="Q693" s="317" t="str">
        <f t="shared" si="84"/>
        <v/>
      </c>
      <c r="R693" s="317" t="str">
        <f t="shared" si="85"/>
        <v/>
      </c>
      <c r="S693" s="317" t="str">
        <f t="shared" si="86"/>
        <v/>
      </c>
      <c r="T693" s="317" t="str">
        <f>'REF. DE PREÇOS n editavel'!S693</f>
        <v/>
      </c>
      <c r="W693" s="577">
        <v>0</v>
      </c>
      <c r="X693" s="575"/>
      <c r="Y693" s="578">
        <f>IF('REF. DE PREÇOS n editavel'!W693=0,0,IF('REF. DE PREÇOS n editavel'!W693&gt;0,"c","b"))</f>
        <v>0</v>
      </c>
    </row>
    <row r="694" spans="1:25">
      <c r="A694" s="317">
        <v>560100</v>
      </c>
      <c r="B694" s="945" t="s">
        <v>686</v>
      </c>
      <c r="C694" s="946" t="s">
        <v>184</v>
      </c>
      <c r="D694" s="947" t="s">
        <v>1505</v>
      </c>
      <c r="E694" s="948" t="str">
        <f>'REF. DE PREÇOS n editavel'!E694</f>
        <v>taxa RR-1C</v>
      </c>
      <c r="F694" s="949">
        <f>'REF. DE PREÇOS n editavel'!F694</f>
        <v>1.1999999999999999E-3</v>
      </c>
      <c r="G694" s="950">
        <f>'REF. DE PREÇOS n editavel'!G694</f>
        <v>0</v>
      </c>
      <c r="H694" s="951">
        <f>'REF. DE PREÇOS n editavel'!H694</f>
        <v>0.49</v>
      </c>
      <c r="I694" s="951">
        <f>'REF. DE PREÇOS n editavel'!I694</f>
        <v>0.49</v>
      </c>
      <c r="J694" s="952">
        <f>'REF. DE PREÇOS n editavel'!J694</f>
        <v>0.6</v>
      </c>
      <c r="K694" s="953" t="s">
        <v>12</v>
      </c>
      <c r="L694" s="1107"/>
      <c r="M694" s="1108">
        <f t="shared" si="83"/>
        <v>0</v>
      </c>
      <c r="N694" s="956">
        <f t="shared" si="87"/>
        <v>0</v>
      </c>
      <c r="O694" s="880"/>
      <c r="Q694" s="317" t="str">
        <f t="shared" si="84"/>
        <v/>
      </c>
      <c r="R694" s="317" t="str">
        <f t="shared" si="85"/>
        <v/>
      </c>
      <c r="S694" s="317" t="str">
        <f t="shared" si="86"/>
        <v/>
      </c>
      <c r="T694" s="317" t="str">
        <f>'REF. DE PREÇOS n editavel'!S694</f>
        <v/>
      </c>
      <c r="W694" s="577">
        <v>0</v>
      </c>
      <c r="X694" s="575"/>
      <c r="Y694" s="578">
        <f>IF('REF. DE PREÇOS n editavel'!W694=0,0,IF('REF. DE PREÇOS n editavel'!W694&gt;0,"c","b"))</f>
        <v>0</v>
      </c>
    </row>
    <row r="695" spans="1:25" ht="13.5" thickBot="1">
      <c r="A695" s="317">
        <v>589420</v>
      </c>
      <c r="B695" s="957" t="s">
        <v>692</v>
      </c>
      <c r="C695" s="1007" t="s">
        <v>213</v>
      </c>
      <c r="D695" s="959" t="s">
        <v>547</v>
      </c>
      <c r="E695" s="960">
        <f>'REF. DE PREÇOS n editavel'!E695</f>
        <v>468</v>
      </c>
      <c r="F695" s="961">
        <f>'REF. DE PREÇOS n editavel'!F695</f>
        <v>1</v>
      </c>
      <c r="G695" s="923">
        <f>'REF. DE PREÇOS n editavel'!G695</f>
        <v>434.57</v>
      </c>
      <c r="H695" s="962">
        <f>'REF. DE PREÇOS n editavel'!H695</f>
        <v>3861.37</v>
      </c>
      <c r="I695" s="962">
        <f>'REF. DE PREÇOS n editavel'!I695</f>
        <v>4174.6205694648997</v>
      </c>
      <c r="J695" s="963">
        <f>'REF. DE PREÇOS n editavel'!J695</f>
        <v>5102.22</v>
      </c>
      <c r="K695" s="964" t="s">
        <v>14</v>
      </c>
      <c r="L695" s="1109">
        <f>ROUND(L694*$F694,2)</f>
        <v>0</v>
      </c>
      <c r="M695" s="1110">
        <f t="shared" si="83"/>
        <v>0</v>
      </c>
      <c r="N695" s="967">
        <f t="shared" si="87"/>
        <v>0</v>
      </c>
      <c r="O695" s="880"/>
      <c r="Q695" s="317" t="str">
        <f t="shared" si="84"/>
        <v/>
      </c>
      <c r="R695" s="317" t="str">
        <f t="shared" si="85"/>
        <v/>
      </c>
      <c r="S695" s="317" t="str">
        <f t="shared" si="86"/>
        <v/>
      </c>
      <c r="T695" s="317" t="str">
        <f>'REF. DE PREÇOS n editavel'!S695</f>
        <v/>
      </c>
      <c r="W695" s="577">
        <v>0</v>
      </c>
      <c r="X695" s="575"/>
      <c r="Y695" s="578">
        <f>IF('REF. DE PREÇOS n editavel'!W695=0,0,IF('REF. DE PREÇOS n editavel'!W695&gt;0,"c","b"))</f>
        <v>0</v>
      </c>
    </row>
    <row r="696" spans="1:25">
      <c r="A696" s="317">
        <v>560100</v>
      </c>
      <c r="B696" s="945" t="s">
        <v>1588</v>
      </c>
      <c r="C696" s="946" t="s">
        <v>184</v>
      </c>
      <c r="D696" s="947" t="s">
        <v>534</v>
      </c>
      <c r="E696" s="948" t="str">
        <f>'REF. DE PREÇOS n editavel'!E696</f>
        <v>taxa RR-1C</v>
      </c>
      <c r="F696" s="949">
        <f>'REF. DE PREÇOS n editavel'!F696</f>
        <v>1.1000000000000001E-3</v>
      </c>
      <c r="G696" s="950">
        <f>'REF. DE PREÇOS n editavel'!G696</f>
        <v>0</v>
      </c>
      <c r="H696" s="951">
        <f>'REF. DE PREÇOS n editavel'!H696</f>
        <v>0.49</v>
      </c>
      <c r="I696" s="951">
        <f>'REF. DE PREÇOS n editavel'!I696</f>
        <v>0.49</v>
      </c>
      <c r="J696" s="952">
        <f>'REF. DE PREÇOS n editavel'!J696</f>
        <v>0.6</v>
      </c>
      <c r="K696" s="953" t="s">
        <v>12</v>
      </c>
      <c r="L696" s="1107"/>
      <c r="M696" s="1108">
        <f t="shared" si="83"/>
        <v>0</v>
      </c>
      <c r="N696" s="956">
        <f t="shared" si="87"/>
        <v>0</v>
      </c>
      <c r="O696" s="880"/>
      <c r="Q696" s="317" t="str">
        <f t="shared" si="84"/>
        <v/>
      </c>
      <c r="R696" s="317" t="str">
        <f t="shared" si="85"/>
        <v/>
      </c>
      <c r="S696" s="317" t="str">
        <f t="shared" si="86"/>
        <v/>
      </c>
      <c r="T696" s="317" t="str">
        <f>'REF. DE PREÇOS n editavel'!S696</f>
        <v/>
      </c>
      <c r="W696" s="577">
        <v>0</v>
      </c>
      <c r="X696" s="575"/>
      <c r="Y696" s="578">
        <f>IF('REF. DE PREÇOS n editavel'!W696=0,0,IF('REF. DE PREÇOS n editavel'!W696&gt;0,"c","b"))</f>
        <v>0</v>
      </c>
    </row>
    <row r="697" spans="1:25" ht="13.5" thickBot="1">
      <c r="A697" s="317">
        <v>589190</v>
      </c>
      <c r="B697" s="957" t="s">
        <v>1682</v>
      </c>
      <c r="C697" s="1007" t="s">
        <v>213</v>
      </c>
      <c r="D697" s="959" t="s">
        <v>548</v>
      </c>
      <c r="E697" s="960">
        <f>'REF. DE PREÇOS n editavel'!E697</f>
        <v>468</v>
      </c>
      <c r="F697" s="961">
        <f>'REF. DE PREÇOS n editavel'!F697</f>
        <v>1</v>
      </c>
      <c r="G697" s="923">
        <f>'REF. DE PREÇOS n editavel'!G697</f>
        <v>434.57</v>
      </c>
      <c r="H697" s="962">
        <f>'REF. DE PREÇOS n editavel'!H697</f>
        <v>4730.97</v>
      </c>
      <c r="I697" s="962">
        <f>'REF. DE PREÇOS n editavel'!I697</f>
        <v>5016.8988217967599</v>
      </c>
      <c r="J697" s="963">
        <f>'REF. DE PREÇOS n editavel'!J697</f>
        <v>6131.65</v>
      </c>
      <c r="K697" s="964" t="s">
        <v>14</v>
      </c>
      <c r="L697" s="1109">
        <f>ROUND(L696*$F696,2)</f>
        <v>0</v>
      </c>
      <c r="M697" s="1110">
        <f t="shared" si="83"/>
        <v>0</v>
      </c>
      <c r="N697" s="967">
        <f t="shared" si="87"/>
        <v>0</v>
      </c>
      <c r="O697" s="880"/>
      <c r="Q697" s="317" t="str">
        <f t="shared" si="84"/>
        <v/>
      </c>
      <c r="R697" s="317" t="str">
        <f t="shared" si="85"/>
        <v/>
      </c>
      <c r="S697" s="317" t="str">
        <f t="shared" si="86"/>
        <v/>
      </c>
      <c r="T697" s="317" t="str">
        <f>'REF. DE PREÇOS n editavel'!S697</f>
        <v/>
      </c>
      <c r="W697" s="577">
        <v>0</v>
      </c>
      <c r="X697" s="575"/>
      <c r="Y697" s="578">
        <f>IF('REF. DE PREÇOS n editavel'!W697=0,0,IF('REF. DE PREÇOS n editavel'!W697&gt;0,"c","b"))</f>
        <v>0</v>
      </c>
    </row>
    <row r="698" spans="1:25">
      <c r="A698" s="317">
        <v>560400</v>
      </c>
      <c r="B698" s="945" t="s">
        <v>1733</v>
      </c>
      <c r="C698" s="946" t="s">
        <v>184</v>
      </c>
      <c r="D698" s="947" t="s">
        <v>535</v>
      </c>
      <c r="E698" s="948" t="str">
        <f>'REF. DE PREÇOS n editavel'!E698</f>
        <v>taxa RR-1C</v>
      </c>
      <c r="F698" s="949">
        <f>'REF. DE PREÇOS n editavel'!F698</f>
        <v>1.1999999999999999E-3</v>
      </c>
      <c r="G698" s="950">
        <f>'REF. DE PREÇOS n editavel'!G698</f>
        <v>0</v>
      </c>
      <c r="H698" s="951">
        <f>'REF. DE PREÇOS n editavel'!H698</f>
        <v>0.49</v>
      </c>
      <c r="I698" s="951">
        <f>'REF. DE PREÇOS n editavel'!I698</f>
        <v>0.49</v>
      </c>
      <c r="J698" s="952">
        <f>'REF. DE PREÇOS n editavel'!J698</f>
        <v>0.6</v>
      </c>
      <c r="K698" s="953" t="s">
        <v>12</v>
      </c>
      <c r="L698" s="1107"/>
      <c r="M698" s="1108">
        <f t="shared" si="83"/>
        <v>0</v>
      </c>
      <c r="N698" s="956">
        <f t="shared" si="87"/>
        <v>0</v>
      </c>
      <c r="O698" s="880"/>
      <c r="Q698" s="317" t="str">
        <f t="shared" si="84"/>
        <v/>
      </c>
      <c r="R698" s="317" t="str">
        <f t="shared" si="85"/>
        <v/>
      </c>
      <c r="S698" s="317" t="str">
        <f t="shared" si="86"/>
        <v/>
      </c>
      <c r="T698" s="317" t="str">
        <f>'REF. DE PREÇOS n editavel'!S698</f>
        <v/>
      </c>
      <c r="W698" s="577">
        <v>0</v>
      </c>
      <c r="X698" s="575"/>
      <c r="Y698" s="578">
        <f>IF('REF. DE PREÇOS n editavel'!W698=0,0,IF('REF. DE PREÇOS n editavel'!W698&gt;0,"c","b"))</f>
        <v>0</v>
      </c>
    </row>
    <row r="699" spans="1:25" ht="13.5" thickBot="1">
      <c r="A699" s="317">
        <v>589100</v>
      </c>
      <c r="B699" s="957" t="s">
        <v>1734</v>
      </c>
      <c r="C699" s="1007" t="s">
        <v>213</v>
      </c>
      <c r="D699" s="959" t="s">
        <v>549</v>
      </c>
      <c r="E699" s="960">
        <f>'REF. DE PREÇOS n editavel'!E699</f>
        <v>468</v>
      </c>
      <c r="F699" s="961">
        <f>'REF. DE PREÇOS n editavel'!F699</f>
        <v>1</v>
      </c>
      <c r="G699" s="923">
        <f>'REF. DE PREÇOS n editavel'!G699</f>
        <v>434.57</v>
      </c>
      <c r="H699" s="962">
        <f>'REF. DE PREÇOS n editavel'!H699</f>
        <v>5937.37</v>
      </c>
      <c r="I699" s="962">
        <f>'REF. DE PREÇOS n editavel'!I699</f>
        <v>6185.3952380952378</v>
      </c>
      <c r="J699" s="963">
        <f>'REF. DE PREÇOS n editavel'!J699</f>
        <v>7559.79</v>
      </c>
      <c r="K699" s="964" t="s">
        <v>14</v>
      </c>
      <c r="L699" s="1109">
        <f>ROUND(L698*$F698,2)</f>
        <v>0</v>
      </c>
      <c r="M699" s="1110">
        <f t="shared" si="83"/>
        <v>0</v>
      </c>
      <c r="N699" s="967">
        <f t="shared" si="87"/>
        <v>0</v>
      </c>
      <c r="O699" s="880"/>
      <c r="Q699" s="317" t="str">
        <f t="shared" si="84"/>
        <v/>
      </c>
      <c r="R699" s="317" t="str">
        <f t="shared" si="85"/>
        <v/>
      </c>
      <c r="S699" s="317" t="str">
        <f t="shared" si="86"/>
        <v/>
      </c>
      <c r="T699" s="317" t="str">
        <f>'REF. DE PREÇOS n editavel'!S699</f>
        <v/>
      </c>
      <c r="W699" s="577">
        <v>0</v>
      </c>
      <c r="X699" s="575"/>
      <c r="Y699" s="578">
        <f>IF('REF. DE PREÇOS n editavel'!W699=0,0,IF('REF. DE PREÇOS n editavel'!W699&gt;0,"c","b"))</f>
        <v>0</v>
      </c>
    </row>
    <row r="700" spans="1:25">
      <c r="A700" s="317">
        <v>561100</v>
      </c>
      <c r="B700" s="945" t="s">
        <v>1735</v>
      </c>
      <c r="C700" s="946" t="s">
        <v>184</v>
      </c>
      <c r="D700" s="947" t="s">
        <v>536</v>
      </c>
      <c r="E700" s="948" t="str">
        <f>'REF. DE PREÇOS n editavel'!E700</f>
        <v>taxa RR-1C</v>
      </c>
      <c r="F700" s="949">
        <f>'REF. DE PREÇOS n editavel'!F700</f>
        <v>5.0000000000000001E-4</v>
      </c>
      <c r="G700" s="950">
        <f>'REF. DE PREÇOS n editavel'!G700</f>
        <v>0</v>
      </c>
      <c r="H700" s="951">
        <f>'REF. DE PREÇOS n editavel'!H700</f>
        <v>0.34</v>
      </c>
      <c r="I700" s="951">
        <f>'REF. DE PREÇOS n editavel'!I700</f>
        <v>0.34</v>
      </c>
      <c r="J700" s="952">
        <f>'REF. DE PREÇOS n editavel'!J700</f>
        <v>0.42</v>
      </c>
      <c r="K700" s="953" t="s">
        <v>12</v>
      </c>
      <c r="L700" s="1107"/>
      <c r="M700" s="1108">
        <f t="shared" si="83"/>
        <v>0</v>
      </c>
      <c r="N700" s="956">
        <f t="shared" si="87"/>
        <v>0</v>
      </c>
      <c r="O700" s="880"/>
      <c r="Q700" s="317" t="str">
        <f t="shared" si="84"/>
        <v/>
      </c>
      <c r="R700" s="317" t="str">
        <f t="shared" si="85"/>
        <v/>
      </c>
      <c r="S700" s="317" t="str">
        <f t="shared" si="86"/>
        <v/>
      </c>
      <c r="T700" s="317" t="str">
        <f>'REF. DE PREÇOS n editavel'!S700</f>
        <v/>
      </c>
      <c r="W700" s="577">
        <v>0</v>
      </c>
      <c r="X700" s="575"/>
      <c r="Y700" s="578">
        <f>IF('REF. DE PREÇOS n editavel'!W700=0,0,IF('REF. DE PREÇOS n editavel'!W700&gt;0,"c","b"))</f>
        <v>0</v>
      </c>
    </row>
    <row r="701" spans="1:25" ht="13.5" thickBot="1">
      <c r="A701" s="317">
        <v>589420</v>
      </c>
      <c r="B701" s="957" t="s">
        <v>1590</v>
      </c>
      <c r="C701" s="1007" t="s">
        <v>213</v>
      </c>
      <c r="D701" s="959" t="s">
        <v>689</v>
      </c>
      <c r="E701" s="960">
        <f>'REF. DE PREÇOS n editavel'!E701</f>
        <v>468</v>
      </c>
      <c r="F701" s="968">
        <f>'REF. DE PREÇOS n editavel'!F701</f>
        <v>1</v>
      </c>
      <c r="G701" s="923">
        <f>'REF. DE PREÇOS n editavel'!G701</f>
        <v>434.57</v>
      </c>
      <c r="H701" s="962">
        <f>'REF. DE PREÇOS n editavel'!H701</f>
        <v>3861.37</v>
      </c>
      <c r="I701" s="962">
        <f>'REF. DE PREÇOS n editavel'!I701</f>
        <v>4174.6205694648997</v>
      </c>
      <c r="J701" s="963">
        <f>'REF. DE PREÇOS n editavel'!J701</f>
        <v>5102.22</v>
      </c>
      <c r="K701" s="964" t="s">
        <v>14</v>
      </c>
      <c r="L701" s="1109">
        <f>ROUND(L700*$F700,2)</f>
        <v>0</v>
      </c>
      <c r="M701" s="1110">
        <f t="shared" si="83"/>
        <v>0</v>
      </c>
      <c r="N701" s="967">
        <f t="shared" si="87"/>
        <v>0</v>
      </c>
      <c r="O701" s="880"/>
      <c r="Q701" s="317" t="str">
        <f t="shared" si="84"/>
        <v/>
      </c>
      <c r="R701" s="317" t="str">
        <f t="shared" si="85"/>
        <v/>
      </c>
      <c r="S701" s="317" t="str">
        <f t="shared" si="86"/>
        <v/>
      </c>
      <c r="T701" s="317" t="str">
        <f>'REF. DE PREÇOS n editavel'!S701</f>
        <v/>
      </c>
      <c r="W701" s="577">
        <v>0</v>
      </c>
      <c r="X701" s="575"/>
      <c r="Y701" s="578">
        <f>IF('REF. DE PREÇOS n editavel'!W701=0,0,IF('REF. DE PREÇOS n editavel'!W701&gt;0,"c","b"))</f>
        <v>0</v>
      </c>
    </row>
    <row r="702" spans="1:25">
      <c r="A702" s="317">
        <v>563100</v>
      </c>
      <c r="B702" s="973" t="s">
        <v>1738</v>
      </c>
      <c r="C702" s="974" t="s">
        <v>184</v>
      </c>
      <c r="D702" s="947" t="s">
        <v>242</v>
      </c>
      <c r="E702" s="948" t="str">
        <f>'REF. DE PREÇOS n editavel'!E702</f>
        <v>taxa RR-2C</v>
      </c>
      <c r="F702" s="949">
        <f>'REF. DE PREÇOS n editavel'!F702</f>
        <v>5.0000000000000001E-4</v>
      </c>
      <c r="G702" s="950">
        <f>'REF. DE PREÇOS n editavel'!G702</f>
        <v>0.27773900000000007</v>
      </c>
      <c r="H702" s="951">
        <f>'REF. DE PREÇOS n editavel'!H702</f>
        <v>1.27</v>
      </c>
      <c r="I702" s="951">
        <f>'REF. DE PREÇOS n editavel'!I702</f>
        <v>1.547739</v>
      </c>
      <c r="J702" s="952">
        <f>'REF. DE PREÇOS n editavel'!J702</f>
        <v>1.89</v>
      </c>
      <c r="K702" s="953" t="s">
        <v>12</v>
      </c>
      <c r="L702" s="1107"/>
      <c r="M702" s="1108">
        <f t="shared" si="83"/>
        <v>0</v>
      </c>
      <c r="N702" s="956">
        <f t="shared" si="87"/>
        <v>0</v>
      </c>
      <c r="O702" s="880"/>
      <c r="Q702" s="317" t="str">
        <f t="shared" si="84"/>
        <v/>
      </c>
      <c r="R702" s="317" t="str">
        <f t="shared" si="85"/>
        <v/>
      </c>
      <c r="S702" s="317" t="str">
        <f t="shared" si="86"/>
        <v/>
      </c>
      <c r="T702" s="317" t="str">
        <f>'REF. DE PREÇOS n editavel'!S702</f>
        <v/>
      </c>
      <c r="W702" s="577">
        <v>0</v>
      </c>
      <c r="X702" s="575"/>
      <c r="Y702" s="578">
        <f>IF('REF. DE PREÇOS n editavel'!W702=0,0,IF('REF. DE PREÇOS n editavel'!W702&gt;0,"c","b"))</f>
        <v>0</v>
      </c>
    </row>
    <row r="703" spans="1:25">
      <c r="A703" s="317" t="s">
        <v>147</v>
      </c>
      <c r="B703" s="870" t="s">
        <v>147</v>
      </c>
      <c r="C703" s="871"/>
      <c r="D703" s="931" t="s">
        <v>233</v>
      </c>
      <c r="E703" s="873">
        <f>'REF. DE PREÇOS n editavel'!E703</f>
        <v>43.1</v>
      </c>
      <c r="F703" s="883">
        <f>'REF. DE PREÇOS n editavel'!F703</f>
        <v>7.0000000000000001E-3</v>
      </c>
      <c r="G703" s="923">
        <f>'REF. DE PREÇOS n editavel'!G703</f>
        <v>0.27773900000000007</v>
      </c>
      <c r="H703" s="876">
        <f>'REF. DE PREÇOS n editavel'!H703</f>
        <v>0</v>
      </c>
      <c r="I703" s="876">
        <f>'REF. DE PREÇOS n editavel'!I703</f>
        <v>0</v>
      </c>
      <c r="J703" s="877">
        <f>'REF. DE PREÇOS n editavel'!J703</f>
        <v>0</v>
      </c>
      <c r="K703" s="932" t="s">
        <v>506</v>
      </c>
      <c r="L703" s="977"/>
      <c r="M703" s="1112">
        <f t="shared" si="83"/>
        <v>0</v>
      </c>
      <c r="N703" s="868">
        <f t="shared" si="87"/>
        <v>0</v>
      </c>
      <c r="O703" s="880"/>
      <c r="P703" s="58" t="str">
        <f>IF(N702&gt;0,"xx",IF(N702&gt;0,"xy",""))</f>
        <v/>
      </c>
      <c r="Q703" s="317" t="str">
        <f t="shared" si="84"/>
        <v/>
      </c>
      <c r="R703" s="317" t="str">
        <f t="shared" si="85"/>
        <v/>
      </c>
      <c r="S703" s="317" t="str">
        <f t="shared" si="86"/>
        <v/>
      </c>
      <c r="T703" s="317" t="str">
        <f>'REF. DE PREÇOS n editavel'!S703</f>
        <v/>
      </c>
      <c r="W703" s="577">
        <v>0</v>
      </c>
      <c r="X703" s="575"/>
      <c r="Y703" s="578">
        <f>IF('REF. DE PREÇOS n editavel'!W703=0,0,IF('REF. DE PREÇOS n editavel'!W703&gt;0,"c","b"))</f>
        <v>0</v>
      </c>
    </row>
    <row r="704" spans="1:25" ht="13.5" thickBot="1">
      <c r="A704" s="317">
        <v>589520</v>
      </c>
      <c r="B704" s="978" t="s">
        <v>1660</v>
      </c>
      <c r="C704" s="958" t="s">
        <v>213</v>
      </c>
      <c r="D704" s="986" t="s">
        <v>558</v>
      </c>
      <c r="E704" s="979">
        <f>'REF. DE PREÇOS n editavel'!E704</f>
        <v>468</v>
      </c>
      <c r="F704" s="980">
        <f>'REF. DE PREÇOS n editavel'!F704</f>
        <v>1</v>
      </c>
      <c r="G704" s="923">
        <f>'REF. DE PREÇOS n editavel'!G704</f>
        <v>434.57</v>
      </c>
      <c r="H704" s="962">
        <f>'REF. DE PREÇOS n editavel'!H704</f>
        <v>4164.04</v>
      </c>
      <c r="I704" s="962">
        <f>'REF. DE PREÇOS n editavel'!I704</f>
        <v>4467.7810554737362</v>
      </c>
      <c r="J704" s="963">
        <f>'REF. DE PREÇOS n editavel'!J704</f>
        <v>5460.52</v>
      </c>
      <c r="K704" s="964" t="s">
        <v>14</v>
      </c>
      <c r="L704" s="1109">
        <f>ROUND(L702*$F702,2)</f>
        <v>0</v>
      </c>
      <c r="M704" s="1123">
        <f t="shared" si="83"/>
        <v>0</v>
      </c>
      <c r="N704" s="967">
        <f t="shared" si="87"/>
        <v>0</v>
      </c>
      <c r="O704" s="880"/>
      <c r="P704" s="58" t="str">
        <f>IF(N702&gt;0,"xx",IF(N702&gt;0,"xy",""))</f>
        <v/>
      </c>
      <c r="Q704" s="317" t="str">
        <f t="shared" si="84"/>
        <v/>
      </c>
      <c r="R704" s="317" t="str">
        <f t="shared" si="85"/>
        <v/>
      </c>
      <c r="S704" s="317" t="str">
        <f t="shared" si="86"/>
        <v/>
      </c>
      <c r="T704" s="317" t="str">
        <f>'REF. DE PREÇOS n editavel'!S704</f>
        <v/>
      </c>
      <c r="W704" s="577">
        <v>0</v>
      </c>
      <c r="X704" s="575"/>
      <c r="Y704" s="578">
        <f>IF('REF. DE PREÇOS n editavel'!W704=0,0,IF('REF. DE PREÇOS n editavel'!W704&gt;0,"c","b"))</f>
        <v>0</v>
      </c>
    </row>
    <row r="705" spans="1:25">
      <c r="A705" s="317">
        <v>534000</v>
      </c>
      <c r="B705" s="973" t="s">
        <v>1739</v>
      </c>
      <c r="C705" s="974" t="s">
        <v>184</v>
      </c>
      <c r="D705" s="947" t="s">
        <v>2181</v>
      </c>
      <c r="E705" s="948" t="str">
        <f>'REF. DE PREÇOS n editavel'!E705</f>
        <v>taxa RM-2C</v>
      </c>
      <c r="F705" s="949">
        <f>'REF. DE PREÇOS n editavel'!F705</f>
        <v>0.08</v>
      </c>
      <c r="G705" s="950">
        <f>'REF. DE PREÇOS n editavel'!G705</f>
        <v>113.48868000000002</v>
      </c>
      <c r="H705" s="951">
        <f>'REF. DE PREÇOS n editavel'!H705</f>
        <v>141.84</v>
      </c>
      <c r="I705" s="951">
        <f>'REF. DE PREÇOS n editavel'!I705</f>
        <v>255.32868000000002</v>
      </c>
      <c r="J705" s="952">
        <f>'REF. DE PREÇOS n editavel'!J705</f>
        <v>312.06</v>
      </c>
      <c r="K705" s="953" t="s">
        <v>10</v>
      </c>
      <c r="L705" s="1107"/>
      <c r="M705" s="1108">
        <f t="shared" si="83"/>
        <v>0</v>
      </c>
      <c r="N705" s="956">
        <f t="shared" si="87"/>
        <v>0</v>
      </c>
      <c r="O705" s="880"/>
      <c r="Q705" s="317" t="str">
        <f t="shared" si="84"/>
        <v/>
      </c>
      <c r="R705" s="317" t="str">
        <f t="shared" si="85"/>
        <v/>
      </c>
      <c r="S705" s="317" t="str">
        <f t="shared" si="86"/>
        <v/>
      </c>
      <c r="T705" s="317" t="str">
        <f>'REF. DE PREÇOS n editavel'!S705</f>
        <v/>
      </c>
      <c r="W705" s="577">
        <v>0</v>
      </c>
      <c r="X705" s="575"/>
      <c r="Y705" s="578">
        <f>IF('REF. DE PREÇOS n editavel'!W705=0,0,IF('REF. DE PREÇOS n editavel'!W705&gt;0,"c","b"))</f>
        <v>0</v>
      </c>
    </row>
    <row r="706" spans="1:25">
      <c r="A706" s="317" t="s">
        <v>147</v>
      </c>
      <c r="B706" s="870" t="s">
        <v>147</v>
      </c>
      <c r="C706" s="871"/>
      <c r="D706" s="931" t="s">
        <v>229</v>
      </c>
      <c r="E706" s="882">
        <f>'REF. DE PREÇOS n editavel'!E706</f>
        <v>290</v>
      </c>
      <c r="F706" s="883">
        <f>'REF. DE PREÇOS n editavel'!F706</f>
        <v>0</v>
      </c>
      <c r="G706" s="887">
        <f>'REF. DE PREÇOS n editavel'!G706</f>
        <v>0</v>
      </c>
      <c r="H706" s="876">
        <f>'REF. DE PREÇOS n editavel'!H706</f>
        <v>0</v>
      </c>
      <c r="I706" s="876">
        <f>'REF. DE PREÇOS n editavel'!I706</f>
        <v>0</v>
      </c>
      <c r="J706" s="877">
        <f>'REF. DE PREÇOS n editavel'!J706</f>
        <v>0</v>
      </c>
      <c r="K706" s="878" t="s">
        <v>506</v>
      </c>
      <c r="L706" s="1113"/>
      <c r="M706" s="1112">
        <f t="shared" si="83"/>
        <v>0</v>
      </c>
      <c r="N706" s="868">
        <f t="shared" si="87"/>
        <v>0</v>
      </c>
      <c r="O706" s="880"/>
      <c r="P706" s="58" t="str">
        <f>IF(N705&gt;0,"xx",IF(N705&gt;0,"xy",""))</f>
        <v/>
      </c>
      <c r="Q706" s="317" t="str">
        <f t="shared" si="84"/>
        <v/>
      </c>
      <c r="R706" s="317" t="str">
        <f t="shared" si="85"/>
        <v/>
      </c>
      <c r="S706" s="317" t="str">
        <f t="shared" si="86"/>
        <v/>
      </c>
      <c r="T706" s="317" t="str">
        <f>'REF. DE PREÇOS n editavel'!S706</f>
        <v/>
      </c>
      <c r="W706" s="577">
        <v>0</v>
      </c>
      <c r="X706" s="575"/>
      <c r="Y706" s="578">
        <f>IF('REF. DE PREÇOS n editavel'!W706=0,0,IF('REF. DE PREÇOS n editavel'!W706&gt;0,"c","b"))</f>
        <v>0</v>
      </c>
    </row>
    <row r="707" spans="1:25">
      <c r="A707" s="317" t="s">
        <v>147</v>
      </c>
      <c r="B707" s="870" t="s">
        <v>147</v>
      </c>
      <c r="C707" s="871"/>
      <c r="D707" s="931" t="s">
        <v>230</v>
      </c>
      <c r="E707" s="882">
        <f>'REF. DE PREÇOS n editavel'!E707</f>
        <v>445</v>
      </c>
      <c r="F707" s="883">
        <f>'REF. DE PREÇOS n editavel'!F707</f>
        <v>0</v>
      </c>
      <c r="G707" s="884">
        <f>'REF. DE PREÇOS n editavel'!G707</f>
        <v>0</v>
      </c>
      <c r="H707" s="876">
        <f>'REF. DE PREÇOS n editavel'!H707</f>
        <v>0</v>
      </c>
      <c r="I707" s="876">
        <f>'REF. DE PREÇOS n editavel'!I707</f>
        <v>0</v>
      </c>
      <c r="J707" s="877">
        <f>'REF. DE PREÇOS n editavel'!J707</f>
        <v>0</v>
      </c>
      <c r="K707" s="878" t="s">
        <v>506</v>
      </c>
      <c r="L707" s="977"/>
      <c r="M707" s="1112">
        <f t="shared" si="83"/>
        <v>0</v>
      </c>
      <c r="N707" s="868">
        <f t="shared" si="87"/>
        <v>0</v>
      </c>
      <c r="O707" s="880"/>
      <c r="P707" s="58" t="str">
        <f>IF(N705&gt;0,"xx",IF(N705&gt;0,"xy",""))</f>
        <v/>
      </c>
      <c r="Q707" s="317" t="str">
        <f t="shared" si="84"/>
        <v/>
      </c>
      <c r="R707" s="317" t="str">
        <f t="shared" si="85"/>
        <v/>
      </c>
      <c r="S707" s="317" t="str">
        <f t="shared" si="86"/>
        <v/>
      </c>
      <c r="T707" s="317" t="str">
        <f>'REF. DE PREÇOS n editavel'!S707</f>
        <v/>
      </c>
      <c r="W707" s="577">
        <v>0</v>
      </c>
      <c r="X707" s="575"/>
      <c r="Y707" s="578">
        <f>IF('REF. DE PREÇOS n editavel'!W707=0,0,IF('REF. DE PREÇOS n editavel'!W707&gt;0,"c","b"))</f>
        <v>0</v>
      </c>
    </row>
    <row r="708" spans="1:25">
      <c r="A708" s="317" t="s">
        <v>147</v>
      </c>
      <c r="B708" s="870" t="s">
        <v>147</v>
      </c>
      <c r="C708" s="871"/>
      <c r="D708" s="931" t="s">
        <v>243</v>
      </c>
      <c r="E708" s="882">
        <f>'REF. DE PREÇOS n editavel'!E708</f>
        <v>0.2</v>
      </c>
      <c r="F708" s="883">
        <f>'REF. DE PREÇOS n editavel'!F708</f>
        <v>2.12</v>
      </c>
      <c r="G708" s="887">
        <f>'REF. DE PREÇOS n editavel'!G708</f>
        <v>6.1352800000000007</v>
      </c>
      <c r="H708" s="876">
        <f>'REF. DE PREÇOS n editavel'!H708</f>
        <v>0</v>
      </c>
      <c r="I708" s="876">
        <f>'REF. DE PREÇOS n editavel'!I708</f>
        <v>0</v>
      </c>
      <c r="J708" s="877">
        <f>'REF. DE PREÇOS n editavel'!J708</f>
        <v>0</v>
      </c>
      <c r="K708" s="878" t="s">
        <v>506</v>
      </c>
      <c r="L708" s="977"/>
      <c r="M708" s="1112">
        <f t="shared" si="83"/>
        <v>0</v>
      </c>
      <c r="N708" s="868">
        <f t="shared" si="87"/>
        <v>0</v>
      </c>
      <c r="O708" s="880"/>
      <c r="P708" s="58" t="str">
        <f>IF(N705&gt;0,"xx",IF(N705&gt;0,"xy",""))</f>
        <v/>
      </c>
      <c r="Q708" s="317" t="str">
        <f t="shared" si="84"/>
        <v/>
      </c>
      <c r="R708" s="317" t="str">
        <f t="shared" si="85"/>
        <v/>
      </c>
      <c r="S708" s="317" t="str">
        <f t="shared" si="86"/>
        <v/>
      </c>
      <c r="T708" s="317" t="str">
        <f>'REF. DE PREÇOS n editavel'!S708</f>
        <v/>
      </c>
      <c r="W708" s="577">
        <v>0</v>
      </c>
      <c r="X708" s="575"/>
      <c r="Y708" s="578">
        <f>IF('REF. DE PREÇOS n editavel'!W708=0,0,IF('REF. DE PREÇOS n editavel'!W708&gt;0,"c","b"))</f>
        <v>0</v>
      </c>
    </row>
    <row r="709" spans="1:25">
      <c r="A709" s="317" t="s">
        <v>147</v>
      </c>
      <c r="B709" s="870" t="s">
        <v>147</v>
      </c>
      <c r="C709" s="871"/>
      <c r="D709" s="931" t="s">
        <v>244</v>
      </c>
      <c r="E709" s="882">
        <f>'REF. DE PREÇOS n editavel'!E709</f>
        <v>43.1</v>
      </c>
      <c r="F709" s="883">
        <f>'REF. DE PREÇOS n editavel'!F709</f>
        <v>2.2000000000000002</v>
      </c>
      <c r="G709" s="887">
        <f>'REF. DE PREÇOS n editavel'!G709</f>
        <v>107.35340000000002</v>
      </c>
      <c r="H709" s="876">
        <f>'REF. DE PREÇOS n editavel'!H709</f>
        <v>0</v>
      </c>
      <c r="I709" s="876">
        <f>'REF. DE PREÇOS n editavel'!I709</f>
        <v>0</v>
      </c>
      <c r="J709" s="877">
        <f>'REF. DE PREÇOS n editavel'!J709</f>
        <v>0</v>
      </c>
      <c r="K709" s="878" t="s">
        <v>506</v>
      </c>
      <c r="L709" s="977"/>
      <c r="M709" s="1112">
        <f t="shared" si="83"/>
        <v>0</v>
      </c>
      <c r="N709" s="868">
        <f t="shared" si="87"/>
        <v>0</v>
      </c>
      <c r="O709" s="880"/>
      <c r="P709" s="58" t="str">
        <f>IF(N705&gt;0,"xx",IF(N705&gt;0,"xy",""))</f>
        <v/>
      </c>
      <c r="Q709" s="317" t="str">
        <f t="shared" si="84"/>
        <v/>
      </c>
      <c r="R709" s="317" t="str">
        <f t="shared" si="85"/>
        <v/>
      </c>
      <c r="S709" s="317" t="str">
        <f t="shared" si="86"/>
        <v/>
      </c>
      <c r="T709" s="317" t="str">
        <f>'REF. DE PREÇOS n editavel'!S709</f>
        <v/>
      </c>
      <c r="W709" s="577">
        <v>0</v>
      </c>
      <c r="X709" s="575"/>
      <c r="Y709" s="578">
        <f>IF('REF. DE PREÇOS n editavel'!W709=0,0,IF('REF. DE PREÇOS n editavel'!W709&gt;0,"c","b"))</f>
        <v>0</v>
      </c>
    </row>
    <row r="710" spans="1:25" ht="13.5" thickBot="1">
      <c r="A710" s="317">
        <v>589320</v>
      </c>
      <c r="B710" s="978" t="s">
        <v>1673</v>
      </c>
      <c r="C710" s="958" t="s">
        <v>213</v>
      </c>
      <c r="D710" s="986" t="s">
        <v>684</v>
      </c>
      <c r="E710" s="979">
        <f>'REF. DE PREÇOS n editavel'!E710</f>
        <v>468</v>
      </c>
      <c r="F710" s="980">
        <f>'REF. DE PREÇOS n editavel'!F710</f>
        <v>1</v>
      </c>
      <c r="G710" s="923">
        <f>'REF. DE PREÇOS n editavel'!G710</f>
        <v>434.57</v>
      </c>
      <c r="H710" s="962">
        <f>'REF. DE PREÇOS n editavel'!H710</f>
        <v>4012.83</v>
      </c>
      <c r="I710" s="962">
        <f>'REF. DE PREÇOS n editavel'!I710</f>
        <v>4321.3218851251841</v>
      </c>
      <c r="J710" s="963">
        <f>'REF. DE PREÇOS n editavel'!J710</f>
        <v>5281.52</v>
      </c>
      <c r="K710" s="964" t="s">
        <v>14</v>
      </c>
      <c r="L710" s="1124">
        <f>ROUND(L705*$F705,2)</f>
        <v>0</v>
      </c>
      <c r="M710" s="1123">
        <f t="shared" si="83"/>
        <v>0</v>
      </c>
      <c r="N710" s="967">
        <f t="shared" si="87"/>
        <v>0</v>
      </c>
      <c r="O710" s="880"/>
      <c r="P710" s="58" t="str">
        <f>IF(N705&gt;0,"xx",IF(N705&gt;0,"xy",""))</f>
        <v/>
      </c>
      <c r="Q710" s="317" t="str">
        <f t="shared" si="84"/>
        <v/>
      </c>
      <c r="R710" s="317" t="str">
        <f t="shared" si="85"/>
        <v/>
      </c>
      <c r="S710" s="317" t="str">
        <f t="shared" si="86"/>
        <v/>
      </c>
      <c r="T710" s="317" t="str">
        <f>'REF. DE PREÇOS n editavel'!S710</f>
        <v/>
      </c>
      <c r="W710" s="577">
        <v>0</v>
      </c>
      <c r="X710" s="575"/>
      <c r="Y710" s="578">
        <f>IF('REF. DE PREÇOS n editavel'!W710=0,0,IF('REF. DE PREÇOS n editavel'!W710&gt;0,"c","b"))</f>
        <v>0</v>
      </c>
    </row>
    <row r="711" spans="1:25">
      <c r="A711" s="317">
        <v>534000</v>
      </c>
      <c r="B711" s="973" t="s">
        <v>1740</v>
      </c>
      <c r="C711" s="974" t="s">
        <v>184</v>
      </c>
      <c r="D711" s="947" t="s">
        <v>2182</v>
      </c>
      <c r="E711" s="948" t="str">
        <f>'REF. DE PREÇOS n editavel'!E711</f>
        <v>taxa RM-2C</v>
      </c>
      <c r="F711" s="949">
        <f>'REF. DE PREÇOS n editavel'!F711</f>
        <v>0.08</v>
      </c>
      <c r="G711" s="950">
        <f>'REF. DE PREÇOS n editavel'!G711</f>
        <v>113.48868000000002</v>
      </c>
      <c r="H711" s="951">
        <f>'REF. DE PREÇOS n editavel'!H711</f>
        <v>141.84</v>
      </c>
      <c r="I711" s="951">
        <f>'REF. DE PREÇOS n editavel'!I711</f>
        <v>255.32868000000002</v>
      </c>
      <c r="J711" s="952">
        <f>'REF. DE PREÇOS n editavel'!J711</f>
        <v>312.06</v>
      </c>
      <c r="K711" s="953" t="s">
        <v>10</v>
      </c>
      <c r="L711" s="1107"/>
      <c r="M711" s="1108">
        <f t="shared" si="83"/>
        <v>0</v>
      </c>
      <c r="N711" s="956">
        <f t="shared" si="87"/>
        <v>0</v>
      </c>
      <c r="O711" s="880"/>
      <c r="Q711" s="317" t="str">
        <f t="shared" si="84"/>
        <v/>
      </c>
      <c r="R711" s="317" t="str">
        <f t="shared" si="85"/>
        <v/>
      </c>
      <c r="S711" s="317" t="str">
        <f t="shared" si="86"/>
        <v/>
      </c>
      <c r="T711" s="317" t="str">
        <f>'REF. DE PREÇOS n editavel'!S711</f>
        <v/>
      </c>
      <c r="W711" s="577">
        <v>0</v>
      </c>
      <c r="X711" s="575"/>
      <c r="Y711" s="578">
        <f>IF('REF. DE PREÇOS n editavel'!W711=0,0,IF('REF. DE PREÇOS n editavel'!W711&gt;0,"c","b"))</f>
        <v>0</v>
      </c>
    </row>
    <row r="712" spans="1:25">
      <c r="A712" s="317" t="s">
        <v>147</v>
      </c>
      <c r="B712" s="870" t="s">
        <v>147</v>
      </c>
      <c r="C712" s="871"/>
      <c r="D712" s="931" t="s">
        <v>229</v>
      </c>
      <c r="E712" s="882">
        <f>'REF. DE PREÇOS n editavel'!E712</f>
        <v>290</v>
      </c>
      <c r="F712" s="883">
        <f>'REF. DE PREÇOS n editavel'!F712</f>
        <v>0</v>
      </c>
      <c r="G712" s="887">
        <f>'REF. DE PREÇOS n editavel'!G712</f>
        <v>0</v>
      </c>
      <c r="H712" s="876">
        <f>'REF. DE PREÇOS n editavel'!H712</f>
        <v>0</v>
      </c>
      <c r="I712" s="876">
        <f>'REF. DE PREÇOS n editavel'!I712</f>
        <v>0</v>
      </c>
      <c r="J712" s="877">
        <f>'REF. DE PREÇOS n editavel'!J712</f>
        <v>0</v>
      </c>
      <c r="K712" s="878" t="s">
        <v>506</v>
      </c>
      <c r="L712" s="977"/>
      <c r="M712" s="1112">
        <f t="shared" si="83"/>
        <v>0</v>
      </c>
      <c r="N712" s="868">
        <f t="shared" si="87"/>
        <v>0</v>
      </c>
      <c r="O712" s="880"/>
      <c r="P712" s="58" t="str">
        <f>IF(N711&gt;0,"xx",IF(N711&gt;0,"xy",""))</f>
        <v/>
      </c>
      <c r="Q712" s="317" t="str">
        <f t="shared" si="84"/>
        <v/>
      </c>
      <c r="R712" s="317" t="str">
        <f t="shared" si="85"/>
        <v/>
      </c>
      <c r="S712" s="317" t="str">
        <f t="shared" si="86"/>
        <v/>
      </c>
      <c r="T712" s="317" t="str">
        <f>'REF. DE PREÇOS n editavel'!S712</f>
        <v/>
      </c>
      <c r="W712" s="577">
        <v>0</v>
      </c>
      <c r="X712" s="575"/>
      <c r="Y712" s="578">
        <f>IF('REF. DE PREÇOS n editavel'!W712=0,0,IF('REF. DE PREÇOS n editavel'!W712&gt;0,"c","b"))</f>
        <v>0</v>
      </c>
    </row>
    <row r="713" spans="1:25">
      <c r="A713" s="317" t="s">
        <v>147</v>
      </c>
      <c r="B713" s="870" t="s">
        <v>147</v>
      </c>
      <c r="C713" s="871"/>
      <c r="D713" s="931" t="s">
        <v>230</v>
      </c>
      <c r="E713" s="882">
        <f>'REF. DE PREÇOS n editavel'!E713</f>
        <v>445</v>
      </c>
      <c r="F713" s="883">
        <f>'REF. DE PREÇOS n editavel'!F713</f>
        <v>0</v>
      </c>
      <c r="G713" s="884">
        <f>'REF. DE PREÇOS n editavel'!G713</f>
        <v>0</v>
      </c>
      <c r="H713" s="876">
        <f>'REF. DE PREÇOS n editavel'!H713</f>
        <v>0</v>
      </c>
      <c r="I713" s="876">
        <f>'REF. DE PREÇOS n editavel'!I713</f>
        <v>0</v>
      </c>
      <c r="J713" s="877">
        <f>'REF. DE PREÇOS n editavel'!J713</f>
        <v>0</v>
      </c>
      <c r="K713" s="878" t="s">
        <v>506</v>
      </c>
      <c r="L713" s="977"/>
      <c r="M713" s="1112">
        <f t="shared" si="83"/>
        <v>0</v>
      </c>
      <c r="N713" s="868">
        <f t="shared" si="87"/>
        <v>0</v>
      </c>
      <c r="O713" s="880"/>
      <c r="P713" s="58" t="str">
        <f>IF(N711&gt;0,"xx",IF(N711&gt;0,"xy",""))</f>
        <v/>
      </c>
      <c r="Q713" s="317" t="str">
        <f t="shared" si="84"/>
        <v/>
      </c>
      <c r="R713" s="317" t="str">
        <f t="shared" si="85"/>
        <v/>
      </c>
      <c r="S713" s="317" t="str">
        <f t="shared" si="86"/>
        <v/>
      </c>
      <c r="T713" s="317" t="str">
        <f>'REF. DE PREÇOS n editavel'!S713</f>
        <v/>
      </c>
      <c r="W713" s="577">
        <v>0</v>
      </c>
      <c r="X713" s="575"/>
      <c r="Y713" s="578">
        <f>IF('REF. DE PREÇOS n editavel'!W713=0,0,IF('REF. DE PREÇOS n editavel'!W713&gt;0,"c","b"))</f>
        <v>0</v>
      </c>
    </row>
    <row r="714" spans="1:25">
      <c r="A714" s="317" t="s">
        <v>147</v>
      </c>
      <c r="B714" s="870" t="s">
        <v>147</v>
      </c>
      <c r="C714" s="871"/>
      <c r="D714" s="931" t="s">
        <v>243</v>
      </c>
      <c r="E714" s="882">
        <f>'REF. DE PREÇOS n editavel'!E714</f>
        <v>0.2</v>
      </c>
      <c r="F714" s="883">
        <f>'REF. DE PREÇOS n editavel'!F714</f>
        <v>2.12</v>
      </c>
      <c r="G714" s="887">
        <f>'REF. DE PREÇOS n editavel'!G714</f>
        <v>6.1352800000000007</v>
      </c>
      <c r="H714" s="876">
        <f>'REF. DE PREÇOS n editavel'!H714</f>
        <v>0</v>
      </c>
      <c r="I714" s="876">
        <f>'REF. DE PREÇOS n editavel'!I714</f>
        <v>0</v>
      </c>
      <c r="J714" s="877">
        <f>'REF. DE PREÇOS n editavel'!J714</f>
        <v>0</v>
      </c>
      <c r="K714" s="878" t="s">
        <v>506</v>
      </c>
      <c r="L714" s="977"/>
      <c r="M714" s="1112">
        <f t="shared" si="83"/>
        <v>0</v>
      </c>
      <c r="N714" s="868">
        <f t="shared" si="87"/>
        <v>0</v>
      </c>
      <c r="O714" s="880"/>
      <c r="P714" s="58" t="str">
        <f>IF(N711&gt;0,"xx",IF(N711&gt;0,"xy",""))</f>
        <v/>
      </c>
      <c r="Q714" s="317" t="str">
        <f t="shared" si="84"/>
        <v/>
      </c>
      <c r="R714" s="317" t="str">
        <f t="shared" si="85"/>
        <v/>
      </c>
      <c r="S714" s="317" t="str">
        <f t="shared" si="86"/>
        <v/>
      </c>
      <c r="T714" s="317" t="str">
        <f>'REF. DE PREÇOS n editavel'!S714</f>
        <v/>
      </c>
      <c r="W714" s="577">
        <v>0</v>
      </c>
      <c r="X714" s="575"/>
      <c r="Y714" s="578">
        <f>IF('REF. DE PREÇOS n editavel'!W714=0,0,IF('REF. DE PREÇOS n editavel'!W714&gt;0,"c","b"))</f>
        <v>0</v>
      </c>
    </row>
    <row r="715" spans="1:25">
      <c r="A715" s="317" t="s">
        <v>147</v>
      </c>
      <c r="B715" s="870" t="s">
        <v>147</v>
      </c>
      <c r="C715" s="871"/>
      <c r="D715" s="931" t="s">
        <v>244</v>
      </c>
      <c r="E715" s="882">
        <f>'REF. DE PREÇOS n editavel'!E715</f>
        <v>43.1</v>
      </c>
      <c r="F715" s="883">
        <f>'REF. DE PREÇOS n editavel'!F715</f>
        <v>2.2000000000000002</v>
      </c>
      <c r="G715" s="887">
        <f>'REF. DE PREÇOS n editavel'!G715</f>
        <v>107.35340000000002</v>
      </c>
      <c r="H715" s="876">
        <f>'REF. DE PREÇOS n editavel'!H715</f>
        <v>0</v>
      </c>
      <c r="I715" s="876">
        <f>'REF. DE PREÇOS n editavel'!I715</f>
        <v>0</v>
      </c>
      <c r="J715" s="877">
        <f>'REF. DE PREÇOS n editavel'!J715</f>
        <v>0</v>
      </c>
      <c r="K715" s="878" t="s">
        <v>506</v>
      </c>
      <c r="L715" s="977"/>
      <c r="M715" s="1112">
        <f t="shared" si="83"/>
        <v>0</v>
      </c>
      <c r="N715" s="868">
        <f t="shared" si="87"/>
        <v>0</v>
      </c>
      <c r="O715" s="880"/>
      <c r="P715" s="58" t="str">
        <f>IF(N711&gt;0,"xx",IF(N711&gt;0,"xy",""))</f>
        <v/>
      </c>
      <c r="Q715" s="317" t="str">
        <f t="shared" si="84"/>
        <v/>
      </c>
      <c r="R715" s="317" t="str">
        <f t="shared" si="85"/>
        <v/>
      </c>
      <c r="S715" s="317" t="str">
        <f t="shared" si="86"/>
        <v/>
      </c>
      <c r="T715" s="317" t="str">
        <f>'REF. DE PREÇOS n editavel'!S715</f>
        <v/>
      </c>
      <c r="W715" s="577">
        <v>0</v>
      </c>
      <c r="X715" s="575"/>
      <c r="Y715" s="578">
        <f>IF('REF. DE PREÇOS n editavel'!W715=0,0,IF('REF. DE PREÇOS n editavel'!W715&gt;0,"c","b"))</f>
        <v>0</v>
      </c>
    </row>
    <row r="716" spans="1:25" ht="13.5" thickBot="1">
      <c r="A716" s="317">
        <v>589320</v>
      </c>
      <c r="B716" s="978" t="s">
        <v>1674</v>
      </c>
      <c r="C716" s="958" t="s">
        <v>213</v>
      </c>
      <c r="D716" s="986" t="s">
        <v>684</v>
      </c>
      <c r="E716" s="979">
        <f>'REF. DE PREÇOS n editavel'!E716</f>
        <v>468</v>
      </c>
      <c r="F716" s="980">
        <f>'REF. DE PREÇOS n editavel'!F716</f>
        <v>1</v>
      </c>
      <c r="G716" s="923">
        <f>'REF. DE PREÇOS n editavel'!G716</f>
        <v>434.57</v>
      </c>
      <c r="H716" s="962">
        <f>'REF. DE PREÇOS n editavel'!H716</f>
        <v>4012.83</v>
      </c>
      <c r="I716" s="962">
        <f>'REF. DE PREÇOS n editavel'!I716</f>
        <v>4321.3218851251841</v>
      </c>
      <c r="J716" s="963">
        <f>'REF. DE PREÇOS n editavel'!J716</f>
        <v>5281.52</v>
      </c>
      <c r="K716" s="964" t="s">
        <v>14</v>
      </c>
      <c r="L716" s="1124">
        <f>ROUND(L711*$F711,2)</f>
        <v>0</v>
      </c>
      <c r="M716" s="1123">
        <f t="shared" si="83"/>
        <v>0</v>
      </c>
      <c r="N716" s="967">
        <f t="shared" si="87"/>
        <v>0</v>
      </c>
      <c r="O716" s="880"/>
      <c r="P716" s="58" t="str">
        <f>IF(N711&gt;0,"xx",IF(N711&gt;0,"xy",""))</f>
        <v/>
      </c>
      <c r="Q716" s="317" t="str">
        <f t="shared" si="84"/>
        <v/>
      </c>
      <c r="R716" s="317" t="str">
        <f t="shared" si="85"/>
        <v/>
      </c>
      <c r="S716" s="317" t="str">
        <f t="shared" si="86"/>
        <v/>
      </c>
      <c r="T716" s="317" t="str">
        <f>'REF. DE PREÇOS n editavel'!S716</f>
        <v/>
      </c>
      <c r="W716" s="577">
        <v>0</v>
      </c>
      <c r="X716" s="575"/>
      <c r="Y716" s="578">
        <f>IF('REF. DE PREÇOS n editavel'!W716=0,0,IF('REF. DE PREÇOS n editavel'!W716&gt;0,"c","b"))</f>
        <v>0</v>
      </c>
    </row>
    <row r="717" spans="1:25">
      <c r="A717" s="317">
        <v>534000</v>
      </c>
      <c r="B717" s="973" t="s">
        <v>1741</v>
      </c>
      <c r="C717" s="974" t="s">
        <v>184</v>
      </c>
      <c r="D717" s="947" t="s">
        <v>2183</v>
      </c>
      <c r="E717" s="948" t="str">
        <f>'REF. DE PREÇOS n editavel'!E717</f>
        <v>taxa RM-2C</v>
      </c>
      <c r="F717" s="949">
        <f>'REF. DE PREÇOS n editavel'!F717</f>
        <v>0.08</v>
      </c>
      <c r="G717" s="950">
        <f>'REF. DE PREÇOS n editavel'!G717</f>
        <v>113.48868000000002</v>
      </c>
      <c r="H717" s="951">
        <f>'REF. DE PREÇOS n editavel'!H717</f>
        <v>141.84</v>
      </c>
      <c r="I717" s="951">
        <f>'REF. DE PREÇOS n editavel'!I717</f>
        <v>255.32868000000002</v>
      </c>
      <c r="J717" s="952">
        <f>'REF. DE PREÇOS n editavel'!J717</f>
        <v>312.06</v>
      </c>
      <c r="K717" s="953" t="s">
        <v>10</v>
      </c>
      <c r="L717" s="1107"/>
      <c r="M717" s="1108">
        <f t="shared" ref="M717:M792" si="88">IF(L717=0,0,ROUND(J717,2))</f>
        <v>0</v>
      </c>
      <c r="N717" s="956">
        <f t="shared" si="87"/>
        <v>0</v>
      </c>
      <c r="O717" s="880"/>
      <c r="Q717" s="317" t="str">
        <f t="shared" si="84"/>
        <v/>
      </c>
      <c r="R717" s="317" t="str">
        <f t="shared" si="85"/>
        <v/>
      </c>
      <c r="S717" s="317" t="str">
        <f t="shared" si="86"/>
        <v/>
      </c>
      <c r="T717" s="317" t="str">
        <f>'REF. DE PREÇOS n editavel'!S717</f>
        <v/>
      </c>
      <c r="W717" s="577">
        <v>0</v>
      </c>
      <c r="X717" s="575"/>
      <c r="Y717" s="578">
        <f>IF('REF. DE PREÇOS n editavel'!W717=0,0,IF('REF. DE PREÇOS n editavel'!W717&gt;0,"c","b"))</f>
        <v>0</v>
      </c>
    </row>
    <row r="718" spans="1:25">
      <c r="A718" s="317" t="s">
        <v>147</v>
      </c>
      <c r="B718" s="870" t="s">
        <v>147</v>
      </c>
      <c r="C718" s="871"/>
      <c r="D718" s="931" t="s">
        <v>229</v>
      </c>
      <c r="E718" s="882">
        <f>'REF. DE PREÇOS n editavel'!E718</f>
        <v>290</v>
      </c>
      <c r="F718" s="883">
        <f>'REF. DE PREÇOS n editavel'!F718</f>
        <v>0</v>
      </c>
      <c r="G718" s="887">
        <f>'REF. DE PREÇOS n editavel'!G718</f>
        <v>0</v>
      </c>
      <c r="H718" s="876">
        <f>'REF. DE PREÇOS n editavel'!H718</f>
        <v>0</v>
      </c>
      <c r="I718" s="876">
        <f>'REF. DE PREÇOS n editavel'!I718</f>
        <v>0</v>
      </c>
      <c r="J718" s="877">
        <f>'REF. DE PREÇOS n editavel'!J718</f>
        <v>0</v>
      </c>
      <c r="K718" s="878" t="s">
        <v>506</v>
      </c>
      <c r="L718" s="977"/>
      <c r="M718" s="1112">
        <f t="shared" si="88"/>
        <v>0</v>
      </c>
      <c r="N718" s="868">
        <f t="shared" si="87"/>
        <v>0</v>
      </c>
      <c r="O718" s="880"/>
      <c r="P718" s="58" t="str">
        <f>IF(N717&gt;0,"xx",IF(N717&gt;0,"xy",""))</f>
        <v/>
      </c>
      <c r="Q718" s="317" t="str">
        <f t="shared" si="84"/>
        <v/>
      </c>
      <c r="R718" s="317" t="str">
        <f t="shared" si="85"/>
        <v/>
      </c>
      <c r="S718" s="317" t="str">
        <f t="shared" si="86"/>
        <v/>
      </c>
      <c r="T718" s="317" t="str">
        <f>'REF. DE PREÇOS n editavel'!S718</f>
        <v/>
      </c>
      <c r="W718" s="577">
        <v>0</v>
      </c>
      <c r="X718" s="575"/>
      <c r="Y718" s="578">
        <f>IF('REF. DE PREÇOS n editavel'!W718=0,0,IF('REF. DE PREÇOS n editavel'!W718&gt;0,"c","b"))</f>
        <v>0</v>
      </c>
    </row>
    <row r="719" spans="1:25">
      <c r="A719" s="317" t="s">
        <v>147</v>
      </c>
      <c r="B719" s="870" t="s">
        <v>147</v>
      </c>
      <c r="C719" s="871"/>
      <c r="D719" s="931" t="s">
        <v>230</v>
      </c>
      <c r="E719" s="882">
        <f>'REF. DE PREÇOS n editavel'!E719</f>
        <v>445</v>
      </c>
      <c r="F719" s="883">
        <f>'REF. DE PREÇOS n editavel'!F719</f>
        <v>0</v>
      </c>
      <c r="G719" s="884">
        <f>'REF. DE PREÇOS n editavel'!G719</f>
        <v>0</v>
      </c>
      <c r="H719" s="876">
        <f>'REF. DE PREÇOS n editavel'!H719</f>
        <v>0</v>
      </c>
      <c r="I719" s="876">
        <f>'REF. DE PREÇOS n editavel'!I719</f>
        <v>0</v>
      </c>
      <c r="J719" s="877">
        <f>'REF. DE PREÇOS n editavel'!J719</f>
        <v>0</v>
      </c>
      <c r="K719" s="878" t="s">
        <v>506</v>
      </c>
      <c r="L719" s="977"/>
      <c r="M719" s="1112">
        <f t="shared" si="88"/>
        <v>0</v>
      </c>
      <c r="N719" s="868">
        <f t="shared" si="87"/>
        <v>0</v>
      </c>
      <c r="O719" s="880"/>
      <c r="P719" s="58" t="str">
        <f>IF(N717&gt;0,"xx",IF(N717&gt;0,"xy",""))</f>
        <v/>
      </c>
      <c r="Q719" s="317" t="str">
        <f t="shared" ref="Q719:Q794" si="89">IF(P719="X","x",IF(P719="xx","x",IF(P719="xy","x",IF(P719="y","x",IF(OR(N719&gt;0,N719&gt;0),"x","")))))</f>
        <v/>
      </c>
      <c r="R719" s="317" t="str">
        <f t="shared" si="85"/>
        <v/>
      </c>
      <c r="S719" s="317" t="str">
        <f t="shared" si="86"/>
        <v/>
      </c>
      <c r="T719" s="317" t="str">
        <f>'REF. DE PREÇOS n editavel'!S719</f>
        <v/>
      </c>
      <c r="W719" s="577">
        <v>0</v>
      </c>
      <c r="X719" s="575"/>
      <c r="Y719" s="578">
        <f>IF('REF. DE PREÇOS n editavel'!W719=0,0,IF('REF. DE PREÇOS n editavel'!W719&gt;0,"c","b"))</f>
        <v>0</v>
      </c>
    </row>
    <row r="720" spans="1:25">
      <c r="A720" s="317" t="s">
        <v>147</v>
      </c>
      <c r="B720" s="870" t="s">
        <v>147</v>
      </c>
      <c r="C720" s="871"/>
      <c r="D720" s="931" t="s">
        <v>243</v>
      </c>
      <c r="E720" s="882">
        <f>'REF. DE PREÇOS n editavel'!E720</f>
        <v>0.2</v>
      </c>
      <c r="F720" s="883">
        <f>'REF. DE PREÇOS n editavel'!F720</f>
        <v>2.12</v>
      </c>
      <c r="G720" s="887">
        <f>'REF. DE PREÇOS n editavel'!G720</f>
        <v>6.1352800000000007</v>
      </c>
      <c r="H720" s="876">
        <f>'REF. DE PREÇOS n editavel'!H720</f>
        <v>0</v>
      </c>
      <c r="I720" s="876">
        <f>'REF. DE PREÇOS n editavel'!I720</f>
        <v>0</v>
      </c>
      <c r="J720" s="877">
        <f>'REF. DE PREÇOS n editavel'!J720</f>
        <v>0</v>
      </c>
      <c r="K720" s="878" t="s">
        <v>506</v>
      </c>
      <c r="L720" s="977"/>
      <c r="M720" s="1112">
        <f t="shared" si="88"/>
        <v>0</v>
      </c>
      <c r="N720" s="868">
        <f t="shared" si="87"/>
        <v>0</v>
      </c>
      <c r="O720" s="880"/>
      <c r="P720" s="58" t="str">
        <f>IF(N717&gt;0,"xx",IF(N717&gt;0,"xy",""))</f>
        <v/>
      </c>
      <c r="Q720" s="317" t="str">
        <f t="shared" si="89"/>
        <v/>
      </c>
      <c r="R720" s="317" t="str">
        <f t="shared" si="85"/>
        <v/>
      </c>
      <c r="S720" s="317" t="str">
        <f t="shared" si="86"/>
        <v/>
      </c>
      <c r="T720" s="317" t="str">
        <f>'REF. DE PREÇOS n editavel'!S720</f>
        <v/>
      </c>
      <c r="W720" s="577">
        <v>0</v>
      </c>
      <c r="X720" s="575"/>
      <c r="Y720" s="578">
        <f>IF('REF. DE PREÇOS n editavel'!W720=0,0,IF('REF. DE PREÇOS n editavel'!W720&gt;0,"c","b"))</f>
        <v>0</v>
      </c>
    </row>
    <row r="721" spans="1:25">
      <c r="A721" s="317" t="s">
        <v>147</v>
      </c>
      <c r="B721" s="870" t="s">
        <v>147</v>
      </c>
      <c r="C721" s="871"/>
      <c r="D721" s="931" t="s">
        <v>244</v>
      </c>
      <c r="E721" s="882">
        <f>'REF. DE PREÇOS n editavel'!E721</f>
        <v>43.1</v>
      </c>
      <c r="F721" s="883">
        <f>'REF. DE PREÇOS n editavel'!F721</f>
        <v>2.2000000000000002</v>
      </c>
      <c r="G721" s="887">
        <f>'REF. DE PREÇOS n editavel'!G721</f>
        <v>107.35340000000002</v>
      </c>
      <c r="H721" s="876">
        <f>'REF. DE PREÇOS n editavel'!H721</f>
        <v>0</v>
      </c>
      <c r="I721" s="876">
        <f>'REF. DE PREÇOS n editavel'!I721</f>
        <v>0</v>
      </c>
      <c r="J721" s="877">
        <f>'REF. DE PREÇOS n editavel'!J721</f>
        <v>0</v>
      </c>
      <c r="K721" s="878" t="s">
        <v>506</v>
      </c>
      <c r="L721" s="977"/>
      <c r="M721" s="1112">
        <f t="shared" si="88"/>
        <v>0</v>
      </c>
      <c r="N721" s="868">
        <f t="shared" si="87"/>
        <v>0</v>
      </c>
      <c r="O721" s="880"/>
      <c r="P721" s="58" t="str">
        <f>IF(N717&gt;0,"xx",IF(N717&gt;0,"xy",""))</f>
        <v/>
      </c>
      <c r="Q721" s="317" t="str">
        <f t="shared" si="89"/>
        <v/>
      </c>
      <c r="R721" s="317" t="str">
        <f t="shared" ref="R721:R796" si="90">IF(P721="X","x",IF(P721="y","x",IF(P721="xx","x",IF(N721&gt;0,"x",""))))</f>
        <v/>
      </c>
      <c r="S721" s="317" t="str">
        <f t="shared" ref="S721:S796" si="91">IF(P721="X","x",IF(N721&gt;0,"x",""))</f>
        <v/>
      </c>
      <c r="T721" s="317" t="str">
        <f>'REF. DE PREÇOS n editavel'!S721</f>
        <v/>
      </c>
      <c r="W721" s="577">
        <v>0</v>
      </c>
      <c r="X721" s="575"/>
      <c r="Y721" s="578">
        <f>IF('REF. DE PREÇOS n editavel'!W721=0,0,IF('REF. DE PREÇOS n editavel'!W721&gt;0,"c","b"))</f>
        <v>0</v>
      </c>
    </row>
    <row r="722" spans="1:25" ht="13.5" thickBot="1">
      <c r="A722" s="317">
        <v>589320</v>
      </c>
      <c r="B722" s="978" t="s">
        <v>1675</v>
      </c>
      <c r="C722" s="958" t="s">
        <v>213</v>
      </c>
      <c r="D722" s="986" t="s">
        <v>684</v>
      </c>
      <c r="E722" s="979">
        <f>'REF. DE PREÇOS n editavel'!E722</f>
        <v>468</v>
      </c>
      <c r="F722" s="980">
        <f>'REF. DE PREÇOS n editavel'!F722</f>
        <v>1</v>
      </c>
      <c r="G722" s="923">
        <f>'REF. DE PREÇOS n editavel'!G722</f>
        <v>434.57</v>
      </c>
      <c r="H722" s="962">
        <f>'REF. DE PREÇOS n editavel'!H722</f>
        <v>4012.83</v>
      </c>
      <c r="I722" s="962">
        <f>'REF. DE PREÇOS n editavel'!I722</f>
        <v>4321.3218851251841</v>
      </c>
      <c r="J722" s="963">
        <f>'REF. DE PREÇOS n editavel'!J722</f>
        <v>5281.52</v>
      </c>
      <c r="K722" s="964" t="s">
        <v>14</v>
      </c>
      <c r="L722" s="1124">
        <f>ROUND(L717*$F717,2)</f>
        <v>0</v>
      </c>
      <c r="M722" s="1123">
        <f t="shared" si="88"/>
        <v>0</v>
      </c>
      <c r="N722" s="967">
        <f t="shared" si="87"/>
        <v>0</v>
      </c>
      <c r="O722" s="880"/>
      <c r="P722" s="58" t="str">
        <f>IF(N717&gt;0,"xx",IF(N717&gt;0,"xy",""))</f>
        <v/>
      </c>
      <c r="Q722" s="317" t="str">
        <f t="shared" si="89"/>
        <v/>
      </c>
      <c r="R722" s="317" t="str">
        <f t="shared" si="90"/>
        <v/>
      </c>
      <c r="S722" s="317" t="str">
        <f t="shared" si="91"/>
        <v/>
      </c>
      <c r="T722" s="317" t="str">
        <f>'REF. DE PREÇOS n editavel'!S722</f>
        <v/>
      </c>
      <c r="W722" s="577">
        <v>0</v>
      </c>
      <c r="X722" s="575"/>
      <c r="Y722" s="578">
        <f>IF('REF. DE PREÇOS n editavel'!W722=0,0,IF('REF. DE PREÇOS n editavel'!W722&gt;0,"c","b"))</f>
        <v>0</v>
      </c>
    </row>
    <row r="723" spans="1:25">
      <c r="A723" s="317">
        <v>534300</v>
      </c>
      <c r="B723" s="973" t="s">
        <v>1667</v>
      </c>
      <c r="C723" s="974" t="s">
        <v>184</v>
      </c>
      <c r="D723" s="947" t="s">
        <v>2185</v>
      </c>
      <c r="E723" s="948" t="str">
        <f>'REF. DE PREÇOS n editavel'!E723</f>
        <v>taxa RM-2C</v>
      </c>
      <c r="F723" s="949">
        <f>'REF. DE PREÇOS n editavel'!F723</f>
        <v>0.11</v>
      </c>
      <c r="G723" s="950">
        <f>'REF. DE PREÇOS n editavel'!G723</f>
        <v>113.40186</v>
      </c>
      <c r="H723" s="951">
        <f>'REF. DE PREÇOS n editavel'!H723</f>
        <v>140.30000000000001</v>
      </c>
      <c r="I723" s="951">
        <f>'REF. DE PREÇOS n editavel'!I723</f>
        <v>253.70186000000001</v>
      </c>
      <c r="J723" s="952">
        <f>'REF. DE PREÇOS n editavel'!J723</f>
        <v>310.07</v>
      </c>
      <c r="K723" s="953" t="s">
        <v>10</v>
      </c>
      <c r="L723" s="1107"/>
      <c r="M723" s="1108">
        <f t="shared" si="88"/>
        <v>0</v>
      </c>
      <c r="N723" s="956">
        <f t="shared" si="87"/>
        <v>0</v>
      </c>
      <c r="O723" s="880"/>
      <c r="Q723" s="317" t="str">
        <f t="shared" si="89"/>
        <v/>
      </c>
      <c r="R723" s="317" t="str">
        <f t="shared" si="90"/>
        <v/>
      </c>
      <c r="S723" s="317" t="str">
        <f t="shared" si="91"/>
        <v/>
      </c>
      <c r="T723" s="317" t="str">
        <f>'REF. DE PREÇOS n editavel'!S723</f>
        <v/>
      </c>
      <c r="W723" s="577">
        <v>0</v>
      </c>
      <c r="X723" s="575"/>
      <c r="Y723" s="578">
        <f>IF('REF. DE PREÇOS n editavel'!W723=0,0,IF('REF. DE PREÇOS n editavel'!W723&gt;0,"c","b"))</f>
        <v>0</v>
      </c>
    </row>
    <row r="724" spans="1:25">
      <c r="A724" s="317" t="s">
        <v>147</v>
      </c>
      <c r="B724" s="870" t="s">
        <v>147</v>
      </c>
      <c r="C724" s="871"/>
      <c r="D724" s="931" t="s">
        <v>229</v>
      </c>
      <c r="E724" s="882">
        <f>'REF. DE PREÇOS n editavel'!E724</f>
        <v>290</v>
      </c>
      <c r="F724" s="883">
        <f>'REF. DE PREÇOS n editavel'!F724</f>
        <v>0</v>
      </c>
      <c r="G724" s="887">
        <f>'REF. DE PREÇOS n editavel'!G724</f>
        <v>0</v>
      </c>
      <c r="H724" s="876">
        <f>'REF. DE PREÇOS n editavel'!H724</f>
        <v>0</v>
      </c>
      <c r="I724" s="876">
        <f>'REF. DE PREÇOS n editavel'!I724</f>
        <v>0</v>
      </c>
      <c r="J724" s="877">
        <f>'REF. DE PREÇOS n editavel'!J724</f>
        <v>0</v>
      </c>
      <c r="K724" s="878" t="s">
        <v>506</v>
      </c>
      <c r="L724" s="977"/>
      <c r="M724" s="1112">
        <f t="shared" si="88"/>
        <v>0</v>
      </c>
      <c r="N724" s="868">
        <f t="shared" si="87"/>
        <v>0</v>
      </c>
      <c r="O724" s="880"/>
      <c r="P724" s="58" t="str">
        <f>IF(N723&gt;0,"xx",IF(N723&gt;0,"xy",""))</f>
        <v/>
      </c>
      <c r="Q724" s="317" t="str">
        <f t="shared" si="89"/>
        <v/>
      </c>
      <c r="R724" s="317" t="str">
        <f t="shared" si="90"/>
        <v/>
      </c>
      <c r="S724" s="317" t="str">
        <f t="shared" si="91"/>
        <v/>
      </c>
      <c r="T724" s="317" t="str">
        <f>'REF. DE PREÇOS n editavel'!S724</f>
        <v/>
      </c>
      <c r="W724" s="577">
        <v>0</v>
      </c>
      <c r="X724" s="575"/>
      <c r="Y724" s="578">
        <f>IF('REF. DE PREÇOS n editavel'!W724=0,0,IF('REF. DE PREÇOS n editavel'!W724&gt;0,"c","b"))</f>
        <v>0</v>
      </c>
    </row>
    <row r="725" spans="1:25">
      <c r="A725" s="317" t="s">
        <v>147</v>
      </c>
      <c r="B725" s="870" t="s">
        <v>147</v>
      </c>
      <c r="C725" s="871"/>
      <c r="D725" s="931" t="s">
        <v>230</v>
      </c>
      <c r="E725" s="882">
        <f>'REF. DE PREÇOS n editavel'!E725</f>
        <v>445</v>
      </c>
      <c r="F725" s="883">
        <f>'REF. DE PREÇOS n editavel'!F725</f>
        <v>0</v>
      </c>
      <c r="G725" s="884">
        <f>'REF. DE PREÇOS n editavel'!G725</f>
        <v>0</v>
      </c>
      <c r="H725" s="876">
        <f>'REF. DE PREÇOS n editavel'!H725</f>
        <v>0</v>
      </c>
      <c r="I725" s="876">
        <f>'REF. DE PREÇOS n editavel'!I725</f>
        <v>0</v>
      </c>
      <c r="J725" s="877">
        <f>'REF. DE PREÇOS n editavel'!J725</f>
        <v>0</v>
      </c>
      <c r="K725" s="878" t="s">
        <v>506</v>
      </c>
      <c r="L725" s="977"/>
      <c r="M725" s="1112">
        <f t="shared" si="88"/>
        <v>0</v>
      </c>
      <c r="N725" s="868">
        <f t="shared" ref="N725:N800" si="92">IF(ISBLANK(L725),0,IF(W725=0,ROUND(L725*M725,2),IF(W725="b",ROUNDDOWN(L725*M725,2),ROUNDUP(L725*M725,2))))</f>
        <v>0</v>
      </c>
      <c r="O725" s="880"/>
      <c r="P725" s="58" t="str">
        <f>IF(N723&gt;0,"xx",IF(N723&gt;0,"xy",""))</f>
        <v/>
      </c>
      <c r="Q725" s="317" t="str">
        <f t="shared" si="89"/>
        <v/>
      </c>
      <c r="R725" s="317" t="str">
        <f t="shared" si="90"/>
        <v/>
      </c>
      <c r="S725" s="317" t="str">
        <f t="shared" si="91"/>
        <v/>
      </c>
      <c r="T725" s="317" t="str">
        <f>'REF. DE PREÇOS n editavel'!S725</f>
        <v/>
      </c>
      <c r="W725" s="577">
        <v>0</v>
      </c>
      <c r="X725" s="575"/>
      <c r="Y725" s="578">
        <f>IF('REF. DE PREÇOS n editavel'!W725=0,0,IF('REF. DE PREÇOS n editavel'!W725&gt;0,"c","b"))</f>
        <v>0</v>
      </c>
    </row>
    <row r="726" spans="1:25">
      <c r="A726" s="317" t="s">
        <v>147</v>
      </c>
      <c r="B726" s="870" t="s">
        <v>147</v>
      </c>
      <c r="C726" s="871"/>
      <c r="D726" s="931" t="s">
        <v>243</v>
      </c>
      <c r="E726" s="882">
        <f>'REF. DE PREÇOS n editavel'!E726</f>
        <v>0.2</v>
      </c>
      <c r="F726" s="883">
        <f>'REF. DE PREÇOS n editavel'!F726</f>
        <v>2.09</v>
      </c>
      <c r="G726" s="887">
        <f>'REF. DE PREÇOS n editavel'!G726</f>
        <v>6.0484599999999995</v>
      </c>
      <c r="H726" s="876">
        <f>'REF. DE PREÇOS n editavel'!H726</f>
        <v>0</v>
      </c>
      <c r="I726" s="876">
        <f>'REF. DE PREÇOS n editavel'!I726</f>
        <v>0</v>
      </c>
      <c r="J726" s="877">
        <f>'REF. DE PREÇOS n editavel'!J726</f>
        <v>0</v>
      </c>
      <c r="K726" s="878" t="s">
        <v>506</v>
      </c>
      <c r="L726" s="977"/>
      <c r="M726" s="1112">
        <f t="shared" si="88"/>
        <v>0</v>
      </c>
      <c r="N726" s="868">
        <f t="shared" si="92"/>
        <v>0</v>
      </c>
      <c r="O726" s="880"/>
      <c r="P726" s="58" t="str">
        <f>IF(N723&gt;0,"xx",IF(N723&gt;0,"xy",""))</f>
        <v/>
      </c>
      <c r="Q726" s="317" t="str">
        <f t="shared" si="89"/>
        <v/>
      </c>
      <c r="R726" s="317" t="str">
        <f t="shared" si="90"/>
        <v/>
      </c>
      <c r="S726" s="317" t="str">
        <f t="shared" si="91"/>
        <v/>
      </c>
      <c r="T726" s="317" t="str">
        <f>'REF. DE PREÇOS n editavel'!S726</f>
        <v/>
      </c>
      <c r="W726" s="577">
        <v>0</v>
      </c>
      <c r="X726" s="575"/>
      <c r="Y726" s="578">
        <f>IF('REF. DE PREÇOS n editavel'!W726=0,0,IF('REF. DE PREÇOS n editavel'!W726&gt;0,"c","b"))</f>
        <v>0</v>
      </c>
    </row>
    <row r="727" spans="1:25">
      <c r="A727" s="317" t="s">
        <v>147</v>
      </c>
      <c r="B727" s="870" t="s">
        <v>147</v>
      </c>
      <c r="C727" s="871"/>
      <c r="D727" s="931" t="s">
        <v>244</v>
      </c>
      <c r="E727" s="882">
        <f>'REF. DE PREÇOS n editavel'!E727</f>
        <v>43.1</v>
      </c>
      <c r="F727" s="883">
        <f>'REF. DE PREÇOS n editavel'!F727</f>
        <v>2.1999999999999997</v>
      </c>
      <c r="G727" s="887">
        <f>'REF. DE PREÇOS n editavel'!G727</f>
        <v>107.35339999999999</v>
      </c>
      <c r="H727" s="876">
        <f>'REF. DE PREÇOS n editavel'!H727</f>
        <v>0</v>
      </c>
      <c r="I727" s="876">
        <f>'REF. DE PREÇOS n editavel'!I727</f>
        <v>0</v>
      </c>
      <c r="J727" s="877">
        <f>'REF. DE PREÇOS n editavel'!J727</f>
        <v>0</v>
      </c>
      <c r="K727" s="878" t="s">
        <v>506</v>
      </c>
      <c r="L727" s="977"/>
      <c r="M727" s="1112">
        <f t="shared" si="88"/>
        <v>0</v>
      </c>
      <c r="N727" s="868">
        <f t="shared" si="92"/>
        <v>0</v>
      </c>
      <c r="O727" s="880"/>
      <c r="P727" s="58" t="str">
        <f>IF(N723&gt;0,"xx",IF(N723&gt;0,"xy",""))</f>
        <v/>
      </c>
      <c r="Q727" s="317" t="str">
        <f t="shared" si="89"/>
        <v/>
      </c>
      <c r="R727" s="317" t="str">
        <f t="shared" si="90"/>
        <v/>
      </c>
      <c r="S727" s="317" t="str">
        <f t="shared" si="91"/>
        <v/>
      </c>
      <c r="T727" s="317" t="str">
        <f>'REF. DE PREÇOS n editavel'!S727</f>
        <v/>
      </c>
      <c r="W727" s="577">
        <v>0</v>
      </c>
      <c r="X727" s="575"/>
      <c r="Y727" s="578">
        <f>IF('REF. DE PREÇOS n editavel'!W727=0,0,IF('REF. DE PREÇOS n editavel'!W727&gt;0,"c","b"))</f>
        <v>0</v>
      </c>
    </row>
    <row r="728" spans="1:25" ht="13.5" thickBot="1">
      <c r="A728" s="317">
        <v>589320</v>
      </c>
      <c r="B728" s="978" t="s">
        <v>1676</v>
      </c>
      <c r="C728" s="958" t="s">
        <v>213</v>
      </c>
      <c r="D728" s="986" t="s">
        <v>685</v>
      </c>
      <c r="E728" s="979">
        <f>'REF. DE PREÇOS n editavel'!E728</f>
        <v>468</v>
      </c>
      <c r="F728" s="980">
        <f>'REF. DE PREÇOS n editavel'!F728</f>
        <v>1</v>
      </c>
      <c r="G728" s="923">
        <f>'REF. DE PREÇOS n editavel'!G728</f>
        <v>434.57</v>
      </c>
      <c r="H728" s="962">
        <f>'REF. DE PREÇOS n editavel'!H728</f>
        <v>4012.83</v>
      </c>
      <c r="I728" s="962">
        <f>'REF. DE PREÇOS n editavel'!I728</f>
        <v>4321.3218851251841</v>
      </c>
      <c r="J728" s="963">
        <f>'REF. DE PREÇOS n editavel'!J728</f>
        <v>5281.52</v>
      </c>
      <c r="K728" s="964" t="s">
        <v>14</v>
      </c>
      <c r="L728" s="1124">
        <f>ROUND(L723*$F723,2)</f>
        <v>0</v>
      </c>
      <c r="M728" s="1123">
        <f t="shared" si="88"/>
        <v>0</v>
      </c>
      <c r="N728" s="967">
        <f t="shared" si="92"/>
        <v>0</v>
      </c>
      <c r="O728" s="880"/>
      <c r="P728" s="58" t="str">
        <f>IF(N723&gt;0,"xx",IF(N723&gt;0,"xy",""))</f>
        <v/>
      </c>
      <c r="Q728" s="317" t="str">
        <f t="shared" si="89"/>
        <v/>
      </c>
      <c r="R728" s="317" t="str">
        <f t="shared" si="90"/>
        <v/>
      </c>
      <c r="S728" s="317" t="str">
        <f t="shared" si="91"/>
        <v/>
      </c>
      <c r="T728" s="317" t="str">
        <f>'REF. DE PREÇOS n editavel'!S728</f>
        <v/>
      </c>
      <c r="W728" s="577">
        <v>0</v>
      </c>
      <c r="X728" s="575"/>
      <c r="Y728" s="578">
        <f>IF('REF. DE PREÇOS n editavel'!W728=0,0,IF('REF. DE PREÇOS n editavel'!W728&gt;0,"c","b"))</f>
        <v>0</v>
      </c>
    </row>
    <row r="729" spans="1:25">
      <c r="A729" s="317">
        <v>534300</v>
      </c>
      <c r="B729" s="973" t="s">
        <v>1668</v>
      </c>
      <c r="C729" s="974" t="s">
        <v>184</v>
      </c>
      <c r="D729" s="947" t="s">
        <v>2184</v>
      </c>
      <c r="E729" s="948" t="str">
        <f>'REF. DE PREÇOS n editavel'!E729</f>
        <v>taxa RM-2C</v>
      </c>
      <c r="F729" s="949">
        <f>'REF. DE PREÇOS n editavel'!F729</f>
        <v>0.11</v>
      </c>
      <c r="G729" s="950">
        <f>'REF. DE PREÇOS n editavel'!G729</f>
        <v>113.40186</v>
      </c>
      <c r="H729" s="951">
        <f>'REF. DE PREÇOS n editavel'!H729</f>
        <v>140.30000000000001</v>
      </c>
      <c r="I729" s="951">
        <f>'REF. DE PREÇOS n editavel'!I729</f>
        <v>253.70186000000001</v>
      </c>
      <c r="J729" s="952">
        <f>'REF. DE PREÇOS n editavel'!J729</f>
        <v>310.07</v>
      </c>
      <c r="K729" s="953" t="s">
        <v>10</v>
      </c>
      <c r="L729" s="1107"/>
      <c r="M729" s="1108">
        <f t="shared" si="88"/>
        <v>0</v>
      </c>
      <c r="N729" s="956">
        <f t="shared" si="92"/>
        <v>0</v>
      </c>
      <c r="O729" s="880"/>
      <c r="Q729" s="317" t="str">
        <f t="shared" si="89"/>
        <v/>
      </c>
      <c r="R729" s="317" t="str">
        <f t="shared" si="90"/>
        <v/>
      </c>
      <c r="S729" s="317" t="str">
        <f t="shared" si="91"/>
        <v/>
      </c>
      <c r="T729" s="317" t="str">
        <f>'REF. DE PREÇOS n editavel'!S729</f>
        <v/>
      </c>
      <c r="W729" s="577">
        <v>0</v>
      </c>
      <c r="X729" s="575"/>
      <c r="Y729" s="578">
        <f>IF('REF. DE PREÇOS n editavel'!W729=0,0,IF('REF. DE PREÇOS n editavel'!W729&gt;0,"c","b"))</f>
        <v>0</v>
      </c>
    </row>
    <row r="730" spans="1:25">
      <c r="A730" s="317" t="s">
        <v>147</v>
      </c>
      <c r="B730" s="870" t="s">
        <v>147</v>
      </c>
      <c r="C730" s="871"/>
      <c r="D730" s="931" t="s">
        <v>229</v>
      </c>
      <c r="E730" s="882">
        <f>'REF. DE PREÇOS n editavel'!E730</f>
        <v>290</v>
      </c>
      <c r="F730" s="883">
        <f>'REF. DE PREÇOS n editavel'!F730</f>
        <v>0</v>
      </c>
      <c r="G730" s="887">
        <f>'REF. DE PREÇOS n editavel'!G730</f>
        <v>0</v>
      </c>
      <c r="H730" s="876">
        <f>'REF. DE PREÇOS n editavel'!H730</f>
        <v>0</v>
      </c>
      <c r="I730" s="876">
        <f>'REF. DE PREÇOS n editavel'!I730</f>
        <v>0</v>
      </c>
      <c r="J730" s="877">
        <f>'REF. DE PREÇOS n editavel'!J730</f>
        <v>0</v>
      </c>
      <c r="K730" s="878" t="s">
        <v>506</v>
      </c>
      <c r="L730" s="977"/>
      <c r="M730" s="1112">
        <f t="shared" si="88"/>
        <v>0</v>
      </c>
      <c r="N730" s="868">
        <f t="shared" si="92"/>
        <v>0</v>
      </c>
      <c r="O730" s="880"/>
      <c r="P730" s="58" t="str">
        <f>IF(N729&gt;0,"xx",IF(N729&gt;0,"xy",""))</f>
        <v/>
      </c>
      <c r="Q730" s="317" t="str">
        <f t="shared" si="89"/>
        <v/>
      </c>
      <c r="R730" s="317" t="str">
        <f t="shared" si="90"/>
        <v/>
      </c>
      <c r="S730" s="317" t="str">
        <f t="shared" si="91"/>
        <v/>
      </c>
      <c r="T730" s="317" t="str">
        <f>'REF. DE PREÇOS n editavel'!S730</f>
        <v/>
      </c>
      <c r="W730" s="577">
        <v>0</v>
      </c>
      <c r="X730" s="575"/>
      <c r="Y730" s="578">
        <f>IF('REF. DE PREÇOS n editavel'!W730=0,0,IF('REF. DE PREÇOS n editavel'!W730&gt;0,"c","b"))</f>
        <v>0</v>
      </c>
    </row>
    <row r="731" spans="1:25">
      <c r="A731" s="317" t="s">
        <v>147</v>
      </c>
      <c r="B731" s="870" t="s">
        <v>147</v>
      </c>
      <c r="C731" s="871"/>
      <c r="D731" s="931" t="s">
        <v>230</v>
      </c>
      <c r="E731" s="882">
        <f>'REF. DE PREÇOS n editavel'!E731</f>
        <v>445</v>
      </c>
      <c r="F731" s="883">
        <f>'REF. DE PREÇOS n editavel'!F731</f>
        <v>0</v>
      </c>
      <c r="G731" s="884">
        <f>'REF. DE PREÇOS n editavel'!G731</f>
        <v>0</v>
      </c>
      <c r="H731" s="876">
        <f>'REF. DE PREÇOS n editavel'!H731</f>
        <v>0</v>
      </c>
      <c r="I731" s="876">
        <f>'REF. DE PREÇOS n editavel'!I731</f>
        <v>0</v>
      </c>
      <c r="J731" s="877">
        <f>'REF. DE PREÇOS n editavel'!J731</f>
        <v>0</v>
      </c>
      <c r="K731" s="878" t="s">
        <v>506</v>
      </c>
      <c r="L731" s="977"/>
      <c r="M731" s="1112">
        <f t="shared" si="88"/>
        <v>0</v>
      </c>
      <c r="N731" s="868">
        <f t="shared" si="92"/>
        <v>0</v>
      </c>
      <c r="O731" s="880"/>
      <c r="P731" s="58" t="str">
        <f>IF(N729&gt;0,"xx",IF(N729&gt;0,"xy",""))</f>
        <v/>
      </c>
      <c r="Q731" s="317" t="str">
        <f t="shared" si="89"/>
        <v/>
      </c>
      <c r="R731" s="317" t="str">
        <f t="shared" si="90"/>
        <v/>
      </c>
      <c r="S731" s="317" t="str">
        <f t="shared" si="91"/>
        <v/>
      </c>
      <c r="T731" s="317" t="str">
        <f>'REF. DE PREÇOS n editavel'!S731</f>
        <v/>
      </c>
      <c r="W731" s="577">
        <v>0</v>
      </c>
      <c r="X731" s="575"/>
      <c r="Y731" s="578">
        <f>IF('REF. DE PREÇOS n editavel'!W731=0,0,IF('REF. DE PREÇOS n editavel'!W731&gt;0,"c","b"))</f>
        <v>0</v>
      </c>
    </row>
    <row r="732" spans="1:25">
      <c r="A732" s="317" t="s">
        <v>147</v>
      </c>
      <c r="B732" s="870" t="s">
        <v>147</v>
      </c>
      <c r="C732" s="871"/>
      <c r="D732" s="931" t="s">
        <v>243</v>
      </c>
      <c r="E732" s="882">
        <f>'REF. DE PREÇOS n editavel'!E732</f>
        <v>0.2</v>
      </c>
      <c r="F732" s="883">
        <f>'REF. DE PREÇOS n editavel'!F732</f>
        <v>2.09</v>
      </c>
      <c r="G732" s="887">
        <f>'REF. DE PREÇOS n editavel'!G732</f>
        <v>6.0484599999999995</v>
      </c>
      <c r="H732" s="876">
        <f>'REF. DE PREÇOS n editavel'!H732</f>
        <v>0</v>
      </c>
      <c r="I732" s="876">
        <f>'REF. DE PREÇOS n editavel'!I732</f>
        <v>0</v>
      </c>
      <c r="J732" s="877">
        <f>'REF. DE PREÇOS n editavel'!J732</f>
        <v>0</v>
      </c>
      <c r="K732" s="878" t="s">
        <v>506</v>
      </c>
      <c r="L732" s="977"/>
      <c r="M732" s="1112">
        <f t="shared" si="88"/>
        <v>0</v>
      </c>
      <c r="N732" s="868">
        <f t="shared" si="92"/>
        <v>0</v>
      </c>
      <c r="O732" s="880"/>
      <c r="P732" s="58" t="str">
        <f>IF(N729&gt;0,"xx",IF(N729&gt;0,"xy",""))</f>
        <v/>
      </c>
      <c r="Q732" s="317" t="str">
        <f t="shared" si="89"/>
        <v/>
      </c>
      <c r="R732" s="317" t="str">
        <f t="shared" si="90"/>
        <v/>
      </c>
      <c r="S732" s="317" t="str">
        <f t="shared" si="91"/>
        <v/>
      </c>
      <c r="T732" s="317" t="str">
        <f>'REF. DE PREÇOS n editavel'!S732</f>
        <v/>
      </c>
      <c r="W732" s="577">
        <v>0</v>
      </c>
      <c r="X732" s="575"/>
      <c r="Y732" s="578">
        <f>IF('REF. DE PREÇOS n editavel'!W732=0,0,IF('REF. DE PREÇOS n editavel'!W732&gt;0,"c","b"))</f>
        <v>0</v>
      </c>
    </row>
    <row r="733" spans="1:25">
      <c r="A733" s="317" t="s">
        <v>147</v>
      </c>
      <c r="B733" s="870" t="s">
        <v>147</v>
      </c>
      <c r="C733" s="871"/>
      <c r="D733" s="931" t="s">
        <v>244</v>
      </c>
      <c r="E733" s="882">
        <f>'REF. DE PREÇOS n editavel'!E733</f>
        <v>43.1</v>
      </c>
      <c r="F733" s="883">
        <f>'REF. DE PREÇOS n editavel'!F733</f>
        <v>2.1999999999999997</v>
      </c>
      <c r="G733" s="887">
        <f>'REF. DE PREÇOS n editavel'!G733</f>
        <v>107.35339999999999</v>
      </c>
      <c r="H733" s="876">
        <f>'REF. DE PREÇOS n editavel'!H733</f>
        <v>0</v>
      </c>
      <c r="I733" s="876">
        <f>'REF. DE PREÇOS n editavel'!I733</f>
        <v>0</v>
      </c>
      <c r="J733" s="877">
        <f>'REF. DE PREÇOS n editavel'!J733</f>
        <v>0</v>
      </c>
      <c r="K733" s="878" t="s">
        <v>506</v>
      </c>
      <c r="L733" s="977"/>
      <c r="M733" s="1112">
        <f t="shared" si="88"/>
        <v>0</v>
      </c>
      <c r="N733" s="868">
        <f t="shared" si="92"/>
        <v>0</v>
      </c>
      <c r="O733" s="880"/>
      <c r="P733" s="58" t="str">
        <f>IF(N729&gt;0,"xx",IF(N729&gt;0,"xy",""))</f>
        <v/>
      </c>
      <c r="Q733" s="317" t="str">
        <f t="shared" si="89"/>
        <v/>
      </c>
      <c r="R733" s="317" t="str">
        <f t="shared" si="90"/>
        <v/>
      </c>
      <c r="S733" s="317" t="str">
        <f t="shared" si="91"/>
        <v/>
      </c>
      <c r="T733" s="317" t="str">
        <f>'REF. DE PREÇOS n editavel'!S733</f>
        <v/>
      </c>
      <c r="W733" s="577">
        <v>0</v>
      </c>
      <c r="X733" s="575"/>
      <c r="Y733" s="578">
        <f>IF('REF. DE PREÇOS n editavel'!W733=0,0,IF('REF. DE PREÇOS n editavel'!W733&gt;0,"c","b"))</f>
        <v>0</v>
      </c>
    </row>
    <row r="734" spans="1:25" ht="13.5" thickBot="1">
      <c r="A734" s="317">
        <v>589320</v>
      </c>
      <c r="B734" s="978" t="s">
        <v>1677</v>
      </c>
      <c r="C734" s="958" t="s">
        <v>213</v>
      </c>
      <c r="D734" s="986" t="s">
        <v>685</v>
      </c>
      <c r="E734" s="979">
        <f>'REF. DE PREÇOS n editavel'!E734</f>
        <v>468</v>
      </c>
      <c r="F734" s="980">
        <f>'REF. DE PREÇOS n editavel'!F734</f>
        <v>1</v>
      </c>
      <c r="G734" s="923">
        <f>'REF. DE PREÇOS n editavel'!G734</f>
        <v>434.57</v>
      </c>
      <c r="H734" s="962">
        <f>'REF. DE PREÇOS n editavel'!H734</f>
        <v>4012.83</v>
      </c>
      <c r="I734" s="962">
        <f>'REF. DE PREÇOS n editavel'!I734</f>
        <v>4321.3218851251841</v>
      </c>
      <c r="J734" s="963">
        <f>'REF. DE PREÇOS n editavel'!J734</f>
        <v>5281.52</v>
      </c>
      <c r="K734" s="964" t="s">
        <v>14</v>
      </c>
      <c r="L734" s="1124">
        <f>ROUND(L729*$F729,2)</f>
        <v>0</v>
      </c>
      <c r="M734" s="1123">
        <f t="shared" si="88"/>
        <v>0</v>
      </c>
      <c r="N734" s="967">
        <f t="shared" si="92"/>
        <v>0</v>
      </c>
      <c r="O734" s="880"/>
      <c r="P734" s="58" t="str">
        <f>IF(N729&gt;0,"xx",IF(N729&gt;0,"xy",""))</f>
        <v/>
      </c>
      <c r="Q734" s="317" t="str">
        <f t="shared" si="89"/>
        <v/>
      </c>
      <c r="R734" s="317" t="str">
        <f t="shared" si="90"/>
        <v/>
      </c>
      <c r="S734" s="317" t="str">
        <f t="shared" si="91"/>
        <v/>
      </c>
      <c r="T734" s="317" t="str">
        <f>'REF. DE PREÇOS n editavel'!S734</f>
        <v/>
      </c>
      <c r="W734" s="577">
        <v>0</v>
      </c>
      <c r="X734" s="575"/>
      <c r="Y734" s="578">
        <f>IF('REF. DE PREÇOS n editavel'!W734=0,0,IF('REF. DE PREÇOS n editavel'!W734&gt;0,"c","b"))</f>
        <v>0</v>
      </c>
    </row>
    <row r="735" spans="1:25">
      <c r="A735" s="317">
        <v>534300</v>
      </c>
      <c r="B735" s="973" t="s">
        <v>1669</v>
      </c>
      <c r="C735" s="974" t="s">
        <v>184</v>
      </c>
      <c r="D735" s="947" t="s">
        <v>2185</v>
      </c>
      <c r="E735" s="948" t="str">
        <f>'REF. DE PREÇOS n editavel'!E735</f>
        <v>taxa RM-2C</v>
      </c>
      <c r="F735" s="949">
        <f>'REF. DE PREÇOS n editavel'!F735</f>
        <v>0.14000000000000001</v>
      </c>
      <c r="G735" s="950">
        <f>'REF. DE PREÇOS n editavel'!G735</f>
        <v>202.20736000000002</v>
      </c>
      <c r="H735" s="951">
        <f>'REF. DE PREÇOS n editavel'!H735</f>
        <v>140.30000000000001</v>
      </c>
      <c r="I735" s="951">
        <f>'REF. DE PREÇOS n editavel'!I735</f>
        <v>342.50736000000006</v>
      </c>
      <c r="J735" s="952">
        <f>'REF. DE PREÇOS n editavel'!J735</f>
        <v>418.61</v>
      </c>
      <c r="K735" s="953" t="s">
        <v>10</v>
      </c>
      <c r="L735" s="1107"/>
      <c r="M735" s="1108">
        <f t="shared" si="88"/>
        <v>0</v>
      </c>
      <c r="N735" s="956">
        <f t="shared" si="92"/>
        <v>0</v>
      </c>
      <c r="O735" s="880"/>
      <c r="Q735" s="317" t="str">
        <f t="shared" si="89"/>
        <v/>
      </c>
      <c r="R735" s="317" t="str">
        <f t="shared" si="90"/>
        <v/>
      </c>
      <c r="S735" s="317" t="str">
        <f t="shared" si="91"/>
        <v/>
      </c>
      <c r="T735" s="317" t="str">
        <f>'REF. DE PREÇOS n editavel'!S735</f>
        <v/>
      </c>
      <c r="W735" s="577">
        <v>0</v>
      </c>
      <c r="X735" s="575"/>
      <c r="Y735" s="578">
        <f>IF('REF. DE PREÇOS n editavel'!W735=0,0,IF('REF. DE PREÇOS n editavel'!W735&gt;0,"c","b"))</f>
        <v>0</v>
      </c>
    </row>
    <row r="736" spans="1:25">
      <c r="A736" s="317" t="s">
        <v>147</v>
      </c>
      <c r="B736" s="870" t="s">
        <v>147</v>
      </c>
      <c r="C736" s="871"/>
      <c r="D736" s="931" t="s">
        <v>229</v>
      </c>
      <c r="E736" s="882">
        <f>'REF. DE PREÇOS n editavel'!E736</f>
        <v>290</v>
      </c>
      <c r="F736" s="883">
        <f>'REF. DE PREÇOS n editavel'!F736</f>
        <v>0.27</v>
      </c>
      <c r="G736" s="887">
        <f>'REF. DE PREÇOS n editavel'!G736</f>
        <v>84.504600000000011</v>
      </c>
      <c r="H736" s="876">
        <f>'REF. DE PREÇOS n editavel'!H736</f>
        <v>0</v>
      </c>
      <c r="I736" s="876">
        <f>'REF. DE PREÇOS n editavel'!I736</f>
        <v>0</v>
      </c>
      <c r="J736" s="877">
        <f>'REF. DE PREÇOS n editavel'!J736</f>
        <v>0</v>
      </c>
      <c r="K736" s="878" t="s">
        <v>506</v>
      </c>
      <c r="L736" s="977"/>
      <c r="M736" s="1112">
        <f t="shared" si="88"/>
        <v>0</v>
      </c>
      <c r="N736" s="868">
        <f t="shared" si="92"/>
        <v>0</v>
      </c>
      <c r="O736" s="880"/>
      <c r="P736" s="58" t="str">
        <f>IF(N735&gt;0,"xx",IF(N735&gt;0,"xy",""))</f>
        <v/>
      </c>
      <c r="Q736" s="317" t="str">
        <f t="shared" si="89"/>
        <v/>
      </c>
      <c r="R736" s="317" t="str">
        <f t="shared" si="90"/>
        <v/>
      </c>
      <c r="S736" s="317" t="str">
        <f t="shared" si="91"/>
        <v/>
      </c>
      <c r="T736" s="317" t="str">
        <f>'REF. DE PREÇOS n editavel'!S736</f>
        <v/>
      </c>
      <c r="W736" s="577">
        <v>0</v>
      </c>
      <c r="X736" s="575"/>
      <c r="Y736" s="578">
        <f>IF('REF. DE PREÇOS n editavel'!W736=0,0,IF('REF. DE PREÇOS n editavel'!W736&gt;0,"c","b"))</f>
        <v>0</v>
      </c>
    </row>
    <row r="737" spans="1:25">
      <c r="A737" s="317" t="s">
        <v>147</v>
      </c>
      <c r="B737" s="870" t="s">
        <v>147</v>
      </c>
      <c r="C737" s="871"/>
      <c r="D737" s="931" t="s">
        <v>230</v>
      </c>
      <c r="E737" s="882">
        <f>'REF. DE PREÇOS n editavel'!E737</f>
        <v>445</v>
      </c>
      <c r="F737" s="883">
        <f>'REF. DE PREÇOS n editavel'!F737</f>
        <v>0</v>
      </c>
      <c r="G737" s="884">
        <f>'REF. DE PREÇOS n editavel'!G737</f>
        <v>0</v>
      </c>
      <c r="H737" s="876">
        <f>'REF. DE PREÇOS n editavel'!H737</f>
        <v>0</v>
      </c>
      <c r="I737" s="876">
        <f>'REF. DE PREÇOS n editavel'!I737</f>
        <v>0</v>
      </c>
      <c r="J737" s="877">
        <f>'REF. DE PREÇOS n editavel'!J737</f>
        <v>0</v>
      </c>
      <c r="K737" s="878" t="s">
        <v>506</v>
      </c>
      <c r="L737" s="977"/>
      <c r="M737" s="1112">
        <f t="shared" si="88"/>
        <v>0</v>
      </c>
      <c r="N737" s="868">
        <f t="shared" si="92"/>
        <v>0</v>
      </c>
      <c r="O737" s="880"/>
      <c r="P737" s="58" t="str">
        <f>IF(N735&gt;0,"xx",IF(N735&gt;0,"xy",""))</f>
        <v/>
      </c>
      <c r="Q737" s="317" t="str">
        <f t="shared" si="89"/>
        <v/>
      </c>
      <c r="R737" s="317" t="str">
        <f t="shared" si="90"/>
        <v/>
      </c>
      <c r="S737" s="317" t="str">
        <f t="shared" si="91"/>
        <v/>
      </c>
      <c r="T737" s="317" t="str">
        <f>'REF. DE PREÇOS n editavel'!S737</f>
        <v/>
      </c>
      <c r="W737" s="577">
        <v>0</v>
      </c>
      <c r="X737" s="575"/>
      <c r="Y737" s="578">
        <f>IF('REF. DE PREÇOS n editavel'!W737=0,0,IF('REF. DE PREÇOS n editavel'!W737&gt;0,"c","b"))</f>
        <v>0</v>
      </c>
    </row>
    <row r="738" spans="1:25">
      <c r="A738" s="317" t="s">
        <v>147</v>
      </c>
      <c r="B738" s="870" t="s">
        <v>147</v>
      </c>
      <c r="C738" s="871"/>
      <c r="D738" s="931" t="s">
        <v>243</v>
      </c>
      <c r="E738" s="882">
        <f>'REF. DE PREÇOS n editavel'!E738</f>
        <v>0.2</v>
      </c>
      <c r="F738" s="883">
        <f>'REF. DE PREÇOS n editavel'!F738</f>
        <v>1.89</v>
      </c>
      <c r="G738" s="887">
        <f>'REF. DE PREÇOS n editavel'!G738</f>
        <v>5.4696600000000002</v>
      </c>
      <c r="H738" s="876">
        <f>'REF. DE PREÇOS n editavel'!H738</f>
        <v>0</v>
      </c>
      <c r="I738" s="876">
        <f>'REF. DE PREÇOS n editavel'!I738</f>
        <v>0</v>
      </c>
      <c r="J738" s="877">
        <f>'REF. DE PREÇOS n editavel'!J738</f>
        <v>0</v>
      </c>
      <c r="K738" s="878" t="s">
        <v>506</v>
      </c>
      <c r="L738" s="977"/>
      <c r="M738" s="1112">
        <f t="shared" si="88"/>
        <v>0</v>
      </c>
      <c r="N738" s="868">
        <f t="shared" si="92"/>
        <v>0</v>
      </c>
      <c r="O738" s="880"/>
      <c r="P738" s="58" t="str">
        <f>IF(N735&gt;0,"xx",IF(N735&gt;0,"xy",""))</f>
        <v/>
      </c>
      <c r="Q738" s="317" t="str">
        <f t="shared" si="89"/>
        <v/>
      </c>
      <c r="R738" s="317" t="str">
        <f t="shared" si="90"/>
        <v/>
      </c>
      <c r="S738" s="317" t="str">
        <f t="shared" si="91"/>
        <v/>
      </c>
      <c r="T738" s="317" t="str">
        <f>'REF. DE PREÇOS n editavel'!S738</f>
        <v/>
      </c>
      <c r="W738" s="577">
        <v>0</v>
      </c>
      <c r="X738" s="575"/>
      <c r="Y738" s="578">
        <f>IF('REF. DE PREÇOS n editavel'!W738=0,0,IF('REF. DE PREÇOS n editavel'!W738&gt;0,"c","b"))</f>
        <v>0</v>
      </c>
    </row>
    <row r="739" spans="1:25">
      <c r="A739" s="317" t="s">
        <v>147</v>
      </c>
      <c r="B739" s="870" t="s">
        <v>147</v>
      </c>
      <c r="C739" s="871"/>
      <c r="D739" s="931" t="s">
        <v>244</v>
      </c>
      <c r="E739" s="882">
        <f>'REF. DE PREÇOS n editavel'!E739</f>
        <v>43.1</v>
      </c>
      <c r="F739" s="883">
        <f>'REF. DE PREÇOS n editavel'!F739</f>
        <v>2.2999999999999998</v>
      </c>
      <c r="G739" s="887">
        <f>'REF. DE PREÇOS n editavel'!G739</f>
        <v>112.23310000000001</v>
      </c>
      <c r="H739" s="876">
        <f>'REF. DE PREÇOS n editavel'!H739</f>
        <v>0</v>
      </c>
      <c r="I739" s="876">
        <f>'REF. DE PREÇOS n editavel'!I739</f>
        <v>0</v>
      </c>
      <c r="J739" s="877">
        <f>'REF. DE PREÇOS n editavel'!J739</f>
        <v>0</v>
      </c>
      <c r="K739" s="878" t="s">
        <v>506</v>
      </c>
      <c r="L739" s="977"/>
      <c r="M739" s="1112">
        <f t="shared" si="88"/>
        <v>0</v>
      </c>
      <c r="N739" s="868">
        <f t="shared" si="92"/>
        <v>0</v>
      </c>
      <c r="O739" s="880"/>
      <c r="P739" s="58" t="str">
        <f>IF(N735&gt;0,"xx",IF(N735&gt;0,"xy",""))</f>
        <v/>
      </c>
      <c r="Q739" s="317" t="str">
        <f t="shared" si="89"/>
        <v/>
      </c>
      <c r="R739" s="317" t="str">
        <f t="shared" si="90"/>
        <v/>
      </c>
      <c r="S739" s="317" t="str">
        <f t="shared" si="91"/>
        <v/>
      </c>
      <c r="T739" s="317" t="str">
        <f>'REF. DE PREÇOS n editavel'!S739</f>
        <v/>
      </c>
      <c r="W739" s="577">
        <v>0</v>
      </c>
      <c r="X739" s="575"/>
      <c r="Y739" s="578">
        <f>IF('REF. DE PREÇOS n editavel'!W739=0,0,IF('REF. DE PREÇOS n editavel'!W739&gt;0,"c","b"))</f>
        <v>0</v>
      </c>
    </row>
    <row r="740" spans="1:25" ht="13.5" thickBot="1">
      <c r="A740" s="317">
        <v>589320</v>
      </c>
      <c r="B740" s="978" t="s">
        <v>1678</v>
      </c>
      <c r="C740" s="958" t="s">
        <v>213</v>
      </c>
      <c r="D740" s="986" t="s">
        <v>685</v>
      </c>
      <c r="E740" s="979">
        <f>'REF. DE PREÇOS n editavel'!E740</f>
        <v>468</v>
      </c>
      <c r="F740" s="980">
        <f>'REF. DE PREÇOS n editavel'!F740</f>
        <v>1</v>
      </c>
      <c r="G740" s="923">
        <f>'REF. DE PREÇOS n editavel'!G740</f>
        <v>434.57</v>
      </c>
      <c r="H740" s="962">
        <f>'REF. DE PREÇOS n editavel'!H740</f>
        <v>4012.83</v>
      </c>
      <c r="I740" s="962">
        <f>'REF. DE PREÇOS n editavel'!I740</f>
        <v>4321.3218851251841</v>
      </c>
      <c r="J740" s="963">
        <f>'REF. DE PREÇOS n editavel'!J740</f>
        <v>5281.52</v>
      </c>
      <c r="K740" s="964" t="s">
        <v>14</v>
      </c>
      <c r="L740" s="1124">
        <f>ROUND(L735*$F735,2)</f>
        <v>0</v>
      </c>
      <c r="M740" s="1123">
        <f t="shared" si="88"/>
        <v>0</v>
      </c>
      <c r="N740" s="967">
        <f t="shared" si="92"/>
        <v>0</v>
      </c>
      <c r="O740" s="880"/>
      <c r="P740" s="58" t="str">
        <f>IF(N735&gt;0,"xx",IF(N735&gt;0,"xy",""))</f>
        <v/>
      </c>
      <c r="Q740" s="317" t="str">
        <f t="shared" si="89"/>
        <v/>
      </c>
      <c r="R740" s="317" t="str">
        <f t="shared" si="90"/>
        <v/>
      </c>
      <c r="S740" s="317" t="str">
        <f t="shared" si="91"/>
        <v/>
      </c>
      <c r="T740" s="317" t="str">
        <f>'REF. DE PREÇOS n editavel'!S740</f>
        <v/>
      </c>
      <c r="W740" s="577">
        <v>0</v>
      </c>
      <c r="X740" s="575"/>
      <c r="Y740" s="578">
        <f>IF('REF. DE PREÇOS n editavel'!W740=0,0,IF('REF. DE PREÇOS n editavel'!W740&gt;0,"c","b"))</f>
        <v>0</v>
      </c>
    </row>
    <row r="741" spans="1:25">
      <c r="A741" s="317">
        <v>534300</v>
      </c>
      <c r="B741" s="973" t="s">
        <v>1745</v>
      </c>
      <c r="C741" s="974" t="s">
        <v>184</v>
      </c>
      <c r="D741" s="947" t="s">
        <v>2184</v>
      </c>
      <c r="E741" s="948" t="str">
        <f>'REF. DE PREÇOS n editavel'!E741</f>
        <v>taxa RM-2C</v>
      </c>
      <c r="F741" s="949">
        <f>'REF. DE PREÇOS n editavel'!F741</f>
        <v>0.14000000000000001</v>
      </c>
      <c r="G741" s="950">
        <f>'REF. DE PREÇOS n editavel'!G741</f>
        <v>202.20736000000002</v>
      </c>
      <c r="H741" s="951">
        <f>'REF. DE PREÇOS n editavel'!H741</f>
        <v>140.30000000000001</v>
      </c>
      <c r="I741" s="951">
        <f>'REF. DE PREÇOS n editavel'!I741</f>
        <v>342.50736000000006</v>
      </c>
      <c r="J741" s="952">
        <f>'REF. DE PREÇOS n editavel'!J741</f>
        <v>418.61</v>
      </c>
      <c r="K741" s="953" t="s">
        <v>10</v>
      </c>
      <c r="L741" s="1107"/>
      <c r="M741" s="1108">
        <f t="shared" si="88"/>
        <v>0</v>
      </c>
      <c r="N741" s="956">
        <f t="shared" si="92"/>
        <v>0</v>
      </c>
      <c r="O741" s="880"/>
      <c r="Q741" s="317" t="str">
        <f t="shared" si="89"/>
        <v/>
      </c>
      <c r="R741" s="317" t="str">
        <f t="shared" si="90"/>
        <v/>
      </c>
      <c r="S741" s="317" t="str">
        <f t="shared" si="91"/>
        <v/>
      </c>
      <c r="T741" s="317" t="str">
        <f>'REF. DE PREÇOS n editavel'!S741</f>
        <v/>
      </c>
      <c r="W741" s="577">
        <v>0</v>
      </c>
      <c r="X741" s="575"/>
      <c r="Y741" s="578">
        <f>IF('REF. DE PREÇOS n editavel'!W741=0,0,IF('REF. DE PREÇOS n editavel'!W741&gt;0,"c","b"))</f>
        <v>0</v>
      </c>
    </row>
    <row r="742" spans="1:25">
      <c r="A742" s="317" t="s">
        <v>147</v>
      </c>
      <c r="B742" s="870" t="s">
        <v>147</v>
      </c>
      <c r="C742" s="871"/>
      <c r="D742" s="931" t="s">
        <v>229</v>
      </c>
      <c r="E742" s="882">
        <f>'REF. DE PREÇOS n editavel'!E742</f>
        <v>290</v>
      </c>
      <c r="F742" s="883">
        <f>'REF. DE PREÇOS n editavel'!F742</f>
        <v>0.27</v>
      </c>
      <c r="G742" s="887">
        <f>'REF. DE PREÇOS n editavel'!G742</f>
        <v>84.504600000000011</v>
      </c>
      <c r="H742" s="876">
        <f>'REF. DE PREÇOS n editavel'!H742</f>
        <v>0</v>
      </c>
      <c r="I742" s="876">
        <f>'REF. DE PREÇOS n editavel'!I742</f>
        <v>0</v>
      </c>
      <c r="J742" s="877">
        <f>'REF. DE PREÇOS n editavel'!J742</f>
        <v>0</v>
      </c>
      <c r="K742" s="878" t="s">
        <v>506</v>
      </c>
      <c r="L742" s="977"/>
      <c r="M742" s="1112">
        <f t="shared" si="88"/>
        <v>0</v>
      </c>
      <c r="N742" s="868">
        <f t="shared" si="92"/>
        <v>0</v>
      </c>
      <c r="O742" s="880"/>
      <c r="P742" s="58" t="str">
        <f>IF(N741&gt;0,"xx",IF(N741&gt;0,"xy",""))</f>
        <v/>
      </c>
      <c r="Q742" s="317" t="str">
        <f t="shared" si="89"/>
        <v/>
      </c>
      <c r="R742" s="317" t="str">
        <f t="shared" si="90"/>
        <v/>
      </c>
      <c r="S742" s="317" t="str">
        <f t="shared" si="91"/>
        <v/>
      </c>
      <c r="T742" s="317" t="str">
        <f>'REF. DE PREÇOS n editavel'!S742</f>
        <v/>
      </c>
      <c r="W742" s="577">
        <v>0</v>
      </c>
      <c r="X742" s="575"/>
      <c r="Y742" s="578">
        <f>IF('REF. DE PREÇOS n editavel'!W742=0,0,IF('REF. DE PREÇOS n editavel'!W742&gt;0,"c","b"))</f>
        <v>0</v>
      </c>
    </row>
    <row r="743" spans="1:25">
      <c r="A743" s="317" t="s">
        <v>147</v>
      </c>
      <c r="B743" s="870" t="s">
        <v>147</v>
      </c>
      <c r="C743" s="871"/>
      <c r="D743" s="931" t="s">
        <v>230</v>
      </c>
      <c r="E743" s="882">
        <f>'REF. DE PREÇOS n editavel'!E743</f>
        <v>445</v>
      </c>
      <c r="F743" s="883">
        <f>'REF. DE PREÇOS n editavel'!F743</f>
        <v>0</v>
      </c>
      <c r="G743" s="884">
        <f>'REF. DE PREÇOS n editavel'!G743</f>
        <v>0</v>
      </c>
      <c r="H743" s="876">
        <f>'REF. DE PREÇOS n editavel'!H743</f>
        <v>0</v>
      </c>
      <c r="I743" s="876">
        <f>'REF. DE PREÇOS n editavel'!I743</f>
        <v>0</v>
      </c>
      <c r="J743" s="877">
        <f>'REF. DE PREÇOS n editavel'!J743</f>
        <v>0</v>
      </c>
      <c r="K743" s="878" t="s">
        <v>506</v>
      </c>
      <c r="L743" s="977"/>
      <c r="M743" s="1112">
        <f t="shared" si="88"/>
        <v>0</v>
      </c>
      <c r="N743" s="868">
        <f t="shared" si="92"/>
        <v>0</v>
      </c>
      <c r="O743" s="880"/>
      <c r="P743" s="58" t="str">
        <f>IF(N741&gt;0,"xx",IF(N741&gt;0,"xy",""))</f>
        <v/>
      </c>
      <c r="Q743" s="317" t="str">
        <f t="shared" si="89"/>
        <v/>
      </c>
      <c r="R743" s="317" t="str">
        <f t="shared" si="90"/>
        <v/>
      </c>
      <c r="S743" s="317" t="str">
        <f t="shared" si="91"/>
        <v/>
      </c>
      <c r="T743" s="317" t="str">
        <f>'REF. DE PREÇOS n editavel'!S743</f>
        <v/>
      </c>
      <c r="W743" s="577">
        <v>0</v>
      </c>
      <c r="X743" s="575"/>
      <c r="Y743" s="578">
        <f>IF('REF. DE PREÇOS n editavel'!W743=0,0,IF('REF. DE PREÇOS n editavel'!W743&gt;0,"c","b"))</f>
        <v>0</v>
      </c>
    </row>
    <row r="744" spans="1:25">
      <c r="A744" s="317" t="s">
        <v>147</v>
      </c>
      <c r="B744" s="870" t="s">
        <v>147</v>
      </c>
      <c r="C744" s="871"/>
      <c r="D744" s="931" t="s">
        <v>243</v>
      </c>
      <c r="E744" s="882">
        <f>'REF. DE PREÇOS n editavel'!E744</f>
        <v>0.2</v>
      </c>
      <c r="F744" s="883">
        <f>'REF. DE PREÇOS n editavel'!F744</f>
        <v>1.89</v>
      </c>
      <c r="G744" s="887">
        <f>'REF. DE PREÇOS n editavel'!G744</f>
        <v>5.4696600000000002</v>
      </c>
      <c r="H744" s="876">
        <f>'REF. DE PREÇOS n editavel'!H744</f>
        <v>0</v>
      </c>
      <c r="I744" s="876">
        <f>'REF. DE PREÇOS n editavel'!I744</f>
        <v>0</v>
      </c>
      <c r="J744" s="877">
        <f>'REF. DE PREÇOS n editavel'!J744</f>
        <v>0</v>
      </c>
      <c r="K744" s="878" t="s">
        <v>506</v>
      </c>
      <c r="L744" s="977"/>
      <c r="M744" s="1112">
        <f t="shared" si="88"/>
        <v>0</v>
      </c>
      <c r="N744" s="868">
        <f t="shared" si="92"/>
        <v>0</v>
      </c>
      <c r="O744" s="880"/>
      <c r="P744" s="58" t="str">
        <f>IF(N741&gt;0,"xx",IF(N741&gt;0,"xy",""))</f>
        <v/>
      </c>
      <c r="Q744" s="317" t="str">
        <f t="shared" si="89"/>
        <v/>
      </c>
      <c r="R744" s="317" t="str">
        <f t="shared" si="90"/>
        <v/>
      </c>
      <c r="S744" s="317" t="str">
        <f t="shared" si="91"/>
        <v/>
      </c>
      <c r="T744" s="317" t="str">
        <f>'REF. DE PREÇOS n editavel'!S744</f>
        <v/>
      </c>
      <c r="W744" s="577">
        <v>0</v>
      </c>
      <c r="X744" s="575"/>
      <c r="Y744" s="578">
        <f>IF('REF. DE PREÇOS n editavel'!W744=0,0,IF('REF. DE PREÇOS n editavel'!W744&gt;0,"c","b"))</f>
        <v>0</v>
      </c>
    </row>
    <row r="745" spans="1:25">
      <c r="A745" s="317" t="s">
        <v>147</v>
      </c>
      <c r="B745" s="870" t="s">
        <v>147</v>
      </c>
      <c r="C745" s="871"/>
      <c r="D745" s="931" t="s">
        <v>244</v>
      </c>
      <c r="E745" s="882">
        <f>'REF. DE PREÇOS n editavel'!E745</f>
        <v>43.1</v>
      </c>
      <c r="F745" s="883">
        <f>'REF. DE PREÇOS n editavel'!F745</f>
        <v>2.2999999999999998</v>
      </c>
      <c r="G745" s="887">
        <f>'REF. DE PREÇOS n editavel'!G745</f>
        <v>112.23310000000001</v>
      </c>
      <c r="H745" s="876">
        <f>'REF. DE PREÇOS n editavel'!H745</f>
        <v>0</v>
      </c>
      <c r="I745" s="876">
        <f>'REF. DE PREÇOS n editavel'!I745</f>
        <v>0</v>
      </c>
      <c r="J745" s="877">
        <f>'REF. DE PREÇOS n editavel'!J745</f>
        <v>0</v>
      </c>
      <c r="K745" s="878" t="s">
        <v>506</v>
      </c>
      <c r="L745" s="977"/>
      <c r="M745" s="1112">
        <f t="shared" si="88"/>
        <v>0</v>
      </c>
      <c r="N745" s="868">
        <f t="shared" si="92"/>
        <v>0</v>
      </c>
      <c r="O745" s="880"/>
      <c r="P745" s="58" t="str">
        <f>IF(N741&gt;0,"xx",IF(N741&gt;0,"xy",""))</f>
        <v/>
      </c>
      <c r="Q745" s="317" t="str">
        <f t="shared" si="89"/>
        <v/>
      </c>
      <c r="R745" s="317" t="str">
        <f t="shared" si="90"/>
        <v/>
      </c>
      <c r="S745" s="317" t="str">
        <f t="shared" si="91"/>
        <v/>
      </c>
      <c r="T745" s="317" t="str">
        <f>'REF. DE PREÇOS n editavel'!S745</f>
        <v/>
      </c>
      <c r="W745" s="577">
        <v>0</v>
      </c>
      <c r="X745" s="575"/>
      <c r="Y745" s="578">
        <f>IF('REF. DE PREÇOS n editavel'!W745=0,0,IF('REF. DE PREÇOS n editavel'!W745&gt;0,"c","b"))</f>
        <v>0</v>
      </c>
    </row>
    <row r="746" spans="1:25" ht="13.5" thickBot="1">
      <c r="A746" s="317">
        <v>589320</v>
      </c>
      <c r="B746" s="978" t="s">
        <v>1679</v>
      </c>
      <c r="C746" s="958" t="s">
        <v>213</v>
      </c>
      <c r="D746" s="986" t="s">
        <v>685</v>
      </c>
      <c r="E746" s="979">
        <f>'REF. DE PREÇOS n editavel'!E746</f>
        <v>468</v>
      </c>
      <c r="F746" s="980">
        <f>'REF. DE PREÇOS n editavel'!F746</f>
        <v>1</v>
      </c>
      <c r="G746" s="923">
        <f>'REF. DE PREÇOS n editavel'!G746</f>
        <v>434.57</v>
      </c>
      <c r="H746" s="962">
        <f>'REF. DE PREÇOS n editavel'!H746</f>
        <v>4012.83</v>
      </c>
      <c r="I746" s="962">
        <f>'REF. DE PREÇOS n editavel'!I746</f>
        <v>4321.3218851251841</v>
      </c>
      <c r="J746" s="963">
        <f>'REF. DE PREÇOS n editavel'!J746</f>
        <v>5281.52</v>
      </c>
      <c r="K746" s="964" t="s">
        <v>14</v>
      </c>
      <c r="L746" s="1124">
        <f>ROUND(L741*$F741,2)</f>
        <v>0</v>
      </c>
      <c r="M746" s="1123">
        <f t="shared" si="88"/>
        <v>0</v>
      </c>
      <c r="N746" s="967">
        <f t="shared" si="92"/>
        <v>0</v>
      </c>
      <c r="O746" s="880"/>
      <c r="P746" s="58" t="str">
        <f>IF(N741&gt;0,"xx",IF(N741&gt;0,"xy",""))</f>
        <v/>
      </c>
      <c r="Q746" s="317" t="str">
        <f t="shared" si="89"/>
        <v/>
      </c>
      <c r="R746" s="317" t="str">
        <f t="shared" si="90"/>
        <v/>
      </c>
      <c r="S746" s="317" t="str">
        <f t="shared" si="91"/>
        <v/>
      </c>
      <c r="T746" s="317" t="str">
        <f>'REF. DE PREÇOS n editavel'!S746</f>
        <v/>
      </c>
      <c r="W746" s="577">
        <v>0</v>
      </c>
      <c r="X746" s="575"/>
      <c r="Y746" s="578">
        <f>IF('REF. DE PREÇOS n editavel'!W746=0,0,IF('REF. DE PREÇOS n editavel'!W746&gt;0,"c","b"))</f>
        <v>0</v>
      </c>
    </row>
    <row r="747" spans="1:25">
      <c r="A747" s="317">
        <v>534300</v>
      </c>
      <c r="B747" s="973" t="s">
        <v>1746</v>
      </c>
      <c r="C747" s="974" t="s">
        <v>184</v>
      </c>
      <c r="D747" s="947" t="s">
        <v>2186</v>
      </c>
      <c r="E747" s="948" t="str">
        <f>'REF. DE PREÇOS n editavel'!E747</f>
        <v>taxa RM-2C</v>
      </c>
      <c r="F747" s="949">
        <f>'REF. DE PREÇOS n editavel'!F747</f>
        <v>0.18240000000000001</v>
      </c>
      <c r="G747" s="950">
        <f>'REF. DE PREÇOS n editavel'!G747</f>
        <v>329.6283492</v>
      </c>
      <c r="H747" s="951">
        <f>'REF. DE PREÇOS n editavel'!H747</f>
        <v>140.30000000000001</v>
      </c>
      <c r="I747" s="951">
        <f>'REF. DE PREÇOS n editavel'!I747</f>
        <v>469.92834920000001</v>
      </c>
      <c r="J747" s="952">
        <f>'REF. DE PREÇOS n editavel'!J747</f>
        <v>574.35</v>
      </c>
      <c r="K747" s="953" t="s">
        <v>10</v>
      </c>
      <c r="L747" s="1107"/>
      <c r="M747" s="1108">
        <f t="shared" si="88"/>
        <v>0</v>
      </c>
      <c r="N747" s="956">
        <f t="shared" si="92"/>
        <v>0</v>
      </c>
      <c r="O747" s="880"/>
      <c r="Q747" s="317" t="str">
        <f t="shared" si="89"/>
        <v/>
      </c>
      <c r="R747" s="317" t="str">
        <f t="shared" si="90"/>
        <v/>
      </c>
      <c r="S747" s="317" t="str">
        <f t="shared" si="91"/>
        <v/>
      </c>
      <c r="T747" s="317" t="str">
        <f>'REF. DE PREÇOS n editavel'!S747</f>
        <v/>
      </c>
      <c r="W747" s="577">
        <v>0</v>
      </c>
      <c r="X747" s="575"/>
      <c r="Y747" s="578">
        <f>IF('REF. DE PREÇOS n editavel'!W747=0,0,IF('REF. DE PREÇOS n editavel'!W747&gt;0,"c","b"))</f>
        <v>0</v>
      </c>
    </row>
    <row r="748" spans="1:25">
      <c r="A748" s="317" t="s">
        <v>147</v>
      </c>
      <c r="B748" s="870" t="s">
        <v>147</v>
      </c>
      <c r="C748" s="871"/>
      <c r="D748" s="931" t="s">
        <v>229</v>
      </c>
      <c r="E748" s="882">
        <f>'REF. DE PREÇOS n editavel'!E748</f>
        <v>290</v>
      </c>
      <c r="F748" s="883">
        <f>'REF. DE PREÇOS n editavel'!F748</f>
        <v>0.56969999999999998</v>
      </c>
      <c r="G748" s="887">
        <f>'REF. DE PREÇOS n editavel'!G748</f>
        <v>178.30470600000001</v>
      </c>
      <c r="H748" s="876">
        <f>'REF. DE PREÇOS n editavel'!H748</f>
        <v>0</v>
      </c>
      <c r="I748" s="876">
        <f>'REF. DE PREÇOS n editavel'!I748</f>
        <v>0</v>
      </c>
      <c r="J748" s="877">
        <f>'REF. DE PREÇOS n editavel'!J748</f>
        <v>0</v>
      </c>
      <c r="K748" s="878" t="s">
        <v>506</v>
      </c>
      <c r="L748" s="977"/>
      <c r="M748" s="1112">
        <f t="shared" si="88"/>
        <v>0</v>
      </c>
      <c r="N748" s="868">
        <f t="shared" si="92"/>
        <v>0</v>
      </c>
      <c r="O748" s="880"/>
      <c r="P748" s="58" t="str">
        <f>IF(N747&gt;0,"xx",IF(N747&gt;0,"xy",""))</f>
        <v/>
      </c>
      <c r="Q748" s="317" t="str">
        <f t="shared" si="89"/>
        <v/>
      </c>
      <c r="R748" s="317" t="str">
        <f t="shared" si="90"/>
        <v/>
      </c>
      <c r="S748" s="317" t="str">
        <f t="shared" si="91"/>
        <v/>
      </c>
      <c r="T748" s="317" t="str">
        <f>'REF. DE PREÇOS n editavel'!S748</f>
        <v/>
      </c>
      <c r="W748" s="577">
        <v>0</v>
      </c>
      <c r="X748" s="575"/>
      <c r="Y748" s="578">
        <f>IF('REF. DE PREÇOS n editavel'!W748=0,0,IF('REF. DE PREÇOS n editavel'!W748&gt;0,"c","b"))</f>
        <v>0</v>
      </c>
    </row>
    <row r="749" spans="1:25">
      <c r="A749" s="317" t="s">
        <v>147</v>
      </c>
      <c r="B749" s="870" t="s">
        <v>147</v>
      </c>
      <c r="C749" s="871"/>
      <c r="D749" s="931" t="s">
        <v>230</v>
      </c>
      <c r="E749" s="882">
        <f>'REF. DE PREÇOS n editavel'!E749</f>
        <v>445</v>
      </c>
      <c r="F749" s="883">
        <f>'REF. DE PREÇOS n editavel'!F749</f>
        <v>8.7599999999999997E-2</v>
      </c>
      <c r="G749" s="884">
        <f>'REF. DE PREÇOS n editavel'!G749</f>
        <v>31.090992</v>
      </c>
      <c r="H749" s="876">
        <f>'REF. DE PREÇOS n editavel'!H749</f>
        <v>0</v>
      </c>
      <c r="I749" s="876">
        <f>'REF. DE PREÇOS n editavel'!I749</f>
        <v>0</v>
      </c>
      <c r="J749" s="877">
        <f>'REF. DE PREÇOS n editavel'!J749</f>
        <v>0</v>
      </c>
      <c r="K749" s="878" t="s">
        <v>506</v>
      </c>
      <c r="L749" s="977"/>
      <c r="M749" s="1112">
        <f t="shared" si="88"/>
        <v>0</v>
      </c>
      <c r="N749" s="868">
        <f t="shared" si="92"/>
        <v>0</v>
      </c>
      <c r="O749" s="880"/>
      <c r="P749" s="58" t="str">
        <f>IF(N747&gt;0,"xx",IF(N747&gt;0,"xy",""))</f>
        <v/>
      </c>
      <c r="Q749" s="317" t="str">
        <f t="shared" si="89"/>
        <v/>
      </c>
      <c r="R749" s="317" t="str">
        <f t="shared" si="90"/>
        <v/>
      </c>
      <c r="S749" s="317" t="str">
        <f t="shared" si="91"/>
        <v/>
      </c>
      <c r="T749" s="317" t="str">
        <f>'REF. DE PREÇOS n editavel'!S749</f>
        <v/>
      </c>
      <c r="W749" s="577">
        <v>0</v>
      </c>
      <c r="X749" s="575"/>
      <c r="Y749" s="578">
        <f>IF('REF. DE PREÇOS n editavel'!W749=0,0,IF('REF. DE PREÇOS n editavel'!W749&gt;0,"c","b"))</f>
        <v>0</v>
      </c>
    </row>
    <row r="750" spans="1:25">
      <c r="A750" s="317" t="s">
        <v>147</v>
      </c>
      <c r="B750" s="870" t="s">
        <v>147</v>
      </c>
      <c r="C750" s="871"/>
      <c r="D750" s="931" t="s">
        <v>243</v>
      </c>
      <c r="E750" s="882">
        <f>'REF. DE PREÇOS n editavel'!E750</f>
        <v>0.2</v>
      </c>
      <c r="F750" s="883">
        <f>'REF. DE PREÇOS n editavel'!F750</f>
        <v>1.5333000000000001</v>
      </c>
      <c r="G750" s="887">
        <f>'REF. DE PREÇOS n editavel'!G750</f>
        <v>4.4373702000000002</v>
      </c>
      <c r="H750" s="876">
        <f>'REF. DE PREÇOS n editavel'!H750</f>
        <v>0</v>
      </c>
      <c r="I750" s="876">
        <f>'REF. DE PREÇOS n editavel'!I750</f>
        <v>0</v>
      </c>
      <c r="J750" s="877">
        <f>'REF. DE PREÇOS n editavel'!J750</f>
        <v>0</v>
      </c>
      <c r="K750" s="878" t="s">
        <v>506</v>
      </c>
      <c r="L750" s="977"/>
      <c r="M750" s="1112">
        <f t="shared" si="88"/>
        <v>0</v>
      </c>
      <c r="N750" s="868">
        <f t="shared" si="92"/>
        <v>0</v>
      </c>
      <c r="O750" s="880"/>
      <c r="P750" s="58" t="str">
        <f>IF(N747&gt;0,"xx",IF(N747&gt;0,"xy",""))</f>
        <v/>
      </c>
      <c r="Q750" s="317" t="str">
        <f t="shared" si="89"/>
        <v/>
      </c>
      <c r="R750" s="317" t="str">
        <f t="shared" si="90"/>
        <v/>
      </c>
      <c r="S750" s="317" t="str">
        <f t="shared" si="91"/>
        <v/>
      </c>
      <c r="T750" s="317" t="str">
        <f>'REF. DE PREÇOS n editavel'!S750</f>
        <v/>
      </c>
      <c r="W750" s="577">
        <v>0</v>
      </c>
      <c r="X750" s="575"/>
      <c r="Y750" s="578">
        <f>IF('REF. DE PREÇOS n editavel'!W750=0,0,IF('REF. DE PREÇOS n editavel'!W750&gt;0,"c","b"))</f>
        <v>0</v>
      </c>
    </row>
    <row r="751" spans="1:25">
      <c r="A751" s="317" t="s">
        <v>147</v>
      </c>
      <c r="B751" s="870" t="s">
        <v>147</v>
      </c>
      <c r="C751" s="871"/>
      <c r="D751" s="931" t="s">
        <v>244</v>
      </c>
      <c r="E751" s="882">
        <f>'REF. DE PREÇOS n editavel'!E751</f>
        <v>43.1</v>
      </c>
      <c r="F751" s="883">
        <f>'REF. DE PREÇOS n editavel'!F751</f>
        <v>2.3730000000000002</v>
      </c>
      <c r="G751" s="887">
        <f>'REF. DE PREÇOS n editavel'!G751</f>
        <v>115.79528100000002</v>
      </c>
      <c r="H751" s="876">
        <f>'REF. DE PREÇOS n editavel'!H751</f>
        <v>0</v>
      </c>
      <c r="I751" s="876">
        <f>'REF. DE PREÇOS n editavel'!I751</f>
        <v>0</v>
      </c>
      <c r="J751" s="877">
        <f>'REF. DE PREÇOS n editavel'!J751</f>
        <v>0</v>
      </c>
      <c r="K751" s="878" t="s">
        <v>506</v>
      </c>
      <c r="L751" s="977"/>
      <c r="M751" s="1112">
        <f t="shared" si="88"/>
        <v>0</v>
      </c>
      <c r="N751" s="868">
        <f t="shared" si="92"/>
        <v>0</v>
      </c>
      <c r="O751" s="880"/>
      <c r="P751" s="58" t="str">
        <f>IF(N747&gt;0,"xx",IF(N747&gt;0,"xy",""))</f>
        <v/>
      </c>
      <c r="Q751" s="317" t="str">
        <f t="shared" si="89"/>
        <v/>
      </c>
      <c r="R751" s="317" t="str">
        <f t="shared" si="90"/>
        <v/>
      </c>
      <c r="S751" s="317" t="str">
        <f t="shared" si="91"/>
        <v/>
      </c>
      <c r="T751" s="317" t="str">
        <f>'REF. DE PREÇOS n editavel'!S751</f>
        <v/>
      </c>
      <c r="W751" s="577">
        <v>0</v>
      </c>
      <c r="X751" s="575"/>
      <c r="Y751" s="578">
        <f>IF('REF. DE PREÇOS n editavel'!W751=0,0,IF('REF. DE PREÇOS n editavel'!W751&gt;0,"c","b"))</f>
        <v>0</v>
      </c>
    </row>
    <row r="752" spans="1:25" ht="13.5" thickBot="1">
      <c r="A752" s="317">
        <v>589320</v>
      </c>
      <c r="B752" s="978" t="s">
        <v>1680</v>
      </c>
      <c r="C752" s="958" t="s">
        <v>213</v>
      </c>
      <c r="D752" s="986" t="s">
        <v>1666</v>
      </c>
      <c r="E752" s="979">
        <f>'REF. DE PREÇOS n editavel'!E752</f>
        <v>468</v>
      </c>
      <c r="F752" s="980">
        <f>'REF. DE PREÇOS n editavel'!F752</f>
        <v>1</v>
      </c>
      <c r="G752" s="923">
        <f>'REF. DE PREÇOS n editavel'!G752</f>
        <v>434.57</v>
      </c>
      <c r="H752" s="962">
        <f>'REF. DE PREÇOS n editavel'!H752</f>
        <v>4012.83</v>
      </c>
      <c r="I752" s="962">
        <f>'REF. DE PREÇOS n editavel'!I752</f>
        <v>4321.3218851251841</v>
      </c>
      <c r="J752" s="963">
        <f>'REF. DE PREÇOS n editavel'!J752</f>
        <v>5281.52</v>
      </c>
      <c r="K752" s="964" t="s">
        <v>14</v>
      </c>
      <c r="L752" s="1124">
        <f>ROUND(L747*$F747,2)</f>
        <v>0</v>
      </c>
      <c r="M752" s="1123">
        <f t="shared" si="88"/>
        <v>0</v>
      </c>
      <c r="N752" s="967">
        <f t="shared" si="92"/>
        <v>0</v>
      </c>
      <c r="O752" s="880"/>
      <c r="P752" s="58" t="str">
        <f>IF(N747&gt;0,"xx",IF(N747&gt;0,"xy",""))</f>
        <v/>
      </c>
      <c r="Q752" s="317" t="str">
        <f t="shared" si="89"/>
        <v/>
      </c>
      <c r="R752" s="317" t="str">
        <f t="shared" si="90"/>
        <v/>
      </c>
      <c r="S752" s="317" t="str">
        <f t="shared" si="91"/>
        <v/>
      </c>
      <c r="T752" s="317" t="str">
        <f>'REF. DE PREÇOS n editavel'!S752</f>
        <v/>
      </c>
      <c r="W752" s="577">
        <v>0</v>
      </c>
      <c r="X752" s="575"/>
      <c r="Y752" s="578">
        <f>IF('REF. DE PREÇOS n editavel'!W752=0,0,IF('REF. DE PREÇOS n editavel'!W752&gt;0,"c","b"))</f>
        <v>0</v>
      </c>
    </row>
    <row r="753" spans="1:25">
      <c r="A753" s="317">
        <v>570300</v>
      </c>
      <c r="B753" s="973" t="s">
        <v>1747</v>
      </c>
      <c r="C753" s="974" t="s">
        <v>184</v>
      </c>
      <c r="D753" s="993" t="s">
        <v>754</v>
      </c>
      <c r="E753" s="948" t="str">
        <f>'REF. DE PREÇOS n editavel'!E753</f>
        <v>taxa CAP</v>
      </c>
      <c r="F753" s="949">
        <f>'REF. DE PREÇOS n editavel'!F753</f>
        <v>0.04</v>
      </c>
      <c r="G753" s="950">
        <f>'REF. DE PREÇOS n editavel'!G753</f>
        <v>60.625630000000008</v>
      </c>
      <c r="H753" s="951">
        <f>'REF. DE PREÇOS n editavel'!H753</f>
        <v>178.78</v>
      </c>
      <c r="I753" s="951">
        <f>'REF. DE PREÇOS n editavel'!I753</f>
        <v>239.40563</v>
      </c>
      <c r="J753" s="952">
        <f>'REF. DE PREÇOS n editavel'!J753</f>
        <v>292.60000000000002</v>
      </c>
      <c r="K753" s="953" t="s">
        <v>14</v>
      </c>
      <c r="L753" s="1107"/>
      <c r="M753" s="1108">
        <f t="shared" si="88"/>
        <v>0</v>
      </c>
      <c r="N753" s="956">
        <f t="shared" si="92"/>
        <v>0</v>
      </c>
      <c r="O753" s="880"/>
      <c r="Q753" s="317" t="str">
        <f t="shared" si="89"/>
        <v/>
      </c>
      <c r="R753" s="317" t="str">
        <f t="shared" si="90"/>
        <v/>
      </c>
      <c r="S753" s="317" t="str">
        <f t="shared" si="91"/>
        <v/>
      </c>
      <c r="T753" s="317" t="str">
        <f>'REF. DE PREÇOS n editavel'!S753</f>
        <v/>
      </c>
      <c r="W753" s="577">
        <v>0</v>
      </c>
      <c r="X753" s="575"/>
      <c r="Y753" s="578">
        <f>IF('REF. DE PREÇOS n editavel'!W753=0,0,IF('REF. DE PREÇOS n editavel'!W753&gt;0,"c","b"))</f>
        <v>0</v>
      </c>
    </row>
    <row r="754" spans="1:25">
      <c r="A754" s="317" t="s">
        <v>147</v>
      </c>
      <c r="B754" s="870" t="s">
        <v>147</v>
      </c>
      <c r="C754" s="871"/>
      <c r="D754" s="931" t="s">
        <v>229</v>
      </c>
      <c r="E754" s="882">
        <f>'REF. DE PREÇOS n editavel'!E754</f>
        <v>290</v>
      </c>
      <c r="F754" s="883">
        <f>'REF. DE PREÇOS n editavel'!F754</f>
        <v>0</v>
      </c>
      <c r="G754" s="923">
        <f>'REF. DE PREÇOS n editavel'!G754</f>
        <v>0</v>
      </c>
      <c r="H754" s="876">
        <f>'REF. DE PREÇOS n editavel'!H754</f>
        <v>0</v>
      </c>
      <c r="I754" s="876">
        <f>'REF. DE PREÇOS n editavel'!I754</f>
        <v>0</v>
      </c>
      <c r="J754" s="877">
        <f>'REF. DE PREÇOS n editavel'!J754</f>
        <v>0</v>
      </c>
      <c r="K754" s="878" t="s">
        <v>506</v>
      </c>
      <c r="L754" s="977"/>
      <c r="M754" s="1112">
        <f t="shared" si="88"/>
        <v>0</v>
      </c>
      <c r="N754" s="868">
        <f t="shared" si="92"/>
        <v>0</v>
      </c>
      <c r="O754" s="880"/>
      <c r="P754" s="58" t="str">
        <f>IF(N753&gt;0,"xx",IF(N753&gt;0,"xy",""))</f>
        <v/>
      </c>
      <c r="Q754" s="317" t="str">
        <f t="shared" si="89"/>
        <v/>
      </c>
      <c r="R754" s="317" t="str">
        <f t="shared" si="90"/>
        <v/>
      </c>
      <c r="S754" s="317" t="str">
        <f t="shared" si="91"/>
        <v/>
      </c>
      <c r="T754" s="317" t="str">
        <f>'REF. DE PREÇOS n editavel'!S754</f>
        <v/>
      </c>
      <c r="W754" s="577">
        <v>0</v>
      </c>
      <c r="X754" s="575"/>
      <c r="Y754" s="578">
        <f>IF('REF. DE PREÇOS n editavel'!W754=0,0,IF('REF. DE PREÇOS n editavel'!W754&gt;0,"c","b"))</f>
        <v>0</v>
      </c>
    </row>
    <row r="755" spans="1:25">
      <c r="A755" s="317" t="s">
        <v>147</v>
      </c>
      <c r="B755" s="870" t="s">
        <v>147</v>
      </c>
      <c r="C755" s="871"/>
      <c r="D755" s="931" t="s">
        <v>230</v>
      </c>
      <c r="E755" s="882">
        <f>'REF. DE PREÇOS n editavel'!E755</f>
        <v>445</v>
      </c>
      <c r="F755" s="883">
        <f>'REF. DE PREÇOS n editavel'!F755</f>
        <v>1.4999999999999999E-2</v>
      </c>
      <c r="G755" s="884">
        <f>'REF. DE PREÇOS n editavel'!G755</f>
        <v>5.3238000000000003</v>
      </c>
      <c r="H755" s="876">
        <f>'REF. DE PREÇOS n editavel'!H755</f>
        <v>0</v>
      </c>
      <c r="I755" s="876">
        <f>'REF. DE PREÇOS n editavel'!I755</f>
        <v>0</v>
      </c>
      <c r="J755" s="877">
        <f>'REF. DE PREÇOS n editavel'!J755</f>
        <v>0</v>
      </c>
      <c r="K755" s="878" t="s">
        <v>506</v>
      </c>
      <c r="L755" s="977"/>
      <c r="M755" s="1112">
        <f t="shared" si="88"/>
        <v>0</v>
      </c>
      <c r="N755" s="868">
        <f t="shared" si="92"/>
        <v>0</v>
      </c>
      <c r="O755" s="880"/>
      <c r="P755" s="58" t="str">
        <f>IF(N753&gt;0,"xx",IF(N753&gt;0,"xy",""))</f>
        <v/>
      </c>
      <c r="Q755" s="317" t="str">
        <f t="shared" si="89"/>
        <v/>
      </c>
      <c r="R755" s="317" t="str">
        <f t="shared" si="90"/>
        <v/>
      </c>
      <c r="S755" s="317" t="str">
        <f t="shared" si="91"/>
        <v/>
      </c>
      <c r="T755" s="317" t="str">
        <f>'REF. DE PREÇOS n editavel'!S755</f>
        <v/>
      </c>
      <c r="W755" s="577">
        <v>0</v>
      </c>
      <c r="X755" s="575"/>
      <c r="Y755" s="578">
        <f>IF('REF. DE PREÇOS n editavel'!W755=0,0,IF('REF. DE PREÇOS n editavel'!W755&gt;0,"c","b"))</f>
        <v>0</v>
      </c>
    </row>
    <row r="756" spans="1:25">
      <c r="A756" s="317" t="s">
        <v>147</v>
      </c>
      <c r="B756" s="870" t="s">
        <v>147</v>
      </c>
      <c r="C756" s="871"/>
      <c r="D756" s="931" t="s">
        <v>243</v>
      </c>
      <c r="E756" s="882">
        <f>'REF. DE PREÇOS n editavel'!E756</f>
        <v>0.2</v>
      </c>
      <c r="F756" s="883">
        <f>'REF. DE PREÇOS n editavel'!F756</f>
        <v>0.94499999999999995</v>
      </c>
      <c r="G756" s="923">
        <f>'REF. DE PREÇOS n editavel'!G756</f>
        <v>2.7348300000000001</v>
      </c>
      <c r="H756" s="876">
        <f>'REF. DE PREÇOS n editavel'!H756</f>
        <v>0</v>
      </c>
      <c r="I756" s="876">
        <f>'REF. DE PREÇOS n editavel'!I756</f>
        <v>0</v>
      </c>
      <c r="J756" s="877">
        <f>'REF. DE PREÇOS n editavel'!J756</f>
        <v>0</v>
      </c>
      <c r="K756" s="878" t="s">
        <v>506</v>
      </c>
      <c r="L756" s="977"/>
      <c r="M756" s="1112">
        <f t="shared" si="88"/>
        <v>0</v>
      </c>
      <c r="N756" s="868">
        <f t="shared" si="92"/>
        <v>0</v>
      </c>
      <c r="O756" s="880"/>
      <c r="P756" s="58" t="str">
        <f>IF(N753&gt;0,"xx",IF(N753&gt;0,"xy",""))</f>
        <v/>
      </c>
      <c r="Q756" s="317" t="str">
        <f t="shared" si="89"/>
        <v/>
      </c>
      <c r="R756" s="317" t="str">
        <f t="shared" si="90"/>
        <v/>
      </c>
      <c r="S756" s="317" t="str">
        <f t="shared" si="91"/>
        <v/>
      </c>
      <c r="T756" s="317" t="str">
        <f>'REF. DE PREÇOS n editavel'!S756</f>
        <v/>
      </c>
      <c r="W756" s="577">
        <v>0</v>
      </c>
      <c r="X756" s="575"/>
      <c r="Y756" s="578">
        <f>IF('REF. DE PREÇOS n editavel'!W756=0,0,IF('REF. DE PREÇOS n editavel'!W756&gt;0,"c","b"))</f>
        <v>0</v>
      </c>
    </row>
    <row r="757" spans="1:25">
      <c r="A757" s="317" t="s">
        <v>147</v>
      </c>
      <c r="B757" s="870" t="s">
        <v>147</v>
      </c>
      <c r="C757" s="871"/>
      <c r="D757" s="931" t="s">
        <v>244</v>
      </c>
      <c r="E757" s="882">
        <f>'REF. DE PREÇOS n editavel'!E757</f>
        <v>43.1</v>
      </c>
      <c r="F757" s="883">
        <f>'REF. DE PREÇOS n editavel'!F757</f>
        <v>1</v>
      </c>
      <c r="G757" s="887">
        <f>'REF. DE PREÇOS n editavel'!G757</f>
        <v>52.567000000000007</v>
      </c>
      <c r="H757" s="876">
        <f>'REF. DE PREÇOS n editavel'!H757</f>
        <v>0</v>
      </c>
      <c r="I757" s="876">
        <f>'REF. DE PREÇOS n editavel'!I757</f>
        <v>0</v>
      </c>
      <c r="J757" s="877">
        <f>'REF. DE PREÇOS n editavel'!J757</f>
        <v>0</v>
      </c>
      <c r="K757" s="878" t="s">
        <v>506</v>
      </c>
      <c r="L757" s="977"/>
      <c r="M757" s="1112">
        <f t="shared" si="88"/>
        <v>0</v>
      </c>
      <c r="N757" s="868">
        <f t="shared" si="92"/>
        <v>0</v>
      </c>
      <c r="O757" s="880"/>
      <c r="P757" s="58" t="str">
        <f>IF(N753&gt;0,"xx",IF(N753&gt;0,"xy",""))</f>
        <v/>
      </c>
      <c r="Q757" s="317" t="str">
        <f t="shared" si="89"/>
        <v/>
      </c>
      <c r="R757" s="317" t="str">
        <f t="shared" si="90"/>
        <v/>
      </c>
      <c r="S757" s="317" t="str">
        <f t="shared" si="91"/>
        <v/>
      </c>
      <c r="T757" s="317" t="str">
        <f>'REF. DE PREÇOS n editavel'!S757</f>
        <v/>
      </c>
      <c r="W757" s="577">
        <v>0</v>
      </c>
      <c r="X757" s="575"/>
      <c r="Y757" s="578">
        <f>IF('REF. DE PREÇOS n editavel'!W757=0,0,IF('REF. DE PREÇOS n editavel'!W757&gt;0,"c","b"))</f>
        <v>0</v>
      </c>
    </row>
    <row r="758" spans="1:25" ht="13.5" thickBot="1">
      <c r="A758" s="317">
        <v>589000</v>
      </c>
      <c r="B758" s="983" t="s">
        <v>711</v>
      </c>
      <c r="C758" s="835" t="s">
        <v>213</v>
      </c>
      <c r="D758" s="986" t="s">
        <v>559</v>
      </c>
      <c r="E758" s="994">
        <f>'REF. DE PREÇOS n editavel'!E758</f>
        <v>468</v>
      </c>
      <c r="F758" s="980">
        <f>'REF. DE PREÇOS n editavel'!F758</f>
        <v>1</v>
      </c>
      <c r="G758" s="923">
        <f>'REF. DE PREÇOS n editavel'!G758</f>
        <v>485.97999999999996</v>
      </c>
      <c r="H758" s="962">
        <f>'REF. DE PREÇOS n editavel'!H758</f>
        <v>4828.8599999999997</v>
      </c>
      <c r="I758" s="962">
        <f>'REF. DE PREÇOS n editavel'!I758</f>
        <v>5163.1232400589097</v>
      </c>
      <c r="J758" s="985">
        <f>'REF. DE PREÇOS n editavel'!J758</f>
        <v>6310.37</v>
      </c>
      <c r="K758" s="842" t="s">
        <v>14</v>
      </c>
      <c r="L758" s="1124">
        <f>ROUND(L753*$F753,2)</f>
        <v>0</v>
      </c>
      <c r="M758" s="1123">
        <f t="shared" si="88"/>
        <v>0</v>
      </c>
      <c r="N758" s="967">
        <f t="shared" si="92"/>
        <v>0</v>
      </c>
      <c r="O758" s="880"/>
      <c r="P758" s="58" t="str">
        <f>IF(N753&gt;0,"xx",IF(N753&gt;0,"xy",""))</f>
        <v/>
      </c>
      <c r="Q758" s="317" t="str">
        <f t="shared" si="89"/>
        <v/>
      </c>
      <c r="R758" s="317" t="str">
        <f t="shared" si="90"/>
        <v/>
      </c>
      <c r="S758" s="317" t="str">
        <f t="shared" si="91"/>
        <v/>
      </c>
      <c r="T758" s="317" t="str">
        <f>'REF. DE PREÇOS n editavel'!S758</f>
        <v/>
      </c>
      <c r="W758" s="577">
        <v>0</v>
      </c>
      <c r="X758" s="575"/>
      <c r="Y758" s="578">
        <f>IF('REF. DE PREÇOS n editavel'!W758=0,0,IF('REF. DE PREÇOS n editavel'!W758&gt;0,"c","b"))</f>
        <v>0</v>
      </c>
    </row>
    <row r="759" spans="1:25">
      <c r="A759" s="317">
        <v>570310</v>
      </c>
      <c r="B759" s="973" t="s">
        <v>1634</v>
      </c>
      <c r="C759" s="974" t="s">
        <v>184</v>
      </c>
      <c r="D759" s="993" t="s">
        <v>755</v>
      </c>
      <c r="E759" s="948" t="str">
        <f>'REF. DE PREÇOS n editavel'!E759</f>
        <v>taxa CAP</v>
      </c>
      <c r="F759" s="949">
        <f>'REF. DE PREÇOS n editavel'!F759</f>
        <v>0.04</v>
      </c>
      <c r="G759" s="950">
        <f>'REF. DE PREÇOS n editavel'!G759</f>
        <v>60.625630000000008</v>
      </c>
      <c r="H759" s="951">
        <f>'REF. DE PREÇOS n editavel'!H759</f>
        <v>158.85</v>
      </c>
      <c r="I759" s="951">
        <f>'REF. DE PREÇOS n editavel'!I759</f>
        <v>219.47563</v>
      </c>
      <c r="J759" s="952">
        <f>'REF. DE PREÇOS n editavel'!J759</f>
        <v>268.24</v>
      </c>
      <c r="K759" s="953" t="s">
        <v>14</v>
      </c>
      <c r="L759" s="1107"/>
      <c r="M759" s="1108">
        <f t="shared" si="88"/>
        <v>0</v>
      </c>
      <c r="N759" s="956">
        <f t="shared" si="92"/>
        <v>0</v>
      </c>
      <c r="O759" s="880"/>
      <c r="Q759" s="317" t="str">
        <f t="shared" si="89"/>
        <v/>
      </c>
      <c r="R759" s="317" t="str">
        <f t="shared" si="90"/>
        <v/>
      </c>
      <c r="S759" s="317" t="str">
        <f t="shared" si="91"/>
        <v/>
      </c>
      <c r="T759" s="317" t="str">
        <f>'REF. DE PREÇOS n editavel'!S759</f>
        <v/>
      </c>
      <c r="W759" s="577">
        <v>0</v>
      </c>
      <c r="X759" s="575"/>
      <c r="Y759" s="578">
        <f>IF('REF. DE PREÇOS n editavel'!W759=0,0,IF('REF. DE PREÇOS n editavel'!W759&gt;0,"c","b"))</f>
        <v>0</v>
      </c>
    </row>
    <row r="760" spans="1:25">
      <c r="A760" s="317" t="s">
        <v>147</v>
      </c>
      <c r="B760" s="870" t="s">
        <v>147</v>
      </c>
      <c r="C760" s="871"/>
      <c r="D760" s="931" t="s">
        <v>229</v>
      </c>
      <c r="E760" s="882">
        <f>'REF. DE PREÇOS n editavel'!E760</f>
        <v>290</v>
      </c>
      <c r="F760" s="883">
        <f>'REF. DE PREÇOS n editavel'!F760</f>
        <v>0</v>
      </c>
      <c r="G760" s="923">
        <f>'REF. DE PREÇOS n editavel'!G760</f>
        <v>0</v>
      </c>
      <c r="H760" s="876">
        <f>'REF. DE PREÇOS n editavel'!H760</f>
        <v>0</v>
      </c>
      <c r="I760" s="876">
        <f>'REF. DE PREÇOS n editavel'!I760</f>
        <v>0</v>
      </c>
      <c r="J760" s="877">
        <f>'REF. DE PREÇOS n editavel'!J760</f>
        <v>0</v>
      </c>
      <c r="K760" s="878" t="s">
        <v>506</v>
      </c>
      <c r="L760" s="977"/>
      <c r="M760" s="1112">
        <f t="shared" si="88"/>
        <v>0</v>
      </c>
      <c r="N760" s="868">
        <f t="shared" si="92"/>
        <v>0</v>
      </c>
      <c r="O760" s="880"/>
      <c r="P760" s="58" t="str">
        <f>IF(N759&gt;0,"xx",IF(N759&gt;0,"xy",""))</f>
        <v/>
      </c>
      <c r="Q760" s="317" t="str">
        <f t="shared" si="89"/>
        <v/>
      </c>
      <c r="R760" s="317" t="str">
        <f t="shared" si="90"/>
        <v/>
      </c>
      <c r="S760" s="317" t="str">
        <f t="shared" si="91"/>
        <v/>
      </c>
      <c r="T760" s="317" t="str">
        <f>'REF. DE PREÇOS n editavel'!S760</f>
        <v/>
      </c>
      <c r="W760" s="577">
        <v>0</v>
      </c>
      <c r="X760" s="575"/>
      <c r="Y760" s="578">
        <f>IF('REF. DE PREÇOS n editavel'!W760=0,0,IF('REF. DE PREÇOS n editavel'!W760&gt;0,"c","b"))</f>
        <v>0</v>
      </c>
    </row>
    <row r="761" spans="1:25">
      <c r="A761" s="317" t="s">
        <v>147</v>
      </c>
      <c r="B761" s="870" t="s">
        <v>147</v>
      </c>
      <c r="C761" s="871"/>
      <c r="D761" s="931" t="s">
        <v>230</v>
      </c>
      <c r="E761" s="882">
        <f>'REF. DE PREÇOS n editavel'!E761</f>
        <v>445</v>
      </c>
      <c r="F761" s="883">
        <f>'REF. DE PREÇOS n editavel'!F761</f>
        <v>1.4999999999999999E-2</v>
      </c>
      <c r="G761" s="884">
        <f>'REF. DE PREÇOS n editavel'!G761</f>
        <v>5.3238000000000003</v>
      </c>
      <c r="H761" s="876">
        <f>'REF. DE PREÇOS n editavel'!H761</f>
        <v>0</v>
      </c>
      <c r="I761" s="876">
        <f>'REF. DE PREÇOS n editavel'!I761</f>
        <v>0</v>
      </c>
      <c r="J761" s="877">
        <f>'REF. DE PREÇOS n editavel'!J761</f>
        <v>0</v>
      </c>
      <c r="K761" s="878" t="s">
        <v>506</v>
      </c>
      <c r="L761" s="977"/>
      <c r="M761" s="1112">
        <f t="shared" si="88"/>
        <v>0</v>
      </c>
      <c r="N761" s="868">
        <f t="shared" si="92"/>
        <v>0</v>
      </c>
      <c r="O761" s="880"/>
      <c r="P761" s="58" t="str">
        <f>IF(N759&gt;0,"xx",IF(N759&gt;0,"xy",""))</f>
        <v/>
      </c>
      <c r="Q761" s="317" t="str">
        <f t="shared" si="89"/>
        <v/>
      </c>
      <c r="R761" s="317" t="str">
        <f t="shared" si="90"/>
        <v/>
      </c>
      <c r="S761" s="317" t="str">
        <f t="shared" si="91"/>
        <v/>
      </c>
      <c r="T761" s="317" t="str">
        <f>'REF. DE PREÇOS n editavel'!S761</f>
        <v/>
      </c>
      <c r="W761" s="577">
        <v>0</v>
      </c>
      <c r="X761" s="575"/>
      <c r="Y761" s="578">
        <f>IF('REF. DE PREÇOS n editavel'!W761=0,0,IF('REF. DE PREÇOS n editavel'!W761&gt;0,"c","b"))</f>
        <v>0</v>
      </c>
    </row>
    <row r="762" spans="1:25">
      <c r="A762" s="317" t="s">
        <v>147</v>
      </c>
      <c r="B762" s="870" t="s">
        <v>147</v>
      </c>
      <c r="C762" s="871"/>
      <c r="D762" s="931" t="s">
        <v>243</v>
      </c>
      <c r="E762" s="882">
        <f>'REF. DE PREÇOS n editavel'!E762</f>
        <v>0.2</v>
      </c>
      <c r="F762" s="883">
        <f>'REF. DE PREÇOS n editavel'!F762</f>
        <v>0.94499999999999995</v>
      </c>
      <c r="G762" s="923">
        <f>'REF. DE PREÇOS n editavel'!G762</f>
        <v>2.7348300000000001</v>
      </c>
      <c r="H762" s="876">
        <f>'REF. DE PREÇOS n editavel'!H762</f>
        <v>0</v>
      </c>
      <c r="I762" s="876">
        <f>'REF. DE PREÇOS n editavel'!I762</f>
        <v>0</v>
      </c>
      <c r="J762" s="877">
        <f>'REF. DE PREÇOS n editavel'!J762</f>
        <v>0</v>
      </c>
      <c r="K762" s="878" t="s">
        <v>506</v>
      </c>
      <c r="L762" s="977"/>
      <c r="M762" s="1112">
        <f t="shared" si="88"/>
        <v>0</v>
      </c>
      <c r="N762" s="868">
        <f t="shared" si="92"/>
        <v>0</v>
      </c>
      <c r="O762" s="880"/>
      <c r="P762" s="58" t="str">
        <f>IF(N759&gt;0,"xx",IF(N759&gt;0,"xy",""))</f>
        <v/>
      </c>
      <c r="Q762" s="317" t="str">
        <f t="shared" si="89"/>
        <v/>
      </c>
      <c r="R762" s="317" t="str">
        <f t="shared" si="90"/>
        <v/>
      </c>
      <c r="S762" s="317" t="str">
        <f t="shared" si="91"/>
        <v/>
      </c>
      <c r="T762" s="317" t="str">
        <f>'REF. DE PREÇOS n editavel'!S762</f>
        <v/>
      </c>
      <c r="W762" s="577">
        <v>0</v>
      </c>
      <c r="X762" s="575"/>
      <c r="Y762" s="578">
        <f>IF('REF. DE PREÇOS n editavel'!W762=0,0,IF('REF. DE PREÇOS n editavel'!W762&gt;0,"c","b"))</f>
        <v>0</v>
      </c>
    </row>
    <row r="763" spans="1:25">
      <c r="A763" s="317" t="s">
        <v>147</v>
      </c>
      <c r="B763" s="870" t="s">
        <v>147</v>
      </c>
      <c r="C763" s="871"/>
      <c r="D763" s="931" t="s">
        <v>244</v>
      </c>
      <c r="E763" s="882">
        <f>'REF. DE PREÇOS n editavel'!E763</f>
        <v>43.1</v>
      </c>
      <c r="F763" s="883">
        <f>'REF. DE PREÇOS n editavel'!F763</f>
        <v>1</v>
      </c>
      <c r="G763" s="887">
        <f>'REF. DE PREÇOS n editavel'!G763</f>
        <v>52.567000000000007</v>
      </c>
      <c r="H763" s="876">
        <f>'REF. DE PREÇOS n editavel'!H763</f>
        <v>0</v>
      </c>
      <c r="I763" s="876">
        <f>'REF. DE PREÇOS n editavel'!I763</f>
        <v>0</v>
      </c>
      <c r="J763" s="877">
        <f>'REF. DE PREÇOS n editavel'!J763</f>
        <v>0</v>
      </c>
      <c r="K763" s="878" t="s">
        <v>506</v>
      </c>
      <c r="L763" s="977"/>
      <c r="M763" s="1112">
        <f t="shared" si="88"/>
        <v>0</v>
      </c>
      <c r="N763" s="868">
        <f t="shared" si="92"/>
        <v>0</v>
      </c>
      <c r="O763" s="880"/>
      <c r="P763" s="58" t="str">
        <f>IF(N759&gt;0,"xx",IF(N759&gt;0,"xy",""))</f>
        <v/>
      </c>
      <c r="Q763" s="317" t="str">
        <f t="shared" si="89"/>
        <v/>
      </c>
      <c r="R763" s="317" t="str">
        <f t="shared" si="90"/>
        <v/>
      </c>
      <c r="S763" s="317" t="str">
        <f t="shared" si="91"/>
        <v/>
      </c>
      <c r="T763" s="317" t="str">
        <f>'REF. DE PREÇOS n editavel'!S763</f>
        <v/>
      </c>
      <c r="W763" s="577">
        <v>0</v>
      </c>
      <c r="X763" s="575"/>
      <c r="Y763" s="578">
        <f>IF('REF. DE PREÇOS n editavel'!W763=0,0,IF('REF. DE PREÇOS n editavel'!W763&gt;0,"c","b"))</f>
        <v>0</v>
      </c>
    </row>
    <row r="764" spans="1:25" ht="13.5" thickBot="1">
      <c r="A764" s="317">
        <v>589000</v>
      </c>
      <c r="B764" s="978" t="s">
        <v>1663</v>
      </c>
      <c r="C764" s="958" t="s">
        <v>213</v>
      </c>
      <c r="D764" s="986" t="s">
        <v>560</v>
      </c>
      <c r="E764" s="994">
        <f>'REF. DE PREÇOS n editavel'!E764</f>
        <v>468</v>
      </c>
      <c r="F764" s="980">
        <f>'REF. DE PREÇOS n editavel'!F764</f>
        <v>1</v>
      </c>
      <c r="G764" s="923">
        <f>'REF. DE PREÇOS n editavel'!G764</f>
        <v>485.97999999999996</v>
      </c>
      <c r="H764" s="962">
        <f>'REF. DE PREÇOS n editavel'!H764</f>
        <v>4828.8599999999997</v>
      </c>
      <c r="I764" s="962">
        <f>'REF. DE PREÇOS n editavel'!I764</f>
        <v>5163.1232400589097</v>
      </c>
      <c r="J764" s="963">
        <f>'REF. DE PREÇOS n editavel'!J764</f>
        <v>6310.37</v>
      </c>
      <c r="K764" s="964" t="s">
        <v>14</v>
      </c>
      <c r="L764" s="1124">
        <f>ROUND(L759*$F759,2)</f>
        <v>0</v>
      </c>
      <c r="M764" s="1123">
        <f t="shared" si="88"/>
        <v>0</v>
      </c>
      <c r="N764" s="967">
        <f t="shared" si="92"/>
        <v>0</v>
      </c>
      <c r="O764" s="880"/>
      <c r="P764" s="58" t="str">
        <f>IF(N759&gt;0,"xx",IF(N759&gt;0,"xy",""))</f>
        <v/>
      </c>
      <c r="Q764" s="317" t="str">
        <f t="shared" si="89"/>
        <v/>
      </c>
      <c r="R764" s="317" t="str">
        <f t="shared" si="90"/>
        <v/>
      </c>
      <c r="S764" s="317" t="str">
        <f t="shared" si="91"/>
        <v/>
      </c>
      <c r="T764" s="317" t="str">
        <f>'REF. DE PREÇOS n editavel'!S764</f>
        <v/>
      </c>
      <c r="W764" s="577">
        <v>0</v>
      </c>
      <c r="X764" s="575"/>
      <c r="Y764" s="578">
        <f>IF('REF. DE PREÇOS n editavel'!W764=0,0,IF('REF. DE PREÇOS n editavel'!W764&gt;0,"c","b"))</f>
        <v>0</v>
      </c>
    </row>
    <row r="765" spans="1:25">
      <c r="A765" s="317">
        <v>570000</v>
      </c>
      <c r="B765" s="973" t="str">
        <f>'REF. DE PREÇOS n editavel'!B765</f>
        <v>570000E</v>
      </c>
      <c r="C765" s="974" t="str">
        <f>'REF. DE PREÇOS n editavel'!C765</f>
        <v>DER</v>
      </c>
      <c r="D765" s="947" t="str">
        <f>'REF. DE PREÇOS n editavel'!D765</f>
        <v>CBUQ - PASSEIO  (Quantidade menor que 10.000 ton)</v>
      </c>
      <c r="E765" s="948" t="str">
        <f>'REF. DE PREÇOS n editavel'!E765</f>
        <v>taxa CAP</v>
      </c>
      <c r="F765" s="949">
        <f>'REF. DE PREÇOS n editavel'!F765</f>
        <v>5.7000000000000002E-2</v>
      </c>
      <c r="G765" s="950">
        <f>'REF. DE PREÇOS n editavel'!G765</f>
        <v>91.585032000000012</v>
      </c>
      <c r="H765" s="951">
        <f>'REF. DE PREÇOS n editavel'!H765</f>
        <v>187.41</v>
      </c>
      <c r="I765" s="951">
        <f>'REF. DE PREÇOS n editavel'!I765</f>
        <v>278.99503200000004</v>
      </c>
      <c r="J765" s="952">
        <f>'REF. DE PREÇOS n editavel'!J765</f>
        <v>340.99</v>
      </c>
      <c r="K765" s="953" t="s">
        <v>14</v>
      </c>
      <c r="L765" s="1107"/>
      <c r="M765" s="1108">
        <f t="shared" si="88"/>
        <v>0</v>
      </c>
      <c r="N765" s="956">
        <f t="shared" si="92"/>
        <v>0</v>
      </c>
      <c r="O765" s="880"/>
      <c r="Q765" s="317" t="str">
        <f t="shared" si="89"/>
        <v/>
      </c>
      <c r="R765" s="317" t="str">
        <f t="shared" si="90"/>
        <v/>
      </c>
      <c r="S765" s="317" t="str">
        <f t="shared" si="91"/>
        <v/>
      </c>
      <c r="T765" s="317" t="str">
        <f>'REF. DE PREÇOS n editavel'!S765</f>
        <v/>
      </c>
      <c r="W765" s="577">
        <v>0</v>
      </c>
      <c r="X765" s="575"/>
      <c r="Y765" s="578">
        <f>IF('REF. DE PREÇOS n editavel'!W765=0,0,IF('REF. DE PREÇOS n editavel'!W765&gt;0,"c","b"))</f>
        <v>0</v>
      </c>
    </row>
    <row r="766" spans="1:25">
      <c r="A766" s="317" t="s">
        <v>147</v>
      </c>
      <c r="B766" s="870" t="str">
        <f>'REF. DE PREÇOS n editavel'!B766</f>
        <v>transporte</v>
      </c>
      <c r="C766" s="871">
        <f>'REF. DE PREÇOS n editavel'!C766</f>
        <v>0</v>
      </c>
      <c r="D766" s="931" t="str">
        <f>'REF. DE PREÇOS n editavel'!D766</f>
        <v>Areia</v>
      </c>
      <c r="E766" s="882">
        <f>'REF. DE PREÇOS n editavel'!E766</f>
        <v>290</v>
      </c>
      <c r="F766" s="883">
        <f>'REF. DE PREÇOS n editavel'!F766</f>
        <v>0.1</v>
      </c>
      <c r="G766" s="923">
        <f>'REF. DE PREÇOS n editavel'!G766</f>
        <v>31.298000000000002</v>
      </c>
      <c r="H766" s="876">
        <f>'REF. DE PREÇOS n editavel'!H766</f>
        <v>0</v>
      </c>
      <c r="I766" s="876">
        <f>'REF. DE PREÇOS n editavel'!I766</f>
        <v>0</v>
      </c>
      <c r="J766" s="877">
        <f>'REF. DE PREÇOS n editavel'!J766</f>
        <v>0</v>
      </c>
      <c r="K766" s="878" t="s">
        <v>506</v>
      </c>
      <c r="L766" s="977"/>
      <c r="M766" s="1112">
        <f t="shared" si="88"/>
        <v>0</v>
      </c>
      <c r="N766" s="868">
        <f t="shared" si="92"/>
        <v>0</v>
      </c>
      <c r="O766" s="880"/>
      <c r="P766" s="58" t="str">
        <f>IF(N765&gt;0,"xx",IF(N765&gt;0,"xy",""))</f>
        <v/>
      </c>
      <c r="Q766" s="317" t="str">
        <f t="shared" si="89"/>
        <v/>
      </c>
      <c r="R766" s="317" t="str">
        <f t="shared" si="90"/>
        <v/>
      </c>
      <c r="S766" s="317" t="str">
        <f t="shared" si="91"/>
        <v/>
      </c>
      <c r="T766" s="317" t="str">
        <f>'REF. DE PREÇOS n editavel'!S766</f>
        <v/>
      </c>
      <c r="W766" s="577">
        <v>0</v>
      </c>
      <c r="X766" s="575"/>
      <c r="Y766" s="578">
        <f>IF('REF. DE PREÇOS n editavel'!W766=0,0,IF('REF. DE PREÇOS n editavel'!W766&gt;0,"c","b"))</f>
        <v>0</v>
      </c>
    </row>
    <row r="767" spans="1:25">
      <c r="A767" s="317" t="s">
        <v>147</v>
      </c>
      <c r="B767" s="870" t="str">
        <f>'REF. DE PREÇOS n editavel'!B767</f>
        <v>transporte</v>
      </c>
      <c r="C767" s="871">
        <f>'REF. DE PREÇOS n editavel'!C767</f>
        <v>0</v>
      </c>
      <c r="D767" s="931" t="str">
        <f>'REF. DE PREÇOS n editavel'!D767</f>
        <v>Cal Hidratada CH-1</v>
      </c>
      <c r="E767" s="882">
        <f>'REF. DE PREÇOS n editavel'!E767</f>
        <v>445</v>
      </c>
      <c r="F767" s="883">
        <f>'REF. DE PREÇOS n editavel'!F767</f>
        <v>1.4999999999999999E-2</v>
      </c>
      <c r="G767" s="884">
        <f>'REF. DE PREÇOS n editavel'!G767</f>
        <v>5.3238000000000003</v>
      </c>
      <c r="H767" s="876">
        <f>'REF. DE PREÇOS n editavel'!H767</f>
        <v>0</v>
      </c>
      <c r="I767" s="876">
        <f>'REF. DE PREÇOS n editavel'!I767</f>
        <v>0</v>
      </c>
      <c r="J767" s="877">
        <f>'REF. DE PREÇOS n editavel'!J767</f>
        <v>0</v>
      </c>
      <c r="K767" s="878" t="s">
        <v>506</v>
      </c>
      <c r="L767" s="977"/>
      <c r="M767" s="1112">
        <f t="shared" si="88"/>
        <v>0</v>
      </c>
      <c r="N767" s="868">
        <f t="shared" si="92"/>
        <v>0</v>
      </c>
      <c r="O767" s="880"/>
      <c r="P767" s="58" t="str">
        <f>IF(N765&gt;0,"xx",IF(N765&gt;0,"xy",""))</f>
        <v/>
      </c>
      <c r="Q767" s="317" t="str">
        <f t="shared" si="89"/>
        <v/>
      </c>
      <c r="R767" s="317" t="str">
        <f t="shared" si="90"/>
        <v/>
      </c>
      <c r="S767" s="317" t="str">
        <f t="shared" si="91"/>
        <v/>
      </c>
      <c r="T767" s="317" t="str">
        <f>'REF. DE PREÇOS n editavel'!S767</f>
        <v/>
      </c>
      <c r="W767" s="577">
        <v>0</v>
      </c>
      <c r="X767" s="575"/>
      <c r="Y767" s="578">
        <f>IF('REF. DE PREÇOS n editavel'!W767=0,0,IF('REF. DE PREÇOS n editavel'!W767&gt;0,"c","b"))</f>
        <v>0</v>
      </c>
    </row>
    <row r="768" spans="1:25">
      <c r="A768" s="317" t="s">
        <v>147</v>
      </c>
      <c r="B768" s="870" t="str">
        <f>'REF. DE PREÇOS n editavel'!B768</f>
        <v>transporte</v>
      </c>
      <c r="C768" s="871">
        <f>'REF. DE PREÇOS n editavel'!C768</f>
        <v>0</v>
      </c>
      <c r="D768" s="931" t="str">
        <f>'REF. DE PREÇOS n editavel'!D768</f>
        <v>Brita ( usina )</v>
      </c>
      <c r="E768" s="882">
        <f>'REF. DE PREÇOS n editavel'!E768</f>
        <v>0.2</v>
      </c>
      <c r="F768" s="883">
        <f>'REF. DE PREÇOS n editavel'!F768</f>
        <v>0.82799999999999996</v>
      </c>
      <c r="G768" s="923">
        <f>'REF. DE PREÇOS n editavel'!G768</f>
        <v>2.3962319999999999</v>
      </c>
      <c r="H768" s="876">
        <f>'REF. DE PREÇOS n editavel'!H768</f>
        <v>0</v>
      </c>
      <c r="I768" s="876">
        <f>'REF. DE PREÇOS n editavel'!I768</f>
        <v>0</v>
      </c>
      <c r="J768" s="877">
        <f>'REF. DE PREÇOS n editavel'!J768</f>
        <v>0</v>
      </c>
      <c r="K768" s="878" t="s">
        <v>506</v>
      </c>
      <c r="L768" s="977"/>
      <c r="M768" s="1112">
        <f t="shared" si="88"/>
        <v>0</v>
      </c>
      <c r="N768" s="868">
        <f t="shared" si="92"/>
        <v>0</v>
      </c>
      <c r="O768" s="880"/>
      <c r="P768" s="58" t="str">
        <f>IF(N765&gt;0,"xx",IF(N765&gt;0,"xy",""))</f>
        <v/>
      </c>
      <c r="Q768" s="317" t="str">
        <f t="shared" si="89"/>
        <v/>
      </c>
      <c r="R768" s="317" t="str">
        <f t="shared" si="90"/>
        <v/>
      </c>
      <c r="S768" s="317" t="str">
        <f t="shared" si="91"/>
        <v/>
      </c>
      <c r="T768" s="317" t="str">
        <f>'REF. DE PREÇOS n editavel'!S768</f>
        <v/>
      </c>
      <c r="W768" s="577">
        <v>0</v>
      </c>
      <c r="X768" s="575"/>
      <c r="Y768" s="578">
        <f>IF('REF. DE PREÇOS n editavel'!W768=0,0,IF('REF. DE PREÇOS n editavel'!W768&gt;0,"c","b"))</f>
        <v>0</v>
      </c>
    </row>
    <row r="769" spans="1:25">
      <c r="A769" s="317" t="s">
        <v>147</v>
      </c>
      <c r="B769" s="870" t="str">
        <f>'REF. DE PREÇOS n editavel'!B769</f>
        <v>transporte</v>
      </c>
      <c r="C769" s="871">
        <f>'REF. DE PREÇOS n editavel'!C769</f>
        <v>0</v>
      </c>
      <c r="D769" s="931" t="str">
        <f>'REF. DE PREÇOS n editavel'!D769</f>
        <v>Massa</v>
      </c>
      <c r="E769" s="882">
        <f>'REF. DE PREÇOS n editavel'!E769</f>
        <v>43.1</v>
      </c>
      <c r="F769" s="883">
        <f>'REF. DE PREÇOS n editavel'!F769</f>
        <v>1</v>
      </c>
      <c r="G769" s="887">
        <f>'REF. DE PREÇOS n editavel'!G769</f>
        <v>52.567000000000007</v>
      </c>
      <c r="H769" s="876">
        <f>'REF. DE PREÇOS n editavel'!H769</f>
        <v>0</v>
      </c>
      <c r="I769" s="876">
        <f>'REF. DE PREÇOS n editavel'!I769</f>
        <v>0</v>
      </c>
      <c r="J769" s="877">
        <f>'REF. DE PREÇOS n editavel'!J769</f>
        <v>0</v>
      </c>
      <c r="K769" s="878" t="s">
        <v>506</v>
      </c>
      <c r="L769" s="977"/>
      <c r="M769" s="1112">
        <f t="shared" si="88"/>
        <v>0</v>
      </c>
      <c r="N769" s="868">
        <f t="shared" si="92"/>
        <v>0</v>
      </c>
      <c r="O769" s="880"/>
      <c r="P769" s="58" t="str">
        <f>IF(N765&gt;0,"xx",IF(N765&gt;0,"xy",""))</f>
        <v/>
      </c>
      <c r="Q769" s="317" t="str">
        <f t="shared" si="89"/>
        <v/>
      </c>
      <c r="R769" s="317" t="str">
        <f t="shared" si="90"/>
        <v/>
      </c>
      <c r="S769" s="317" t="str">
        <f t="shared" si="91"/>
        <v/>
      </c>
      <c r="T769" s="317" t="str">
        <f>'REF. DE PREÇOS n editavel'!S769</f>
        <v/>
      </c>
      <c r="W769" s="577">
        <v>0</v>
      </c>
      <c r="X769" s="575"/>
      <c r="Y769" s="578">
        <f>IF('REF. DE PREÇOS n editavel'!W769=0,0,IF('REF. DE PREÇOS n editavel'!W769&gt;0,"c","b"))</f>
        <v>0</v>
      </c>
    </row>
    <row r="770" spans="1:25" ht="13.5" thickBot="1">
      <c r="A770" s="317">
        <v>589000</v>
      </c>
      <c r="B770" s="978" t="str">
        <f>'REF. DE PREÇOS n editavel'!B770</f>
        <v>589000Q</v>
      </c>
      <c r="C770" s="958" t="str">
        <f>'REF. DE PREÇOS n editavel'!C770</f>
        <v>DER mat</v>
      </c>
      <c r="D770" s="986" t="str">
        <f>'REF. DE PREÇOS n editavel'!D770</f>
        <v>Fornecimento de CAP - CBUQ (Quantidade menor que 10.000 ton)</v>
      </c>
      <c r="E770" s="979">
        <f>'REF. DE PREÇOS n editavel'!E770</f>
        <v>468</v>
      </c>
      <c r="F770" s="980">
        <f>'REF. DE PREÇOS n editavel'!F770</f>
        <v>1</v>
      </c>
      <c r="G770" s="923">
        <f>'REF. DE PREÇOS n editavel'!G770</f>
        <v>485.97999999999996</v>
      </c>
      <c r="H770" s="962">
        <f>'REF. DE PREÇOS n editavel'!H770</f>
        <v>4828.8599999999997</v>
      </c>
      <c r="I770" s="962">
        <f>'REF. DE PREÇOS n editavel'!I770</f>
        <v>5163.1232400589097</v>
      </c>
      <c r="J770" s="963">
        <f>'REF. DE PREÇOS n editavel'!J770</f>
        <v>6310.37</v>
      </c>
      <c r="K770" s="964" t="s">
        <v>14</v>
      </c>
      <c r="L770" s="1124">
        <f>ROUND(L765*$F765,2)</f>
        <v>0</v>
      </c>
      <c r="M770" s="1123">
        <f t="shared" si="88"/>
        <v>0</v>
      </c>
      <c r="N770" s="967">
        <f t="shared" si="92"/>
        <v>0</v>
      </c>
      <c r="O770" s="880"/>
      <c r="P770" s="58" t="str">
        <f>IF(N765&gt;0,"xx",IF(N765&gt;0,"xy",""))</f>
        <v/>
      </c>
      <c r="Q770" s="317" t="str">
        <f t="shared" si="89"/>
        <v/>
      </c>
      <c r="R770" s="317" t="str">
        <f t="shared" si="90"/>
        <v/>
      </c>
      <c r="S770" s="317" t="str">
        <f t="shared" si="91"/>
        <v/>
      </c>
      <c r="T770" s="317" t="str">
        <f>'REF. DE PREÇOS n editavel'!S770</f>
        <v/>
      </c>
      <c r="W770" s="577">
        <v>0</v>
      </c>
      <c r="X770" s="575"/>
      <c r="Y770" s="578">
        <f>IF('REF. DE PREÇOS n editavel'!W770=0,0,IF('REF. DE PREÇOS n editavel'!W770&gt;0,"c","b"))</f>
        <v>0</v>
      </c>
    </row>
    <row r="771" spans="1:25">
      <c r="A771" s="317">
        <v>570400</v>
      </c>
      <c r="B771" s="973" t="str">
        <f>'REF. DE PREÇOS n editavel'!B771</f>
        <v>570400D</v>
      </c>
      <c r="C771" s="974" t="str">
        <f>'REF. DE PREÇOS n editavel'!C771</f>
        <v>DER</v>
      </c>
      <c r="D771" s="947" t="str">
        <f>'REF. DE PREÇOS n editavel'!D771</f>
        <v>CBUQ - PASSEIO (Quantidade maior que 10.000 ton)</v>
      </c>
      <c r="E771" s="948" t="str">
        <f>'REF. DE PREÇOS n editavel'!E771</f>
        <v>taxa CAP</v>
      </c>
      <c r="F771" s="949">
        <f>'REF. DE PREÇOS n editavel'!F771</f>
        <v>5.7000000000000002E-2</v>
      </c>
      <c r="G771" s="950">
        <f>'REF. DE PREÇOS n editavel'!G771</f>
        <v>91.585032000000012</v>
      </c>
      <c r="H771" s="951">
        <f>'REF. DE PREÇOS n editavel'!H771</f>
        <v>169.12</v>
      </c>
      <c r="I771" s="951">
        <f>'REF. DE PREÇOS n editavel'!I771</f>
        <v>260.70503200000002</v>
      </c>
      <c r="J771" s="952">
        <f>'REF. DE PREÇOS n editavel'!J771</f>
        <v>318.63</v>
      </c>
      <c r="K771" s="953" t="s">
        <v>14</v>
      </c>
      <c r="L771" s="1107"/>
      <c r="M771" s="1108">
        <f t="shared" si="88"/>
        <v>0</v>
      </c>
      <c r="N771" s="956">
        <f t="shared" si="92"/>
        <v>0</v>
      </c>
      <c r="O771" s="880"/>
      <c r="Q771" s="317" t="str">
        <f t="shared" si="89"/>
        <v/>
      </c>
      <c r="R771" s="317" t="str">
        <f t="shared" si="90"/>
        <v/>
      </c>
      <c r="S771" s="317" t="str">
        <f t="shared" si="91"/>
        <v/>
      </c>
      <c r="T771" s="317" t="str">
        <f>'REF. DE PREÇOS n editavel'!S771</f>
        <v/>
      </c>
      <c r="W771" s="577">
        <v>0</v>
      </c>
      <c r="X771" s="575"/>
      <c r="Y771" s="578">
        <f>IF('REF. DE PREÇOS n editavel'!W771=0,0,IF('REF. DE PREÇOS n editavel'!W771&gt;0,"c","b"))</f>
        <v>0</v>
      </c>
    </row>
    <row r="772" spans="1:25">
      <c r="A772" s="317" t="s">
        <v>147</v>
      </c>
      <c r="B772" s="870" t="str">
        <f>'REF. DE PREÇOS n editavel'!B772</f>
        <v>transporte</v>
      </c>
      <c r="C772" s="871">
        <f>'REF. DE PREÇOS n editavel'!C772</f>
        <v>0</v>
      </c>
      <c r="D772" s="931" t="str">
        <f>'REF. DE PREÇOS n editavel'!D772</f>
        <v>Areia</v>
      </c>
      <c r="E772" s="882">
        <f>'REF. DE PREÇOS n editavel'!E772</f>
        <v>290</v>
      </c>
      <c r="F772" s="883">
        <f>'REF. DE PREÇOS n editavel'!F772</f>
        <v>0.1</v>
      </c>
      <c r="G772" s="923">
        <f>'REF. DE PREÇOS n editavel'!G772</f>
        <v>31.298000000000002</v>
      </c>
      <c r="H772" s="876">
        <f>'REF. DE PREÇOS n editavel'!H772</f>
        <v>0</v>
      </c>
      <c r="I772" s="876">
        <f>'REF. DE PREÇOS n editavel'!I772</f>
        <v>0</v>
      </c>
      <c r="J772" s="877">
        <f>'REF. DE PREÇOS n editavel'!J772</f>
        <v>0</v>
      </c>
      <c r="K772" s="878" t="s">
        <v>506</v>
      </c>
      <c r="L772" s="977"/>
      <c r="M772" s="1112">
        <f t="shared" si="88"/>
        <v>0</v>
      </c>
      <c r="N772" s="868">
        <f t="shared" si="92"/>
        <v>0</v>
      </c>
      <c r="O772" s="880"/>
      <c r="P772" s="58" t="str">
        <f>IF(N771&gt;0,"xx",IF(N771&gt;0,"xy",""))</f>
        <v/>
      </c>
      <c r="Q772" s="317" t="str">
        <f t="shared" si="89"/>
        <v/>
      </c>
      <c r="R772" s="317" t="str">
        <f t="shared" si="90"/>
        <v/>
      </c>
      <c r="S772" s="317" t="str">
        <f t="shared" si="91"/>
        <v/>
      </c>
      <c r="T772" s="317" t="str">
        <f>'REF. DE PREÇOS n editavel'!S772</f>
        <v/>
      </c>
      <c r="W772" s="577">
        <v>0</v>
      </c>
      <c r="X772" s="575"/>
      <c r="Y772" s="578">
        <f>IF('REF. DE PREÇOS n editavel'!W772=0,0,IF('REF. DE PREÇOS n editavel'!W772&gt;0,"c","b"))</f>
        <v>0</v>
      </c>
    </row>
    <row r="773" spans="1:25">
      <c r="A773" s="317" t="s">
        <v>147</v>
      </c>
      <c r="B773" s="870" t="str">
        <f>'REF. DE PREÇOS n editavel'!B773</f>
        <v>transporte</v>
      </c>
      <c r="C773" s="871">
        <f>'REF. DE PREÇOS n editavel'!C773</f>
        <v>0</v>
      </c>
      <c r="D773" s="931" t="str">
        <f>'REF. DE PREÇOS n editavel'!D773</f>
        <v>Cal Hidratada CH-1</v>
      </c>
      <c r="E773" s="882">
        <f>'REF. DE PREÇOS n editavel'!E773</f>
        <v>445</v>
      </c>
      <c r="F773" s="883">
        <f>'REF. DE PREÇOS n editavel'!F773</f>
        <v>1.4999999999999999E-2</v>
      </c>
      <c r="G773" s="884">
        <f>'REF. DE PREÇOS n editavel'!G773</f>
        <v>5.3238000000000003</v>
      </c>
      <c r="H773" s="876">
        <f>'REF. DE PREÇOS n editavel'!H773</f>
        <v>0</v>
      </c>
      <c r="I773" s="876">
        <f>'REF. DE PREÇOS n editavel'!I773</f>
        <v>0</v>
      </c>
      <c r="J773" s="877">
        <f>'REF. DE PREÇOS n editavel'!J773</f>
        <v>0</v>
      </c>
      <c r="K773" s="878" t="s">
        <v>506</v>
      </c>
      <c r="L773" s="977"/>
      <c r="M773" s="1112">
        <f t="shared" si="88"/>
        <v>0</v>
      </c>
      <c r="N773" s="868">
        <f t="shared" si="92"/>
        <v>0</v>
      </c>
      <c r="O773" s="880"/>
      <c r="P773" s="58" t="str">
        <f>IF(N771&gt;0,"xx",IF(N771&gt;0,"xy",""))</f>
        <v/>
      </c>
      <c r="Q773" s="317" t="str">
        <f t="shared" si="89"/>
        <v/>
      </c>
      <c r="R773" s="317" t="str">
        <f t="shared" si="90"/>
        <v/>
      </c>
      <c r="S773" s="317" t="str">
        <f t="shared" si="91"/>
        <v/>
      </c>
      <c r="T773" s="317" t="str">
        <f>'REF. DE PREÇOS n editavel'!S773</f>
        <v/>
      </c>
      <c r="W773" s="577">
        <v>0</v>
      </c>
      <c r="X773" s="575"/>
      <c r="Y773" s="578">
        <f>IF('REF. DE PREÇOS n editavel'!W773=0,0,IF('REF. DE PREÇOS n editavel'!W773&gt;0,"c","b"))</f>
        <v>0</v>
      </c>
    </row>
    <row r="774" spans="1:25">
      <c r="A774" s="317" t="s">
        <v>147</v>
      </c>
      <c r="B774" s="870" t="str">
        <f>'REF. DE PREÇOS n editavel'!B774</f>
        <v>transporte</v>
      </c>
      <c r="C774" s="871">
        <f>'REF. DE PREÇOS n editavel'!C774</f>
        <v>0</v>
      </c>
      <c r="D774" s="931" t="str">
        <f>'REF. DE PREÇOS n editavel'!D774</f>
        <v>Brita ( usina )</v>
      </c>
      <c r="E774" s="882">
        <f>'REF. DE PREÇOS n editavel'!E774</f>
        <v>0.2</v>
      </c>
      <c r="F774" s="883">
        <f>'REF. DE PREÇOS n editavel'!F774</f>
        <v>0.82799999999999996</v>
      </c>
      <c r="G774" s="923">
        <f>'REF. DE PREÇOS n editavel'!G774</f>
        <v>2.3962319999999999</v>
      </c>
      <c r="H774" s="876">
        <f>'REF. DE PREÇOS n editavel'!H774</f>
        <v>0</v>
      </c>
      <c r="I774" s="876">
        <f>'REF. DE PREÇOS n editavel'!I774</f>
        <v>0</v>
      </c>
      <c r="J774" s="877">
        <f>'REF. DE PREÇOS n editavel'!J774</f>
        <v>0</v>
      </c>
      <c r="K774" s="878" t="s">
        <v>506</v>
      </c>
      <c r="L774" s="977"/>
      <c r="M774" s="1112">
        <f t="shared" si="88"/>
        <v>0</v>
      </c>
      <c r="N774" s="868">
        <f t="shared" si="92"/>
        <v>0</v>
      </c>
      <c r="O774" s="880"/>
      <c r="P774" s="58" t="str">
        <f>IF(N771&gt;0,"xx",IF(N771&gt;0,"xy",""))</f>
        <v/>
      </c>
      <c r="Q774" s="317" t="str">
        <f t="shared" si="89"/>
        <v/>
      </c>
      <c r="R774" s="317" t="str">
        <f t="shared" si="90"/>
        <v/>
      </c>
      <c r="S774" s="317" t="str">
        <f t="shared" si="91"/>
        <v/>
      </c>
      <c r="T774" s="317" t="str">
        <f>'REF. DE PREÇOS n editavel'!S774</f>
        <v/>
      </c>
      <c r="W774" s="577">
        <v>0</v>
      </c>
      <c r="X774" s="575"/>
      <c r="Y774" s="578">
        <f>IF('REF. DE PREÇOS n editavel'!W774=0,0,IF('REF. DE PREÇOS n editavel'!W774&gt;0,"c","b"))</f>
        <v>0</v>
      </c>
    </row>
    <row r="775" spans="1:25">
      <c r="A775" s="317" t="s">
        <v>147</v>
      </c>
      <c r="B775" s="870" t="str">
        <f>'REF. DE PREÇOS n editavel'!B775</f>
        <v>transporte</v>
      </c>
      <c r="C775" s="871">
        <f>'REF. DE PREÇOS n editavel'!C775</f>
        <v>0</v>
      </c>
      <c r="D775" s="931" t="str">
        <f>'REF. DE PREÇOS n editavel'!D775</f>
        <v>Massa</v>
      </c>
      <c r="E775" s="882">
        <f>'REF. DE PREÇOS n editavel'!E775</f>
        <v>43.1</v>
      </c>
      <c r="F775" s="883">
        <f>'REF. DE PREÇOS n editavel'!F775</f>
        <v>1</v>
      </c>
      <c r="G775" s="887">
        <f>'REF. DE PREÇOS n editavel'!G775</f>
        <v>52.567000000000007</v>
      </c>
      <c r="H775" s="876">
        <f>'REF. DE PREÇOS n editavel'!H775</f>
        <v>0</v>
      </c>
      <c r="I775" s="876">
        <f>'REF. DE PREÇOS n editavel'!I775</f>
        <v>0</v>
      </c>
      <c r="J775" s="877">
        <f>'REF. DE PREÇOS n editavel'!J775</f>
        <v>0</v>
      </c>
      <c r="K775" s="878" t="s">
        <v>506</v>
      </c>
      <c r="L775" s="977"/>
      <c r="M775" s="1112">
        <f t="shared" si="88"/>
        <v>0</v>
      </c>
      <c r="N775" s="868">
        <f t="shared" si="92"/>
        <v>0</v>
      </c>
      <c r="O775" s="880"/>
      <c r="P775" s="58" t="str">
        <f>IF(N771&gt;0,"xx",IF(N771&gt;0,"xy",""))</f>
        <v/>
      </c>
      <c r="Q775" s="317" t="str">
        <f t="shared" si="89"/>
        <v/>
      </c>
      <c r="R775" s="317" t="str">
        <f t="shared" si="90"/>
        <v/>
      </c>
      <c r="S775" s="317" t="str">
        <f t="shared" si="91"/>
        <v/>
      </c>
      <c r="T775" s="317" t="str">
        <f>'REF. DE PREÇOS n editavel'!S775</f>
        <v/>
      </c>
      <c r="W775" s="577">
        <v>0</v>
      </c>
      <c r="X775" s="575"/>
      <c r="Y775" s="578">
        <f>IF('REF. DE PREÇOS n editavel'!W775=0,0,IF('REF. DE PREÇOS n editavel'!W775&gt;0,"c","b"))</f>
        <v>0</v>
      </c>
    </row>
    <row r="776" spans="1:25" ht="13.5" thickBot="1">
      <c r="A776" s="317">
        <v>589000</v>
      </c>
      <c r="B776" s="978" t="str">
        <f>'REF. DE PREÇOS n editavel'!B776</f>
        <v>589000R</v>
      </c>
      <c r="C776" s="958" t="str">
        <f>'REF. DE PREÇOS n editavel'!C776</f>
        <v>DER mat</v>
      </c>
      <c r="D776" s="986" t="str">
        <f>'REF. DE PREÇOS n editavel'!D776</f>
        <v>Fornecimento de CAP - CBUQ (Quantidade maior que 10.000 ton)</v>
      </c>
      <c r="E776" s="979">
        <f>'REF. DE PREÇOS n editavel'!E776</f>
        <v>468</v>
      </c>
      <c r="F776" s="980">
        <f>'REF. DE PREÇOS n editavel'!F776</f>
        <v>1</v>
      </c>
      <c r="G776" s="1002">
        <f>'REF. DE PREÇOS n editavel'!G776</f>
        <v>485.97999999999996</v>
      </c>
      <c r="H776" s="962">
        <f>'REF. DE PREÇOS n editavel'!H776</f>
        <v>4828.8599999999997</v>
      </c>
      <c r="I776" s="962">
        <f>'REF. DE PREÇOS n editavel'!I776</f>
        <v>5163.1232400589097</v>
      </c>
      <c r="J776" s="963">
        <f>'REF. DE PREÇOS n editavel'!J776</f>
        <v>6310.37</v>
      </c>
      <c r="K776" s="964" t="s">
        <v>14</v>
      </c>
      <c r="L776" s="1124">
        <f>ROUND(L771*$F771,2)</f>
        <v>0</v>
      </c>
      <c r="M776" s="1123">
        <f t="shared" si="88"/>
        <v>0</v>
      </c>
      <c r="N776" s="967">
        <f t="shared" si="92"/>
        <v>0</v>
      </c>
      <c r="O776" s="880"/>
      <c r="P776" s="58" t="str">
        <f>IF(N771&gt;0,"xx",IF(N771&gt;0,"xy",""))</f>
        <v/>
      </c>
      <c r="Q776" s="317" t="str">
        <f t="shared" si="89"/>
        <v/>
      </c>
      <c r="R776" s="317" t="str">
        <f t="shared" si="90"/>
        <v/>
      </c>
      <c r="S776" s="317" t="str">
        <f t="shared" si="91"/>
        <v/>
      </c>
      <c r="T776" s="317" t="str">
        <f>'REF. DE PREÇOS n editavel'!S776</f>
        <v/>
      </c>
      <c r="W776" s="577">
        <v>0</v>
      </c>
      <c r="X776" s="575"/>
      <c r="Y776" s="578">
        <f>IF('REF. DE PREÇOS n editavel'!W776=0,0,IF('REF. DE PREÇOS n editavel'!W776&gt;0,"c","b"))</f>
        <v>0</v>
      </c>
    </row>
    <row r="777" spans="1:25" ht="22.5">
      <c r="A777" s="317">
        <v>570000</v>
      </c>
      <c r="B777" s="973" t="str">
        <f>'REF. DE PREÇOS n editavel'!B777</f>
        <v>570000E</v>
      </c>
      <c r="C777" s="974" t="str">
        <f>'REF. DE PREÇOS n editavel'!C777</f>
        <v>DER</v>
      </c>
      <c r="D777" s="998" t="str">
        <f>'REF. DE PREÇOS n editavel'!D777</f>
        <v>CBUQ - PASSEIO - Novo Traço - TRAÇO 4 - FAIXA "D" - (Quant. menor que 10.000 ton)</v>
      </c>
      <c r="E777" s="948" t="str">
        <f>'REF. DE PREÇOS n editavel'!E777</f>
        <v>taxa CAP</v>
      </c>
      <c r="F777" s="996">
        <f>'REF. DE PREÇOS n editavel'!F777</f>
        <v>5.6000000000000001E-2</v>
      </c>
      <c r="G777" s="950">
        <f>'REF. DE PREÇOS n editavel'!G777</f>
        <v>89.569823600000007</v>
      </c>
      <c r="H777" s="951">
        <f>'REF. DE PREÇOS n editavel'!H777</f>
        <v>187.41</v>
      </c>
      <c r="I777" s="951">
        <f>'REF. DE PREÇOS n editavel'!I777</f>
        <v>276.97982360000003</v>
      </c>
      <c r="J777" s="952">
        <f>'REF. DE PREÇOS n editavel'!J777</f>
        <v>338.52</v>
      </c>
      <c r="K777" s="953" t="s">
        <v>14</v>
      </c>
      <c r="L777" s="1107"/>
      <c r="M777" s="1108">
        <f t="shared" ref="M777:M782" si="93">IF(L777=0,0,ROUND(J777,2))</f>
        <v>0</v>
      </c>
      <c r="N777" s="956">
        <f t="shared" ref="N777:N782" si="94">IF(ISBLANK(L777),0,IF(W777=0,ROUND(L777*M777,2),IF(W777="b",ROUNDDOWN(L777*M777,2),ROUNDUP(L777*M777,2))))</f>
        <v>0</v>
      </c>
      <c r="O777" s="880"/>
      <c r="Q777" s="317" t="str">
        <f t="shared" ref="Q777:Q782" si="95">IF(P777="X","x",IF(P777="xx","x",IF(P777="xy","x",IF(P777="y","x",IF(OR(N777&gt;0,N777&gt;0),"x","")))))</f>
        <v/>
      </c>
      <c r="R777" s="317" t="str">
        <f t="shared" ref="R777:R782" si="96">IF(P777="X","x",IF(P777="y","x",IF(P777="xx","x",IF(N777&gt;0,"x",""))))</f>
        <v/>
      </c>
      <c r="S777" s="317" t="str">
        <f t="shared" ref="S777:S782" si="97">IF(P777="X","x",IF(N777&gt;0,"x",""))</f>
        <v/>
      </c>
      <c r="T777" s="317" t="str">
        <f>'REF. DE PREÇOS n editavel'!S777</f>
        <v/>
      </c>
      <c r="W777" s="577">
        <v>0</v>
      </c>
      <c r="X777" s="575"/>
      <c r="Y777" s="578">
        <f>IF('REF. DE PREÇOS n editavel'!W777=0,0,IF('REF. DE PREÇOS n editavel'!W777&gt;0,"c","b"))</f>
        <v>0</v>
      </c>
    </row>
    <row r="778" spans="1:25">
      <c r="A778" s="317" t="s">
        <v>147</v>
      </c>
      <c r="B778" s="870" t="str">
        <f>'REF. DE PREÇOS n editavel'!B778</f>
        <v>transporte</v>
      </c>
      <c r="C778" s="871">
        <f>'REF. DE PREÇOS n editavel'!C778</f>
        <v>0</v>
      </c>
      <c r="D778" s="931" t="str">
        <f>'REF. DE PREÇOS n editavel'!D778</f>
        <v>Areia</v>
      </c>
      <c r="E778" s="882">
        <f>'REF. DE PREÇOS n editavel'!E778</f>
        <v>290</v>
      </c>
      <c r="F778" s="1242">
        <f>'REF. DE PREÇOS n editavel'!F778</f>
        <v>9.4399999999999998E-2</v>
      </c>
      <c r="G778" s="923">
        <f>'REF. DE PREÇOS n editavel'!G778</f>
        <v>29.545312000000003</v>
      </c>
      <c r="H778" s="876">
        <f>'REF. DE PREÇOS n editavel'!H778</f>
        <v>0</v>
      </c>
      <c r="I778" s="876">
        <f>'REF. DE PREÇOS n editavel'!I778</f>
        <v>0</v>
      </c>
      <c r="J778" s="877">
        <f>'REF. DE PREÇOS n editavel'!J778</f>
        <v>0</v>
      </c>
      <c r="K778" s="878" t="s">
        <v>506</v>
      </c>
      <c r="L778" s="977"/>
      <c r="M778" s="1112">
        <f t="shared" si="93"/>
        <v>0</v>
      </c>
      <c r="N778" s="868">
        <f t="shared" si="94"/>
        <v>0</v>
      </c>
      <c r="O778" s="880"/>
      <c r="P778" s="58" t="str">
        <f>IF(N777&gt;0,"xx",IF(N777&gt;0,"xy",""))</f>
        <v/>
      </c>
      <c r="Q778" s="317" t="str">
        <f t="shared" si="95"/>
        <v/>
      </c>
      <c r="R778" s="317" t="str">
        <f t="shared" si="96"/>
        <v/>
      </c>
      <c r="S778" s="317" t="str">
        <f t="shared" si="97"/>
        <v/>
      </c>
      <c r="T778" s="317" t="str">
        <f>'REF. DE PREÇOS n editavel'!S778</f>
        <v/>
      </c>
      <c r="W778" s="577">
        <v>0</v>
      </c>
      <c r="X778" s="575"/>
      <c r="Y778" s="578">
        <f>IF('REF. DE PREÇOS n editavel'!W778=0,0,IF('REF. DE PREÇOS n editavel'!W778&gt;0,"c","b"))</f>
        <v>0</v>
      </c>
    </row>
    <row r="779" spans="1:25">
      <c r="A779" s="317" t="s">
        <v>147</v>
      </c>
      <c r="B779" s="870" t="str">
        <f>'REF. DE PREÇOS n editavel'!B779</f>
        <v>transporte</v>
      </c>
      <c r="C779" s="871">
        <f>'REF. DE PREÇOS n editavel'!C779</f>
        <v>0</v>
      </c>
      <c r="D779" s="931" t="str">
        <f>'REF. DE PREÇOS n editavel'!D779</f>
        <v>Cal Hidratada CH-1</v>
      </c>
      <c r="E779" s="882">
        <f>'REF. DE PREÇOS n editavel'!E779</f>
        <v>445</v>
      </c>
      <c r="F779" s="1242">
        <f>'REF. DE PREÇOS n editavel'!F779</f>
        <v>1.4200000000000001E-2</v>
      </c>
      <c r="G779" s="884">
        <f>'REF. DE PREÇOS n editavel'!G779</f>
        <v>5.0398640000000006</v>
      </c>
      <c r="H779" s="876">
        <f>'REF. DE PREÇOS n editavel'!H779</f>
        <v>0</v>
      </c>
      <c r="I779" s="876">
        <f>'REF. DE PREÇOS n editavel'!I779</f>
        <v>0</v>
      </c>
      <c r="J779" s="877">
        <f>'REF. DE PREÇOS n editavel'!J779</f>
        <v>0</v>
      </c>
      <c r="K779" s="878" t="s">
        <v>506</v>
      </c>
      <c r="L779" s="977"/>
      <c r="M779" s="1112">
        <f t="shared" si="93"/>
        <v>0</v>
      </c>
      <c r="N779" s="868">
        <f t="shared" si="94"/>
        <v>0</v>
      </c>
      <c r="O779" s="880"/>
      <c r="P779" s="58" t="str">
        <f>IF(N777&gt;0,"xx",IF(N777&gt;0,"xy",""))</f>
        <v/>
      </c>
      <c r="Q779" s="317" t="str">
        <f t="shared" si="95"/>
        <v/>
      </c>
      <c r="R779" s="317" t="str">
        <f t="shared" si="96"/>
        <v/>
      </c>
      <c r="S779" s="317" t="str">
        <f t="shared" si="97"/>
        <v/>
      </c>
      <c r="T779" s="317" t="str">
        <f>'REF. DE PREÇOS n editavel'!S779</f>
        <v/>
      </c>
      <c r="W779" s="577">
        <v>0</v>
      </c>
      <c r="X779" s="575"/>
      <c r="Y779" s="578">
        <f>IF('REF. DE PREÇOS n editavel'!W779=0,0,IF('REF. DE PREÇOS n editavel'!W779&gt;0,"c","b"))</f>
        <v>0</v>
      </c>
    </row>
    <row r="780" spans="1:25">
      <c r="A780" s="317" t="s">
        <v>147</v>
      </c>
      <c r="B780" s="870" t="str">
        <f>'REF. DE PREÇOS n editavel'!B780</f>
        <v>transporte</v>
      </c>
      <c r="C780" s="871">
        <f>'REF. DE PREÇOS n editavel'!C780</f>
        <v>0</v>
      </c>
      <c r="D780" s="931" t="str">
        <f>'REF. DE PREÇOS n editavel'!D780</f>
        <v>Brita ( usina )</v>
      </c>
      <c r="E780" s="882">
        <f>'REF. DE PREÇOS n editavel'!E780</f>
        <v>0.2</v>
      </c>
      <c r="F780" s="1242">
        <f>'REF. DE PREÇOS n editavel'!F780</f>
        <v>0.83540000000000003</v>
      </c>
      <c r="G780" s="923">
        <f>'REF. DE PREÇOS n editavel'!G780</f>
        <v>2.4176476</v>
      </c>
      <c r="H780" s="876">
        <f>'REF. DE PREÇOS n editavel'!H780</f>
        <v>0</v>
      </c>
      <c r="I780" s="876">
        <f>'REF. DE PREÇOS n editavel'!I780</f>
        <v>0</v>
      </c>
      <c r="J780" s="877">
        <f>'REF. DE PREÇOS n editavel'!J780</f>
        <v>0</v>
      </c>
      <c r="K780" s="878" t="s">
        <v>506</v>
      </c>
      <c r="L780" s="977"/>
      <c r="M780" s="1112">
        <f t="shared" si="93"/>
        <v>0</v>
      </c>
      <c r="N780" s="868">
        <f t="shared" si="94"/>
        <v>0</v>
      </c>
      <c r="O780" s="880"/>
      <c r="P780" s="58" t="str">
        <f>IF(N777&gt;0,"xx",IF(N777&gt;0,"xy",""))</f>
        <v/>
      </c>
      <c r="Q780" s="317" t="str">
        <f t="shared" si="95"/>
        <v/>
      </c>
      <c r="R780" s="317" t="str">
        <f t="shared" si="96"/>
        <v/>
      </c>
      <c r="S780" s="317" t="str">
        <f t="shared" si="97"/>
        <v/>
      </c>
      <c r="T780" s="317" t="str">
        <f>'REF. DE PREÇOS n editavel'!S780</f>
        <v/>
      </c>
      <c r="W780" s="577">
        <v>0</v>
      </c>
      <c r="X780" s="575"/>
      <c r="Y780" s="578">
        <f>IF('REF. DE PREÇOS n editavel'!W780=0,0,IF('REF. DE PREÇOS n editavel'!W780&gt;0,"c","b"))</f>
        <v>0</v>
      </c>
    </row>
    <row r="781" spans="1:25">
      <c r="A781" s="317" t="s">
        <v>147</v>
      </c>
      <c r="B781" s="870" t="str">
        <f>'REF. DE PREÇOS n editavel'!B781</f>
        <v>transporte</v>
      </c>
      <c r="C781" s="871">
        <f>'REF. DE PREÇOS n editavel'!C781</f>
        <v>0</v>
      </c>
      <c r="D781" s="931" t="str">
        <f>'REF. DE PREÇOS n editavel'!D781</f>
        <v>Massa</v>
      </c>
      <c r="E781" s="882">
        <f>'REF. DE PREÇOS n editavel'!E781</f>
        <v>43.1</v>
      </c>
      <c r="F781" s="883">
        <f>'REF. DE PREÇOS n editavel'!F781</f>
        <v>1</v>
      </c>
      <c r="G781" s="887">
        <f>'REF. DE PREÇOS n editavel'!G781</f>
        <v>52.567000000000007</v>
      </c>
      <c r="H781" s="876">
        <f>'REF. DE PREÇOS n editavel'!H781</f>
        <v>0</v>
      </c>
      <c r="I781" s="876">
        <f>'REF. DE PREÇOS n editavel'!I781</f>
        <v>0</v>
      </c>
      <c r="J781" s="877">
        <f>'REF. DE PREÇOS n editavel'!J781</f>
        <v>0</v>
      </c>
      <c r="K781" s="878" t="s">
        <v>506</v>
      </c>
      <c r="L781" s="977"/>
      <c r="M781" s="1112">
        <f t="shared" si="93"/>
        <v>0</v>
      </c>
      <c r="N781" s="868">
        <f t="shared" si="94"/>
        <v>0</v>
      </c>
      <c r="O781" s="880"/>
      <c r="P781" s="58" t="str">
        <f>IF(N777&gt;0,"xx",IF(N777&gt;0,"xy",""))</f>
        <v/>
      </c>
      <c r="Q781" s="317" t="str">
        <f t="shared" si="95"/>
        <v/>
      </c>
      <c r="R781" s="317" t="str">
        <f t="shared" si="96"/>
        <v/>
      </c>
      <c r="S781" s="317" t="str">
        <f t="shared" si="97"/>
        <v/>
      </c>
      <c r="T781" s="317" t="str">
        <f>'REF. DE PREÇOS n editavel'!S781</f>
        <v/>
      </c>
      <c r="W781" s="577">
        <v>0</v>
      </c>
      <c r="X781" s="575"/>
      <c r="Y781" s="578">
        <f>IF('REF. DE PREÇOS n editavel'!W781=0,0,IF('REF. DE PREÇOS n editavel'!W781&gt;0,"c","b"))</f>
        <v>0</v>
      </c>
    </row>
    <row r="782" spans="1:25" ht="13.5" thickBot="1">
      <c r="A782" s="317">
        <v>589000</v>
      </c>
      <c r="B782" s="978" t="str">
        <f>'REF. DE PREÇOS n editavel'!B782</f>
        <v>589000Q</v>
      </c>
      <c r="C782" s="958" t="str">
        <f>'REF. DE PREÇOS n editavel'!C782</f>
        <v>DER mat</v>
      </c>
      <c r="D782" s="986" t="str">
        <f>'REF. DE PREÇOS n editavel'!D782</f>
        <v>Fornecimento de CAP - CBUQ (Quantidade menor que 10.000 ton)</v>
      </c>
      <c r="E782" s="979">
        <f>'REF. DE PREÇOS n editavel'!E782</f>
        <v>468</v>
      </c>
      <c r="F782" s="980">
        <f>'REF. DE PREÇOS n editavel'!F782</f>
        <v>1</v>
      </c>
      <c r="G782" s="1002">
        <f>'REF. DE PREÇOS n editavel'!G782</f>
        <v>485.97999999999996</v>
      </c>
      <c r="H782" s="962">
        <f>'REF. DE PREÇOS n editavel'!H782</f>
        <v>4828.8599999999997</v>
      </c>
      <c r="I782" s="962">
        <f>'REF. DE PREÇOS n editavel'!I782</f>
        <v>5163.1232400589097</v>
      </c>
      <c r="J782" s="963">
        <f>'REF. DE PREÇOS n editavel'!J782</f>
        <v>6310.37</v>
      </c>
      <c r="K782" s="964" t="s">
        <v>14</v>
      </c>
      <c r="L782" s="1124">
        <f>ROUND(L777*$F777,2)</f>
        <v>0</v>
      </c>
      <c r="M782" s="1123">
        <f t="shared" si="93"/>
        <v>0</v>
      </c>
      <c r="N782" s="967">
        <f t="shared" si="94"/>
        <v>0</v>
      </c>
      <c r="O782" s="880"/>
      <c r="P782" s="58" t="str">
        <f>IF(N777&gt;0,"xx",IF(N777&gt;0,"xy",""))</f>
        <v/>
      </c>
      <c r="Q782" s="317" t="str">
        <f t="shared" si="95"/>
        <v/>
      </c>
      <c r="R782" s="317" t="str">
        <f t="shared" si="96"/>
        <v/>
      </c>
      <c r="S782" s="317" t="str">
        <f t="shared" si="97"/>
        <v/>
      </c>
      <c r="T782" s="317" t="str">
        <f>'REF. DE PREÇOS n editavel'!S782</f>
        <v/>
      </c>
      <c r="W782" s="577">
        <v>0</v>
      </c>
      <c r="X782" s="575"/>
      <c r="Y782" s="578">
        <f>IF('REF. DE PREÇOS n editavel'!W782=0,0,IF('REF. DE PREÇOS n editavel'!W782&gt;0,"c","b"))</f>
        <v>0</v>
      </c>
    </row>
    <row r="783" spans="1:25" ht="22.5">
      <c r="A783" s="317">
        <v>570000</v>
      </c>
      <c r="B783" s="973" t="str">
        <f>'REF. DE PREÇOS n editavel'!B783</f>
        <v>570000E</v>
      </c>
      <c r="C783" s="974" t="str">
        <f>'REF. DE PREÇOS n editavel'!C783</f>
        <v>DER</v>
      </c>
      <c r="D783" s="998" t="str">
        <f>'REF. DE PREÇOS n editavel'!D783</f>
        <v>CBUQ - PASSEIO - Novo Traço - TRAÇO 5 - FAIXA "D" - (Quant. menor que 10.000 ton)</v>
      </c>
      <c r="E783" s="948" t="str">
        <f>'REF. DE PREÇOS n editavel'!E783</f>
        <v>taxa CAP</v>
      </c>
      <c r="F783" s="996">
        <f>'REF. DE PREÇOS n editavel'!F783</f>
        <v>5.5E-2</v>
      </c>
      <c r="G783" s="950">
        <f>'REF. DE PREÇOS n editavel'!G783</f>
        <v>89.603726200000011</v>
      </c>
      <c r="H783" s="951">
        <f>'REF. DE PREÇOS n editavel'!H783</f>
        <v>187.41</v>
      </c>
      <c r="I783" s="951">
        <f>'REF. DE PREÇOS n editavel'!I783</f>
        <v>277.01372620000001</v>
      </c>
      <c r="J783" s="952">
        <f>'REF. DE PREÇOS n editavel'!J783</f>
        <v>338.57</v>
      </c>
      <c r="K783" s="953" t="s">
        <v>14</v>
      </c>
      <c r="L783" s="1107"/>
      <c r="M783" s="1108">
        <f t="shared" ref="M783:M788" si="98">IF(L783=0,0,ROUND(J783,2))</f>
        <v>0</v>
      </c>
      <c r="N783" s="956">
        <f t="shared" ref="N783:N788" si="99">IF(ISBLANK(L783),0,IF(W783=0,ROUND(L783*M783,2),IF(W783="b",ROUNDDOWN(L783*M783,2),ROUNDUP(L783*M783,2))))</f>
        <v>0</v>
      </c>
      <c r="O783" s="880"/>
      <c r="Q783" s="317" t="str">
        <f t="shared" ref="Q783:Q788" si="100">IF(P783="X","x",IF(P783="xx","x",IF(P783="xy","x",IF(P783="y","x",IF(OR(N783&gt;0,N783&gt;0),"x","")))))</f>
        <v/>
      </c>
      <c r="R783" s="317" t="str">
        <f t="shared" ref="R783:R788" si="101">IF(P783="X","x",IF(P783="y","x",IF(P783="xx","x",IF(N783&gt;0,"x",""))))</f>
        <v/>
      </c>
      <c r="S783" s="317" t="str">
        <f t="shared" ref="S783:S788" si="102">IF(P783="X","x",IF(N783&gt;0,"x",""))</f>
        <v/>
      </c>
      <c r="T783" s="317" t="str">
        <f>'REF. DE PREÇOS n editavel'!S783</f>
        <v/>
      </c>
      <c r="W783" s="577">
        <v>0</v>
      </c>
      <c r="X783" s="575"/>
      <c r="Y783" s="578">
        <f>IF('REF. DE PREÇOS n editavel'!W783=0,0,IF('REF. DE PREÇOS n editavel'!W783&gt;0,"c","b"))</f>
        <v>0</v>
      </c>
    </row>
    <row r="784" spans="1:25">
      <c r="A784" s="317" t="s">
        <v>147</v>
      </c>
      <c r="B784" s="870" t="str">
        <f>'REF. DE PREÇOS n editavel'!B784</f>
        <v>transporte</v>
      </c>
      <c r="C784" s="871">
        <f>'REF. DE PREÇOS n editavel'!C784</f>
        <v>0</v>
      </c>
      <c r="D784" s="931" t="str">
        <f>'REF. DE PREÇOS n editavel'!D784</f>
        <v>Areia</v>
      </c>
      <c r="E784" s="882">
        <f>'REF. DE PREÇOS n editavel'!E784</f>
        <v>290</v>
      </c>
      <c r="F784" s="1242">
        <f>'REF. DE PREÇOS n editavel'!F784</f>
        <v>9.4500000000000001E-2</v>
      </c>
      <c r="G784" s="923">
        <f>'REF. DE PREÇOS n editavel'!G784</f>
        <v>29.576610000000002</v>
      </c>
      <c r="H784" s="876">
        <f>'REF. DE PREÇOS n editavel'!H784</f>
        <v>0</v>
      </c>
      <c r="I784" s="876">
        <f>'REF. DE PREÇOS n editavel'!I784</f>
        <v>0</v>
      </c>
      <c r="J784" s="877">
        <f>'REF. DE PREÇOS n editavel'!J784</f>
        <v>0</v>
      </c>
      <c r="K784" s="878" t="s">
        <v>506</v>
      </c>
      <c r="L784" s="977"/>
      <c r="M784" s="1112">
        <f t="shared" si="98"/>
        <v>0</v>
      </c>
      <c r="N784" s="868">
        <f t="shared" si="99"/>
        <v>0</v>
      </c>
      <c r="O784" s="880"/>
      <c r="P784" s="58" t="str">
        <f>IF(N783&gt;0,"xx",IF(N783&gt;0,"xy",""))</f>
        <v/>
      </c>
      <c r="Q784" s="317" t="str">
        <f t="shared" si="100"/>
        <v/>
      </c>
      <c r="R784" s="317" t="str">
        <f t="shared" si="101"/>
        <v/>
      </c>
      <c r="S784" s="317" t="str">
        <f t="shared" si="102"/>
        <v/>
      </c>
      <c r="T784" s="317" t="str">
        <f>'REF. DE PREÇOS n editavel'!S784</f>
        <v/>
      </c>
      <c r="W784" s="577">
        <v>0</v>
      </c>
      <c r="X784" s="575"/>
      <c r="Y784" s="578">
        <f>IF('REF. DE PREÇOS n editavel'!W784=0,0,IF('REF. DE PREÇOS n editavel'!W784&gt;0,"c","b"))</f>
        <v>0</v>
      </c>
    </row>
    <row r="785" spans="1:25">
      <c r="A785" s="317" t="s">
        <v>147</v>
      </c>
      <c r="B785" s="870" t="str">
        <f>'REF. DE PREÇOS n editavel'!B785</f>
        <v>transporte</v>
      </c>
      <c r="C785" s="871">
        <f>'REF. DE PREÇOS n editavel'!C785</f>
        <v>0</v>
      </c>
      <c r="D785" s="931" t="str">
        <f>'REF. DE PREÇOS n editavel'!D785</f>
        <v>Cal Hidratada CH-1</v>
      </c>
      <c r="E785" s="882">
        <f>'REF. DE PREÇOS n editavel'!E785</f>
        <v>445</v>
      </c>
      <c r="F785" s="1242">
        <f>'REF. DE PREÇOS n editavel'!F785</f>
        <v>1.4200000000000001E-2</v>
      </c>
      <c r="G785" s="884">
        <f>'REF. DE PREÇOS n editavel'!G785</f>
        <v>5.0398640000000006</v>
      </c>
      <c r="H785" s="876">
        <f>'REF. DE PREÇOS n editavel'!H785</f>
        <v>0</v>
      </c>
      <c r="I785" s="876">
        <f>'REF. DE PREÇOS n editavel'!I785</f>
        <v>0</v>
      </c>
      <c r="J785" s="877">
        <f>'REF. DE PREÇOS n editavel'!J785</f>
        <v>0</v>
      </c>
      <c r="K785" s="878" t="s">
        <v>506</v>
      </c>
      <c r="L785" s="977"/>
      <c r="M785" s="1112">
        <f t="shared" si="98"/>
        <v>0</v>
      </c>
      <c r="N785" s="868">
        <f t="shared" si="99"/>
        <v>0</v>
      </c>
      <c r="O785" s="880"/>
      <c r="P785" s="58" t="str">
        <f>IF(N783&gt;0,"xx",IF(N783&gt;0,"xy",""))</f>
        <v/>
      </c>
      <c r="Q785" s="317" t="str">
        <f t="shared" si="100"/>
        <v/>
      </c>
      <c r="R785" s="317" t="str">
        <f t="shared" si="101"/>
        <v/>
      </c>
      <c r="S785" s="317" t="str">
        <f t="shared" si="102"/>
        <v/>
      </c>
      <c r="T785" s="317" t="str">
        <f>'REF. DE PREÇOS n editavel'!S785</f>
        <v/>
      </c>
      <c r="W785" s="577">
        <v>0</v>
      </c>
      <c r="X785" s="575"/>
      <c r="Y785" s="578">
        <f>IF('REF. DE PREÇOS n editavel'!W785=0,0,IF('REF. DE PREÇOS n editavel'!W785&gt;0,"c","b"))</f>
        <v>0</v>
      </c>
    </row>
    <row r="786" spans="1:25">
      <c r="A786" s="317" t="s">
        <v>147</v>
      </c>
      <c r="B786" s="870" t="str">
        <f>'REF. DE PREÇOS n editavel'!B786</f>
        <v>transporte</v>
      </c>
      <c r="C786" s="871">
        <f>'REF. DE PREÇOS n editavel'!C786</f>
        <v>0</v>
      </c>
      <c r="D786" s="931" t="str">
        <f>'REF. DE PREÇOS n editavel'!D786</f>
        <v>Brita ( usina )</v>
      </c>
      <c r="E786" s="882">
        <f>'REF. DE PREÇOS n editavel'!E786</f>
        <v>0.2</v>
      </c>
      <c r="F786" s="1242">
        <f>'REF. DE PREÇOS n editavel'!F786</f>
        <v>0.83630000000000004</v>
      </c>
      <c r="G786" s="923">
        <f>'REF. DE PREÇOS n editavel'!G786</f>
        <v>2.4202522000000002</v>
      </c>
      <c r="H786" s="876">
        <f>'REF. DE PREÇOS n editavel'!H786</f>
        <v>0</v>
      </c>
      <c r="I786" s="876">
        <f>'REF. DE PREÇOS n editavel'!I786</f>
        <v>0</v>
      </c>
      <c r="J786" s="877">
        <f>'REF. DE PREÇOS n editavel'!J786</f>
        <v>0</v>
      </c>
      <c r="K786" s="878" t="s">
        <v>506</v>
      </c>
      <c r="L786" s="977"/>
      <c r="M786" s="1112">
        <f t="shared" si="98"/>
        <v>0</v>
      </c>
      <c r="N786" s="868">
        <f t="shared" si="99"/>
        <v>0</v>
      </c>
      <c r="O786" s="880"/>
      <c r="P786" s="58" t="str">
        <f>IF(N783&gt;0,"xx",IF(N783&gt;0,"xy",""))</f>
        <v/>
      </c>
      <c r="Q786" s="317" t="str">
        <f t="shared" si="100"/>
        <v/>
      </c>
      <c r="R786" s="317" t="str">
        <f t="shared" si="101"/>
        <v/>
      </c>
      <c r="S786" s="317" t="str">
        <f t="shared" si="102"/>
        <v/>
      </c>
      <c r="T786" s="317" t="str">
        <f>'REF. DE PREÇOS n editavel'!S786</f>
        <v/>
      </c>
      <c r="W786" s="577">
        <v>0</v>
      </c>
      <c r="X786" s="575"/>
      <c r="Y786" s="578">
        <f>IF('REF. DE PREÇOS n editavel'!W786=0,0,IF('REF. DE PREÇOS n editavel'!W786&gt;0,"c","b"))</f>
        <v>0</v>
      </c>
    </row>
    <row r="787" spans="1:25">
      <c r="A787" s="317" t="s">
        <v>147</v>
      </c>
      <c r="B787" s="870" t="str">
        <f>'REF. DE PREÇOS n editavel'!B787</f>
        <v>transporte</v>
      </c>
      <c r="C787" s="871">
        <f>'REF. DE PREÇOS n editavel'!C787</f>
        <v>0</v>
      </c>
      <c r="D787" s="931" t="str">
        <f>'REF. DE PREÇOS n editavel'!D787</f>
        <v>Massa</v>
      </c>
      <c r="E787" s="882">
        <f>'REF. DE PREÇOS n editavel'!E787</f>
        <v>43.1</v>
      </c>
      <c r="F787" s="1242">
        <f>'REF. DE PREÇOS n editavel'!F787</f>
        <v>1</v>
      </c>
      <c r="G787" s="887">
        <f>'REF. DE PREÇOS n editavel'!G787</f>
        <v>52.567000000000007</v>
      </c>
      <c r="H787" s="876">
        <f>'REF. DE PREÇOS n editavel'!H787</f>
        <v>0</v>
      </c>
      <c r="I787" s="876">
        <f>'REF. DE PREÇOS n editavel'!I787</f>
        <v>0</v>
      </c>
      <c r="J787" s="877">
        <f>'REF. DE PREÇOS n editavel'!J787</f>
        <v>0</v>
      </c>
      <c r="K787" s="878" t="s">
        <v>506</v>
      </c>
      <c r="L787" s="977"/>
      <c r="M787" s="1112">
        <f t="shared" si="98"/>
        <v>0</v>
      </c>
      <c r="N787" s="868">
        <f t="shared" si="99"/>
        <v>0</v>
      </c>
      <c r="O787" s="880"/>
      <c r="P787" s="58" t="str">
        <f>IF(N783&gt;0,"xx",IF(N783&gt;0,"xy",""))</f>
        <v/>
      </c>
      <c r="Q787" s="317" t="str">
        <f t="shared" si="100"/>
        <v/>
      </c>
      <c r="R787" s="317" t="str">
        <f t="shared" si="101"/>
        <v/>
      </c>
      <c r="S787" s="317" t="str">
        <f t="shared" si="102"/>
        <v/>
      </c>
      <c r="T787" s="317" t="str">
        <f>'REF. DE PREÇOS n editavel'!S787</f>
        <v/>
      </c>
      <c r="W787" s="577">
        <v>0</v>
      </c>
      <c r="X787" s="575"/>
      <c r="Y787" s="578">
        <f>IF('REF. DE PREÇOS n editavel'!W787=0,0,IF('REF. DE PREÇOS n editavel'!W787&gt;0,"c","b"))</f>
        <v>0</v>
      </c>
    </row>
    <row r="788" spans="1:25" ht="13.5" thickBot="1">
      <c r="A788" s="317">
        <v>589000</v>
      </c>
      <c r="B788" s="978" t="str">
        <f>'REF. DE PREÇOS n editavel'!B788</f>
        <v>589000Q</v>
      </c>
      <c r="C788" s="958" t="str">
        <f>'REF. DE PREÇOS n editavel'!C788</f>
        <v>DER mat</v>
      </c>
      <c r="D788" s="986" t="str">
        <f>'REF. DE PREÇOS n editavel'!D788</f>
        <v>Fornecimento de CAP - CBUQ (Quantidade menor que 10.000 ton)</v>
      </c>
      <c r="E788" s="979">
        <f>'REF. DE PREÇOS n editavel'!E788</f>
        <v>468</v>
      </c>
      <c r="F788" s="980">
        <f>'REF. DE PREÇOS n editavel'!F788</f>
        <v>1</v>
      </c>
      <c r="G788" s="1002">
        <f>'REF. DE PREÇOS n editavel'!G788</f>
        <v>485.97999999999996</v>
      </c>
      <c r="H788" s="962">
        <f>'REF. DE PREÇOS n editavel'!H788</f>
        <v>4828.8599999999997</v>
      </c>
      <c r="I788" s="962">
        <f>'REF. DE PREÇOS n editavel'!I788</f>
        <v>5163.1232400589097</v>
      </c>
      <c r="J788" s="963">
        <f>'REF. DE PREÇOS n editavel'!J788</f>
        <v>6310.37</v>
      </c>
      <c r="K788" s="964" t="s">
        <v>14</v>
      </c>
      <c r="L788" s="1124">
        <f>ROUND(L783*$F783,2)</f>
        <v>0</v>
      </c>
      <c r="M788" s="1123">
        <f t="shared" si="98"/>
        <v>0</v>
      </c>
      <c r="N788" s="967">
        <f t="shared" si="99"/>
        <v>0</v>
      </c>
      <c r="O788" s="880"/>
      <c r="P788" s="58" t="str">
        <f>IF(N783&gt;0,"xx",IF(N783&gt;0,"xy",""))</f>
        <v/>
      </c>
      <c r="Q788" s="317" t="str">
        <f t="shared" si="100"/>
        <v/>
      </c>
      <c r="R788" s="317" t="str">
        <f t="shared" si="101"/>
        <v/>
      </c>
      <c r="S788" s="317" t="str">
        <f t="shared" si="102"/>
        <v/>
      </c>
      <c r="T788" s="317" t="str">
        <f>'REF. DE PREÇOS n editavel'!S788</f>
        <v/>
      </c>
      <c r="W788" s="577">
        <v>0</v>
      </c>
      <c r="X788" s="575"/>
      <c r="Y788" s="578">
        <f>IF('REF. DE PREÇOS n editavel'!W788=0,0,IF('REF. DE PREÇOS n editavel'!W788&gt;0,"c","b"))</f>
        <v>0</v>
      </c>
    </row>
    <row r="789" spans="1:25">
      <c r="A789" s="317">
        <v>521450</v>
      </c>
      <c r="B789" s="929" t="s">
        <v>1597</v>
      </c>
      <c r="C789" s="930" t="s">
        <v>184</v>
      </c>
      <c r="D789" s="881" t="s">
        <v>274</v>
      </c>
      <c r="E789" s="882">
        <f>'REF. DE PREÇOS n editavel'!E789</f>
        <v>43.1</v>
      </c>
      <c r="F789" s="874">
        <f>'REF. DE PREÇOS n editavel'!F789</f>
        <v>0.3</v>
      </c>
      <c r="G789" s="923">
        <f>'REF. DE PREÇOS n editavel'!G789</f>
        <v>14.639100000000001</v>
      </c>
      <c r="H789" s="876">
        <f>'REF. DE PREÇOS n editavel'!H789</f>
        <v>25.31</v>
      </c>
      <c r="I789" s="876">
        <f>'REF. DE PREÇOS n editavel'!I789</f>
        <v>39.949100000000001</v>
      </c>
      <c r="J789" s="877">
        <f>'REF. DE PREÇOS n editavel'!J789</f>
        <v>48.83</v>
      </c>
      <c r="K789" s="878" t="s">
        <v>12</v>
      </c>
      <c r="L789" s="1092"/>
      <c r="M789" s="1093">
        <f t="shared" si="88"/>
        <v>0</v>
      </c>
      <c r="N789" s="868">
        <f t="shared" si="92"/>
        <v>0</v>
      </c>
      <c r="O789" s="880"/>
      <c r="Q789" s="317" t="str">
        <f t="shared" si="89"/>
        <v/>
      </c>
      <c r="R789" s="317" t="str">
        <f t="shared" si="90"/>
        <v/>
      </c>
      <c r="S789" s="317" t="str">
        <f t="shared" si="91"/>
        <v/>
      </c>
      <c r="T789" s="317" t="str">
        <f>'REF. DE PREÇOS n editavel'!S789</f>
        <v/>
      </c>
      <c r="W789" s="577">
        <v>0</v>
      </c>
      <c r="X789" s="575"/>
      <c r="Y789" s="578">
        <f>IF('REF. DE PREÇOS n editavel'!W789=0,0,IF('REF. DE PREÇOS n editavel'!W789&gt;0,"c","b"))</f>
        <v>0</v>
      </c>
    </row>
    <row r="790" spans="1:25">
      <c r="A790" s="317">
        <v>535200</v>
      </c>
      <c r="B790" s="870" t="s">
        <v>1593</v>
      </c>
      <c r="C790" s="871" t="s">
        <v>184</v>
      </c>
      <c r="D790" s="881" t="s">
        <v>275</v>
      </c>
      <c r="E790" s="882">
        <f>'REF. DE PREÇOS n editavel'!E790</f>
        <v>43.1</v>
      </c>
      <c r="F790" s="874">
        <f>'REF. DE PREÇOS n editavel'!F790</f>
        <v>7.6999999999999999E-2</v>
      </c>
      <c r="G790" s="923">
        <f>'REF. DE PREÇOS n editavel'!G790</f>
        <v>3.7573690000000002</v>
      </c>
      <c r="H790" s="876">
        <f>'REF. DE PREÇOS n editavel'!H790</f>
        <v>11.65</v>
      </c>
      <c r="I790" s="876">
        <f>'REF. DE PREÇOS n editavel'!I790</f>
        <v>15.407369000000001</v>
      </c>
      <c r="J790" s="877">
        <f>'REF. DE PREÇOS n editavel'!J790</f>
        <v>18.829999999999998</v>
      </c>
      <c r="K790" s="878" t="s">
        <v>13</v>
      </c>
      <c r="L790" s="1092"/>
      <c r="M790" s="1093">
        <f t="shared" si="88"/>
        <v>0</v>
      </c>
      <c r="N790" s="868">
        <f t="shared" si="92"/>
        <v>0</v>
      </c>
      <c r="O790" s="880"/>
      <c r="Q790" s="317" t="str">
        <f t="shared" si="89"/>
        <v/>
      </c>
      <c r="R790" s="317" t="str">
        <f t="shared" si="90"/>
        <v/>
      </c>
      <c r="S790" s="317" t="str">
        <f t="shared" si="91"/>
        <v/>
      </c>
      <c r="T790" s="317" t="str">
        <f>'REF. DE PREÇOS n editavel'!S790</f>
        <v/>
      </c>
      <c r="W790" s="577">
        <v>0</v>
      </c>
      <c r="X790" s="575"/>
      <c r="Y790" s="578">
        <f>IF('REF. DE PREÇOS n editavel'!W790=0,0,IF('REF. DE PREÇOS n editavel'!W790&gt;0,"c","b"))</f>
        <v>0</v>
      </c>
    </row>
    <row r="791" spans="1:25">
      <c r="A791" s="317">
        <v>521450</v>
      </c>
      <c r="B791" s="870" t="s">
        <v>1598</v>
      </c>
      <c r="C791" s="871" t="s">
        <v>184</v>
      </c>
      <c r="D791" s="881" t="s">
        <v>276</v>
      </c>
      <c r="E791" s="882">
        <f>'REF. DE PREÇOS n editavel'!E791</f>
        <v>0</v>
      </c>
      <c r="F791" s="874">
        <f>'REF. DE PREÇOS n editavel'!F791</f>
        <v>0</v>
      </c>
      <c r="G791" s="887">
        <f>'REF. DE PREÇOS n editavel'!G791</f>
        <v>0</v>
      </c>
      <c r="H791" s="876">
        <f>'REF. DE PREÇOS n editavel'!H791</f>
        <v>18.079999999999998</v>
      </c>
      <c r="I791" s="876">
        <f>'REF. DE PREÇOS n editavel'!I791</f>
        <v>18.079999999999998</v>
      </c>
      <c r="J791" s="877">
        <f>'REF. DE PREÇOS n editavel'!J791</f>
        <v>22.1</v>
      </c>
      <c r="K791" s="878" t="s">
        <v>12</v>
      </c>
      <c r="L791" s="1092"/>
      <c r="M791" s="1093">
        <f t="shared" si="88"/>
        <v>0</v>
      </c>
      <c r="N791" s="868">
        <f t="shared" si="92"/>
        <v>0</v>
      </c>
      <c r="O791" s="880"/>
      <c r="Q791" s="317" t="str">
        <f t="shared" si="89"/>
        <v/>
      </c>
      <c r="R791" s="317" t="str">
        <f t="shared" si="90"/>
        <v/>
      </c>
      <c r="S791" s="317" t="str">
        <f t="shared" si="91"/>
        <v/>
      </c>
      <c r="T791" s="317" t="str">
        <f>'REF. DE PREÇOS n editavel'!S791</f>
        <v/>
      </c>
      <c r="W791" s="577">
        <v>0</v>
      </c>
      <c r="X791" s="575"/>
      <c r="Y791" s="578">
        <f>IF('REF. DE PREÇOS n editavel'!W791=0,0,IF('REF. DE PREÇOS n editavel'!W791&gt;0,"c","b"))</f>
        <v>0</v>
      </c>
    </row>
    <row r="792" spans="1:25">
      <c r="A792" s="317">
        <v>521450</v>
      </c>
      <c r="B792" s="870" t="s">
        <v>1599</v>
      </c>
      <c r="C792" s="871" t="s">
        <v>184</v>
      </c>
      <c r="D792" s="881" t="s">
        <v>277</v>
      </c>
      <c r="E792" s="882">
        <f>'REF. DE PREÇOS n editavel'!E792</f>
        <v>0</v>
      </c>
      <c r="F792" s="874">
        <f>'REF. DE PREÇOS n editavel'!F792</f>
        <v>0</v>
      </c>
      <c r="G792" s="887">
        <f>'REF. DE PREÇOS n editavel'!G792</f>
        <v>0</v>
      </c>
      <c r="H792" s="876">
        <f>'REF. DE PREÇOS n editavel'!H792</f>
        <v>25.31</v>
      </c>
      <c r="I792" s="876">
        <f>'REF. DE PREÇOS n editavel'!I792</f>
        <v>25.31</v>
      </c>
      <c r="J792" s="877">
        <f>'REF. DE PREÇOS n editavel'!J792</f>
        <v>30.93</v>
      </c>
      <c r="K792" s="878" t="s">
        <v>12</v>
      </c>
      <c r="L792" s="1092"/>
      <c r="M792" s="1093">
        <f t="shared" si="88"/>
        <v>0</v>
      </c>
      <c r="N792" s="868">
        <f t="shared" si="92"/>
        <v>0</v>
      </c>
      <c r="O792" s="880"/>
      <c r="Q792" s="317" t="str">
        <f t="shared" si="89"/>
        <v/>
      </c>
      <c r="R792" s="317" t="str">
        <f t="shared" si="90"/>
        <v/>
      </c>
      <c r="S792" s="317" t="str">
        <f t="shared" si="91"/>
        <v/>
      </c>
      <c r="T792" s="317" t="str">
        <f>'REF. DE PREÇOS n editavel'!S792</f>
        <v/>
      </c>
      <c r="W792" s="577">
        <v>0</v>
      </c>
      <c r="X792" s="575"/>
      <c r="Y792" s="578">
        <f>IF('REF. DE PREÇOS n editavel'!W792=0,0,IF('REF. DE PREÇOS n editavel'!W792&gt;0,"c","b"))</f>
        <v>0</v>
      </c>
    </row>
    <row r="793" spans="1:25">
      <c r="A793" s="317">
        <v>535000</v>
      </c>
      <c r="B793" s="870" t="s">
        <v>1736</v>
      </c>
      <c r="C793" s="871" t="s">
        <v>184</v>
      </c>
      <c r="D793" s="881" t="s">
        <v>222</v>
      </c>
      <c r="E793" s="882">
        <f>'REF. DE PREÇOS n editavel'!E793</f>
        <v>43.1</v>
      </c>
      <c r="F793" s="883">
        <f>'REF. DE PREÇOS n editavel'!F793</f>
        <v>0.27200000000000002</v>
      </c>
      <c r="G793" s="923">
        <f>'REF. DE PREÇOS n editavel'!G793</f>
        <v>13.272784000000001</v>
      </c>
      <c r="H793" s="876">
        <f>'REF. DE PREÇOS n editavel'!H793</f>
        <v>109.55</v>
      </c>
      <c r="I793" s="876">
        <f>'REF. DE PREÇOS n editavel'!I793</f>
        <v>122.822784</v>
      </c>
      <c r="J793" s="877">
        <f>'REF. DE PREÇOS n editavel'!J793</f>
        <v>150.11000000000001</v>
      </c>
      <c r="K793" s="878" t="s">
        <v>12</v>
      </c>
      <c r="L793" s="1092"/>
      <c r="M793" s="1093">
        <f t="shared" ref="M793:M852" si="103">IF(L793=0,0,ROUND(J793,2))</f>
        <v>0</v>
      </c>
      <c r="N793" s="868">
        <f t="shared" si="92"/>
        <v>0</v>
      </c>
      <c r="O793" s="880"/>
      <c r="Q793" s="317" t="str">
        <f t="shared" si="89"/>
        <v/>
      </c>
      <c r="R793" s="317" t="str">
        <f t="shared" si="90"/>
        <v/>
      </c>
      <c r="S793" s="317" t="str">
        <f t="shared" si="91"/>
        <v/>
      </c>
      <c r="T793" s="317" t="str">
        <f>'REF. DE PREÇOS n editavel'!S793</f>
        <v/>
      </c>
      <c r="W793" s="577">
        <v>0</v>
      </c>
      <c r="X793" s="575"/>
      <c r="Y793" s="578">
        <f>IF('REF. DE PREÇOS n editavel'!W793=0,0,IF('REF. DE PREÇOS n editavel'!W793&gt;0,"c","b"))</f>
        <v>0</v>
      </c>
    </row>
    <row r="794" spans="1:25">
      <c r="A794" s="317">
        <v>863000</v>
      </c>
      <c r="B794" s="870" t="s">
        <v>1606</v>
      </c>
      <c r="C794" s="871" t="s">
        <v>184</v>
      </c>
      <c r="D794" s="881" t="s">
        <v>223</v>
      </c>
      <c r="E794" s="882">
        <f>'REF. DE PREÇOS n editavel'!E794</f>
        <v>10</v>
      </c>
      <c r="F794" s="883">
        <f>'REF. DE PREÇOS n editavel'!F794</f>
        <v>0.08</v>
      </c>
      <c r="G794" s="923">
        <f>'REF. DE PREÇOS n editavel'!G794</f>
        <v>1.0704</v>
      </c>
      <c r="H794" s="876">
        <f>'REF. DE PREÇOS n editavel'!H794</f>
        <v>93.88</v>
      </c>
      <c r="I794" s="876">
        <f>'REF. DE PREÇOS n editavel'!I794</f>
        <v>94.950400000000002</v>
      </c>
      <c r="J794" s="877">
        <f>'REF. DE PREÇOS n editavel'!J794</f>
        <v>116.05</v>
      </c>
      <c r="K794" s="878" t="s">
        <v>12</v>
      </c>
      <c r="L794" s="1092"/>
      <c r="M794" s="1093">
        <f t="shared" si="103"/>
        <v>0</v>
      </c>
      <c r="N794" s="868">
        <f t="shared" si="92"/>
        <v>0</v>
      </c>
      <c r="O794" s="880"/>
      <c r="Q794" s="317" t="str">
        <f t="shared" si="89"/>
        <v/>
      </c>
      <c r="R794" s="317" t="str">
        <f t="shared" si="90"/>
        <v/>
      </c>
      <c r="S794" s="317" t="str">
        <f t="shared" si="91"/>
        <v/>
      </c>
      <c r="T794" s="317" t="str">
        <f>'REF. DE PREÇOS n editavel'!S794</f>
        <v/>
      </c>
      <c r="W794" s="577">
        <v>0</v>
      </c>
      <c r="X794" s="575"/>
      <c r="Y794" s="578">
        <f>IF('REF. DE PREÇOS n editavel'!W794=0,0,IF('REF. DE PREÇOS n editavel'!W794&gt;0,"c","b"))</f>
        <v>0</v>
      </c>
    </row>
    <row r="795" spans="1:25">
      <c r="A795" s="317">
        <v>863000</v>
      </c>
      <c r="B795" s="870" t="s">
        <v>1607</v>
      </c>
      <c r="C795" s="871" t="s">
        <v>184</v>
      </c>
      <c r="D795" s="881" t="s">
        <v>224</v>
      </c>
      <c r="E795" s="882">
        <f>'REF. DE PREÇOS n editavel'!E795</f>
        <v>10</v>
      </c>
      <c r="F795" s="883">
        <f>'REF. DE PREÇOS n editavel'!F795</f>
        <v>0.1</v>
      </c>
      <c r="G795" s="923">
        <f>'REF. DE PREÇOS n editavel'!G795</f>
        <v>1.3380000000000001</v>
      </c>
      <c r="H795" s="876">
        <f>'REF. DE PREÇOS n editavel'!H795</f>
        <v>105.61</v>
      </c>
      <c r="I795" s="876">
        <f>'REF. DE PREÇOS n editavel'!I795</f>
        <v>106.94799999999999</v>
      </c>
      <c r="J795" s="877">
        <f>'REF. DE PREÇOS n editavel'!J795</f>
        <v>130.71</v>
      </c>
      <c r="K795" s="878" t="s">
        <v>12</v>
      </c>
      <c r="L795" s="1092"/>
      <c r="M795" s="1093">
        <f t="shared" si="103"/>
        <v>0</v>
      </c>
      <c r="N795" s="868">
        <f t="shared" si="92"/>
        <v>0</v>
      </c>
      <c r="O795" s="880"/>
      <c r="Q795" s="317" t="str">
        <f t="shared" ref="Q795:Q858" si="104">IF(P795="X","x",IF(P795="xx","x",IF(P795="xy","x",IF(P795="y","x",IF(OR(N795&gt;0,N795&gt;0),"x","")))))</f>
        <v/>
      </c>
      <c r="R795" s="317" t="str">
        <f t="shared" si="90"/>
        <v/>
      </c>
      <c r="S795" s="317" t="str">
        <f t="shared" si="91"/>
        <v/>
      </c>
      <c r="T795" s="317" t="str">
        <f>'REF. DE PREÇOS n editavel'!S795</f>
        <v/>
      </c>
      <c r="W795" s="577">
        <v>0</v>
      </c>
      <c r="X795" s="575"/>
      <c r="Y795" s="578">
        <f>IF('REF. DE PREÇOS n editavel'!W795=0,0,IF('REF. DE PREÇOS n editavel'!W795&gt;0,"c","b"))</f>
        <v>0</v>
      </c>
    </row>
    <row r="796" spans="1:25">
      <c r="A796" s="317">
        <v>534906</v>
      </c>
      <c r="B796" s="870" t="s">
        <v>1610</v>
      </c>
      <c r="C796" s="871" t="s">
        <v>184</v>
      </c>
      <c r="D796" s="881" t="s">
        <v>225</v>
      </c>
      <c r="E796" s="882">
        <f>'REF. DE PREÇOS n editavel'!E796</f>
        <v>10</v>
      </c>
      <c r="F796" s="883">
        <f>'REF. DE PREÇOS n editavel'!F796</f>
        <v>0.12</v>
      </c>
      <c r="G796" s="923">
        <f>'REF. DE PREÇOS n editavel'!G796</f>
        <v>1.6056000000000001</v>
      </c>
      <c r="H796" s="876">
        <f>'REF. DE PREÇOS n editavel'!H796</f>
        <v>117.35</v>
      </c>
      <c r="I796" s="876">
        <f>'REF. DE PREÇOS n editavel'!I796</f>
        <v>118.95559999999999</v>
      </c>
      <c r="J796" s="877">
        <f>'REF. DE PREÇOS n editavel'!J796</f>
        <v>145.38999999999999</v>
      </c>
      <c r="K796" s="878" t="s">
        <v>12</v>
      </c>
      <c r="L796" s="1092"/>
      <c r="M796" s="1093">
        <f t="shared" si="103"/>
        <v>0</v>
      </c>
      <c r="N796" s="868">
        <f t="shared" si="92"/>
        <v>0</v>
      </c>
      <c r="O796" s="880"/>
      <c r="Q796" s="317" t="str">
        <f t="shared" si="104"/>
        <v/>
      </c>
      <c r="R796" s="317" t="str">
        <f t="shared" si="90"/>
        <v/>
      </c>
      <c r="S796" s="317" t="str">
        <f t="shared" si="91"/>
        <v/>
      </c>
      <c r="T796" s="317" t="str">
        <f>'REF. DE PREÇOS n editavel'!S796</f>
        <v/>
      </c>
      <c r="W796" s="577">
        <v>0</v>
      </c>
      <c r="X796" s="575"/>
      <c r="Y796" s="578">
        <f>IF('REF. DE PREÇOS n editavel'!W796=0,0,IF('REF. DE PREÇOS n editavel'!W796&gt;0,"c","b"))</f>
        <v>0</v>
      </c>
    </row>
    <row r="797" spans="1:25">
      <c r="A797" s="317">
        <v>534906</v>
      </c>
      <c r="B797" s="870" t="s">
        <v>1611</v>
      </c>
      <c r="C797" s="871" t="s">
        <v>184</v>
      </c>
      <c r="D797" s="881" t="s">
        <v>226</v>
      </c>
      <c r="E797" s="882">
        <f>'REF. DE PREÇOS n editavel'!E797</f>
        <v>10</v>
      </c>
      <c r="F797" s="883">
        <f>'REF. DE PREÇOS n editavel'!F797</f>
        <v>0.14000000000000001</v>
      </c>
      <c r="G797" s="923">
        <f>'REF. DE PREÇOS n editavel'!G797</f>
        <v>1.8732000000000002</v>
      </c>
      <c r="H797" s="876">
        <f>'REF. DE PREÇOS n editavel'!H797</f>
        <v>126.06</v>
      </c>
      <c r="I797" s="876">
        <f>'REF. DE PREÇOS n editavel'!I797</f>
        <v>127.9332</v>
      </c>
      <c r="J797" s="877">
        <f>'REF. DE PREÇOS n editavel'!J797</f>
        <v>156.36000000000001</v>
      </c>
      <c r="K797" s="878" t="s">
        <v>12</v>
      </c>
      <c r="L797" s="1092"/>
      <c r="M797" s="1093">
        <f t="shared" si="103"/>
        <v>0</v>
      </c>
      <c r="N797" s="868">
        <f t="shared" si="92"/>
        <v>0</v>
      </c>
      <c r="O797" s="880"/>
      <c r="Q797" s="317" t="str">
        <f t="shared" si="104"/>
        <v/>
      </c>
      <c r="R797" s="317" t="str">
        <f t="shared" ref="R797:R860" si="105">IF(P797="X","x",IF(P797="y","x",IF(P797="xx","x",IF(N797&gt;0,"x",""))))</f>
        <v/>
      </c>
      <c r="S797" s="317" t="str">
        <f t="shared" ref="S797:S860" si="106">IF(P797="X","x",IF(N797&gt;0,"x",""))</f>
        <v/>
      </c>
      <c r="T797" s="317" t="str">
        <f>'REF. DE PREÇOS n editavel'!S797</f>
        <v/>
      </c>
      <c r="W797" s="577">
        <v>0</v>
      </c>
      <c r="X797" s="575"/>
      <c r="Y797" s="578">
        <f>IF('REF. DE PREÇOS n editavel'!W797=0,0,IF('REF. DE PREÇOS n editavel'!W797&gt;0,"c","b"))</f>
        <v>0</v>
      </c>
    </row>
    <row r="798" spans="1:25">
      <c r="A798" s="317">
        <v>534906</v>
      </c>
      <c r="B798" s="870" t="s">
        <v>1612</v>
      </c>
      <c r="C798" s="871" t="s">
        <v>184</v>
      </c>
      <c r="D798" s="881" t="s">
        <v>227</v>
      </c>
      <c r="E798" s="882">
        <f>'REF. DE PREÇOS n editavel'!E798</f>
        <v>10</v>
      </c>
      <c r="F798" s="883">
        <f>'REF. DE PREÇOS n editavel'!F798</f>
        <v>0.16</v>
      </c>
      <c r="G798" s="923">
        <f>'REF. DE PREÇOS n editavel'!G798</f>
        <v>2.1408</v>
      </c>
      <c r="H798" s="876">
        <f>'REF. DE PREÇOS n editavel'!H798</f>
        <v>134.77000000000001</v>
      </c>
      <c r="I798" s="876">
        <f>'REF. DE PREÇOS n editavel'!I798</f>
        <v>136.91080000000002</v>
      </c>
      <c r="J798" s="877">
        <f>'REF. DE PREÇOS n editavel'!J798</f>
        <v>167.33</v>
      </c>
      <c r="K798" s="878" t="s">
        <v>12</v>
      </c>
      <c r="L798" s="1092"/>
      <c r="M798" s="1093">
        <f t="shared" si="103"/>
        <v>0</v>
      </c>
      <c r="N798" s="868">
        <f t="shared" si="92"/>
        <v>0</v>
      </c>
      <c r="O798" s="880"/>
      <c r="Q798" s="317" t="str">
        <f t="shared" si="104"/>
        <v/>
      </c>
      <c r="R798" s="317" t="str">
        <f t="shared" si="105"/>
        <v/>
      </c>
      <c r="S798" s="317" t="str">
        <f t="shared" si="106"/>
        <v/>
      </c>
      <c r="T798" s="317" t="str">
        <f>'REF. DE PREÇOS n editavel'!S798</f>
        <v/>
      </c>
      <c r="W798" s="577">
        <v>0</v>
      </c>
      <c r="X798" s="575"/>
      <c r="Y798" s="578">
        <f>IF('REF. DE PREÇOS n editavel'!W798=0,0,IF('REF. DE PREÇOS n editavel'!W798&gt;0,"c","b"))</f>
        <v>0</v>
      </c>
    </row>
    <row r="799" spans="1:25">
      <c r="A799" s="317">
        <v>534906</v>
      </c>
      <c r="B799" s="870" t="s">
        <v>1613</v>
      </c>
      <c r="C799" s="871" t="s">
        <v>184</v>
      </c>
      <c r="D799" s="881" t="s">
        <v>228</v>
      </c>
      <c r="E799" s="882">
        <f>'REF. DE PREÇOS n editavel'!E799</f>
        <v>10</v>
      </c>
      <c r="F799" s="883">
        <f>'REF. DE PREÇOS n editavel'!F799</f>
        <v>0.2</v>
      </c>
      <c r="G799" s="923">
        <f>'REF. DE PREÇOS n editavel'!G799</f>
        <v>2.6760000000000002</v>
      </c>
      <c r="H799" s="876">
        <f>'REF. DE PREÇOS n editavel'!H799</f>
        <v>152.6</v>
      </c>
      <c r="I799" s="876">
        <f>'REF. DE PREÇOS n editavel'!I799</f>
        <v>155.27599999999998</v>
      </c>
      <c r="J799" s="877">
        <f>'REF. DE PREÇOS n editavel'!J799</f>
        <v>189.78</v>
      </c>
      <c r="K799" s="878" t="s">
        <v>12</v>
      </c>
      <c r="L799" s="1092"/>
      <c r="M799" s="1093">
        <f t="shared" si="103"/>
        <v>0</v>
      </c>
      <c r="N799" s="868">
        <f t="shared" si="92"/>
        <v>0</v>
      </c>
      <c r="O799" s="880"/>
      <c r="Q799" s="317" t="str">
        <f t="shared" si="104"/>
        <v/>
      </c>
      <c r="R799" s="317" t="str">
        <f t="shared" si="105"/>
        <v/>
      </c>
      <c r="S799" s="317" t="str">
        <f t="shared" si="106"/>
        <v/>
      </c>
      <c r="T799" s="317" t="str">
        <f>'REF. DE PREÇOS n editavel'!S799</f>
        <v/>
      </c>
      <c r="W799" s="577">
        <v>0</v>
      </c>
      <c r="X799" s="575"/>
      <c r="Y799" s="578">
        <f>IF('REF. DE PREÇOS n editavel'!W799=0,0,IF('REF. DE PREÇOS n editavel'!W799&gt;0,"c","b"))</f>
        <v>0</v>
      </c>
    </row>
    <row r="800" spans="1:25">
      <c r="A800" s="317">
        <v>534906</v>
      </c>
      <c r="B800" s="870" t="s">
        <v>1614</v>
      </c>
      <c r="C800" s="871" t="s">
        <v>184</v>
      </c>
      <c r="D800" s="881" t="s">
        <v>787</v>
      </c>
      <c r="E800" s="882">
        <f>'REF. DE PREÇOS n editavel'!E800</f>
        <v>37</v>
      </c>
      <c r="F800" s="883">
        <f>'REF. DE PREÇOS n editavel'!F800</f>
        <v>0.14000000000000001</v>
      </c>
      <c r="G800" s="923">
        <f>'REF. DE PREÇOS n editavel'!G800</f>
        <v>5.9178000000000006</v>
      </c>
      <c r="H800" s="876">
        <f>'REF. DE PREÇOS n editavel'!H800</f>
        <v>76.400000000000006</v>
      </c>
      <c r="I800" s="876">
        <f>'REF. DE PREÇOS n editavel'!I800</f>
        <v>82.317800000000005</v>
      </c>
      <c r="J800" s="877">
        <f>'REF. DE PREÇOS n editavel'!J800</f>
        <v>100.61</v>
      </c>
      <c r="K800" s="878" t="s">
        <v>12</v>
      </c>
      <c r="L800" s="1092"/>
      <c r="M800" s="1093">
        <f t="shared" si="103"/>
        <v>0</v>
      </c>
      <c r="N800" s="868">
        <f t="shared" si="92"/>
        <v>0</v>
      </c>
      <c r="O800" s="880"/>
      <c r="Q800" s="317" t="str">
        <f t="shared" si="104"/>
        <v/>
      </c>
      <c r="R800" s="317" t="str">
        <f t="shared" si="105"/>
        <v/>
      </c>
      <c r="S800" s="317" t="str">
        <f t="shared" si="106"/>
        <v/>
      </c>
      <c r="T800" s="317" t="str">
        <f>'REF. DE PREÇOS n editavel'!S800</f>
        <v/>
      </c>
      <c r="W800" s="577">
        <v>0</v>
      </c>
      <c r="X800" s="575"/>
      <c r="Y800" s="578">
        <f>IF('REF. DE PREÇOS n editavel'!W800=0,0,IF('REF. DE PREÇOS n editavel'!W800&gt;0,"c","b"))</f>
        <v>0</v>
      </c>
    </row>
    <row r="801" spans="1:25">
      <c r="A801" s="317">
        <v>534906</v>
      </c>
      <c r="B801" s="870" t="s">
        <v>1615</v>
      </c>
      <c r="C801" s="871" t="s">
        <v>184</v>
      </c>
      <c r="D801" s="881" t="s">
        <v>788</v>
      </c>
      <c r="E801" s="882">
        <f>'REF. DE PREÇOS n editavel'!E801</f>
        <v>37</v>
      </c>
      <c r="F801" s="883">
        <f>'REF. DE PREÇOS n editavel'!F801</f>
        <v>0.14000000000000001</v>
      </c>
      <c r="G801" s="923">
        <f>'REF. DE PREÇOS n editavel'!G801</f>
        <v>5.9178000000000006</v>
      </c>
      <c r="H801" s="876">
        <f>'REF. DE PREÇOS n editavel'!H801</f>
        <v>84.04</v>
      </c>
      <c r="I801" s="876">
        <f>'REF. DE PREÇOS n editavel'!I801</f>
        <v>89.957800000000006</v>
      </c>
      <c r="J801" s="877">
        <f>'REF. DE PREÇOS n editavel'!J801</f>
        <v>109.95</v>
      </c>
      <c r="K801" s="878" t="s">
        <v>12</v>
      </c>
      <c r="L801" s="1092"/>
      <c r="M801" s="1093">
        <f t="shared" si="103"/>
        <v>0</v>
      </c>
      <c r="N801" s="868">
        <f t="shared" ref="N801:N864" si="107">IF(ISBLANK(L801),0,IF(W801=0,ROUND(L801*M801,2),IF(W801="b",ROUNDDOWN(L801*M801,2),ROUNDUP(L801*M801,2))))</f>
        <v>0</v>
      </c>
      <c r="O801" s="880"/>
      <c r="Q801" s="317" t="str">
        <f t="shared" si="104"/>
        <v/>
      </c>
      <c r="R801" s="317" t="str">
        <f t="shared" si="105"/>
        <v/>
      </c>
      <c r="S801" s="317" t="str">
        <f t="shared" si="106"/>
        <v/>
      </c>
      <c r="T801" s="317" t="str">
        <f>'REF. DE PREÇOS n editavel'!S801</f>
        <v/>
      </c>
      <c r="W801" s="577">
        <v>0</v>
      </c>
      <c r="X801" s="575"/>
      <c r="Y801" s="578">
        <f>IF('REF. DE PREÇOS n editavel'!W801=0,0,IF('REF. DE PREÇOS n editavel'!W801&gt;0,"c","b"))</f>
        <v>0</v>
      </c>
    </row>
    <row r="802" spans="1:25">
      <c r="A802" s="317">
        <v>534908</v>
      </c>
      <c r="B802" s="870" t="s">
        <v>211</v>
      </c>
      <c r="C802" s="871" t="s">
        <v>184</v>
      </c>
      <c r="D802" s="881" t="s">
        <v>789</v>
      </c>
      <c r="E802" s="882">
        <f>'REF. DE PREÇOS n editavel'!E802</f>
        <v>37</v>
      </c>
      <c r="F802" s="883">
        <f>'REF. DE PREÇOS n editavel'!F802</f>
        <v>0.18</v>
      </c>
      <c r="G802" s="923">
        <f>'REF. DE PREÇOS n editavel'!G802</f>
        <v>7.6086</v>
      </c>
      <c r="H802" s="876">
        <f>'REF. DE PREÇOS n editavel'!H802</f>
        <v>89.6</v>
      </c>
      <c r="I802" s="876">
        <f>'REF. DE PREÇOS n editavel'!I802</f>
        <v>97.20859999999999</v>
      </c>
      <c r="J802" s="877">
        <f>'REF. DE PREÇOS n editavel'!J802</f>
        <v>118.81</v>
      </c>
      <c r="K802" s="878" t="s">
        <v>12</v>
      </c>
      <c r="L802" s="1092"/>
      <c r="M802" s="1093">
        <f t="shared" si="103"/>
        <v>0</v>
      </c>
      <c r="N802" s="868">
        <f t="shared" si="107"/>
        <v>0</v>
      </c>
      <c r="O802" s="880"/>
      <c r="Q802" s="317" t="str">
        <f t="shared" si="104"/>
        <v/>
      </c>
      <c r="R802" s="317" t="str">
        <f t="shared" si="105"/>
        <v/>
      </c>
      <c r="S802" s="317" t="str">
        <f t="shared" si="106"/>
        <v/>
      </c>
      <c r="T802" s="317" t="str">
        <f>'REF. DE PREÇOS n editavel'!S802</f>
        <v/>
      </c>
      <c r="W802" s="577">
        <v>0</v>
      </c>
      <c r="X802" s="575"/>
      <c r="Y802" s="578">
        <f>IF('REF. DE PREÇOS n editavel'!W802=0,0,IF('REF. DE PREÇOS n editavel'!W802&gt;0,"c","b"))</f>
        <v>0</v>
      </c>
    </row>
    <row r="803" spans="1:25">
      <c r="A803" s="317">
        <v>534908</v>
      </c>
      <c r="B803" s="870" t="s">
        <v>212</v>
      </c>
      <c r="C803" s="871" t="s">
        <v>184</v>
      </c>
      <c r="D803" s="881" t="s">
        <v>790</v>
      </c>
      <c r="E803" s="882">
        <f>'REF. DE PREÇOS n editavel'!E803</f>
        <v>37</v>
      </c>
      <c r="F803" s="883">
        <f>'REF. DE PREÇOS n editavel'!F803</f>
        <v>0.18</v>
      </c>
      <c r="G803" s="923">
        <f>'REF. DE PREÇOS n editavel'!G803</f>
        <v>7.6086</v>
      </c>
      <c r="H803" s="876">
        <f>'REF. DE PREÇOS n editavel'!H803</f>
        <v>98.56</v>
      </c>
      <c r="I803" s="876">
        <f>'REF. DE PREÇOS n editavel'!I803</f>
        <v>106.1686</v>
      </c>
      <c r="J803" s="877">
        <f>'REF. DE PREÇOS n editavel'!J803</f>
        <v>129.76</v>
      </c>
      <c r="K803" s="878" t="s">
        <v>12</v>
      </c>
      <c r="L803" s="1092"/>
      <c r="M803" s="1093">
        <f t="shared" si="103"/>
        <v>0</v>
      </c>
      <c r="N803" s="868">
        <f t="shared" si="107"/>
        <v>0</v>
      </c>
      <c r="O803" s="880"/>
      <c r="Q803" s="317" t="str">
        <f t="shared" si="104"/>
        <v/>
      </c>
      <c r="R803" s="317" t="str">
        <f t="shared" si="105"/>
        <v/>
      </c>
      <c r="S803" s="317" t="str">
        <f t="shared" si="106"/>
        <v/>
      </c>
      <c r="T803" s="317" t="str">
        <f>'REF. DE PREÇOS n editavel'!S803</f>
        <v/>
      </c>
      <c r="W803" s="577">
        <v>0</v>
      </c>
      <c r="X803" s="575"/>
      <c r="Y803" s="578">
        <f>IF('REF. DE PREÇOS n editavel'!W803=0,0,IF('REF. DE PREÇOS n editavel'!W803&gt;0,"c","b"))</f>
        <v>0</v>
      </c>
    </row>
    <row r="804" spans="1:25">
      <c r="A804" s="317">
        <v>534908</v>
      </c>
      <c r="B804" s="870" t="s">
        <v>1616</v>
      </c>
      <c r="C804" s="871" t="s">
        <v>184</v>
      </c>
      <c r="D804" s="881" t="s">
        <v>791</v>
      </c>
      <c r="E804" s="882">
        <f>'REF. DE PREÇOS n editavel'!E804</f>
        <v>37</v>
      </c>
      <c r="F804" s="883">
        <f>'REF. DE PREÇOS n editavel'!F804</f>
        <v>0.22</v>
      </c>
      <c r="G804" s="923">
        <f>'REF. DE PREÇOS n editavel'!G804</f>
        <v>9.2994000000000003</v>
      </c>
      <c r="H804" s="876">
        <f>'REF. DE PREÇOS n editavel'!H804</f>
        <v>101.45</v>
      </c>
      <c r="I804" s="876">
        <f>'REF. DE PREÇOS n editavel'!I804</f>
        <v>110.74940000000001</v>
      </c>
      <c r="J804" s="877">
        <f>'REF. DE PREÇOS n editavel'!J804</f>
        <v>135.36000000000001</v>
      </c>
      <c r="K804" s="878" t="s">
        <v>12</v>
      </c>
      <c r="L804" s="1092"/>
      <c r="M804" s="1093">
        <f t="shared" si="103"/>
        <v>0</v>
      </c>
      <c r="N804" s="868">
        <f t="shared" si="107"/>
        <v>0</v>
      </c>
      <c r="O804" s="880"/>
      <c r="Q804" s="317" t="str">
        <f t="shared" si="104"/>
        <v/>
      </c>
      <c r="R804" s="317" t="str">
        <f t="shared" si="105"/>
        <v/>
      </c>
      <c r="S804" s="317" t="str">
        <f t="shared" si="106"/>
        <v/>
      </c>
      <c r="T804" s="317" t="str">
        <f>'REF. DE PREÇOS n editavel'!S804</f>
        <v/>
      </c>
      <c r="W804" s="577">
        <v>0</v>
      </c>
      <c r="X804" s="575"/>
      <c r="Y804" s="578">
        <f>IF('REF. DE PREÇOS n editavel'!W804=0,0,IF('REF. DE PREÇOS n editavel'!W804&gt;0,"c","b"))</f>
        <v>0</v>
      </c>
    </row>
    <row r="805" spans="1:25">
      <c r="A805" s="317">
        <v>534908</v>
      </c>
      <c r="B805" s="870" t="s">
        <v>1617</v>
      </c>
      <c r="C805" s="871" t="s">
        <v>184</v>
      </c>
      <c r="D805" s="881" t="s">
        <v>792</v>
      </c>
      <c r="E805" s="882">
        <f>'REF. DE PREÇOS n editavel'!E805</f>
        <v>37</v>
      </c>
      <c r="F805" s="883">
        <f>'REF. DE PREÇOS n editavel'!F805</f>
        <v>0.22</v>
      </c>
      <c r="G805" s="923">
        <f>'REF. DE PREÇOS n editavel'!G805</f>
        <v>9.2994000000000003</v>
      </c>
      <c r="H805" s="876">
        <f>'REF. DE PREÇOS n editavel'!H805</f>
        <v>111.6</v>
      </c>
      <c r="I805" s="876">
        <f>'REF. DE PREÇOS n editavel'!I805</f>
        <v>120.8994</v>
      </c>
      <c r="J805" s="877">
        <f>'REF. DE PREÇOS n editavel'!J805</f>
        <v>147.76</v>
      </c>
      <c r="K805" s="878" t="s">
        <v>12</v>
      </c>
      <c r="L805" s="1092"/>
      <c r="M805" s="1093">
        <f t="shared" si="103"/>
        <v>0</v>
      </c>
      <c r="N805" s="868">
        <f t="shared" si="107"/>
        <v>0</v>
      </c>
      <c r="O805" s="880"/>
      <c r="Q805" s="317" t="str">
        <f t="shared" si="104"/>
        <v/>
      </c>
      <c r="R805" s="317" t="str">
        <f t="shared" si="105"/>
        <v/>
      </c>
      <c r="S805" s="317" t="str">
        <f t="shared" si="106"/>
        <v/>
      </c>
      <c r="T805" s="317" t="str">
        <f>'REF. DE PREÇOS n editavel'!S805</f>
        <v/>
      </c>
      <c r="W805" s="577">
        <v>0</v>
      </c>
      <c r="X805" s="575"/>
      <c r="Y805" s="578">
        <f>IF('REF. DE PREÇOS n editavel'!W805=0,0,IF('REF. DE PREÇOS n editavel'!W805&gt;0,"c","b"))</f>
        <v>0</v>
      </c>
    </row>
    <row r="806" spans="1:25">
      <c r="A806" s="317">
        <v>101090</v>
      </c>
      <c r="B806" s="870" t="s">
        <v>1619</v>
      </c>
      <c r="C806" s="871" t="s">
        <v>590</v>
      </c>
      <c r="D806" s="881" t="s">
        <v>1502</v>
      </c>
      <c r="E806" s="882">
        <f>'REF. DE PREÇOS n editavel'!E806</f>
        <v>40</v>
      </c>
      <c r="F806" s="883">
        <f>'REF. DE PREÇOS n editavel'!F806</f>
        <v>0.3</v>
      </c>
      <c r="G806" s="923">
        <f>'REF. DE PREÇOS n editavel'!G806</f>
        <v>13.644</v>
      </c>
      <c r="H806" s="876">
        <f>'REF. DE PREÇOS n editavel'!H806</f>
        <v>291.81</v>
      </c>
      <c r="I806" s="876">
        <f>'REF. DE PREÇOS n editavel'!I806</f>
        <v>305.45400000000001</v>
      </c>
      <c r="J806" s="877">
        <f>'REF. DE PREÇOS n editavel'!J806</f>
        <v>373.33</v>
      </c>
      <c r="K806" s="878" t="s">
        <v>12</v>
      </c>
      <c r="L806" s="1094"/>
      <c r="M806" s="1095">
        <f t="shared" si="103"/>
        <v>0</v>
      </c>
      <c r="N806" s="868">
        <f t="shared" si="107"/>
        <v>0</v>
      </c>
      <c r="O806" s="880"/>
      <c r="Q806" s="317" t="str">
        <f t="shared" si="104"/>
        <v/>
      </c>
      <c r="R806" s="317" t="str">
        <f t="shared" si="105"/>
        <v/>
      </c>
      <c r="S806" s="317" t="str">
        <f t="shared" si="106"/>
        <v/>
      </c>
      <c r="T806" s="317" t="str">
        <f>'REF. DE PREÇOS n editavel'!S806</f>
        <v/>
      </c>
      <c r="W806" s="577">
        <v>0</v>
      </c>
      <c r="X806" s="575"/>
      <c r="Y806" s="578">
        <f>IF('REF. DE PREÇOS n editavel'!W806=0,0,IF('REF. DE PREÇOS n editavel'!W806&gt;0,"c","b"))</f>
        <v>0</v>
      </c>
    </row>
    <row r="807" spans="1:25">
      <c r="A807" s="317">
        <v>98509</v>
      </c>
      <c r="B807" s="870">
        <v>98509</v>
      </c>
      <c r="C807" s="871" t="s">
        <v>590</v>
      </c>
      <c r="D807" s="881" t="s">
        <v>1511</v>
      </c>
      <c r="E807" s="882">
        <f>'REF. DE PREÇOS n editavel'!E807</f>
        <v>0</v>
      </c>
      <c r="F807" s="883">
        <f>'REF. DE PREÇOS n editavel'!F807</f>
        <v>0</v>
      </c>
      <c r="G807" s="887">
        <f>'REF. DE PREÇOS n editavel'!G807</f>
        <v>0</v>
      </c>
      <c r="H807" s="876">
        <f>'REF. DE PREÇOS n editavel'!H807</f>
        <v>31.71</v>
      </c>
      <c r="I807" s="876">
        <f>'REF. DE PREÇOS n editavel'!I807</f>
        <v>31.71</v>
      </c>
      <c r="J807" s="877">
        <f>'REF. DE PREÇOS n editavel'!J807</f>
        <v>38.76</v>
      </c>
      <c r="K807" s="878" t="s">
        <v>15</v>
      </c>
      <c r="L807" s="1092"/>
      <c r="M807" s="1093">
        <f t="shared" si="103"/>
        <v>0</v>
      </c>
      <c r="N807" s="868">
        <f t="shared" si="107"/>
        <v>0</v>
      </c>
      <c r="O807" s="880"/>
      <c r="Q807" s="317" t="str">
        <f t="shared" si="104"/>
        <v/>
      </c>
      <c r="R807" s="317" t="str">
        <f t="shared" si="105"/>
        <v/>
      </c>
      <c r="S807" s="317" t="str">
        <f t="shared" si="106"/>
        <v/>
      </c>
      <c r="T807" s="317" t="str">
        <f>'REF. DE PREÇOS n editavel'!S807</f>
        <v/>
      </c>
      <c r="W807" s="577">
        <v>0</v>
      </c>
      <c r="X807" s="575"/>
      <c r="Y807" s="578">
        <f>IF('REF. DE PREÇOS n editavel'!W807=0,0,IF('REF. DE PREÇOS n editavel'!W807&gt;0,"c","b"))</f>
        <v>0</v>
      </c>
    </row>
    <row r="808" spans="1:25">
      <c r="A808" s="317">
        <v>98510</v>
      </c>
      <c r="B808" s="870">
        <v>98510</v>
      </c>
      <c r="C808" s="871" t="s">
        <v>590</v>
      </c>
      <c r="D808" s="881" t="s">
        <v>821</v>
      </c>
      <c r="E808" s="882">
        <f>'REF. DE PREÇOS n editavel'!E808</f>
        <v>0</v>
      </c>
      <c r="F808" s="883">
        <f>'REF. DE PREÇOS n editavel'!F808</f>
        <v>0</v>
      </c>
      <c r="G808" s="887">
        <f>'REF. DE PREÇOS n editavel'!G808</f>
        <v>0</v>
      </c>
      <c r="H808" s="876">
        <f>'REF. DE PREÇOS n editavel'!H808</f>
        <v>57.03</v>
      </c>
      <c r="I808" s="876">
        <f>'REF. DE PREÇOS n editavel'!I808</f>
        <v>57.03</v>
      </c>
      <c r="J808" s="877">
        <f>'REF. DE PREÇOS n editavel'!J808</f>
        <v>69.7</v>
      </c>
      <c r="K808" s="878" t="s">
        <v>15</v>
      </c>
      <c r="L808" s="1092"/>
      <c r="M808" s="1093">
        <f t="shared" si="103"/>
        <v>0</v>
      </c>
      <c r="N808" s="868">
        <f t="shared" si="107"/>
        <v>0</v>
      </c>
      <c r="O808" s="880"/>
      <c r="Q808" s="317" t="str">
        <f t="shared" si="104"/>
        <v/>
      </c>
      <c r="R808" s="317" t="str">
        <f t="shared" si="105"/>
        <v/>
      </c>
      <c r="S808" s="317" t="str">
        <f t="shared" si="106"/>
        <v/>
      </c>
      <c r="T808" s="317" t="str">
        <f>'REF. DE PREÇOS n editavel'!S808</f>
        <v/>
      </c>
      <c r="W808" s="577">
        <v>0</v>
      </c>
      <c r="X808" s="575"/>
      <c r="Y808" s="578">
        <f>IF('REF. DE PREÇOS n editavel'!W808=0,0,IF('REF. DE PREÇOS n editavel'!W808&gt;0,"c","b"))</f>
        <v>0</v>
      </c>
    </row>
    <row r="809" spans="1:25">
      <c r="A809" s="317">
        <v>98511</v>
      </c>
      <c r="B809" s="870">
        <v>98511</v>
      </c>
      <c r="C809" s="871" t="s">
        <v>590</v>
      </c>
      <c r="D809" s="881" t="s">
        <v>822</v>
      </c>
      <c r="E809" s="882">
        <f>'REF. DE PREÇOS n editavel'!E809</f>
        <v>0</v>
      </c>
      <c r="F809" s="883">
        <f>'REF. DE PREÇOS n editavel'!F809</f>
        <v>0</v>
      </c>
      <c r="G809" s="887">
        <f>'REF. DE PREÇOS n editavel'!G809</f>
        <v>0</v>
      </c>
      <c r="H809" s="876">
        <f>'REF. DE PREÇOS n editavel'!H809</f>
        <v>102.8</v>
      </c>
      <c r="I809" s="876">
        <f>'REF. DE PREÇOS n editavel'!I809</f>
        <v>102.8</v>
      </c>
      <c r="J809" s="877">
        <f>'REF. DE PREÇOS n editavel'!J809</f>
        <v>125.64</v>
      </c>
      <c r="K809" s="878" t="s">
        <v>15</v>
      </c>
      <c r="L809" s="1092"/>
      <c r="M809" s="1093">
        <f t="shared" si="103"/>
        <v>0</v>
      </c>
      <c r="N809" s="868">
        <f t="shared" si="107"/>
        <v>0</v>
      </c>
      <c r="O809" s="880"/>
      <c r="Q809" s="317" t="str">
        <f t="shared" si="104"/>
        <v/>
      </c>
      <c r="R809" s="317" t="str">
        <f t="shared" si="105"/>
        <v/>
      </c>
      <c r="S809" s="317" t="str">
        <f t="shared" si="106"/>
        <v/>
      </c>
      <c r="T809" s="317" t="str">
        <f>'REF. DE PREÇOS n editavel'!S809</f>
        <v/>
      </c>
      <c r="W809" s="577">
        <v>0</v>
      </c>
      <c r="X809" s="575"/>
      <c r="Y809" s="578">
        <f>IF('REF. DE PREÇOS n editavel'!W809=0,0,IF('REF. DE PREÇOS n editavel'!W809&gt;0,"c","b"))</f>
        <v>0</v>
      </c>
    </row>
    <row r="810" spans="1:25">
      <c r="A810" s="317">
        <v>98516</v>
      </c>
      <c r="B810" s="870">
        <v>98516</v>
      </c>
      <c r="C810" s="871" t="s">
        <v>590</v>
      </c>
      <c r="D810" s="881" t="s">
        <v>823</v>
      </c>
      <c r="E810" s="882">
        <f>'REF. DE PREÇOS n editavel'!E810</f>
        <v>0</v>
      </c>
      <c r="F810" s="883">
        <f>'REF. DE PREÇOS n editavel'!F810</f>
        <v>0</v>
      </c>
      <c r="G810" s="887">
        <f>'REF. DE PREÇOS n editavel'!G810</f>
        <v>0</v>
      </c>
      <c r="H810" s="876">
        <f>'REF. DE PREÇOS n editavel'!H810</f>
        <v>348.96</v>
      </c>
      <c r="I810" s="876">
        <f>'REF. DE PREÇOS n editavel'!I810</f>
        <v>348.96</v>
      </c>
      <c r="J810" s="877">
        <f>'REF. DE PREÇOS n editavel'!J810</f>
        <v>426.5</v>
      </c>
      <c r="K810" s="878" t="s">
        <v>15</v>
      </c>
      <c r="L810" s="1092"/>
      <c r="M810" s="1093">
        <f t="shared" si="103"/>
        <v>0</v>
      </c>
      <c r="N810" s="868">
        <f t="shared" si="107"/>
        <v>0</v>
      </c>
      <c r="O810" s="880"/>
      <c r="Q810" s="317" t="str">
        <f t="shared" si="104"/>
        <v/>
      </c>
      <c r="R810" s="317" t="str">
        <f t="shared" si="105"/>
        <v/>
      </c>
      <c r="S810" s="317" t="str">
        <f t="shared" si="106"/>
        <v/>
      </c>
      <c r="T810" s="317" t="str">
        <f>'REF. DE PREÇOS n editavel'!S810</f>
        <v/>
      </c>
      <c r="W810" s="577">
        <v>0</v>
      </c>
      <c r="X810" s="575"/>
      <c r="Y810" s="578">
        <f>IF('REF. DE PREÇOS n editavel'!W810=0,0,IF('REF. DE PREÇOS n editavel'!W810&gt;0,"c","b"))</f>
        <v>0</v>
      </c>
    </row>
    <row r="811" spans="1:25">
      <c r="A811" s="317">
        <v>98504</v>
      </c>
      <c r="B811" s="870">
        <v>98504</v>
      </c>
      <c r="C811" s="871" t="s">
        <v>590</v>
      </c>
      <c r="D811" s="881" t="s">
        <v>459</v>
      </c>
      <c r="E811" s="882">
        <f>'REF. DE PREÇOS n editavel'!E811</f>
        <v>0</v>
      </c>
      <c r="F811" s="883">
        <f>'REF. DE PREÇOS n editavel'!F811</f>
        <v>0</v>
      </c>
      <c r="G811" s="887">
        <f>'REF. DE PREÇOS n editavel'!G811</f>
        <v>0</v>
      </c>
      <c r="H811" s="876">
        <f>'REF. DE PREÇOS n editavel'!H811</f>
        <v>11.01</v>
      </c>
      <c r="I811" s="876">
        <f>'REF. DE PREÇOS n editavel'!I811</f>
        <v>11.01</v>
      </c>
      <c r="J811" s="877">
        <f>'REF. DE PREÇOS n editavel'!J811</f>
        <v>13.46</v>
      </c>
      <c r="K811" s="878" t="s">
        <v>12</v>
      </c>
      <c r="L811" s="1092"/>
      <c r="M811" s="1093">
        <f t="shared" si="103"/>
        <v>0</v>
      </c>
      <c r="N811" s="868">
        <f t="shared" si="107"/>
        <v>0</v>
      </c>
      <c r="O811" s="880"/>
      <c r="Q811" s="317" t="str">
        <f t="shared" si="104"/>
        <v/>
      </c>
      <c r="R811" s="317" t="str">
        <f t="shared" si="105"/>
        <v/>
      </c>
      <c r="S811" s="317" t="str">
        <f t="shared" si="106"/>
        <v/>
      </c>
      <c r="T811" s="317" t="str">
        <f>'REF. DE PREÇOS n editavel'!S811</f>
        <v/>
      </c>
      <c r="W811" s="577">
        <v>0</v>
      </c>
      <c r="X811" s="575"/>
      <c r="Y811" s="578">
        <f>IF('REF. DE PREÇOS n editavel'!W811=0,0,IF('REF. DE PREÇOS n editavel'!W811&gt;0,"c","b"))</f>
        <v>0</v>
      </c>
    </row>
    <row r="812" spans="1:25">
      <c r="A812" s="317">
        <v>98505</v>
      </c>
      <c r="B812" s="870">
        <v>98505</v>
      </c>
      <c r="C812" s="871" t="s">
        <v>590</v>
      </c>
      <c r="D812" s="881" t="s">
        <v>824</v>
      </c>
      <c r="E812" s="882">
        <f>'REF. DE PREÇOS n editavel'!E812</f>
        <v>0</v>
      </c>
      <c r="F812" s="883">
        <f>'REF. DE PREÇOS n editavel'!F812</f>
        <v>0</v>
      </c>
      <c r="G812" s="887">
        <f>'REF. DE PREÇOS n editavel'!G812</f>
        <v>0</v>
      </c>
      <c r="H812" s="876">
        <f>'REF. DE PREÇOS n editavel'!H812</f>
        <v>46.68</v>
      </c>
      <c r="I812" s="876">
        <f>'REF. DE PREÇOS n editavel'!I812</f>
        <v>46.68</v>
      </c>
      <c r="J812" s="877">
        <f>'REF. DE PREÇOS n editavel'!J812</f>
        <v>57.05</v>
      </c>
      <c r="K812" s="878" t="s">
        <v>12</v>
      </c>
      <c r="L812" s="1092"/>
      <c r="M812" s="1093">
        <f t="shared" si="103"/>
        <v>0</v>
      </c>
      <c r="N812" s="868">
        <f t="shared" si="107"/>
        <v>0</v>
      </c>
      <c r="O812" s="880"/>
      <c r="Q812" s="317" t="str">
        <f t="shared" si="104"/>
        <v/>
      </c>
      <c r="R812" s="317" t="str">
        <f t="shared" si="105"/>
        <v/>
      </c>
      <c r="S812" s="317" t="str">
        <f t="shared" si="106"/>
        <v/>
      </c>
      <c r="T812" s="317" t="str">
        <f>'REF. DE PREÇOS n editavel'!S812</f>
        <v/>
      </c>
      <c r="W812" s="577">
        <v>0</v>
      </c>
      <c r="X812" s="575"/>
      <c r="Y812" s="578">
        <f>IF('REF. DE PREÇOS n editavel'!W812=0,0,IF('REF. DE PREÇOS n editavel'!W812&gt;0,"c","b"))</f>
        <v>0</v>
      </c>
    </row>
    <row r="813" spans="1:25">
      <c r="A813" s="317">
        <v>800000</v>
      </c>
      <c r="B813" s="870">
        <v>800000</v>
      </c>
      <c r="C813" s="871" t="s">
        <v>184</v>
      </c>
      <c r="D813" s="881" t="s">
        <v>460</v>
      </c>
      <c r="E813" s="882">
        <f>'REF. DE PREÇOS n editavel'!E813</f>
        <v>0</v>
      </c>
      <c r="F813" s="883">
        <f>'REF. DE PREÇOS n editavel'!F813</f>
        <v>0</v>
      </c>
      <c r="G813" s="887">
        <f>'REF. DE PREÇOS n editavel'!G813</f>
        <v>0</v>
      </c>
      <c r="H813" s="876">
        <f>'REF. DE PREÇOS n editavel'!H813</f>
        <v>12.41</v>
      </c>
      <c r="I813" s="876">
        <f>'REF. DE PREÇOS n editavel'!I813</f>
        <v>12.41</v>
      </c>
      <c r="J813" s="877">
        <f>'REF. DE PREÇOS n editavel'!J813</f>
        <v>15.17</v>
      </c>
      <c r="K813" s="878" t="s">
        <v>12</v>
      </c>
      <c r="L813" s="1092"/>
      <c r="M813" s="1093">
        <f t="shared" si="103"/>
        <v>0</v>
      </c>
      <c r="N813" s="868">
        <f t="shared" si="107"/>
        <v>0</v>
      </c>
      <c r="O813" s="880"/>
      <c r="Q813" s="317" t="str">
        <f t="shared" si="104"/>
        <v/>
      </c>
      <c r="R813" s="317" t="str">
        <f t="shared" si="105"/>
        <v/>
      </c>
      <c r="S813" s="317" t="str">
        <f t="shared" si="106"/>
        <v/>
      </c>
      <c r="T813" s="317" t="str">
        <f>'REF. DE PREÇOS n editavel'!S813</f>
        <v/>
      </c>
      <c r="W813" s="577">
        <v>0</v>
      </c>
      <c r="X813" s="575"/>
      <c r="Y813" s="578">
        <f>IF('REF. DE PREÇOS n editavel'!W813=0,0,IF('REF. DE PREÇOS n editavel'!W813&gt;0,"c","b"))</f>
        <v>0</v>
      </c>
    </row>
    <row r="814" spans="1:25">
      <c r="A814" s="317" t="s">
        <v>297</v>
      </c>
      <c r="B814" s="870" t="s">
        <v>297</v>
      </c>
      <c r="C814" s="871" t="s">
        <v>184</v>
      </c>
      <c r="D814" s="881" t="s">
        <v>280</v>
      </c>
      <c r="E814" s="882">
        <f>'REF. DE PREÇOS n editavel'!E814</f>
        <v>0</v>
      </c>
      <c r="F814" s="883">
        <f>'REF. DE PREÇOS n editavel'!F814</f>
        <v>0</v>
      </c>
      <c r="G814" s="887">
        <f>'REF. DE PREÇOS n editavel'!G814</f>
        <v>0</v>
      </c>
      <c r="H814" s="876">
        <f>'REF. DE PREÇOS n editavel'!H814</f>
        <v>0</v>
      </c>
      <c r="I814" s="876">
        <f>'REF. DE PREÇOS n editavel'!I814</f>
        <v>0</v>
      </c>
      <c r="J814" s="877">
        <f>'REF. DE PREÇOS n editavel'!J814</f>
        <v>0</v>
      </c>
      <c r="K814" s="878" t="s">
        <v>10</v>
      </c>
      <c r="L814" s="1092"/>
      <c r="M814" s="1093">
        <f t="shared" si="103"/>
        <v>0</v>
      </c>
      <c r="N814" s="868">
        <f t="shared" si="107"/>
        <v>0</v>
      </c>
      <c r="O814" s="880"/>
      <c r="Q814" s="317" t="str">
        <f t="shared" si="104"/>
        <v/>
      </c>
      <c r="R814" s="317" t="str">
        <f t="shared" si="105"/>
        <v/>
      </c>
      <c r="S814" s="317" t="str">
        <f t="shared" si="106"/>
        <v/>
      </c>
      <c r="T814" s="317" t="str">
        <f>'REF. DE PREÇOS n editavel'!S814</f>
        <v/>
      </c>
      <c r="W814" s="577">
        <v>0</v>
      </c>
      <c r="X814" s="575"/>
      <c r="Y814" s="578">
        <f>IF('REF. DE PREÇOS n editavel'!W814=0,0,IF('REF. DE PREÇOS n editavel'!W814&gt;0,"c","b"))</f>
        <v>0</v>
      </c>
    </row>
    <row r="815" spans="1:25">
      <c r="A815" s="317">
        <v>605000</v>
      </c>
      <c r="B815" s="870" t="s">
        <v>1760</v>
      </c>
      <c r="C815" s="871" t="s">
        <v>184</v>
      </c>
      <c r="D815" s="881" t="s">
        <v>281</v>
      </c>
      <c r="E815" s="882">
        <f>'REF. DE PREÇOS n editavel'!E815</f>
        <v>0</v>
      </c>
      <c r="F815" s="883">
        <f>'REF. DE PREÇOS n editavel'!F815</f>
        <v>0</v>
      </c>
      <c r="G815" s="887">
        <f>'REF. DE PREÇOS n editavel'!G815</f>
        <v>0</v>
      </c>
      <c r="H815" s="876">
        <f>'REF. DE PREÇOS n editavel'!H815</f>
        <v>481.5</v>
      </c>
      <c r="I815" s="876">
        <f>'REF. DE PREÇOS n editavel'!I815</f>
        <v>481.5</v>
      </c>
      <c r="J815" s="877">
        <f>'REF. DE PREÇOS n editavel'!J815</f>
        <v>588.49</v>
      </c>
      <c r="K815" s="878" t="s">
        <v>15</v>
      </c>
      <c r="L815" s="1092"/>
      <c r="M815" s="1093">
        <f t="shared" si="103"/>
        <v>0</v>
      </c>
      <c r="N815" s="868">
        <f t="shared" si="107"/>
        <v>0</v>
      </c>
      <c r="O815" s="880"/>
      <c r="Q815" s="317" t="str">
        <f t="shared" si="104"/>
        <v/>
      </c>
      <c r="R815" s="317" t="str">
        <f t="shared" si="105"/>
        <v/>
      </c>
      <c r="S815" s="317" t="str">
        <f t="shared" si="106"/>
        <v/>
      </c>
      <c r="T815" s="317" t="str">
        <f>'REF. DE PREÇOS n editavel'!S815</f>
        <v/>
      </c>
      <c r="W815" s="577">
        <v>0</v>
      </c>
      <c r="X815" s="575"/>
      <c r="Y815" s="578">
        <f>IF('REF. DE PREÇOS n editavel'!W815=0,0,IF('REF. DE PREÇOS n editavel'!W815&gt;0,"c","b"))</f>
        <v>0</v>
      </c>
    </row>
    <row r="816" spans="1:25">
      <c r="A816" s="317">
        <v>605000</v>
      </c>
      <c r="B816" s="870" t="s">
        <v>1761</v>
      </c>
      <c r="C816" s="871" t="s">
        <v>184</v>
      </c>
      <c r="D816" s="881" t="s">
        <v>282</v>
      </c>
      <c r="E816" s="882">
        <f>'REF. DE PREÇOS n editavel'!E816</f>
        <v>0</v>
      </c>
      <c r="F816" s="883">
        <f>'REF. DE PREÇOS n editavel'!F816</f>
        <v>0</v>
      </c>
      <c r="G816" s="887">
        <f>'REF. DE PREÇOS n editavel'!G816</f>
        <v>0</v>
      </c>
      <c r="H816" s="876">
        <f>'REF. DE PREÇOS n editavel'!H816</f>
        <v>481.5</v>
      </c>
      <c r="I816" s="876">
        <f>'REF. DE PREÇOS n editavel'!I816</f>
        <v>481.5</v>
      </c>
      <c r="J816" s="877">
        <f>'REF. DE PREÇOS n editavel'!J816</f>
        <v>588.49</v>
      </c>
      <c r="K816" s="878" t="s">
        <v>15</v>
      </c>
      <c r="L816" s="1092"/>
      <c r="M816" s="1093">
        <f t="shared" si="103"/>
        <v>0</v>
      </c>
      <c r="N816" s="868">
        <f t="shared" si="107"/>
        <v>0</v>
      </c>
      <c r="O816" s="880"/>
      <c r="Q816" s="317" t="str">
        <f t="shared" si="104"/>
        <v/>
      </c>
      <c r="R816" s="317" t="str">
        <f t="shared" si="105"/>
        <v/>
      </c>
      <c r="S816" s="317" t="str">
        <f t="shared" si="106"/>
        <v/>
      </c>
      <c r="T816" s="317" t="str">
        <f>'REF. DE PREÇOS n editavel'!S816</f>
        <v/>
      </c>
      <c r="W816" s="577">
        <v>0</v>
      </c>
      <c r="X816" s="575"/>
      <c r="Y816" s="578">
        <f>IF('REF. DE PREÇOS n editavel'!W816=0,0,IF('REF. DE PREÇOS n editavel'!W816&gt;0,"c","b"))</f>
        <v>0</v>
      </c>
    </row>
    <row r="817" spans="1:25">
      <c r="A817" s="317">
        <v>605000</v>
      </c>
      <c r="B817" s="870" t="s">
        <v>1762</v>
      </c>
      <c r="C817" s="871" t="s">
        <v>184</v>
      </c>
      <c r="D817" s="881" t="s">
        <v>283</v>
      </c>
      <c r="E817" s="882">
        <f>'REF. DE PREÇOS n editavel'!E817</f>
        <v>0</v>
      </c>
      <c r="F817" s="883">
        <f>'REF. DE PREÇOS n editavel'!F817</f>
        <v>0</v>
      </c>
      <c r="G817" s="887">
        <f>'REF. DE PREÇOS n editavel'!G817</f>
        <v>0</v>
      </c>
      <c r="H817" s="876">
        <f>'REF. DE PREÇOS n editavel'!H817</f>
        <v>481.5</v>
      </c>
      <c r="I817" s="876">
        <f>'REF. DE PREÇOS n editavel'!I817</f>
        <v>481.5</v>
      </c>
      <c r="J817" s="877">
        <f>'REF. DE PREÇOS n editavel'!J817</f>
        <v>588.49</v>
      </c>
      <c r="K817" s="878" t="s">
        <v>15</v>
      </c>
      <c r="L817" s="1092"/>
      <c r="M817" s="1093">
        <f t="shared" si="103"/>
        <v>0</v>
      </c>
      <c r="N817" s="868">
        <f t="shared" si="107"/>
        <v>0</v>
      </c>
      <c r="O817" s="880"/>
      <c r="Q817" s="317" t="str">
        <f t="shared" si="104"/>
        <v/>
      </c>
      <c r="R817" s="317" t="str">
        <f t="shared" si="105"/>
        <v/>
      </c>
      <c r="S817" s="317" t="str">
        <f t="shared" si="106"/>
        <v/>
      </c>
      <c r="T817" s="317" t="str">
        <f>'REF. DE PREÇOS n editavel'!S817</f>
        <v/>
      </c>
      <c r="W817" s="577">
        <v>0</v>
      </c>
      <c r="X817" s="575"/>
      <c r="Y817" s="578">
        <f>IF('REF. DE PREÇOS n editavel'!W817=0,0,IF('REF. DE PREÇOS n editavel'!W817&gt;0,"c","b"))</f>
        <v>0</v>
      </c>
    </row>
    <row r="818" spans="1:25">
      <c r="A818" s="317">
        <v>605000</v>
      </c>
      <c r="B818" s="870" t="s">
        <v>1763</v>
      </c>
      <c r="C818" s="871" t="s">
        <v>184</v>
      </c>
      <c r="D818" s="881" t="s">
        <v>284</v>
      </c>
      <c r="E818" s="882">
        <f>'REF. DE PREÇOS n editavel'!E818</f>
        <v>0</v>
      </c>
      <c r="F818" s="883">
        <f>'REF. DE PREÇOS n editavel'!F818</f>
        <v>0</v>
      </c>
      <c r="G818" s="887">
        <f>'REF. DE PREÇOS n editavel'!G818</f>
        <v>0</v>
      </c>
      <c r="H818" s="876">
        <f>'REF. DE PREÇOS n editavel'!H818</f>
        <v>654.30999999999995</v>
      </c>
      <c r="I818" s="876">
        <f>'REF. DE PREÇOS n editavel'!I818</f>
        <v>654.30999999999995</v>
      </c>
      <c r="J818" s="877">
        <f>'REF. DE PREÇOS n editavel'!J818</f>
        <v>799.7</v>
      </c>
      <c r="K818" s="878" t="s">
        <v>15</v>
      </c>
      <c r="L818" s="1092"/>
      <c r="M818" s="1093">
        <f t="shared" si="103"/>
        <v>0</v>
      </c>
      <c r="N818" s="868">
        <f t="shared" si="107"/>
        <v>0</v>
      </c>
      <c r="O818" s="880"/>
      <c r="Q818" s="317" t="str">
        <f t="shared" si="104"/>
        <v/>
      </c>
      <c r="R818" s="317" t="str">
        <f t="shared" si="105"/>
        <v/>
      </c>
      <c r="S818" s="317" t="str">
        <f t="shared" si="106"/>
        <v/>
      </c>
      <c r="T818" s="317" t="str">
        <f>'REF. DE PREÇOS n editavel'!S818</f>
        <v/>
      </c>
      <c r="W818" s="577">
        <v>0</v>
      </c>
      <c r="X818" s="575"/>
      <c r="Y818" s="578">
        <f>IF('REF. DE PREÇOS n editavel'!W818=0,0,IF('REF. DE PREÇOS n editavel'!W818&gt;0,"c","b"))</f>
        <v>0</v>
      </c>
    </row>
    <row r="819" spans="1:25">
      <c r="A819" s="317">
        <v>605000</v>
      </c>
      <c r="B819" s="870" t="s">
        <v>1764</v>
      </c>
      <c r="C819" s="871" t="s">
        <v>184</v>
      </c>
      <c r="D819" s="881" t="s">
        <v>285</v>
      </c>
      <c r="E819" s="882">
        <f>'REF. DE PREÇOS n editavel'!E819</f>
        <v>0</v>
      </c>
      <c r="F819" s="883">
        <f>'REF. DE PREÇOS n editavel'!F819</f>
        <v>0</v>
      </c>
      <c r="G819" s="887">
        <f>'REF. DE PREÇOS n editavel'!G819</f>
        <v>0</v>
      </c>
      <c r="H819" s="876">
        <f>'REF. DE PREÇOS n editavel'!H819</f>
        <v>573.36</v>
      </c>
      <c r="I819" s="876">
        <f>'REF. DE PREÇOS n editavel'!I819</f>
        <v>573.36</v>
      </c>
      <c r="J819" s="877">
        <f>'REF. DE PREÇOS n editavel'!J819</f>
        <v>700.76</v>
      </c>
      <c r="K819" s="878" t="s">
        <v>15</v>
      </c>
      <c r="L819" s="1092"/>
      <c r="M819" s="1093">
        <f t="shared" si="103"/>
        <v>0</v>
      </c>
      <c r="N819" s="868">
        <f t="shared" si="107"/>
        <v>0</v>
      </c>
      <c r="O819" s="880"/>
      <c r="Q819" s="317" t="str">
        <f t="shared" si="104"/>
        <v/>
      </c>
      <c r="R819" s="317" t="str">
        <f t="shared" si="105"/>
        <v/>
      </c>
      <c r="S819" s="317" t="str">
        <f t="shared" si="106"/>
        <v/>
      </c>
      <c r="T819" s="317" t="str">
        <f>'REF. DE PREÇOS n editavel'!S819</f>
        <v/>
      </c>
      <c r="W819" s="577">
        <v>0</v>
      </c>
      <c r="X819" s="575"/>
      <c r="Y819" s="578">
        <f>IF('REF. DE PREÇOS n editavel'!W819=0,0,IF('REF. DE PREÇOS n editavel'!W819&gt;0,"c","b"))</f>
        <v>0</v>
      </c>
    </row>
    <row r="820" spans="1:25">
      <c r="A820" s="634" t="s">
        <v>165</v>
      </c>
      <c r="B820" s="888" t="s">
        <v>165</v>
      </c>
      <c r="C820" s="889"/>
      <c r="D820" s="890" t="s">
        <v>215</v>
      </c>
      <c r="E820" s="891">
        <f>'REF. DE PREÇOS n editavel'!E820</f>
        <v>0</v>
      </c>
      <c r="F820" s="892">
        <f>'REF. DE PREÇOS n editavel'!F820</f>
        <v>0</v>
      </c>
      <c r="G820" s="893">
        <f>'REF. DE PREÇOS n editavel'!G820</f>
        <v>0</v>
      </c>
      <c r="H820" s="894">
        <f>'REF. DE PREÇOS n editavel'!H820</f>
        <v>0</v>
      </c>
      <c r="I820" s="894">
        <f>'REF. DE PREÇOS n editavel'!I820</f>
        <v>0</v>
      </c>
      <c r="J820" s="894">
        <f>'REF. DE PREÇOS n editavel'!J820</f>
        <v>0</v>
      </c>
      <c r="K820" s="895" t="s">
        <v>506</v>
      </c>
      <c r="L820" s="896"/>
      <c r="M820" s="897">
        <f t="shared" si="103"/>
        <v>0</v>
      </c>
      <c r="N820" s="898">
        <f t="shared" si="107"/>
        <v>0</v>
      </c>
      <c r="O820" s="880"/>
      <c r="P820" s="58" t="str">
        <f>IF(OR(SUM(N821:N852)&gt;0,SUM(N821:N852)&gt;0),"y","")</f>
        <v/>
      </c>
      <c r="Q820" s="317" t="str">
        <f t="shared" si="104"/>
        <v/>
      </c>
      <c r="R820" s="317" t="str">
        <f t="shared" si="105"/>
        <v/>
      </c>
      <c r="S820" s="317" t="str">
        <f t="shared" si="106"/>
        <v/>
      </c>
      <c r="T820" s="317" t="str">
        <f>'REF. DE PREÇOS n editavel'!S820</f>
        <v/>
      </c>
      <c r="W820" s="577">
        <v>0</v>
      </c>
      <c r="X820" s="575"/>
      <c r="Y820" s="578">
        <f>IF('REF. DE PREÇOS n editavel'!W820=0,0,IF('REF. DE PREÇOS n editavel'!W820&gt;0,"c","b"))</f>
        <v>0</v>
      </c>
    </row>
    <row r="821" spans="1:25" ht="26.1" customHeight="1">
      <c r="A821" s="634" t="s">
        <v>165</v>
      </c>
      <c r="B821" s="1010">
        <f>'REF. DE PREÇOS n editavel'!B821</f>
        <v>834908</v>
      </c>
      <c r="C821" s="1045" t="str">
        <f>'REF. DE PREÇOS n editavel'!C821</f>
        <v>DER</v>
      </c>
      <c r="D821" s="1096" t="str">
        <f>'REF. DE PREÇOS n editavel'!D821</f>
        <v>Fornecimento e assentamento de piso tátil de concreto alerta/direcional
20x20cm</v>
      </c>
      <c r="E821" s="882">
        <f>'REF. DE PREÇOS n editavel'!E821</f>
        <v>0</v>
      </c>
      <c r="F821" s="883">
        <f>'REF. DE PREÇOS n editavel'!F821</f>
        <v>0</v>
      </c>
      <c r="G821" s="887">
        <f>'REF. DE PREÇOS n editavel'!G821</f>
        <v>0</v>
      </c>
      <c r="H821" s="876">
        <f>'REF. DE PREÇOS n editavel'!H821</f>
        <v>90.41</v>
      </c>
      <c r="I821" s="876">
        <f>'REF. DE PREÇOS n editavel'!I821</f>
        <v>90.41</v>
      </c>
      <c r="J821" s="877">
        <f>'REF. DE PREÇOS n editavel'!J821</f>
        <v>110.5</v>
      </c>
      <c r="K821" s="878" t="str">
        <f>'REF. DE PREÇOS n editavel'!K821</f>
        <v>m2</v>
      </c>
      <c r="L821" s="1092"/>
      <c r="M821" s="897">
        <f t="shared" si="103"/>
        <v>0</v>
      </c>
      <c r="N821" s="1121">
        <f t="shared" si="107"/>
        <v>0</v>
      </c>
      <c r="O821" s="1120"/>
      <c r="Q821" s="317" t="str">
        <f t="shared" si="104"/>
        <v/>
      </c>
      <c r="R821" s="317" t="str">
        <f t="shared" si="105"/>
        <v/>
      </c>
      <c r="S821" s="317" t="str">
        <f t="shared" si="106"/>
        <v/>
      </c>
      <c r="T821" s="317" t="str">
        <f>'REF. DE PREÇOS n editavel'!S821</f>
        <v/>
      </c>
      <c r="W821" s="577">
        <v>0</v>
      </c>
      <c r="X821" s="575"/>
      <c r="Y821" s="578">
        <f>IF('REF. DE PREÇOS n editavel'!W821=0,0,IF('REF. DE PREÇOS n editavel'!W821&gt;0,"c","b"))</f>
        <v>0</v>
      </c>
    </row>
    <row r="822" spans="1:25" ht="26.1" customHeight="1">
      <c r="A822" s="634" t="s">
        <v>165</v>
      </c>
      <c r="B822" s="1010">
        <f>'REF. DE PREÇOS n editavel'!B822</f>
        <v>834909</v>
      </c>
      <c r="C822" s="1045" t="str">
        <f>'REF. DE PREÇOS n editavel'!C822</f>
        <v>DER</v>
      </c>
      <c r="D822" s="1096" t="str">
        <f>'REF. DE PREÇOS n editavel'!D822</f>
        <v>Fornecimento e assentamento de piso tátil de concreto alerta/direcional
20x20cm vermelho</v>
      </c>
      <c r="E822" s="882">
        <f>'REF. DE PREÇOS n editavel'!E822</f>
        <v>0</v>
      </c>
      <c r="F822" s="883">
        <f>'REF. DE PREÇOS n editavel'!F822</f>
        <v>0</v>
      </c>
      <c r="G822" s="887">
        <f>'REF. DE PREÇOS n editavel'!G822</f>
        <v>0</v>
      </c>
      <c r="H822" s="876">
        <f>'REF. DE PREÇOS n editavel'!H822</f>
        <v>96.16</v>
      </c>
      <c r="I822" s="876">
        <f>'REF. DE PREÇOS n editavel'!I822</f>
        <v>96.16</v>
      </c>
      <c r="J822" s="865">
        <f>'REF. DE PREÇOS n editavel'!J822</f>
        <v>117.53</v>
      </c>
      <c r="K822" s="878" t="str">
        <f>'REF. DE PREÇOS n editavel'!K822</f>
        <v>m2</v>
      </c>
      <c r="L822" s="1092"/>
      <c r="M822" s="897">
        <f t="shared" si="103"/>
        <v>0</v>
      </c>
      <c r="N822" s="1122">
        <f t="shared" si="107"/>
        <v>0</v>
      </c>
      <c r="O822" s="1120"/>
      <c r="Q822" s="317" t="str">
        <f t="shared" si="104"/>
        <v/>
      </c>
      <c r="R822" s="317" t="str">
        <f t="shared" si="105"/>
        <v/>
      </c>
      <c r="S822" s="317" t="str">
        <f t="shared" si="106"/>
        <v/>
      </c>
      <c r="T822" s="317" t="str">
        <f>'REF. DE PREÇOS n editavel'!S822</f>
        <v/>
      </c>
      <c r="W822" s="577">
        <v>0</v>
      </c>
      <c r="X822" s="575"/>
      <c r="Y822" s="578">
        <f>IF('REF. DE PREÇOS n editavel'!W822=0,0,IF('REF. DE PREÇOS n editavel'!W822&gt;0,"c","b"))</f>
        <v>0</v>
      </c>
    </row>
    <row r="823" spans="1:25" ht="26.1" customHeight="1">
      <c r="A823" s="634" t="s">
        <v>165</v>
      </c>
      <c r="B823" s="1010">
        <f>'REF. DE PREÇOS n editavel'!B823</f>
        <v>834906</v>
      </c>
      <c r="C823" s="1045" t="str">
        <f>'REF. DE PREÇOS n editavel'!C823</f>
        <v>DER</v>
      </c>
      <c r="D823" s="1096" t="str">
        <f>'REF. DE PREÇOS n editavel'!D823</f>
        <v>Fornecimento e assentamento de piso tátil de concreto alerta/direcional
40x40cm</v>
      </c>
      <c r="E823" s="882">
        <f>'REF. DE PREÇOS n editavel'!E823</f>
        <v>0</v>
      </c>
      <c r="F823" s="883">
        <f>'REF. DE PREÇOS n editavel'!F823</f>
        <v>0</v>
      </c>
      <c r="G823" s="887">
        <f>'REF. DE PREÇOS n editavel'!G823</f>
        <v>0</v>
      </c>
      <c r="H823" s="876">
        <f>'REF. DE PREÇOS n editavel'!H823</f>
        <v>96.21</v>
      </c>
      <c r="I823" s="876">
        <f>'REF. DE PREÇOS n editavel'!I823</f>
        <v>96.21</v>
      </c>
      <c r="J823" s="865">
        <f>'REF. DE PREÇOS n editavel'!J823</f>
        <v>117.59</v>
      </c>
      <c r="K823" s="878" t="str">
        <f>'REF. DE PREÇOS n editavel'!K823</f>
        <v>m2</v>
      </c>
      <c r="L823" s="1092"/>
      <c r="M823" s="897">
        <f t="shared" si="103"/>
        <v>0</v>
      </c>
      <c r="N823" s="1122">
        <f t="shared" si="107"/>
        <v>0</v>
      </c>
      <c r="O823" s="1120"/>
      <c r="Q823" s="317" t="str">
        <f t="shared" si="104"/>
        <v/>
      </c>
      <c r="R823" s="317" t="str">
        <f t="shared" si="105"/>
        <v/>
      </c>
      <c r="S823" s="317" t="str">
        <f t="shared" si="106"/>
        <v/>
      </c>
      <c r="T823" s="317" t="str">
        <f>'REF. DE PREÇOS n editavel'!S823</f>
        <v/>
      </c>
      <c r="W823" s="577">
        <v>0</v>
      </c>
      <c r="X823" s="575"/>
      <c r="Y823" s="578">
        <f>IF('REF. DE PREÇOS n editavel'!W823=0,0,IF('REF. DE PREÇOS n editavel'!W823&gt;0,"c","b"))</f>
        <v>0</v>
      </c>
    </row>
    <row r="824" spans="1:25" ht="26.1" customHeight="1">
      <c r="A824" s="634" t="s">
        <v>165</v>
      </c>
      <c r="B824" s="1010">
        <f>'REF. DE PREÇOS n editavel'!B824</f>
        <v>834907</v>
      </c>
      <c r="C824" s="1045" t="str">
        <f>'REF. DE PREÇOS n editavel'!C824</f>
        <v>DER</v>
      </c>
      <c r="D824" s="1096" t="str">
        <f>'REF. DE PREÇOS n editavel'!D824</f>
        <v>Fornecimento e assentamento de piso tátil de concreto alerta/direcional
40x40cm vermelho</v>
      </c>
      <c r="E824" s="882">
        <f>'REF. DE PREÇOS n editavel'!E824</f>
        <v>0</v>
      </c>
      <c r="F824" s="883">
        <f>'REF. DE PREÇOS n editavel'!F824</f>
        <v>0</v>
      </c>
      <c r="G824" s="887">
        <f>'REF. DE PREÇOS n editavel'!G824</f>
        <v>0</v>
      </c>
      <c r="H824" s="876">
        <f>'REF. DE PREÇOS n editavel'!H824</f>
        <v>99.84</v>
      </c>
      <c r="I824" s="876">
        <f>'REF. DE PREÇOS n editavel'!I824</f>
        <v>99.84</v>
      </c>
      <c r="J824" s="865">
        <f>'REF. DE PREÇOS n editavel'!J824</f>
        <v>122.02</v>
      </c>
      <c r="K824" s="878" t="str">
        <f>'REF. DE PREÇOS n editavel'!K824</f>
        <v>m2</v>
      </c>
      <c r="L824" s="1092"/>
      <c r="M824" s="897">
        <f t="shared" si="103"/>
        <v>0</v>
      </c>
      <c r="N824" s="1122">
        <f t="shared" si="107"/>
        <v>0</v>
      </c>
      <c r="O824" s="1120"/>
      <c r="Q824" s="317" t="str">
        <f t="shared" si="104"/>
        <v/>
      </c>
      <c r="R824" s="317" t="str">
        <f t="shared" si="105"/>
        <v/>
      </c>
      <c r="S824" s="317" t="str">
        <f t="shared" si="106"/>
        <v/>
      </c>
      <c r="T824" s="317" t="str">
        <f>'REF. DE PREÇOS n editavel'!S824</f>
        <v/>
      </c>
      <c r="W824" s="577">
        <v>0</v>
      </c>
      <c r="X824" s="575"/>
      <c r="Y824" s="578">
        <f>IF('REF. DE PREÇOS n editavel'!W824=0,0,IF('REF. DE PREÇOS n editavel'!W824&gt;0,"c","b"))</f>
        <v>0</v>
      </c>
    </row>
    <row r="825" spans="1:25">
      <c r="A825" s="634" t="s">
        <v>165</v>
      </c>
      <c r="B825" s="1010" t="str">
        <f>'REF. DE PREÇOS n editavel'!B825</f>
        <v/>
      </c>
      <c r="C825" s="1045" t="str">
        <f>'REF. DE PREÇOS n editavel'!C825</f>
        <v/>
      </c>
      <c r="D825" s="1096">
        <f>'REF. DE PREÇOS n editavel'!D825</f>
        <v>0</v>
      </c>
      <c r="E825" s="882">
        <f>'REF. DE PREÇOS n editavel'!E825</f>
        <v>0</v>
      </c>
      <c r="F825" s="883">
        <f>'REF. DE PREÇOS n editavel'!F825</f>
        <v>0</v>
      </c>
      <c r="G825" s="887">
        <f>'REF. DE PREÇOS n editavel'!G825</f>
        <v>0</v>
      </c>
      <c r="H825" s="876">
        <f>'REF. DE PREÇOS n editavel'!H825</f>
        <v>0</v>
      </c>
      <c r="I825" s="876">
        <f>'REF. DE PREÇOS n editavel'!I825</f>
        <v>0</v>
      </c>
      <c r="J825" s="865">
        <f>'REF. DE PREÇOS n editavel'!J825</f>
        <v>0</v>
      </c>
      <c r="K825" s="878" t="str">
        <f>'REF. DE PREÇOS n editavel'!K825</f>
        <v xml:space="preserve">     </v>
      </c>
      <c r="L825" s="1092"/>
      <c r="M825" s="897">
        <f t="shared" si="103"/>
        <v>0</v>
      </c>
      <c r="N825" s="1122">
        <f t="shared" si="107"/>
        <v>0</v>
      </c>
      <c r="O825" s="1120"/>
      <c r="Q825" s="317" t="str">
        <f t="shared" si="104"/>
        <v/>
      </c>
      <c r="R825" s="317" t="str">
        <f t="shared" si="105"/>
        <v/>
      </c>
      <c r="S825" s="317" t="str">
        <f t="shared" si="106"/>
        <v/>
      </c>
      <c r="T825" s="317" t="str">
        <f>'REF. DE PREÇOS n editavel'!S825</f>
        <v/>
      </c>
      <c r="W825" s="577">
        <v>0</v>
      </c>
      <c r="X825" s="575"/>
      <c r="Y825" s="578">
        <f>IF('REF. DE PREÇOS n editavel'!W825=0,0,IF('REF. DE PREÇOS n editavel'!W825&gt;0,"c","b"))</f>
        <v>0</v>
      </c>
    </row>
    <row r="826" spans="1:25">
      <c r="A826" s="634" t="s">
        <v>165</v>
      </c>
      <c r="B826" s="1010" t="str">
        <f>'REF. DE PREÇOS n editavel'!B826</f>
        <v/>
      </c>
      <c r="C826" s="1045" t="str">
        <f>'REF. DE PREÇOS n editavel'!C826</f>
        <v/>
      </c>
      <c r="D826" s="1096">
        <f>'REF. DE PREÇOS n editavel'!D826</f>
        <v>0</v>
      </c>
      <c r="E826" s="882">
        <f>'REF. DE PREÇOS n editavel'!E826</f>
        <v>0</v>
      </c>
      <c r="F826" s="883">
        <f>'REF. DE PREÇOS n editavel'!F826</f>
        <v>0</v>
      </c>
      <c r="G826" s="887">
        <f>'REF. DE PREÇOS n editavel'!G826</f>
        <v>0</v>
      </c>
      <c r="H826" s="876">
        <f>'REF. DE PREÇOS n editavel'!H826</f>
        <v>0</v>
      </c>
      <c r="I826" s="876">
        <f>'REF. DE PREÇOS n editavel'!I826</f>
        <v>0</v>
      </c>
      <c r="J826" s="865">
        <f>'REF. DE PREÇOS n editavel'!J826</f>
        <v>0</v>
      </c>
      <c r="K826" s="878" t="str">
        <f>'REF. DE PREÇOS n editavel'!K826</f>
        <v xml:space="preserve">     </v>
      </c>
      <c r="L826" s="1092"/>
      <c r="M826" s="897">
        <f t="shared" si="103"/>
        <v>0</v>
      </c>
      <c r="N826" s="1122">
        <f t="shared" si="107"/>
        <v>0</v>
      </c>
      <c r="O826" s="1120"/>
      <c r="Q826" s="317" t="str">
        <f t="shared" si="104"/>
        <v/>
      </c>
      <c r="R826" s="317" t="str">
        <f t="shared" si="105"/>
        <v/>
      </c>
      <c r="S826" s="317" t="str">
        <f t="shared" si="106"/>
        <v/>
      </c>
      <c r="T826" s="317" t="str">
        <f>'REF. DE PREÇOS n editavel'!S826</f>
        <v/>
      </c>
      <c r="W826" s="577">
        <v>0</v>
      </c>
      <c r="X826" s="575"/>
      <c r="Y826" s="578">
        <f>IF('REF. DE PREÇOS n editavel'!W826=0,0,IF('REF. DE PREÇOS n editavel'!W826&gt;0,"c","b"))</f>
        <v>0</v>
      </c>
    </row>
    <row r="827" spans="1:25">
      <c r="A827" s="634" t="s">
        <v>165</v>
      </c>
      <c r="B827" s="1010" t="str">
        <f>'REF. DE PREÇOS n editavel'!B827</f>
        <v/>
      </c>
      <c r="C827" s="1045" t="str">
        <f>'REF. DE PREÇOS n editavel'!C827</f>
        <v/>
      </c>
      <c r="D827" s="1096">
        <f>'REF. DE PREÇOS n editavel'!D827</f>
        <v>0</v>
      </c>
      <c r="E827" s="882">
        <f>'REF. DE PREÇOS n editavel'!E827</f>
        <v>0</v>
      </c>
      <c r="F827" s="883">
        <f>'REF. DE PREÇOS n editavel'!F827</f>
        <v>0</v>
      </c>
      <c r="G827" s="887">
        <f>'REF. DE PREÇOS n editavel'!G827</f>
        <v>0</v>
      </c>
      <c r="H827" s="876">
        <f>'REF. DE PREÇOS n editavel'!H827</f>
        <v>0</v>
      </c>
      <c r="I827" s="876">
        <f>'REF. DE PREÇOS n editavel'!I827</f>
        <v>0</v>
      </c>
      <c r="J827" s="865">
        <f>'REF. DE PREÇOS n editavel'!J827</f>
        <v>0</v>
      </c>
      <c r="K827" s="878" t="str">
        <f>'REF. DE PREÇOS n editavel'!K827</f>
        <v xml:space="preserve">     </v>
      </c>
      <c r="L827" s="1092"/>
      <c r="M827" s="897">
        <f t="shared" si="103"/>
        <v>0</v>
      </c>
      <c r="N827" s="1122">
        <f t="shared" si="107"/>
        <v>0</v>
      </c>
      <c r="O827" s="1120"/>
      <c r="Q827" s="317" t="str">
        <f t="shared" si="104"/>
        <v/>
      </c>
      <c r="R827" s="317" t="str">
        <f t="shared" si="105"/>
        <v/>
      </c>
      <c r="S827" s="317" t="str">
        <f t="shared" si="106"/>
        <v/>
      </c>
      <c r="T827" s="317" t="str">
        <f>'REF. DE PREÇOS n editavel'!S827</f>
        <v/>
      </c>
      <c r="W827" s="577">
        <v>0</v>
      </c>
      <c r="X827" s="575"/>
      <c r="Y827" s="578">
        <f>IF('REF. DE PREÇOS n editavel'!W827=0,0,IF('REF. DE PREÇOS n editavel'!W827&gt;0,"c","b"))</f>
        <v>0</v>
      </c>
    </row>
    <row r="828" spans="1:25">
      <c r="A828" s="634" t="s">
        <v>165</v>
      </c>
      <c r="B828" s="1010" t="str">
        <f>'REF. DE PREÇOS n editavel'!B828</f>
        <v/>
      </c>
      <c r="C828" s="1045" t="str">
        <f>'REF. DE PREÇOS n editavel'!C828</f>
        <v/>
      </c>
      <c r="D828" s="1096">
        <f>'REF. DE PREÇOS n editavel'!D828</f>
        <v>0</v>
      </c>
      <c r="E828" s="882">
        <f>'REF. DE PREÇOS n editavel'!E828</f>
        <v>0</v>
      </c>
      <c r="F828" s="883">
        <f>'REF. DE PREÇOS n editavel'!F828</f>
        <v>0</v>
      </c>
      <c r="G828" s="887">
        <f>'REF. DE PREÇOS n editavel'!G828</f>
        <v>0</v>
      </c>
      <c r="H828" s="876">
        <f>'REF. DE PREÇOS n editavel'!H828</f>
        <v>0</v>
      </c>
      <c r="I828" s="876">
        <f>'REF. DE PREÇOS n editavel'!I828</f>
        <v>0</v>
      </c>
      <c r="J828" s="865">
        <f>'REF. DE PREÇOS n editavel'!J828</f>
        <v>0</v>
      </c>
      <c r="K828" s="878" t="str">
        <f>'REF. DE PREÇOS n editavel'!K828</f>
        <v xml:space="preserve">     </v>
      </c>
      <c r="L828" s="1092"/>
      <c r="M828" s="897">
        <f t="shared" si="103"/>
        <v>0</v>
      </c>
      <c r="N828" s="1122">
        <f t="shared" si="107"/>
        <v>0</v>
      </c>
      <c r="O828" s="1120"/>
      <c r="Q828" s="317" t="str">
        <f t="shared" si="104"/>
        <v/>
      </c>
      <c r="R828" s="317" t="str">
        <f t="shared" si="105"/>
        <v/>
      </c>
      <c r="S828" s="317" t="str">
        <f t="shared" si="106"/>
        <v/>
      </c>
      <c r="T828" s="317" t="str">
        <f>'REF. DE PREÇOS n editavel'!S828</f>
        <v/>
      </c>
      <c r="W828" s="577">
        <v>0</v>
      </c>
      <c r="X828" s="575"/>
      <c r="Y828" s="578">
        <f>IF('REF. DE PREÇOS n editavel'!W828=0,0,IF('REF. DE PREÇOS n editavel'!W828&gt;0,"c","b"))</f>
        <v>0</v>
      </c>
    </row>
    <row r="829" spans="1:25">
      <c r="A829" s="634" t="s">
        <v>165</v>
      </c>
      <c r="B829" s="1010" t="str">
        <f>'REF. DE PREÇOS n editavel'!B829</f>
        <v/>
      </c>
      <c r="C829" s="1045" t="str">
        <f>'REF. DE PREÇOS n editavel'!C829</f>
        <v/>
      </c>
      <c r="D829" s="1096">
        <f>'REF. DE PREÇOS n editavel'!D829</f>
        <v>0</v>
      </c>
      <c r="E829" s="882">
        <f>'REF. DE PREÇOS n editavel'!E829</f>
        <v>0</v>
      </c>
      <c r="F829" s="883">
        <f>'REF. DE PREÇOS n editavel'!F829</f>
        <v>0</v>
      </c>
      <c r="G829" s="887">
        <f>'REF. DE PREÇOS n editavel'!G829</f>
        <v>0</v>
      </c>
      <c r="H829" s="876">
        <f>'REF. DE PREÇOS n editavel'!H829</f>
        <v>0</v>
      </c>
      <c r="I829" s="876">
        <f>'REF. DE PREÇOS n editavel'!I829</f>
        <v>0</v>
      </c>
      <c r="J829" s="865">
        <f>'REF. DE PREÇOS n editavel'!J829</f>
        <v>0</v>
      </c>
      <c r="K829" s="878" t="str">
        <f>'REF. DE PREÇOS n editavel'!K829</f>
        <v xml:space="preserve">     </v>
      </c>
      <c r="L829" s="1092"/>
      <c r="M829" s="897">
        <f t="shared" si="103"/>
        <v>0</v>
      </c>
      <c r="N829" s="1122">
        <f t="shared" si="107"/>
        <v>0</v>
      </c>
      <c r="O829" s="1120"/>
      <c r="Q829" s="317" t="str">
        <f t="shared" si="104"/>
        <v/>
      </c>
      <c r="R829" s="317" t="str">
        <f t="shared" si="105"/>
        <v/>
      </c>
      <c r="S829" s="317" t="str">
        <f t="shared" si="106"/>
        <v/>
      </c>
      <c r="T829" s="317" t="str">
        <f>'REF. DE PREÇOS n editavel'!S829</f>
        <v/>
      </c>
      <c r="W829" s="577">
        <v>0</v>
      </c>
      <c r="X829" s="575"/>
      <c r="Y829" s="578">
        <f>IF('REF. DE PREÇOS n editavel'!W829=0,0,IF('REF. DE PREÇOS n editavel'!W829&gt;0,"c","b"))</f>
        <v>0</v>
      </c>
    </row>
    <row r="830" spans="1:25">
      <c r="A830" s="634" t="s">
        <v>165</v>
      </c>
      <c r="B830" s="1010" t="str">
        <f>'REF. DE PREÇOS n editavel'!B830</f>
        <v/>
      </c>
      <c r="C830" s="1045" t="str">
        <f>'REF. DE PREÇOS n editavel'!C830</f>
        <v/>
      </c>
      <c r="D830" s="1096">
        <f>'REF. DE PREÇOS n editavel'!D830</f>
        <v>0</v>
      </c>
      <c r="E830" s="882">
        <f>'REF. DE PREÇOS n editavel'!E830</f>
        <v>0</v>
      </c>
      <c r="F830" s="883">
        <f>'REF. DE PREÇOS n editavel'!F830</f>
        <v>0</v>
      </c>
      <c r="G830" s="887">
        <f>'REF. DE PREÇOS n editavel'!G830</f>
        <v>0</v>
      </c>
      <c r="H830" s="876">
        <f>'REF. DE PREÇOS n editavel'!H830</f>
        <v>0</v>
      </c>
      <c r="I830" s="876">
        <f>'REF. DE PREÇOS n editavel'!I830</f>
        <v>0</v>
      </c>
      <c r="J830" s="865">
        <f>'REF. DE PREÇOS n editavel'!J830</f>
        <v>0</v>
      </c>
      <c r="K830" s="878" t="str">
        <f>'REF. DE PREÇOS n editavel'!K830</f>
        <v xml:space="preserve">     </v>
      </c>
      <c r="L830" s="1092"/>
      <c r="M830" s="897">
        <f t="shared" si="103"/>
        <v>0</v>
      </c>
      <c r="N830" s="1122">
        <f t="shared" si="107"/>
        <v>0</v>
      </c>
      <c r="O830" s="1120"/>
      <c r="Q830" s="317" t="str">
        <f t="shared" si="104"/>
        <v/>
      </c>
      <c r="R830" s="317" t="str">
        <f t="shared" si="105"/>
        <v/>
      </c>
      <c r="S830" s="317" t="str">
        <f t="shared" si="106"/>
        <v/>
      </c>
      <c r="T830" s="317" t="str">
        <f>'REF. DE PREÇOS n editavel'!S830</f>
        <v/>
      </c>
      <c r="W830" s="577">
        <v>0</v>
      </c>
      <c r="X830" s="575"/>
      <c r="Y830" s="578">
        <f>IF('REF. DE PREÇOS n editavel'!W830=0,0,IF('REF. DE PREÇOS n editavel'!W830&gt;0,"c","b"))</f>
        <v>0</v>
      </c>
    </row>
    <row r="831" spans="1:25">
      <c r="A831" s="634" t="s">
        <v>165</v>
      </c>
      <c r="B831" s="1010" t="str">
        <f>'REF. DE PREÇOS n editavel'!B831</f>
        <v/>
      </c>
      <c r="C831" s="1045" t="str">
        <f>'REF. DE PREÇOS n editavel'!C831</f>
        <v/>
      </c>
      <c r="D831" s="1096">
        <f>'REF. DE PREÇOS n editavel'!D831</f>
        <v>0</v>
      </c>
      <c r="E831" s="882">
        <f>'REF. DE PREÇOS n editavel'!E831</f>
        <v>0</v>
      </c>
      <c r="F831" s="883">
        <f>'REF. DE PREÇOS n editavel'!F831</f>
        <v>0</v>
      </c>
      <c r="G831" s="887">
        <f>'REF. DE PREÇOS n editavel'!G831</f>
        <v>0</v>
      </c>
      <c r="H831" s="876">
        <f>'REF. DE PREÇOS n editavel'!H831</f>
        <v>0</v>
      </c>
      <c r="I831" s="876">
        <f>'REF. DE PREÇOS n editavel'!I831</f>
        <v>0</v>
      </c>
      <c r="J831" s="865">
        <f>'REF. DE PREÇOS n editavel'!J831</f>
        <v>0</v>
      </c>
      <c r="K831" s="878" t="str">
        <f>'REF. DE PREÇOS n editavel'!K831</f>
        <v xml:space="preserve">     </v>
      </c>
      <c r="L831" s="1092"/>
      <c r="M831" s="897">
        <f t="shared" si="103"/>
        <v>0</v>
      </c>
      <c r="N831" s="1122">
        <f t="shared" si="107"/>
        <v>0</v>
      </c>
      <c r="O831" s="1120"/>
      <c r="Q831" s="317" t="str">
        <f t="shared" si="104"/>
        <v/>
      </c>
      <c r="R831" s="317" t="str">
        <f t="shared" si="105"/>
        <v/>
      </c>
      <c r="S831" s="317" t="str">
        <f t="shared" si="106"/>
        <v/>
      </c>
      <c r="T831" s="317" t="str">
        <f>'REF. DE PREÇOS n editavel'!S831</f>
        <v/>
      </c>
      <c r="W831" s="577">
        <v>0</v>
      </c>
      <c r="X831" s="575"/>
      <c r="Y831" s="578">
        <f>IF('REF. DE PREÇOS n editavel'!W831=0,0,IF('REF. DE PREÇOS n editavel'!W831&gt;0,"c","b"))</f>
        <v>0</v>
      </c>
    </row>
    <row r="832" spans="1:25">
      <c r="A832" s="634" t="s">
        <v>165</v>
      </c>
      <c r="B832" s="1010" t="str">
        <f>'REF. DE PREÇOS n editavel'!B832</f>
        <v/>
      </c>
      <c r="C832" s="1045" t="str">
        <f>'REF. DE PREÇOS n editavel'!C832</f>
        <v/>
      </c>
      <c r="D832" s="1096">
        <f>'REF. DE PREÇOS n editavel'!D832</f>
        <v>0</v>
      </c>
      <c r="E832" s="882">
        <f>'REF. DE PREÇOS n editavel'!E832</f>
        <v>0</v>
      </c>
      <c r="F832" s="883">
        <f>'REF. DE PREÇOS n editavel'!F832</f>
        <v>0</v>
      </c>
      <c r="G832" s="887">
        <f>'REF. DE PREÇOS n editavel'!G832</f>
        <v>0</v>
      </c>
      <c r="H832" s="876">
        <f>'REF. DE PREÇOS n editavel'!H832</f>
        <v>0</v>
      </c>
      <c r="I832" s="876">
        <f>'REF. DE PREÇOS n editavel'!I832</f>
        <v>0</v>
      </c>
      <c r="J832" s="865">
        <f>'REF. DE PREÇOS n editavel'!J832</f>
        <v>0</v>
      </c>
      <c r="K832" s="878" t="str">
        <f>'REF. DE PREÇOS n editavel'!K832</f>
        <v xml:space="preserve">     </v>
      </c>
      <c r="L832" s="1092"/>
      <c r="M832" s="897">
        <f t="shared" si="103"/>
        <v>0</v>
      </c>
      <c r="N832" s="1122">
        <f t="shared" si="107"/>
        <v>0</v>
      </c>
      <c r="O832" s="1120"/>
      <c r="Q832" s="317" t="str">
        <f t="shared" si="104"/>
        <v/>
      </c>
      <c r="R832" s="317" t="str">
        <f t="shared" si="105"/>
        <v/>
      </c>
      <c r="S832" s="317" t="str">
        <f t="shared" si="106"/>
        <v/>
      </c>
      <c r="T832" s="317" t="str">
        <f>'REF. DE PREÇOS n editavel'!S832</f>
        <v/>
      </c>
      <c r="W832" s="577">
        <v>0</v>
      </c>
      <c r="X832" s="575"/>
      <c r="Y832" s="578">
        <f>IF('REF. DE PREÇOS n editavel'!W832=0,0,IF('REF. DE PREÇOS n editavel'!W832&gt;0,"c","b"))</f>
        <v>0</v>
      </c>
    </row>
    <row r="833" spans="1:25">
      <c r="A833" s="634" t="s">
        <v>165</v>
      </c>
      <c r="B833" s="1010" t="str">
        <f>'REF. DE PREÇOS n editavel'!B833</f>
        <v/>
      </c>
      <c r="C833" s="1045" t="str">
        <f>'REF. DE PREÇOS n editavel'!C833</f>
        <v/>
      </c>
      <c r="D833" s="1096">
        <f>'REF. DE PREÇOS n editavel'!D833</f>
        <v>0</v>
      </c>
      <c r="E833" s="882">
        <f>'REF. DE PREÇOS n editavel'!E833</f>
        <v>0</v>
      </c>
      <c r="F833" s="883">
        <f>'REF. DE PREÇOS n editavel'!F833</f>
        <v>0</v>
      </c>
      <c r="G833" s="887">
        <f>'REF. DE PREÇOS n editavel'!G833</f>
        <v>0</v>
      </c>
      <c r="H833" s="876">
        <f>'REF. DE PREÇOS n editavel'!H833</f>
        <v>0</v>
      </c>
      <c r="I833" s="876">
        <f>'REF. DE PREÇOS n editavel'!I833</f>
        <v>0</v>
      </c>
      <c r="J833" s="865">
        <f>'REF. DE PREÇOS n editavel'!J833</f>
        <v>0</v>
      </c>
      <c r="K833" s="878" t="str">
        <f>'REF. DE PREÇOS n editavel'!K833</f>
        <v xml:space="preserve">     </v>
      </c>
      <c r="L833" s="1092"/>
      <c r="M833" s="897">
        <f t="shared" si="103"/>
        <v>0</v>
      </c>
      <c r="N833" s="1122">
        <f t="shared" si="107"/>
        <v>0</v>
      </c>
      <c r="O833" s="1120"/>
      <c r="Q833" s="317" t="str">
        <f t="shared" si="104"/>
        <v/>
      </c>
      <c r="R833" s="317" t="str">
        <f t="shared" si="105"/>
        <v/>
      </c>
      <c r="S833" s="317" t="str">
        <f t="shared" si="106"/>
        <v/>
      </c>
      <c r="T833" s="317" t="str">
        <f>'REF. DE PREÇOS n editavel'!S833</f>
        <v/>
      </c>
      <c r="W833" s="577">
        <v>0</v>
      </c>
      <c r="X833" s="575"/>
      <c r="Y833" s="578">
        <f>IF('REF. DE PREÇOS n editavel'!W833=0,0,IF('REF. DE PREÇOS n editavel'!W833&gt;0,"c","b"))</f>
        <v>0</v>
      </c>
    </row>
    <row r="834" spans="1:25">
      <c r="A834" s="634" t="s">
        <v>165</v>
      </c>
      <c r="B834" s="1010" t="str">
        <f>'REF. DE PREÇOS n editavel'!B834</f>
        <v/>
      </c>
      <c r="C834" s="1045" t="str">
        <f>'REF. DE PREÇOS n editavel'!C834</f>
        <v/>
      </c>
      <c r="D834" s="1096">
        <f>'REF. DE PREÇOS n editavel'!D834</f>
        <v>0</v>
      </c>
      <c r="E834" s="882">
        <f>'REF. DE PREÇOS n editavel'!E834</f>
        <v>0</v>
      </c>
      <c r="F834" s="883">
        <f>'REF. DE PREÇOS n editavel'!F834</f>
        <v>0</v>
      </c>
      <c r="G834" s="887">
        <f>'REF. DE PREÇOS n editavel'!G834</f>
        <v>0</v>
      </c>
      <c r="H834" s="876">
        <f>'REF. DE PREÇOS n editavel'!H834</f>
        <v>0</v>
      </c>
      <c r="I834" s="876">
        <f>'REF. DE PREÇOS n editavel'!I834</f>
        <v>0</v>
      </c>
      <c r="J834" s="865">
        <f>'REF. DE PREÇOS n editavel'!J834</f>
        <v>0</v>
      </c>
      <c r="K834" s="878" t="str">
        <f>'REF. DE PREÇOS n editavel'!K834</f>
        <v xml:space="preserve">     </v>
      </c>
      <c r="L834" s="1092"/>
      <c r="M834" s="897">
        <f t="shared" si="103"/>
        <v>0</v>
      </c>
      <c r="N834" s="1122">
        <f t="shared" si="107"/>
        <v>0</v>
      </c>
      <c r="O834" s="1120"/>
      <c r="Q834" s="317" t="str">
        <f t="shared" si="104"/>
        <v/>
      </c>
      <c r="R834" s="317" t="str">
        <f t="shared" si="105"/>
        <v/>
      </c>
      <c r="S834" s="317" t="str">
        <f t="shared" si="106"/>
        <v/>
      </c>
      <c r="T834" s="317" t="str">
        <f>'REF. DE PREÇOS n editavel'!S834</f>
        <v/>
      </c>
      <c r="W834" s="577">
        <v>0</v>
      </c>
      <c r="X834" s="575"/>
      <c r="Y834" s="578">
        <f>IF('REF. DE PREÇOS n editavel'!W834=0,0,IF('REF. DE PREÇOS n editavel'!W834&gt;0,"c","b"))</f>
        <v>0</v>
      </c>
    </row>
    <row r="835" spans="1:25">
      <c r="A835" s="634" t="s">
        <v>165</v>
      </c>
      <c r="B835" s="1010" t="str">
        <f>'REF. DE PREÇOS n editavel'!B835</f>
        <v/>
      </c>
      <c r="C835" s="1045" t="str">
        <f>'REF. DE PREÇOS n editavel'!C835</f>
        <v/>
      </c>
      <c r="D835" s="1096">
        <f>'REF. DE PREÇOS n editavel'!D835</f>
        <v>0</v>
      </c>
      <c r="E835" s="882">
        <f>'REF. DE PREÇOS n editavel'!E835</f>
        <v>0</v>
      </c>
      <c r="F835" s="883">
        <f>'REF. DE PREÇOS n editavel'!F835</f>
        <v>0</v>
      </c>
      <c r="G835" s="887">
        <f>'REF. DE PREÇOS n editavel'!G835</f>
        <v>0</v>
      </c>
      <c r="H835" s="876">
        <f>'REF. DE PREÇOS n editavel'!H835</f>
        <v>0</v>
      </c>
      <c r="I835" s="876">
        <f>'REF. DE PREÇOS n editavel'!I835</f>
        <v>0</v>
      </c>
      <c r="J835" s="865">
        <f>'REF. DE PREÇOS n editavel'!J835</f>
        <v>0</v>
      </c>
      <c r="K835" s="878" t="str">
        <f>'REF. DE PREÇOS n editavel'!K835</f>
        <v xml:space="preserve">     </v>
      </c>
      <c r="L835" s="1092"/>
      <c r="M835" s="897">
        <f t="shared" si="103"/>
        <v>0</v>
      </c>
      <c r="N835" s="1122">
        <f t="shared" si="107"/>
        <v>0</v>
      </c>
      <c r="O835" s="1120"/>
      <c r="Q835" s="317" t="str">
        <f t="shared" si="104"/>
        <v/>
      </c>
      <c r="R835" s="317" t="str">
        <f t="shared" si="105"/>
        <v/>
      </c>
      <c r="S835" s="317" t="str">
        <f t="shared" si="106"/>
        <v/>
      </c>
      <c r="T835" s="317" t="str">
        <f>'REF. DE PREÇOS n editavel'!S835</f>
        <v/>
      </c>
      <c r="W835" s="577">
        <v>0</v>
      </c>
      <c r="X835" s="575"/>
      <c r="Y835" s="578">
        <f>IF('REF. DE PREÇOS n editavel'!W835=0,0,IF('REF. DE PREÇOS n editavel'!W835&gt;0,"c","b"))</f>
        <v>0</v>
      </c>
    </row>
    <row r="836" spans="1:25">
      <c r="A836" s="634" t="s">
        <v>165</v>
      </c>
      <c r="B836" s="1010" t="str">
        <f>'REF. DE PREÇOS n editavel'!B836</f>
        <v/>
      </c>
      <c r="C836" s="1045" t="str">
        <f>'REF. DE PREÇOS n editavel'!C836</f>
        <v/>
      </c>
      <c r="D836" s="1096">
        <f>'REF. DE PREÇOS n editavel'!D836</f>
        <v>0</v>
      </c>
      <c r="E836" s="882">
        <f>'REF. DE PREÇOS n editavel'!E836</f>
        <v>0</v>
      </c>
      <c r="F836" s="883">
        <f>'REF. DE PREÇOS n editavel'!F836</f>
        <v>0</v>
      </c>
      <c r="G836" s="887">
        <f>'REF. DE PREÇOS n editavel'!G836</f>
        <v>0</v>
      </c>
      <c r="H836" s="876">
        <f>'REF. DE PREÇOS n editavel'!H836</f>
        <v>0</v>
      </c>
      <c r="I836" s="876">
        <f>'REF. DE PREÇOS n editavel'!I836</f>
        <v>0</v>
      </c>
      <c r="J836" s="865">
        <f>'REF. DE PREÇOS n editavel'!J836</f>
        <v>0</v>
      </c>
      <c r="K836" s="878" t="str">
        <f>'REF. DE PREÇOS n editavel'!K836</f>
        <v xml:space="preserve">     </v>
      </c>
      <c r="L836" s="1092"/>
      <c r="M836" s="897">
        <f t="shared" si="103"/>
        <v>0</v>
      </c>
      <c r="N836" s="1122">
        <f t="shared" si="107"/>
        <v>0</v>
      </c>
      <c r="O836" s="1120"/>
      <c r="Q836" s="317" t="str">
        <f t="shared" si="104"/>
        <v/>
      </c>
      <c r="R836" s="317" t="str">
        <f t="shared" si="105"/>
        <v/>
      </c>
      <c r="S836" s="317" t="str">
        <f t="shared" si="106"/>
        <v/>
      </c>
      <c r="T836" s="317" t="str">
        <f>'REF. DE PREÇOS n editavel'!S836</f>
        <v/>
      </c>
      <c r="W836" s="577">
        <v>0</v>
      </c>
      <c r="X836" s="575"/>
      <c r="Y836" s="578">
        <f>IF('REF. DE PREÇOS n editavel'!W836=0,0,IF('REF. DE PREÇOS n editavel'!W836&gt;0,"c","b"))</f>
        <v>0</v>
      </c>
    </row>
    <row r="837" spans="1:25">
      <c r="A837" s="634" t="s">
        <v>165</v>
      </c>
      <c r="B837" s="1010" t="str">
        <f>'REF. DE PREÇOS n editavel'!B837</f>
        <v/>
      </c>
      <c r="C837" s="1045" t="str">
        <f>'REF. DE PREÇOS n editavel'!C837</f>
        <v/>
      </c>
      <c r="D837" s="1096">
        <f>'REF. DE PREÇOS n editavel'!D837</f>
        <v>0</v>
      </c>
      <c r="E837" s="882">
        <f>'REF. DE PREÇOS n editavel'!E837</f>
        <v>0</v>
      </c>
      <c r="F837" s="883">
        <f>'REF. DE PREÇOS n editavel'!F837</f>
        <v>0</v>
      </c>
      <c r="G837" s="887">
        <f>'REF. DE PREÇOS n editavel'!G837</f>
        <v>0</v>
      </c>
      <c r="H837" s="876">
        <f>'REF. DE PREÇOS n editavel'!H837</f>
        <v>0</v>
      </c>
      <c r="I837" s="876">
        <f>'REF. DE PREÇOS n editavel'!I837</f>
        <v>0</v>
      </c>
      <c r="J837" s="865">
        <f>'REF. DE PREÇOS n editavel'!J837</f>
        <v>0</v>
      </c>
      <c r="K837" s="878" t="str">
        <f>'REF. DE PREÇOS n editavel'!K837</f>
        <v xml:space="preserve">     </v>
      </c>
      <c r="L837" s="1092"/>
      <c r="M837" s="897">
        <f t="shared" si="103"/>
        <v>0</v>
      </c>
      <c r="N837" s="1122">
        <f t="shared" si="107"/>
        <v>0</v>
      </c>
      <c r="O837" s="1120"/>
      <c r="Q837" s="317" t="str">
        <f t="shared" si="104"/>
        <v/>
      </c>
      <c r="R837" s="317" t="str">
        <f t="shared" si="105"/>
        <v/>
      </c>
      <c r="S837" s="317" t="str">
        <f t="shared" si="106"/>
        <v/>
      </c>
      <c r="T837" s="317" t="str">
        <f>'REF. DE PREÇOS n editavel'!S837</f>
        <v/>
      </c>
      <c r="W837" s="577">
        <v>0</v>
      </c>
      <c r="X837" s="575"/>
      <c r="Y837" s="578">
        <f>IF('REF. DE PREÇOS n editavel'!W837=0,0,IF('REF. DE PREÇOS n editavel'!W837&gt;0,"c","b"))</f>
        <v>0</v>
      </c>
    </row>
    <row r="838" spans="1:25">
      <c r="A838" s="634" t="s">
        <v>165</v>
      </c>
      <c r="B838" s="1010" t="str">
        <f>'REF. DE PREÇOS n editavel'!B838</f>
        <v/>
      </c>
      <c r="C838" s="1045" t="str">
        <f>'REF. DE PREÇOS n editavel'!C838</f>
        <v/>
      </c>
      <c r="D838" s="1096">
        <f>'REF. DE PREÇOS n editavel'!D838</f>
        <v>0</v>
      </c>
      <c r="E838" s="882">
        <f>'REF. DE PREÇOS n editavel'!E838</f>
        <v>0</v>
      </c>
      <c r="F838" s="883">
        <f>'REF. DE PREÇOS n editavel'!F838</f>
        <v>0</v>
      </c>
      <c r="G838" s="887">
        <f>'REF. DE PREÇOS n editavel'!G838</f>
        <v>0</v>
      </c>
      <c r="H838" s="876">
        <f>'REF. DE PREÇOS n editavel'!H838</f>
        <v>0</v>
      </c>
      <c r="I838" s="876">
        <f>'REF. DE PREÇOS n editavel'!I838</f>
        <v>0</v>
      </c>
      <c r="J838" s="865">
        <f>'REF. DE PREÇOS n editavel'!J838</f>
        <v>0</v>
      </c>
      <c r="K838" s="878" t="str">
        <f>'REF. DE PREÇOS n editavel'!K838</f>
        <v xml:space="preserve">     </v>
      </c>
      <c r="L838" s="1092"/>
      <c r="M838" s="897">
        <f t="shared" si="103"/>
        <v>0</v>
      </c>
      <c r="N838" s="1122">
        <f t="shared" si="107"/>
        <v>0</v>
      </c>
      <c r="O838" s="1120"/>
      <c r="Q838" s="317" t="str">
        <f t="shared" si="104"/>
        <v/>
      </c>
      <c r="R838" s="317" t="str">
        <f t="shared" si="105"/>
        <v/>
      </c>
      <c r="S838" s="317" t="str">
        <f t="shared" si="106"/>
        <v/>
      </c>
      <c r="T838" s="317" t="str">
        <f>'REF. DE PREÇOS n editavel'!S838</f>
        <v/>
      </c>
      <c r="W838" s="577">
        <v>0</v>
      </c>
      <c r="X838" s="575"/>
      <c r="Y838" s="578">
        <f>IF('REF. DE PREÇOS n editavel'!W838=0,0,IF('REF. DE PREÇOS n editavel'!W838&gt;0,"c","b"))</f>
        <v>0</v>
      </c>
    </row>
    <row r="839" spans="1:25">
      <c r="A839" s="634" t="s">
        <v>165</v>
      </c>
      <c r="B839" s="1010" t="str">
        <f>'REF. DE PREÇOS n editavel'!B839</f>
        <v/>
      </c>
      <c r="C839" s="1045" t="str">
        <f>'REF. DE PREÇOS n editavel'!C839</f>
        <v/>
      </c>
      <c r="D839" s="1096">
        <f>'REF. DE PREÇOS n editavel'!D839</f>
        <v>0</v>
      </c>
      <c r="E839" s="882">
        <f>'REF. DE PREÇOS n editavel'!E839</f>
        <v>0</v>
      </c>
      <c r="F839" s="883">
        <f>'REF. DE PREÇOS n editavel'!F839</f>
        <v>0</v>
      </c>
      <c r="G839" s="887">
        <f>'REF. DE PREÇOS n editavel'!G839</f>
        <v>0</v>
      </c>
      <c r="H839" s="876">
        <f>'REF. DE PREÇOS n editavel'!H839</f>
        <v>0</v>
      </c>
      <c r="I839" s="876">
        <f>'REF. DE PREÇOS n editavel'!I839</f>
        <v>0</v>
      </c>
      <c r="J839" s="865">
        <f>'REF. DE PREÇOS n editavel'!J839</f>
        <v>0</v>
      </c>
      <c r="K839" s="878" t="str">
        <f>'REF. DE PREÇOS n editavel'!K839</f>
        <v xml:space="preserve">     </v>
      </c>
      <c r="L839" s="1092"/>
      <c r="M839" s="897">
        <f t="shared" si="103"/>
        <v>0</v>
      </c>
      <c r="N839" s="1122">
        <f t="shared" si="107"/>
        <v>0</v>
      </c>
      <c r="O839" s="1120"/>
      <c r="Q839" s="317" t="str">
        <f t="shared" si="104"/>
        <v/>
      </c>
      <c r="R839" s="317" t="str">
        <f t="shared" si="105"/>
        <v/>
      </c>
      <c r="S839" s="317" t="str">
        <f t="shared" si="106"/>
        <v/>
      </c>
      <c r="T839" s="317" t="str">
        <f>'REF. DE PREÇOS n editavel'!S839</f>
        <v/>
      </c>
      <c r="W839" s="577">
        <v>0</v>
      </c>
      <c r="X839" s="575"/>
      <c r="Y839" s="578">
        <f>IF('REF. DE PREÇOS n editavel'!W839=0,0,IF('REF. DE PREÇOS n editavel'!W839&gt;0,"c","b"))</f>
        <v>0</v>
      </c>
    </row>
    <row r="840" spans="1:25">
      <c r="A840" s="634" t="s">
        <v>165</v>
      </c>
      <c r="B840" s="1010" t="str">
        <f>'REF. DE PREÇOS n editavel'!B840</f>
        <v/>
      </c>
      <c r="C840" s="1045" t="str">
        <f>'REF. DE PREÇOS n editavel'!C840</f>
        <v/>
      </c>
      <c r="D840" s="1096">
        <f>'REF. DE PREÇOS n editavel'!D840</f>
        <v>0</v>
      </c>
      <c r="E840" s="882">
        <f>'REF. DE PREÇOS n editavel'!E840</f>
        <v>0</v>
      </c>
      <c r="F840" s="883">
        <f>'REF. DE PREÇOS n editavel'!F840</f>
        <v>0</v>
      </c>
      <c r="G840" s="887">
        <f>'REF. DE PREÇOS n editavel'!G840</f>
        <v>0</v>
      </c>
      <c r="H840" s="876">
        <f>'REF. DE PREÇOS n editavel'!H840</f>
        <v>0</v>
      </c>
      <c r="I840" s="876">
        <f>'REF. DE PREÇOS n editavel'!I840</f>
        <v>0</v>
      </c>
      <c r="J840" s="865">
        <f>'REF. DE PREÇOS n editavel'!J840</f>
        <v>0</v>
      </c>
      <c r="K840" s="878" t="str">
        <f>'REF. DE PREÇOS n editavel'!K840</f>
        <v xml:space="preserve">     </v>
      </c>
      <c r="L840" s="1092"/>
      <c r="M840" s="897">
        <f t="shared" si="103"/>
        <v>0</v>
      </c>
      <c r="N840" s="1122">
        <f t="shared" si="107"/>
        <v>0</v>
      </c>
      <c r="O840" s="1120"/>
      <c r="Q840" s="317" t="str">
        <f t="shared" si="104"/>
        <v/>
      </c>
      <c r="R840" s="317" t="str">
        <f t="shared" si="105"/>
        <v/>
      </c>
      <c r="S840" s="317" t="str">
        <f t="shared" si="106"/>
        <v/>
      </c>
      <c r="T840" s="317" t="str">
        <f>'REF. DE PREÇOS n editavel'!S840</f>
        <v/>
      </c>
      <c r="W840" s="577">
        <v>0</v>
      </c>
      <c r="X840" s="575"/>
      <c r="Y840" s="578">
        <f>IF('REF. DE PREÇOS n editavel'!W840=0,0,IF('REF. DE PREÇOS n editavel'!W840&gt;0,"c","b"))</f>
        <v>0</v>
      </c>
    </row>
    <row r="841" spans="1:25">
      <c r="A841" s="634" t="s">
        <v>165</v>
      </c>
      <c r="B841" s="1010" t="str">
        <f>'REF. DE PREÇOS n editavel'!B841</f>
        <v/>
      </c>
      <c r="C841" s="1045" t="str">
        <f>'REF. DE PREÇOS n editavel'!C841</f>
        <v/>
      </c>
      <c r="D841" s="1096">
        <f>'REF. DE PREÇOS n editavel'!D841</f>
        <v>0</v>
      </c>
      <c r="E841" s="882">
        <f>'REF. DE PREÇOS n editavel'!E841</f>
        <v>0</v>
      </c>
      <c r="F841" s="883">
        <f>'REF. DE PREÇOS n editavel'!F841</f>
        <v>0</v>
      </c>
      <c r="G841" s="887">
        <f>'REF. DE PREÇOS n editavel'!G841</f>
        <v>0</v>
      </c>
      <c r="H841" s="876">
        <f>'REF. DE PREÇOS n editavel'!H841</f>
        <v>0</v>
      </c>
      <c r="I841" s="876">
        <f>'REF. DE PREÇOS n editavel'!I841</f>
        <v>0</v>
      </c>
      <c r="J841" s="865">
        <f>'REF. DE PREÇOS n editavel'!J841</f>
        <v>0</v>
      </c>
      <c r="K841" s="878" t="str">
        <f>'REF. DE PREÇOS n editavel'!K841</f>
        <v xml:space="preserve">     </v>
      </c>
      <c r="L841" s="1092"/>
      <c r="M841" s="897">
        <f t="shared" si="103"/>
        <v>0</v>
      </c>
      <c r="N841" s="1122">
        <f t="shared" si="107"/>
        <v>0</v>
      </c>
      <c r="O841" s="1120"/>
      <c r="Q841" s="317" t="str">
        <f t="shared" si="104"/>
        <v/>
      </c>
      <c r="R841" s="317" t="str">
        <f t="shared" si="105"/>
        <v/>
      </c>
      <c r="S841" s="317" t="str">
        <f t="shared" si="106"/>
        <v/>
      </c>
      <c r="T841" s="317" t="str">
        <f>'REF. DE PREÇOS n editavel'!S841</f>
        <v/>
      </c>
      <c r="W841" s="577">
        <v>0</v>
      </c>
      <c r="X841" s="575"/>
      <c r="Y841" s="578">
        <f>IF('REF. DE PREÇOS n editavel'!W841=0,0,IF('REF. DE PREÇOS n editavel'!W841&gt;0,"c","b"))</f>
        <v>0</v>
      </c>
    </row>
    <row r="842" spans="1:25">
      <c r="A842" s="634" t="s">
        <v>165</v>
      </c>
      <c r="B842" s="1010" t="str">
        <f>'REF. DE PREÇOS n editavel'!B842</f>
        <v/>
      </c>
      <c r="C842" s="1045" t="str">
        <f>'REF. DE PREÇOS n editavel'!C842</f>
        <v/>
      </c>
      <c r="D842" s="1096">
        <f>'REF. DE PREÇOS n editavel'!D842</f>
        <v>0</v>
      </c>
      <c r="E842" s="882">
        <f>'REF. DE PREÇOS n editavel'!E842</f>
        <v>0</v>
      </c>
      <c r="F842" s="883">
        <f>'REF. DE PREÇOS n editavel'!F842</f>
        <v>0</v>
      </c>
      <c r="G842" s="887">
        <f>'REF. DE PREÇOS n editavel'!G842</f>
        <v>0</v>
      </c>
      <c r="H842" s="876">
        <f>'REF. DE PREÇOS n editavel'!H842</f>
        <v>0</v>
      </c>
      <c r="I842" s="876">
        <f>'REF. DE PREÇOS n editavel'!I842</f>
        <v>0</v>
      </c>
      <c r="J842" s="865">
        <f>'REF. DE PREÇOS n editavel'!J842</f>
        <v>0</v>
      </c>
      <c r="K842" s="878" t="str">
        <f>'REF. DE PREÇOS n editavel'!K842</f>
        <v xml:space="preserve">     </v>
      </c>
      <c r="L842" s="1092"/>
      <c r="M842" s="897">
        <f t="shared" si="103"/>
        <v>0</v>
      </c>
      <c r="N842" s="1122">
        <f t="shared" si="107"/>
        <v>0</v>
      </c>
      <c r="O842" s="1120"/>
      <c r="Q842" s="317" t="str">
        <f t="shared" si="104"/>
        <v/>
      </c>
      <c r="R842" s="317" t="str">
        <f t="shared" si="105"/>
        <v/>
      </c>
      <c r="S842" s="317" t="str">
        <f t="shared" si="106"/>
        <v/>
      </c>
      <c r="T842" s="317" t="str">
        <f>'REF. DE PREÇOS n editavel'!S842</f>
        <v/>
      </c>
      <c r="W842" s="577">
        <v>0</v>
      </c>
      <c r="X842" s="575"/>
      <c r="Y842" s="578">
        <f>IF('REF. DE PREÇOS n editavel'!W842=0,0,IF('REF. DE PREÇOS n editavel'!W842&gt;0,"c","b"))</f>
        <v>0</v>
      </c>
    </row>
    <row r="843" spans="1:25">
      <c r="A843" s="634" t="s">
        <v>165</v>
      </c>
      <c r="B843" s="1010" t="str">
        <f>'REF. DE PREÇOS n editavel'!B843</f>
        <v/>
      </c>
      <c r="C843" s="1045" t="str">
        <f>'REF. DE PREÇOS n editavel'!C843</f>
        <v/>
      </c>
      <c r="D843" s="1096">
        <f>'REF. DE PREÇOS n editavel'!D843</f>
        <v>0</v>
      </c>
      <c r="E843" s="882">
        <f>'REF. DE PREÇOS n editavel'!E843</f>
        <v>0</v>
      </c>
      <c r="F843" s="883">
        <f>'REF. DE PREÇOS n editavel'!F843</f>
        <v>0</v>
      </c>
      <c r="G843" s="887">
        <f>'REF. DE PREÇOS n editavel'!G843</f>
        <v>0</v>
      </c>
      <c r="H843" s="876">
        <f>'REF. DE PREÇOS n editavel'!H843</f>
        <v>0</v>
      </c>
      <c r="I843" s="876">
        <f>'REF. DE PREÇOS n editavel'!I843</f>
        <v>0</v>
      </c>
      <c r="J843" s="865">
        <f>'REF. DE PREÇOS n editavel'!J843</f>
        <v>0</v>
      </c>
      <c r="K843" s="878" t="str">
        <f>'REF. DE PREÇOS n editavel'!K843</f>
        <v xml:space="preserve">     </v>
      </c>
      <c r="L843" s="1092"/>
      <c r="M843" s="897">
        <f t="shared" si="103"/>
        <v>0</v>
      </c>
      <c r="N843" s="1122">
        <f t="shared" si="107"/>
        <v>0</v>
      </c>
      <c r="O843" s="1120"/>
      <c r="Q843" s="317" t="str">
        <f t="shared" si="104"/>
        <v/>
      </c>
      <c r="R843" s="317" t="str">
        <f t="shared" si="105"/>
        <v/>
      </c>
      <c r="S843" s="317" t="str">
        <f t="shared" si="106"/>
        <v/>
      </c>
      <c r="T843" s="317" t="str">
        <f>'REF. DE PREÇOS n editavel'!S843</f>
        <v/>
      </c>
      <c r="W843" s="577">
        <v>0</v>
      </c>
      <c r="X843" s="575"/>
      <c r="Y843" s="578">
        <f>IF('REF. DE PREÇOS n editavel'!W843=0,0,IF('REF. DE PREÇOS n editavel'!W843&gt;0,"c","b"))</f>
        <v>0</v>
      </c>
    </row>
    <row r="844" spans="1:25">
      <c r="A844" s="634" t="s">
        <v>165</v>
      </c>
      <c r="B844" s="1010" t="str">
        <f>'REF. DE PREÇOS n editavel'!B844</f>
        <v/>
      </c>
      <c r="C844" s="1045" t="str">
        <f>'REF. DE PREÇOS n editavel'!C844</f>
        <v/>
      </c>
      <c r="D844" s="1096">
        <f>'REF. DE PREÇOS n editavel'!D844</f>
        <v>0</v>
      </c>
      <c r="E844" s="882">
        <f>'REF. DE PREÇOS n editavel'!E844</f>
        <v>0</v>
      </c>
      <c r="F844" s="883">
        <f>'REF. DE PREÇOS n editavel'!F844</f>
        <v>0</v>
      </c>
      <c r="G844" s="887">
        <f>'REF. DE PREÇOS n editavel'!G844</f>
        <v>0</v>
      </c>
      <c r="H844" s="876">
        <f>'REF. DE PREÇOS n editavel'!H844</f>
        <v>0</v>
      </c>
      <c r="I844" s="876">
        <f>'REF. DE PREÇOS n editavel'!I844</f>
        <v>0</v>
      </c>
      <c r="J844" s="865">
        <f>'REF. DE PREÇOS n editavel'!J844</f>
        <v>0</v>
      </c>
      <c r="K844" s="878" t="str">
        <f>'REF. DE PREÇOS n editavel'!K844</f>
        <v xml:space="preserve">     </v>
      </c>
      <c r="L844" s="1092"/>
      <c r="M844" s="897">
        <f t="shared" si="103"/>
        <v>0</v>
      </c>
      <c r="N844" s="1122">
        <f t="shared" si="107"/>
        <v>0</v>
      </c>
      <c r="O844" s="1120"/>
      <c r="Q844" s="317" t="str">
        <f t="shared" si="104"/>
        <v/>
      </c>
      <c r="R844" s="317" t="str">
        <f t="shared" si="105"/>
        <v/>
      </c>
      <c r="S844" s="317" t="str">
        <f t="shared" si="106"/>
        <v/>
      </c>
      <c r="T844" s="317" t="str">
        <f>'REF. DE PREÇOS n editavel'!S844</f>
        <v/>
      </c>
      <c r="W844" s="577">
        <v>0</v>
      </c>
      <c r="X844" s="575"/>
      <c r="Y844" s="578">
        <f>IF('REF. DE PREÇOS n editavel'!W844=0,0,IF('REF. DE PREÇOS n editavel'!W844&gt;0,"c","b"))</f>
        <v>0</v>
      </c>
    </row>
    <row r="845" spans="1:25">
      <c r="A845" s="634" t="s">
        <v>165</v>
      </c>
      <c r="B845" s="1010" t="str">
        <f>'REF. DE PREÇOS n editavel'!B845</f>
        <v/>
      </c>
      <c r="C845" s="1045" t="str">
        <f>'REF. DE PREÇOS n editavel'!C845</f>
        <v/>
      </c>
      <c r="D845" s="1096">
        <f>'REF. DE PREÇOS n editavel'!D845</f>
        <v>0</v>
      </c>
      <c r="E845" s="882">
        <f>'REF. DE PREÇOS n editavel'!E845</f>
        <v>0</v>
      </c>
      <c r="F845" s="883">
        <f>'REF. DE PREÇOS n editavel'!F845</f>
        <v>0</v>
      </c>
      <c r="G845" s="887">
        <f>'REF. DE PREÇOS n editavel'!G845</f>
        <v>0</v>
      </c>
      <c r="H845" s="876">
        <f>'REF. DE PREÇOS n editavel'!H845</f>
        <v>0</v>
      </c>
      <c r="I845" s="876">
        <f>'REF. DE PREÇOS n editavel'!I845</f>
        <v>0</v>
      </c>
      <c r="J845" s="865">
        <f>'REF. DE PREÇOS n editavel'!J845</f>
        <v>0</v>
      </c>
      <c r="K845" s="878" t="str">
        <f>'REF. DE PREÇOS n editavel'!K845</f>
        <v xml:space="preserve">     </v>
      </c>
      <c r="L845" s="1092"/>
      <c r="M845" s="897">
        <f t="shared" si="103"/>
        <v>0</v>
      </c>
      <c r="N845" s="1122">
        <f t="shared" si="107"/>
        <v>0</v>
      </c>
      <c r="O845" s="1120"/>
      <c r="Q845" s="317" t="str">
        <f t="shared" si="104"/>
        <v/>
      </c>
      <c r="R845" s="317" t="str">
        <f t="shared" si="105"/>
        <v/>
      </c>
      <c r="S845" s="317" t="str">
        <f t="shared" si="106"/>
        <v/>
      </c>
      <c r="T845" s="317" t="str">
        <f>'REF. DE PREÇOS n editavel'!S845</f>
        <v/>
      </c>
      <c r="W845" s="577">
        <v>0</v>
      </c>
      <c r="X845" s="575"/>
      <c r="Y845" s="578">
        <f>IF('REF. DE PREÇOS n editavel'!W845=0,0,IF('REF. DE PREÇOS n editavel'!W845&gt;0,"c","b"))</f>
        <v>0</v>
      </c>
    </row>
    <row r="846" spans="1:25">
      <c r="A846" s="634" t="s">
        <v>165</v>
      </c>
      <c r="B846" s="1010" t="str">
        <f>'REF. DE PREÇOS n editavel'!B846</f>
        <v/>
      </c>
      <c r="C846" s="1045" t="str">
        <f>'REF. DE PREÇOS n editavel'!C846</f>
        <v/>
      </c>
      <c r="D846" s="1096">
        <f>'REF. DE PREÇOS n editavel'!D846</f>
        <v>0</v>
      </c>
      <c r="E846" s="882">
        <f>'REF. DE PREÇOS n editavel'!E846</f>
        <v>0</v>
      </c>
      <c r="F846" s="883">
        <f>'REF. DE PREÇOS n editavel'!F846</f>
        <v>0</v>
      </c>
      <c r="G846" s="887">
        <f>'REF. DE PREÇOS n editavel'!G846</f>
        <v>0</v>
      </c>
      <c r="H846" s="876">
        <f>'REF. DE PREÇOS n editavel'!H846</f>
        <v>0</v>
      </c>
      <c r="I846" s="876">
        <f>'REF. DE PREÇOS n editavel'!I846</f>
        <v>0</v>
      </c>
      <c r="J846" s="865">
        <f>'REF. DE PREÇOS n editavel'!J846</f>
        <v>0</v>
      </c>
      <c r="K846" s="878" t="str">
        <f>'REF. DE PREÇOS n editavel'!K846</f>
        <v xml:space="preserve">     </v>
      </c>
      <c r="L846" s="1092"/>
      <c r="M846" s="897">
        <f t="shared" si="103"/>
        <v>0</v>
      </c>
      <c r="N846" s="1122">
        <f t="shared" si="107"/>
        <v>0</v>
      </c>
      <c r="O846" s="1120"/>
      <c r="Q846" s="317" t="str">
        <f t="shared" si="104"/>
        <v/>
      </c>
      <c r="R846" s="317" t="str">
        <f t="shared" si="105"/>
        <v/>
      </c>
      <c r="S846" s="317" t="str">
        <f t="shared" si="106"/>
        <v/>
      </c>
      <c r="T846" s="317" t="str">
        <f>'REF. DE PREÇOS n editavel'!S846</f>
        <v/>
      </c>
      <c r="W846" s="577">
        <v>0</v>
      </c>
      <c r="X846" s="575"/>
      <c r="Y846" s="578">
        <f>IF('REF. DE PREÇOS n editavel'!W846=0,0,IF('REF. DE PREÇOS n editavel'!W846&gt;0,"c","b"))</f>
        <v>0</v>
      </c>
    </row>
    <row r="847" spans="1:25">
      <c r="A847" s="634" t="s">
        <v>165</v>
      </c>
      <c r="B847" s="1010" t="str">
        <f>'REF. DE PREÇOS n editavel'!B847</f>
        <v/>
      </c>
      <c r="C847" s="1045" t="str">
        <f>'REF. DE PREÇOS n editavel'!C847</f>
        <v/>
      </c>
      <c r="D847" s="1096">
        <f>'REF. DE PREÇOS n editavel'!D847</f>
        <v>0</v>
      </c>
      <c r="E847" s="882">
        <f>'REF. DE PREÇOS n editavel'!E847</f>
        <v>0</v>
      </c>
      <c r="F847" s="883">
        <f>'REF. DE PREÇOS n editavel'!F847</f>
        <v>0</v>
      </c>
      <c r="G847" s="887">
        <f>'REF. DE PREÇOS n editavel'!G847</f>
        <v>0</v>
      </c>
      <c r="H847" s="876">
        <f>'REF. DE PREÇOS n editavel'!H847</f>
        <v>0</v>
      </c>
      <c r="I847" s="876">
        <f>'REF. DE PREÇOS n editavel'!I847</f>
        <v>0</v>
      </c>
      <c r="J847" s="865">
        <f>'REF. DE PREÇOS n editavel'!J847</f>
        <v>0</v>
      </c>
      <c r="K847" s="878" t="str">
        <f>'REF. DE PREÇOS n editavel'!K847</f>
        <v xml:space="preserve">     </v>
      </c>
      <c r="L847" s="1092"/>
      <c r="M847" s="897">
        <f t="shared" si="103"/>
        <v>0</v>
      </c>
      <c r="N847" s="1122">
        <f t="shared" si="107"/>
        <v>0</v>
      </c>
      <c r="O847" s="1120"/>
      <c r="Q847" s="317" t="str">
        <f t="shared" si="104"/>
        <v/>
      </c>
      <c r="R847" s="317" t="str">
        <f t="shared" si="105"/>
        <v/>
      </c>
      <c r="S847" s="317" t="str">
        <f t="shared" si="106"/>
        <v/>
      </c>
      <c r="T847" s="317" t="str">
        <f>'REF. DE PREÇOS n editavel'!S847</f>
        <v/>
      </c>
      <c r="W847" s="577">
        <v>0</v>
      </c>
      <c r="X847" s="575"/>
      <c r="Y847" s="578">
        <f>IF('REF. DE PREÇOS n editavel'!W847=0,0,IF('REF. DE PREÇOS n editavel'!W847&gt;0,"c","b"))</f>
        <v>0</v>
      </c>
    </row>
    <row r="848" spans="1:25">
      <c r="A848" s="634" t="s">
        <v>165</v>
      </c>
      <c r="B848" s="1010" t="str">
        <f>'REF. DE PREÇOS n editavel'!B848</f>
        <v/>
      </c>
      <c r="C848" s="1045" t="str">
        <f>'REF. DE PREÇOS n editavel'!C848</f>
        <v/>
      </c>
      <c r="D848" s="1096">
        <f>'REF. DE PREÇOS n editavel'!D848</f>
        <v>0</v>
      </c>
      <c r="E848" s="882">
        <f>'REF. DE PREÇOS n editavel'!E848</f>
        <v>0</v>
      </c>
      <c r="F848" s="883">
        <f>'REF. DE PREÇOS n editavel'!F848</f>
        <v>0</v>
      </c>
      <c r="G848" s="887">
        <f>'REF. DE PREÇOS n editavel'!G848</f>
        <v>0</v>
      </c>
      <c r="H848" s="876">
        <f>'REF. DE PREÇOS n editavel'!H848</f>
        <v>0</v>
      </c>
      <c r="I848" s="876">
        <f>'REF. DE PREÇOS n editavel'!I848</f>
        <v>0</v>
      </c>
      <c r="J848" s="865">
        <f>'REF. DE PREÇOS n editavel'!J848</f>
        <v>0</v>
      </c>
      <c r="K848" s="878" t="str">
        <f>'REF. DE PREÇOS n editavel'!K848</f>
        <v xml:space="preserve">     </v>
      </c>
      <c r="L848" s="1092"/>
      <c r="M848" s="897">
        <f t="shared" si="103"/>
        <v>0</v>
      </c>
      <c r="N848" s="1122">
        <f t="shared" si="107"/>
        <v>0</v>
      </c>
      <c r="O848" s="1120"/>
      <c r="Q848" s="317" t="str">
        <f t="shared" si="104"/>
        <v/>
      </c>
      <c r="R848" s="317" t="str">
        <f t="shared" si="105"/>
        <v/>
      </c>
      <c r="S848" s="317" t="str">
        <f t="shared" si="106"/>
        <v/>
      </c>
      <c r="T848" s="317" t="str">
        <f>'REF. DE PREÇOS n editavel'!S848</f>
        <v/>
      </c>
      <c r="W848" s="577">
        <v>0</v>
      </c>
      <c r="X848" s="575"/>
      <c r="Y848" s="578">
        <f>IF('REF. DE PREÇOS n editavel'!W848=0,0,IF('REF. DE PREÇOS n editavel'!W848&gt;0,"c","b"))</f>
        <v>0</v>
      </c>
    </row>
    <row r="849" spans="1:25">
      <c r="A849" s="634" t="s">
        <v>165</v>
      </c>
      <c r="B849" s="1010" t="str">
        <f>'REF. DE PREÇOS n editavel'!B849</f>
        <v/>
      </c>
      <c r="C849" s="1045" t="str">
        <f>'REF. DE PREÇOS n editavel'!C849</f>
        <v/>
      </c>
      <c r="D849" s="1096">
        <f>'REF. DE PREÇOS n editavel'!D849</f>
        <v>0</v>
      </c>
      <c r="E849" s="882">
        <f>'REF. DE PREÇOS n editavel'!E849</f>
        <v>0</v>
      </c>
      <c r="F849" s="883">
        <f>'REF. DE PREÇOS n editavel'!F849</f>
        <v>0</v>
      </c>
      <c r="G849" s="887">
        <f>'REF. DE PREÇOS n editavel'!G849</f>
        <v>0</v>
      </c>
      <c r="H849" s="876">
        <f>'REF. DE PREÇOS n editavel'!H849</f>
        <v>0</v>
      </c>
      <c r="I849" s="876">
        <f>'REF. DE PREÇOS n editavel'!I849</f>
        <v>0</v>
      </c>
      <c r="J849" s="865">
        <f>'REF. DE PREÇOS n editavel'!J849</f>
        <v>0</v>
      </c>
      <c r="K849" s="878" t="str">
        <f>'REF. DE PREÇOS n editavel'!K849</f>
        <v xml:space="preserve">     </v>
      </c>
      <c r="L849" s="1092"/>
      <c r="M849" s="897">
        <f t="shared" si="103"/>
        <v>0</v>
      </c>
      <c r="N849" s="1122">
        <f t="shared" si="107"/>
        <v>0</v>
      </c>
      <c r="O849" s="1120"/>
      <c r="Q849" s="317" t="str">
        <f t="shared" si="104"/>
        <v/>
      </c>
      <c r="R849" s="317" t="str">
        <f t="shared" si="105"/>
        <v/>
      </c>
      <c r="S849" s="317" t="str">
        <f t="shared" si="106"/>
        <v/>
      </c>
      <c r="T849" s="317" t="str">
        <f>'REF. DE PREÇOS n editavel'!S849</f>
        <v/>
      </c>
      <c r="W849" s="577">
        <v>0</v>
      </c>
      <c r="X849" s="575"/>
      <c r="Y849" s="578">
        <f>IF('REF. DE PREÇOS n editavel'!W849=0,0,IF('REF. DE PREÇOS n editavel'!W849&gt;0,"c","b"))</f>
        <v>0</v>
      </c>
    </row>
    <row r="850" spans="1:25">
      <c r="A850" s="634" t="s">
        <v>165</v>
      </c>
      <c r="B850" s="1010" t="str">
        <f>'REF. DE PREÇOS n editavel'!B850</f>
        <v/>
      </c>
      <c r="C850" s="1045" t="str">
        <f>'REF. DE PREÇOS n editavel'!C850</f>
        <v/>
      </c>
      <c r="D850" s="1096">
        <f>'REF. DE PREÇOS n editavel'!D850</f>
        <v>0</v>
      </c>
      <c r="E850" s="882">
        <f>'REF. DE PREÇOS n editavel'!E850</f>
        <v>0</v>
      </c>
      <c r="F850" s="883">
        <f>'REF. DE PREÇOS n editavel'!F850</f>
        <v>0</v>
      </c>
      <c r="G850" s="887">
        <f>'REF. DE PREÇOS n editavel'!G850</f>
        <v>0</v>
      </c>
      <c r="H850" s="876">
        <f>'REF. DE PREÇOS n editavel'!H850</f>
        <v>0</v>
      </c>
      <c r="I850" s="876">
        <f>'REF. DE PREÇOS n editavel'!I850</f>
        <v>0</v>
      </c>
      <c r="J850" s="865">
        <f>'REF. DE PREÇOS n editavel'!J850</f>
        <v>0</v>
      </c>
      <c r="K850" s="878" t="str">
        <f>'REF. DE PREÇOS n editavel'!K850</f>
        <v xml:space="preserve">     </v>
      </c>
      <c r="L850" s="1092"/>
      <c r="M850" s="897">
        <f t="shared" si="103"/>
        <v>0</v>
      </c>
      <c r="N850" s="1122">
        <f t="shared" si="107"/>
        <v>0</v>
      </c>
      <c r="O850" s="1120"/>
      <c r="Q850" s="317" t="str">
        <f t="shared" si="104"/>
        <v/>
      </c>
      <c r="R850" s="317" t="str">
        <f t="shared" si="105"/>
        <v/>
      </c>
      <c r="S850" s="317" t="str">
        <f t="shared" si="106"/>
        <v/>
      </c>
      <c r="T850" s="317" t="str">
        <f>'REF. DE PREÇOS n editavel'!S850</f>
        <v/>
      </c>
      <c r="W850" s="577">
        <v>0</v>
      </c>
      <c r="X850" s="575"/>
      <c r="Y850" s="578">
        <f>IF('REF. DE PREÇOS n editavel'!W850=0,0,IF('REF. DE PREÇOS n editavel'!W850&gt;0,"c","b"))</f>
        <v>0</v>
      </c>
    </row>
    <row r="851" spans="1:25">
      <c r="A851" s="634" t="s">
        <v>165</v>
      </c>
      <c r="B851" s="1010" t="str">
        <f>'REF. DE PREÇOS n editavel'!B851</f>
        <v/>
      </c>
      <c r="C851" s="1045" t="str">
        <f>'REF. DE PREÇOS n editavel'!C851</f>
        <v/>
      </c>
      <c r="D851" s="1096">
        <f>'REF. DE PREÇOS n editavel'!D851</f>
        <v>0</v>
      </c>
      <c r="E851" s="882">
        <f>'REF. DE PREÇOS n editavel'!E851</f>
        <v>0</v>
      </c>
      <c r="F851" s="883">
        <f>'REF. DE PREÇOS n editavel'!F851</f>
        <v>0</v>
      </c>
      <c r="G851" s="887">
        <f>'REF. DE PREÇOS n editavel'!G851</f>
        <v>0</v>
      </c>
      <c r="H851" s="876">
        <f>'REF. DE PREÇOS n editavel'!H851</f>
        <v>0</v>
      </c>
      <c r="I851" s="876">
        <f>'REF. DE PREÇOS n editavel'!I851</f>
        <v>0</v>
      </c>
      <c r="J851" s="865">
        <f>'REF. DE PREÇOS n editavel'!J851</f>
        <v>0</v>
      </c>
      <c r="K851" s="878" t="str">
        <f>'REF. DE PREÇOS n editavel'!K851</f>
        <v xml:space="preserve">     </v>
      </c>
      <c r="L851" s="1092"/>
      <c r="M851" s="897">
        <f t="shared" si="103"/>
        <v>0</v>
      </c>
      <c r="N851" s="1122">
        <f t="shared" si="107"/>
        <v>0</v>
      </c>
      <c r="O851" s="1120"/>
      <c r="Q851" s="317" t="str">
        <f t="shared" si="104"/>
        <v/>
      </c>
      <c r="R851" s="317" t="str">
        <f t="shared" si="105"/>
        <v/>
      </c>
      <c r="S851" s="317" t="str">
        <f t="shared" si="106"/>
        <v/>
      </c>
      <c r="T851" s="317" t="str">
        <f>'REF. DE PREÇOS n editavel'!S851</f>
        <v/>
      </c>
      <c r="W851" s="577">
        <v>0</v>
      </c>
      <c r="X851" s="575"/>
      <c r="Y851" s="578">
        <f>IF('REF. DE PREÇOS n editavel'!W851=0,0,IF('REF. DE PREÇOS n editavel'!W851&gt;0,"c","b"))</f>
        <v>0</v>
      </c>
    </row>
    <row r="852" spans="1:25" ht="13.5" thickBot="1">
      <c r="A852" s="634" t="s">
        <v>165</v>
      </c>
      <c r="B852" s="1010" t="str">
        <f>'REF. DE PREÇOS n editavel'!B852</f>
        <v/>
      </c>
      <c r="C852" s="1045" t="str">
        <f>'REF. DE PREÇOS n editavel'!C852</f>
        <v/>
      </c>
      <c r="D852" s="1096">
        <f>'REF. DE PREÇOS n editavel'!D852</f>
        <v>0</v>
      </c>
      <c r="E852" s="882">
        <f>'REF. DE PREÇOS n editavel'!E852</f>
        <v>0</v>
      </c>
      <c r="F852" s="883">
        <f>'REF. DE PREÇOS n editavel'!F852</f>
        <v>0</v>
      </c>
      <c r="G852" s="887">
        <f>'REF. DE PREÇOS n editavel'!G852</f>
        <v>0</v>
      </c>
      <c r="H852" s="876">
        <f>'REF. DE PREÇOS n editavel'!H852</f>
        <v>0</v>
      </c>
      <c r="I852" s="876">
        <f>'REF. DE PREÇOS n editavel'!I852</f>
        <v>0</v>
      </c>
      <c r="J852" s="865">
        <f>'REF. DE PREÇOS n editavel'!J852</f>
        <v>0</v>
      </c>
      <c r="K852" s="878" t="str">
        <f>'REF. DE PREÇOS n editavel'!K852</f>
        <v xml:space="preserve">     </v>
      </c>
      <c r="L852" s="1092"/>
      <c r="M852" s="897">
        <f t="shared" si="103"/>
        <v>0</v>
      </c>
      <c r="N852" s="1122">
        <f t="shared" si="107"/>
        <v>0</v>
      </c>
      <c r="O852" s="1120"/>
      <c r="Q852" s="317" t="str">
        <f t="shared" si="104"/>
        <v/>
      </c>
      <c r="R852" s="317" t="str">
        <f t="shared" si="105"/>
        <v/>
      </c>
      <c r="S852" s="317" t="str">
        <f t="shared" si="106"/>
        <v/>
      </c>
      <c r="T852" s="317" t="str">
        <f>'REF. DE PREÇOS n editavel'!S852</f>
        <v/>
      </c>
      <c r="W852" s="577">
        <v>0</v>
      </c>
      <c r="X852" s="575"/>
      <c r="Y852" s="578">
        <f>IF('REF. DE PREÇOS n editavel'!W852=0,0,IF('REF. DE PREÇOS n editavel'!W852&gt;0,"c","b"))</f>
        <v>0</v>
      </c>
    </row>
    <row r="853" spans="1:25" ht="13.5" thickBot="1">
      <c r="A853" s="317" t="s">
        <v>417</v>
      </c>
      <c r="B853" s="924" t="s">
        <v>417</v>
      </c>
      <c r="C853" s="925"/>
      <c r="D853" s="926" t="s">
        <v>436</v>
      </c>
      <c r="E853" s="917">
        <f>'REF. DE PREÇOS n editavel'!E853</f>
        <v>0</v>
      </c>
      <c r="F853" s="851">
        <f>'REF. DE PREÇOS n editavel'!F853</f>
        <v>0</v>
      </c>
      <c r="G853" s="918"/>
      <c r="H853" s="919">
        <f>'REF. DE PREÇOS n editavel'!H853</f>
        <v>0</v>
      </c>
      <c r="I853" s="919">
        <f>'REF. DE PREÇOS n editavel'!I853</f>
        <v>0</v>
      </c>
      <c r="J853" s="919">
        <f>'REF. DE PREÇOS n editavel'!J853</f>
        <v>0</v>
      </c>
      <c r="K853" s="853" t="s">
        <v>506</v>
      </c>
      <c r="L853" s="854"/>
      <c r="M853" s="855"/>
      <c r="N853" s="856">
        <f t="shared" si="107"/>
        <v>0</v>
      </c>
      <c r="O853" s="857">
        <f>SUM(N854:N912)</f>
        <v>733766.36</v>
      </c>
      <c r="P853" s="58" t="str">
        <f>IF(OR(O853&gt;0,O853&gt;0),"X","")</f>
        <v>X</v>
      </c>
      <c r="Q853" s="317" t="str">
        <f t="shared" si="104"/>
        <v>x</v>
      </c>
      <c r="R853" s="317" t="str">
        <f t="shared" si="105"/>
        <v>x</v>
      </c>
      <c r="S853" s="317" t="str">
        <f t="shared" si="106"/>
        <v>x</v>
      </c>
      <c r="T853" s="317" t="str">
        <f>'REF. DE PREÇOS n editavel'!S853</f>
        <v>x</v>
      </c>
      <c r="W853" s="577">
        <v>0</v>
      </c>
      <c r="X853" s="575"/>
      <c r="Y853" s="578">
        <f>IF('REF. DE PREÇOS n editavel'!W853=0,0,IF('REF. DE PREÇOS n editavel'!W853&gt;0,"c","b"))</f>
        <v>0</v>
      </c>
    </row>
    <row r="854" spans="1:25">
      <c r="A854" s="317">
        <v>813000</v>
      </c>
      <c r="B854" s="870">
        <v>813000</v>
      </c>
      <c r="C854" s="871" t="s">
        <v>184</v>
      </c>
      <c r="D854" s="881" t="s">
        <v>532</v>
      </c>
      <c r="E854" s="882">
        <f>'REF. DE PREÇOS n editavel'!E854</f>
        <v>0</v>
      </c>
      <c r="F854" s="883">
        <f>'REF. DE PREÇOS n editavel'!F854</f>
        <v>0</v>
      </c>
      <c r="G854" s="887">
        <f>'REF. DE PREÇOS n editavel'!G854</f>
        <v>35.314069300000007</v>
      </c>
      <c r="H854" s="876">
        <f>'REF. DE PREÇOS n editavel'!H854</f>
        <v>102.37</v>
      </c>
      <c r="I854" s="876">
        <f>'REF. DE PREÇOS n editavel'!I854</f>
        <v>137.6840693</v>
      </c>
      <c r="J854" s="877">
        <f>'REF. DE PREÇOS n editavel'!J854</f>
        <v>168.28</v>
      </c>
      <c r="K854" s="878" t="s">
        <v>13</v>
      </c>
      <c r="L854" s="1092"/>
      <c r="M854" s="1093">
        <f t="shared" ref="M854:M911" si="108">IF(L854=0,0,ROUND(J854,2))</f>
        <v>0</v>
      </c>
      <c r="N854" s="868">
        <f t="shared" si="107"/>
        <v>0</v>
      </c>
      <c r="O854" s="880"/>
      <c r="Q854" s="317" t="str">
        <f t="shared" si="104"/>
        <v/>
      </c>
      <c r="R854" s="317" t="str">
        <f t="shared" si="105"/>
        <v/>
      </c>
      <c r="S854" s="317" t="str">
        <f t="shared" si="106"/>
        <v/>
      </c>
      <c r="T854" s="317" t="str">
        <f>'REF. DE PREÇOS n editavel'!S854</f>
        <v/>
      </c>
      <c r="W854" s="577">
        <v>0</v>
      </c>
      <c r="X854" s="575"/>
      <c r="Y854" s="578">
        <f>IF('REF. DE PREÇOS n editavel'!W854=0,0,IF('REF. DE PREÇOS n editavel'!W854&gt;0,"c","b"))</f>
        <v>0</v>
      </c>
    </row>
    <row r="855" spans="1:25">
      <c r="A855" s="317" t="s">
        <v>147</v>
      </c>
      <c r="B855" s="870" t="s">
        <v>147</v>
      </c>
      <c r="C855" s="871"/>
      <c r="D855" s="931" t="s">
        <v>190</v>
      </c>
      <c r="E855" s="882">
        <f>'REF. DE PREÇOS n editavel'!E855</f>
        <v>445</v>
      </c>
      <c r="F855" s="883">
        <f>'REF. DE PREÇOS n editavel'!F855</f>
        <v>1.7600000000000001E-2</v>
      </c>
      <c r="G855" s="884">
        <f>'REF. DE PREÇOS n editavel'!G855</f>
        <v>6.2465920000000006</v>
      </c>
      <c r="H855" s="876">
        <f>'REF. DE PREÇOS n editavel'!H855</f>
        <v>0</v>
      </c>
      <c r="I855" s="876">
        <f>'REF. DE PREÇOS n editavel'!I855</f>
        <v>0</v>
      </c>
      <c r="J855" s="877">
        <f>'REF. DE PREÇOS n editavel'!J855</f>
        <v>0</v>
      </c>
      <c r="K855" s="932" t="s">
        <v>506</v>
      </c>
      <c r="L855" s="933"/>
      <c r="M855" s="1112">
        <f t="shared" si="108"/>
        <v>0</v>
      </c>
      <c r="N855" s="868">
        <f t="shared" si="107"/>
        <v>0</v>
      </c>
      <c r="O855" s="880"/>
      <c r="P855" s="58" t="str">
        <f>IF(N854&gt;0,"xx",IF(N854&gt;0,"xy",""))</f>
        <v/>
      </c>
      <c r="Q855" s="317" t="str">
        <f t="shared" si="104"/>
        <v/>
      </c>
      <c r="R855" s="317" t="str">
        <f t="shared" si="105"/>
        <v/>
      </c>
      <c r="S855" s="317" t="str">
        <f t="shared" si="106"/>
        <v/>
      </c>
      <c r="T855" s="317" t="str">
        <f>'REF. DE PREÇOS n editavel'!S855</f>
        <v/>
      </c>
      <c r="W855" s="577">
        <v>0</v>
      </c>
      <c r="X855" s="575"/>
      <c r="Y855" s="578">
        <f>IF('REF. DE PREÇOS n editavel'!W855=0,0,IF('REF. DE PREÇOS n editavel'!W855&gt;0,"c","b"))</f>
        <v>0</v>
      </c>
    </row>
    <row r="856" spans="1:25">
      <c r="A856" s="317" t="s">
        <v>147</v>
      </c>
      <c r="B856" s="870" t="s">
        <v>147</v>
      </c>
      <c r="C856" s="871"/>
      <c r="D856" s="931" t="s">
        <v>229</v>
      </c>
      <c r="E856" s="882">
        <f>'REF. DE PREÇOS n editavel'!E856</f>
        <v>290</v>
      </c>
      <c r="F856" s="883">
        <f>'REF. DE PREÇOS n editavel'!F856</f>
        <v>7.3400000000000007E-2</v>
      </c>
      <c r="G856" s="923">
        <f>'REF. DE PREÇOS n editavel'!G856</f>
        <v>22.972732000000004</v>
      </c>
      <c r="H856" s="876">
        <f>'REF. DE PREÇOS n editavel'!H856</f>
        <v>0</v>
      </c>
      <c r="I856" s="876">
        <f>'REF. DE PREÇOS n editavel'!I856</f>
        <v>0</v>
      </c>
      <c r="J856" s="877">
        <f>'REF. DE PREÇOS n editavel'!J856</f>
        <v>0</v>
      </c>
      <c r="K856" s="932" t="s">
        <v>506</v>
      </c>
      <c r="L856" s="933"/>
      <c r="M856" s="1112">
        <f t="shared" si="108"/>
        <v>0</v>
      </c>
      <c r="N856" s="868">
        <f t="shared" si="107"/>
        <v>0</v>
      </c>
      <c r="O856" s="880"/>
      <c r="P856" s="58" t="str">
        <f>IF(N854&gt;0,"xx",IF(N854&gt;0,"xy",""))</f>
        <v/>
      </c>
      <c r="Q856" s="317" t="str">
        <f t="shared" si="104"/>
        <v/>
      </c>
      <c r="R856" s="317" t="str">
        <f t="shared" si="105"/>
        <v/>
      </c>
      <c r="S856" s="317" t="str">
        <f t="shared" si="106"/>
        <v/>
      </c>
      <c r="T856" s="317" t="str">
        <f>'REF. DE PREÇOS n editavel'!S856</f>
        <v/>
      </c>
      <c r="W856" s="577">
        <v>0</v>
      </c>
      <c r="X856" s="575"/>
      <c r="Y856" s="578">
        <f>IF('REF. DE PREÇOS n editavel'!W856=0,0,IF('REF. DE PREÇOS n editavel'!W856&gt;0,"c","b"))</f>
        <v>0</v>
      </c>
    </row>
    <row r="857" spans="1:25">
      <c r="A857" s="317" t="s">
        <v>147</v>
      </c>
      <c r="B857" s="870" t="s">
        <v>147</v>
      </c>
      <c r="C857" s="871"/>
      <c r="D857" s="931" t="s">
        <v>233</v>
      </c>
      <c r="E857" s="882">
        <f>'REF. DE PREÇOS n editavel'!E857</f>
        <v>43.1</v>
      </c>
      <c r="F857" s="883">
        <f>'REF. DE PREÇOS n editavel'!F857</f>
        <v>0.1249</v>
      </c>
      <c r="G857" s="923">
        <f>'REF. DE PREÇOS n editavel'!G857</f>
        <v>6.0947453000000005</v>
      </c>
      <c r="H857" s="876">
        <f>'REF. DE PREÇOS n editavel'!H857</f>
        <v>0</v>
      </c>
      <c r="I857" s="876">
        <f>'REF. DE PREÇOS n editavel'!I857</f>
        <v>0</v>
      </c>
      <c r="J857" s="877">
        <f>'REF. DE PREÇOS n editavel'!J857</f>
        <v>0</v>
      </c>
      <c r="K857" s="932" t="s">
        <v>506</v>
      </c>
      <c r="L857" s="933"/>
      <c r="M857" s="1112">
        <f t="shared" si="108"/>
        <v>0</v>
      </c>
      <c r="N857" s="868">
        <f t="shared" si="107"/>
        <v>0</v>
      </c>
      <c r="O857" s="880"/>
      <c r="P857" s="58" t="str">
        <f>IF(N854&gt;0,"xx",IF(N854&gt;0,"xy",""))</f>
        <v/>
      </c>
      <c r="Q857" s="317" t="str">
        <f t="shared" si="104"/>
        <v/>
      </c>
      <c r="R857" s="317" t="str">
        <f t="shared" si="105"/>
        <v/>
      </c>
      <c r="S857" s="317" t="str">
        <f t="shared" si="106"/>
        <v/>
      </c>
      <c r="T857" s="317" t="str">
        <f>'REF. DE PREÇOS n editavel'!S857</f>
        <v/>
      </c>
      <c r="W857" s="577">
        <v>0</v>
      </c>
      <c r="X857" s="575"/>
      <c r="Y857" s="578">
        <f>IF('REF. DE PREÇOS n editavel'!W857=0,0,IF('REF. DE PREÇOS n editavel'!W857&gt;0,"c","b"))</f>
        <v>0</v>
      </c>
    </row>
    <row r="858" spans="1:25">
      <c r="A858" s="317">
        <v>814000</v>
      </c>
      <c r="B858" s="870">
        <v>814000</v>
      </c>
      <c r="C858" s="871" t="s">
        <v>184</v>
      </c>
      <c r="D858" s="881" t="s">
        <v>533</v>
      </c>
      <c r="E858" s="882">
        <f>'REF. DE PREÇOS n editavel'!E858</f>
        <v>0</v>
      </c>
      <c r="F858" s="883">
        <f>'REF. DE PREÇOS n editavel'!F858</f>
        <v>0</v>
      </c>
      <c r="G858" s="887">
        <f>'REF. DE PREÇOS n editavel'!G858</f>
        <v>35.314069300000007</v>
      </c>
      <c r="H858" s="876">
        <f>'REF. DE PREÇOS n editavel'!H858</f>
        <v>101.06</v>
      </c>
      <c r="I858" s="876">
        <f>'REF. DE PREÇOS n editavel'!I858</f>
        <v>136.3740693</v>
      </c>
      <c r="J858" s="877">
        <f>'REF. DE PREÇOS n editavel'!J858</f>
        <v>166.68</v>
      </c>
      <c r="K858" s="878" t="s">
        <v>13</v>
      </c>
      <c r="L858" s="1092"/>
      <c r="M858" s="1093">
        <f t="shared" si="108"/>
        <v>0</v>
      </c>
      <c r="N858" s="868">
        <f t="shared" si="107"/>
        <v>0</v>
      </c>
      <c r="O858" s="880"/>
      <c r="Q858" s="317" t="str">
        <f t="shared" si="104"/>
        <v/>
      </c>
      <c r="R858" s="317" t="str">
        <f t="shared" si="105"/>
        <v/>
      </c>
      <c r="S858" s="317" t="str">
        <f t="shared" si="106"/>
        <v/>
      </c>
      <c r="T858" s="317" t="str">
        <f>'REF. DE PREÇOS n editavel'!S858</f>
        <v/>
      </c>
      <c r="W858" s="577">
        <v>0</v>
      </c>
      <c r="X858" s="575"/>
      <c r="Y858" s="578">
        <f>IF('REF. DE PREÇOS n editavel'!W858=0,0,IF('REF. DE PREÇOS n editavel'!W858&gt;0,"c","b"))</f>
        <v>0</v>
      </c>
    </row>
    <row r="859" spans="1:25">
      <c r="A859" s="317" t="s">
        <v>147</v>
      </c>
      <c r="B859" s="870" t="s">
        <v>147</v>
      </c>
      <c r="C859" s="871"/>
      <c r="D859" s="931" t="s">
        <v>190</v>
      </c>
      <c r="E859" s="882">
        <f>'REF. DE PREÇOS n editavel'!E859</f>
        <v>445</v>
      </c>
      <c r="F859" s="883">
        <f>'REF. DE PREÇOS n editavel'!F859</f>
        <v>1.7600000000000001E-2</v>
      </c>
      <c r="G859" s="884">
        <f>'REF. DE PREÇOS n editavel'!G859</f>
        <v>6.2465920000000006</v>
      </c>
      <c r="H859" s="876">
        <f>'REF. DE PREÇOS n editavel'!H859</f>
        <v>0</v>
      </c>
      <c r="I859" s="876">
        <f>'REF. DE PREÇOS n editavel'!I859</f>
        <v>0</v>
      </c>
      <c r="J859" s="877">
        <f>'REF. DE PREÇOS n editavel'!J859</f>
        <v>0</v>
      </c>
      <c r="K859" s="932" t="s">
        <v>506</v>
      </c>
      <c r="L859" s="933"/>
      <c r="M859" s="1112">
        <f t="shared" si="108"/>
        <v>0</v>
      </c>
      <c r="N859" s="868">
        <f t="shared" si="107"/>
        <v>0</v>
      </c>
      <c r="O859" s="880"/>
      <c r="P859" s="58" t="str">
        <f>IF(N858&gt;0,"xx",IF(N858&gt;0,"xy",""))</f>
        <v/>
      </c>
      <c r="Q859" s="317" t="str">
        <f t="shared" ref="Q859:Q913" si="109">IF(P859="X","x",IF(P859="xx","x",IF(P859="xy","x",IF(P859="y","x",IF(OR(N859&gt;0,N859&gt;0),"x","")))))</f>
        <v/>
      </c>
      <c r="R859" s="317" t="str">
        <f t="shared" si="105"/>
        <v/>
      </c>
      <c r="S859" s="317" t="str">
        <f t="shared" si="106"/>
        <v/>
      </c>
      <c r="T859" s="317" t="str">
        <f>'REF. DE PREÇOS n editavel'!S859</f>
        <v/>
      </c>
      <c r="W859" s="577">
        <v>0</v>
      </c>
      <c r="X859" s="575"/>
      <c r="Y859" s="578">
        <f>IF('REF. DE PREÇOS n editavel'!W859=0,0,IF('REF. DE PREÇOS n editavel'!W859&gt;0,"c","b"))</f>
        <v>0</v>
      </c>
    </row>
    <row r="860" spans="1:25">
      <c r="A860" s="317" t="s">
        <v>147</v>
      </c>
      <c r="B860" s="870" t="s">
        <v>147</v>
      </c>
      <c r="C860" s="871"/>
      <c r="D860" s="931" t="s">
        <v>229</v>
      </c>
      <c r="E860" s="882">
        <f>'REF. DE PREÇOS n editavel'!E860</f>
        <v>290</v>
      </c>
      <c r="F860" s="883">
        <f>'REF. DE PREÇOS n editavel'!F860</f>
        <v>7.3400000000000007E-2</v>
      </c>
      <c r="G860" s="923">
        <f>'REF. DE PREÇOS n editavel'!G860</f>
        <v>22.972732000000004</v>
      </c>
      <c r="H860" s="876">
        <f>'REF. DE PREÇOS n editavel'!H860</f>
        <v>0</v>
      </c>
      <c r="I860" s="876">
        <f>'REF. DE PREÇOS n editavel'!I860</f>
        <v>0</v>
      </c>
      <c r="J860" s="877">
        <f>'REF. DE PREÇOS n editavel'!J860</f>
        <v>0</v>
      </c>
      <c r="K860" s="932" t="s">
        <v>506</v>
      </c>
      <c r="L860" s="933"/>
      <c r="M860" s="1112">
        <f t="shared" si="108"/>
        <v>0</v>
      </c>
      <c r="N860" s="868">
        <f t="shared" si="107"/>
        <v>0</v>
      </c>
      <c r="O860" s="880"/>
      <c r="P860" s="58" t="str">
        <f>IF(N858&gt;0,"xx",IF(N858&gt;0,"xy",""))</f>
        <v/>
      </c>
      <c r="Q860" s="317" t="str">
        <f t="shared" si="109"/>
        <v/>
      </c>
      <c r="R860" s="317" t="str">
        <f t="shared" si="105"/>
        <v/>
      </c>
      <c r="S860" s="317" t="str">
        <f t="shared" si="106"/>
        <v/>
      </c>
      <c r="T860" s="317" t="str">
        <f>'REF. DE PREÇOS n editavel'!S860</f>
        <v/>
      </c>
      <c r="W860" s="577">
        <v>0</v>
      </c>
      <c r="X860" s="575"/>
      <c r="Y860" s="578">
        <f>IF('REF. DE PREÇOS n editavel'!W860=0,0,IF('REF. DE PREÇOS n editavel'!W860&gt;0,"c","b"))</f>
        <v>0</v>
      </c>
    </row>
    <row r="861" spans="1:25">
      <c r="A861" s="317" t="s">
        <v>147</v>
      </c>
      <c r="B861" s="870" t="s">
        <v>147</v>
      </c>
      <c r="C861" s="871"/>
      <c r="D861" s="931" t="s">
        <v>233</v>
      </c>
      <c r="E861" s="882">
        <f>'REF. DE PREÇOS n editavel'!E861</f>
        <v>43.1</v>
      </c>
      <c r="F861" s="883">
        <f>'REF. DE PREÇOS n editavel'!F861</f>
        <v>0.1249</v>
      </c>
      <c r="G861" s="923">
        <f>'REF. DE PREÇOS n editavel'!G861</f>
        <v>6.0947453000000005</v>
      </c>
      <c r="H861" s="876">
        <f>'REF. DE PREÇOS n editavel'!H861</f>
        <v>0</v>
      </c>
      <c r="I861" s="876">
        <f>'REF. DE PREÇOS n editavel'!I861</f>
        <v>0</v>
      </c>
      <c r="J861" s="877">
        <f>'REF. DE PREÇOS n editavel'!J861</f>
        <v>0</v>
      </c>
      <c r="K861" s="932" t="s">
        <v>506</v>
      </c>
      <c r="L861" s="933"/>
      <c r="M861" s="1112">
        <f t="shared" si="108"/>
        <v>0</v>
      </c>
      <c r="N861" s="868">
        <f t="shared" si="107"/>
        <v>0</v>
      </c>
      <c r="O861" s="880"/>
      <c r="P861" s="58" t="str">
        <f>IF(N858&gt;0,"xx",IF(N858&gt;0,"xy",""))</f>
        <v/>
      </c>
      <c r="Q861" s="317" t="str">
        <f t="shared" si="109"/>
        <v/>
      </c>
      <c r="R861" s="317" t="str">
        <f t="shared" ref="R861:R913" si="110">IF(P861="X","x",IF(P861="y","x",IF(P861="xx","x",IF(N861&gt;0,"x",""))))</f>
        <v/>
      </c>
      <c r="S861" s="317" t="str">
        <f t="shared" ref="S861:S913" si="111">IF(P861="X","x",IF(N861&gt;0,"x",""))</f>
        <v/>
      </c>
      <c r="T861" s="317" t="str">
        <f>'REF. DE PREÇOS n editavel'!S861</f>
        <v/>
      </c>
      <c r="W861" s="577">
        <v>0</v>
      </c>
      <c r="X861" s="575"/>
      <c r="Y861" s="578">
        <f>IF('REF. DE PREÇOS n editavel'!W861=0,0,IF('REF. DE PREÇOS n editavel'!W861&gt;0,"c","b"))</f>
        <v>0</v>
      </c>
    </row>
    <row r="862" spans="1:25">
      <c r="A862" s="317">
        <v>823000</v>
      </c>
      <c r="B862" s="870" t="s">
        <v>1772</v>
      </c>
      <c r="C862" s="871" t="s">
        <v>184</v>
      </c>
      <c r="D862" s="881" t="s">
        <v>267</v>
      </c>
      <c r="E862" s="882">
        <f>'REF. DE PREÇOS n editavel'!E862</f>
        <v>0</v>
      </c>
      <c r="F862" s="883">
        <f>'REF. DE PREÇOS n editavel'!F862</f>
        <v>0</v>
      </c>
      <c r="G862" s="887">
        <f>'REF. DE PREÇOS n editavel'!G862</f>
        <v>0</v>
      </c>
      <c r="H862" s="876">
        <f>'REF. DE PREÇOS n editavel'!H862</f>
        <v>490.71</v>
      </c>
      <c r="I862" s="876">
        <f>'REF. DE PREÇOS n editavel'!I862</f>
        <v>490.71</v>
      </c>
      <c r="J862" s="877">
        <f>'REF. DE PREÇOS n editavel'!J862</f>
        <v>599.75</v>
      </c>
      <c r="K862" s="878" t="s">
        <v>13</v>
      </c>
      <c r="L862" s="1092"/>
      <c r="M862" s="1093">
        <f t="shared" si="108"/>
        <v>0</v>
      </c>
      <c r="N862" s="868">
        <f t="shared" si="107"/>
        <v>0</v>
      </c>
      <c r="O862" s="880"/>
      <c r="Q862" s="317" t="str">
        <f t="shared" si="109"/>
        <v/>
      </c>
      <c r="R862" s="317" t="str">
        <f t="shared" si="110"/>
        <v/>
      </c>
      <c r="S862" s="317" t="str">
        <f t="shared" si="111"/>
        <v/>
      </c>
      <c r="T862" s="317" t="str">
        <f>'REF. DE PREÇOS n editavel'!S862</f>
        <v/>
      </c>
      <c r="W862" s="577">
        <v>0</v>
      </c>
      <c r="X862" s="575"/>
      <c r="Y862" s="578">
        <f>IF('REF. DE PREÇOS n editavel'!W862=0,0,IF('REF. DE PREÇOS n editavel'!W862&gt;0,"c","b"))</f>
        <v>0</v>
      </c>
    </row>
    <row r="863" spans="1:25">
      <c r="A863" s="317">
        <v>871000</v>
      </c>
      <c r="B863" s="870">
        <v>871000</v>
      </c>
      <c r="C863" s="871" t="s">
        <v>184</v>
      </c>
      <c r="D863" s="881" t="s">
        <v>462</v>
      </c>
      <c r="E863" s="882">
        <f>'REF. DE PREÇOS n editavel'!E863</f>
        <v>0</v>
      </c>
      <c r="F863" s="883">
        <f>'REF. DE PREÇOS n editavel'!F863</f>
        <v>0</v>
      </c>
      <c r="G863" s="887">
        <f>'REF. DE PREÇOS n editavel'!G863</f>
        <v>0</v>
      </c>
      <c r="H863" s="876">
        <f>'REF. DE PREÇOS n editavel'!H863</f>
        <v>18.28</v>
      </c>
      <c r="I863" s="876">
        <f>'REF. DE PREÇOS n editavel'!I863</f>
        <v>18.28</v>
      </c>
      <c r="J863" s="877">
        <f>'REF. DE PREÇOS n editavel'!J863</f>
        <v>22.34</v>
      </c>
      <c r="K863" s="878" t="s">
        <v>15</v>
      </c>
      <c r="L863" s="1092"/>
      <c r="M863" s="1093">
        <f t="shared" si="108"/>
        <v>0</v>
      </c>
      <c r="N863" s="868">
        <f t="shared" si="107"/>
        <v>0</v>
      </c>
      <c r="O863" s="880"/>
      <c r="Q863" s="317" t="str">
        <f t="shared" si="109"/>
        <v/>
      </c>
      <c r="R863" s="317" t="str">
        <f t="shared" si="110"/>
        <v/>
      </c>
      <c r="S863" s="317" t="str">
        <f t="shared" si="111"/>
        <v/>
      </c>
      <c r="T863" s="317" t="str">
        <f>'REF. DE PREÇOS n editavel'!S863</f>
        <v/>
      </c>
      <c r="W863" s="577">
        <v>0</v>
      </c>
      <c r="X863" s="575"/>
      <c r="Y863" s="578">
        <f>IF('REF. DE PREÇOS n editavel'!W863=0,0,IF('REF. DE PREÇOS n editavel'!W863&gt;0,"c","b"))</f>
        <v>0</v>
      </c>
    </row>
    <row r="864" spans="1:25">
      <c r="A864" s="317">
        <v>870000</v>
      </c>
      <c r="B864" s="870">
        <v>870000</v>
      </c>
      <c r="C864" s="871" t="s">
        <v>184</v>
      </c>
      <c r="D864" s="881" t="s">
        <v>463</v>
      </c>
      <c r="E864" s="882">
        <f>'REF. DE PREÇOS n editavel'!E864</f>
        <v>0</v>
      </c>
      <c r="F864" s="883">
        <f>'REF. DE PREÇOS n editavel'!F864</f>
        <v>0</v>
      </c>
      <c r="G864" s="887">
        <f>'REF. DE PREÇOS n editavel'!G864</f>
        <v>0</v>
      </c>
      <c r="H864" s="876">
        <f>'REF. DE PREÇOS n editavel'!H864</f>
        <v>17.63</v>
      </c>
      <c r="I864" s="876">
        <f>'REF. DE PREÇOS n editavel'!I864</f>
        <v>17.63</v>
      </c>
      <c r="J864" s="877">
        <f>'REF. DE PREÇOS n editavel'!J864</f>
        <v>21.55</v>
      </c>
      <c r="K864" s="878" t="s">
        <v>15</v>
      </c>
      <c r="L864" s="1092"/>
      <c r="M864" s="1093">
        <f t="shared" si="108"/>
        <v>0</v>
      </c>
      <c r="N864" s="868">
        <f t="shared" si="107"/>
        <v>0</v>
      </c>
      <c r="O864" s="880"/>
      <c r="Q864" s="317" t="str">
        <f t="shared" si="109"/>
        <v/>
      </c>
      <c r="R864" s="317" t="str">
        <f t="shared" si="110"/>
        <v/>
      </c>
      <c r="S864" s="317" t="str">
        <f t="shared" si="111"/>
        <v/>
      </c>
      <c r="T864" s="317" t="str">
        <f>'REF. DE PREÇOS n editavel'!S864</f>
        <v/>
      </c>
      <c r="W864" s="577">
        <v>0</v>
      </c>
      <c r="X864" s="575"/>
      <c r="Y864" s="578">
        <f>IF('REF. DE PREÇOS n editavel'!W864=0,0,IF('REF. DE PREÇOS n editavel'!W864&gt;0,"c","b"))</f>
        <v>0</v>
      </c>
    </row>
    <row r="865" spans="1:25">
      <c r="A865" s="317">
        <v>873000</v>
      </c>
      <c r="B865" s="870">
        <v>873000</v>
      </c>
      <c r="C865" s="871" t="s">
        <v>184</v>
      </c>
      <c r="D865" s="881" t="s">
        <v>464</v>
      </c>
      <c r="E865" s="882">
        <f>'REF. DE PREÇOS n editavel'!E865</f>
        <v>0</v>
      </c>
      <c r="F865" s="883">
        <f>'REF. DE PREÇOS n editavel'!F865</f>
        <v>0</v>
      </c>
      <c r="G865" s="887">
        <f>'REF. DE PREÇOS n editavel'!G865</f>
        <v>0</v>
      </c>
      <c r="H865" s="876">
        <f>'REF. DE PREÇOS n editavel'!H865</f>
        <v>31.82</v>
      </c>
      <c r="I865" s="876">
        <f>'REF. DE PREÇOS n editavel'!I865</f>
        <v>31.82</v>
      </c>
      <c r="J865" s="877">
        <f>'REF. DE PREÇOS n editavel'!J865</f>
        <v>38.89</v>
      </c>
      <c r="K865" s="878" t="s">
        <v>15</v>
      </c>
      <c r="L865" s="1092">
        <v>2200</v>
      </c>
      <c r="M865" s="1093">
        <f t="shared" si="108"/>
        <v>38.89</v>
      </c>
      <c r="N865" s="868">
        <f t="shared" ref="N865:N913" si="112">IF(ISBLANK(L865),0,IF(W865=0,ROUND(L865*M865,2),IF(W865="b",ROUNDDOWN(L865*M865,2),ROUNDUP(L865*M865,2))))</f>
        <v>85558</v>
      </c>
      <c r="O865" s="880"/>
      <c r="Q865" s="317" t="str">
        <f t="shared" si="109"/>
        <v>x</v>
      </c>
      <c r="R865" s="317" t="str">
        <f t="shared" si="110"/>
        <v>x</v>
      </c>
      <c r="S865" s="317" t="str">
        <f t="shared" si="111"/>
        <v>x</v>
      </c>
      <c r="T865" s="317" t="str">
        <f>'REF. DE PREÇOS n editavel'!S865</f>
        <v>x</v>
      </c>
      <c r="W865" s="577">
        <v>0</v>
      </c>
      <c r="X865" s="575"/>
      <c r="Y865" s="578">
        <f>IF('REF. DE PREÇOS n editavel'!W865=0,0,IF('REF. DE PREÇOS n editavel'!W865&gt;0,"c","b"))</f>
        <v>0</v>
      </c>
    </row>
    <row r="866" spans="1:25">
      <c r="A866" s="317">
        <v>872000</v>
      </c>
      <c r="B866" s="870">
        <v>872000</v>
      </c>
      <c r="C866" s="871" t="s">
        <v>184</v>
      </c>
      <c r="D866" s="881" t="s">
        <v>465</v>
      </c>
      <c r="E866" s="882">
        <f>'REF. DE PREÇOS n editavel'!E866</f>
        <v>0</v>
      </c>
      <c r="F866" s="883">
        <f>'REF. DE PREÇOS n editavel'!F866</f>
        <v>0</v>
      </c>
      <c r="G866" s="887">
        <f>'REF. DE PREÇOS n editavel'!G866</f>
        <v>0</v>
      </c>
      <c r="H866" s="876">
        <f>'REF. DE PREÇOS n editavel'!H866</f>
        <v>31.05</v>
      </c>
      <c r="I866" s="876">
        <f>'REF. DE PREÇOS n editavel'!I866</f>
        <v>31.05</v>
      </c>
      <c r="J866" s="877">
        <f>'REF. DE PREÇOS n editavel'!J866</f>
        <v>37.950000000000003</v>
      </c>
      <c r="K866" s="878" t="s">
        <v>15</v>
      </c>
      <c r="L866" s="1092"/>
      <c r="M866" s="1093">
        <f t="shared" si="108"/>
        <v>0</v>
      </c>
      <c r="N866" s="868">
        <f t="shared" si="112"/>
        <v>0</v>
      </c>
      <c r="O866" s="880"/>
      <c r="Q866" s="317" t="str">
        <f t="shared" si="109"/>
        <v/>
      </c>
      <c r="R866" s="317" t="str">
        <f t="shared" si="110"/>
        <v/>
      </c>
      <c r="S866" s="317" t="str">
        <f t="shared" si="111"/>
        <v/>
      </c>
      <c r="T866" s="317" t="str">
        <f>'REF. DE PREÇOS n editavel'!S866</f>
        <v/>
      </c>
      <c r="W866" s="577">
        <v>0</v>
      </c>
      <c r="X866" s="575"/>
      <c r="Y866" s="578">
        <f>IF('REF. DE PREÇOS n editavel'!W866=0,0,IF('REF. DE PREÇOS n editavel'!W866&gt;0,"c","b"))</f>
        <v>0</v>
      </c>
    </row>
    <row r="867" spans="1:25">
      <c r="A867" s="317">
        <v>822000</v>
      </c>
      <c r="B867" s="870">
        <v>822000</v>
      </c>
      <c r="C867" s="871" t="s">
        <v>184</v>
      </c>
      <c r="D867" s="881" t="s">
        <v>461</v>
      </c>
      <c r="E867" s="882">
        <f>'REF. DE PREÇOS n editavel'!E867</f>
        <v>0</v>
      </c>
      <c r="F867" s="883">
        <f>'REF. DE PREÇOS n editavel'!F867</f>
        <v>0</v>
      </c>
      <c r="G867" s="887">
        <f>'REF. DE PREÇOS n editavel'!G867</f>
        <v>0</v>
      </c>
      <c r="H867" s="876">
        <f>'REF. DE PREÇOS n editavel'!H867</f>
        <v>30.86</v>
      </c>
      <c r="I867" s="876">
        <f>'REF. DE PREÇOS n editavel'!I867</f>
        <v>30.86</v>
      </c>
      <c r="J867" s="877">
        <f>'REF. DE PREÇOS n editavel'!J867</f>
        <v>37.72</v>
      </c>
      <c r="K867" s="878" t="s">
        <v>12</v>
      </c>
      <c r="L867" s="1092">
        <v>5620</v>
      </c>
      <c r="M867" s="1093">
        <f t="shared" si="108"/>
        <v>37.72</v>
      </c>
      <c r="N867" s="868">
        <f t="shared" si="112"/>
        <v>211986.4</v>
      </c>
      <c r="O867" s="880"/>
      <c r="Q867" s="317" t="str">
        <f t="shared" si="109"/>
        <v>x</v>
      </c>
      <c r="R867" s="317" t="str">
        <f t="shared" si="110"/>
        <v>x</v>
      </c>
      <c r="S867" s="317" t="str">
        <f t="shared" si="111"/>
        <v>x</v>
      </c>
      <c r="T867" s="317" t="str">
        <f>'REF. DE PREÇOS n editavel'!S867</f>
        <v>x</v>
      </c>
      <c r="W867" s="577">
        <v>0</v>
      </c>
      <c r="X867" s="575"/>
      <c r="Y867" s="578">
        <f>IF('REF. DE PREÇOS n editavel'!W867=0,0,IF('REF. DE PREÇOS n editavel'!W867&gt;0,"c","b"))</f>
        <v>0</v>
      </c>
    </row>
    <row r="868" spans="1:25">
      <c r="A868" s="317">
        <v>820000</v>
      </c>
      <c r="B868" s="870" t="s">
        <v>302</v>
      </c>
      <c r="C868" s="871" t="s">
        <v>184</v>
      </c>
      <c r="D868" s="881" t="s">
        <v>286</v>
      </c>
      <c r="E868" s="882">
        <f>'REF. DE PREÇOS n editavel'!E868</f>
        <v>0</v>
      </c>
      <c r="F868" s="883">
        <f>'REF. DE PREÇOS n editavel'!F868</f>
        <v>0</v>
      </c>
      <c r="G868" s="887">
        <f>'REF. DE PREÇOS n editavel'!G868</f>
        <v>0</v>
      </c>
      <c r="H868" s="876">
        <f>'REF. DE PREÇOS n editavel'!H868</f>
        <v>542.29999999999995</v>
      </c>
      <c r="I868" s="876">
        <f>'REF. DE PREÇOS n editavel'!I868</f>
        <v>542.29999999999995</v>
      </c>
      <c r="J868" s="877">
        <f>'REF. DE PREÇOS n editavel'!J868</f>
        <v>662.8</v>
      </c>
      <c r="K868" s="878" t="s">
        <v>12</v>
      </c>
      <c r="L868" s="1092"/>
      <c r="M868" s="1093">
        <f t="shared" si="108"/>
        <v>0</v>
      </c>
      <c r="N868" s="868">
        <f t="shared" si="112"/>
        <v>0</v>
      </c>
      <c r="O868" s="880"/>
      <c r="Q868" s="317" t="str">
        <f t="shared" si="109"/>
        <v/>
      </c>
      <c r="R868" s="317" t="str">
        <f t="shared" si="110"/>
        <v/>
      </c>
      <c r="S868" s="317" t="str">
        <f t="shared" si="111"/>
        <v/>
      </c>
      <c r="T868" s="317" t="str">
        <f>'REF. DE PREÇOS n editavel'!S868</f>
        <v/>
      </c>
      <c r="W868" s="577">
        <v>0</v>
      </c>
      <c r="X868" s="575"/>
      <c r="Y868" s="578">
        <f>IF('REF. DE PREÇOS n editavel'!W868=0,0,IF('REF. DE PREÇOS n editavel'!W868&gt;0,"c","b"))</f>
        <v>0</v>
      </c>
    </row>
    <row r="869" spans="1:25">
      <c r="A869" s="317">
        <v>821000</v>
      </c>
      <c r="B869" s="870">
        <v>821000</v>
      </c>
      <c r="C869" s="871" t="s">
        <v>184</v>
      </c>
      <c r="D869" s="881" t="s">
        <v>287</v>
      </c>
      <c r="E869" s="882">
        <f>'REF. DE PREÇOS n editavel'!E869</f>
        <v>0</v>
      </c>
      <c r="F869" s="883">
        <f>'REF. DE PREÇOS n editavel'!F869</f>
        <v>0</v>
      </c>
      <c r="G869" s="887">
        <f>'REF. DE PREÇOS n editavel'!G869</f>
        <v>0</v>
      </c>
      <c r="H869" s="876">
        <f>'REF. DE PREÇOS n editavel'!H869</f>
        <v>167.69</v>
      </c>
      <c r="I869" s="876">
        <f>'REF. DE PREÇOS n editavel'!I869</f>
        <v>167.69</v>
      </c>
      <c r="J869" s="877">
        <f>'REF. DE PREÇOS n editavel'!J869</f>
        <v>204.95</v>
      </c>
      <c r="K869" s="878" t="s">
        <v>15</v>
      </c>
      <c r="L869" s="1092"/>
      <c r="M869" s="1093">
        <f t="shared" si="108"/>
        <v>0</v>
      </c>
      <c r="N869" s="868">
        <f t="shared" si="112"/>
        <v>0</v>
      </c>
      <c r="O869" s="880"/>
      <c r="Q869" s="317" t="str">
        <f t="shared" si="109"/>
        <v/>
      </c>
      <c r="R869" s="317" t="str">
        <f t="shared" si="110"/>
        <v/>
      </c>
      <c r="S869" s="317" t="str">
        <f t="shared" si="111"/>
        <v/>
      </c>
      <c r="T869" s="317" t="str">
        <f>'REF. DE PREÇOS n editavel'!S869</f>
        <v/>
      </c>
      <c r="W869" s="577">
        <v>0</v>
      </c>
      <c r="X869" s="575"/>
      <c r="Y869" s="578">
        <f>IF('REF. DE PREÇOS n editavel'!W869=0,0,IF('REF. DE PREÇOS n editavel'!W869&gt;0,"c","b"))</f>
        <v>0</v>
      </c>
    </row>
    <row r="870" spans="1:25">
      <c r="A870" s="317">
        <v>821300</v>
      </c>
      <c r="B870" s="870">
        <v>821300</v>
      </c>
      <c r="C870" s="871" t="s">
        <v>184</v>
      </c>
      <c r="D870" s="881" t="s">
        <v>288</v>
      </c>
      <c r="E870" s="882">
        <f>'REF. DE PREÇOS n editavel'!E870</f>
        <v>0</v>
      </c>
      <c r="F870" s="883">
        <f>'REF. DE PREÇOS n editavel'!F870</f>
        <v>0</v>
      </c>
      <c r="G870" s="887">
        <f>'REF. DE PREÇOS n editavel'!G870</f>
        <v>0</v>
      </c>
      <c r="H870" s="876">
        <f>'REF. DE PREÇOS n editavel'!H870</f>
        <v>416.52</v>
      </c>
      <c r="I870" s="876">
        <f>'REF. DE PREÇOS n editavel'!I870</f>
        <v>416.52</v>
      </c>
      <c r="J870" s="877">
        <f>'REF. DE PREÇOS n editavel'!J870</f>
        <v>509.07</v>
      </c>
      <c r="K870" s="878" t="s">
        <v>15</v>
      </c>
      <c r="L870" s="1092"/>
      <c r="M870" s="1093">
        <f t="shared" si="108"/>
        <v>0</v>
      </c>
      <c r="N870" s="868">
        <f t="shared" si="112"/>
        <v>0</v>
      </c>
      <c r="O870" s="880"/>
      <c r="Q870" s="317" t="str">
        <f t="shared" si="109"/>
        <v/>
      </c>
      <c r="R870" s="317" t="str">
        <f t="shared" si="110"/>
        <v/>
      </c>
      <c r="S870" s="317" t="str">
        <f t="shared" si="111"/>
        <v/>
      </c>
      <c r="T870" s="317" t="str">
        <f>'REF. DE PREÇOS n editavel'!S870</f>
        <v/>
      </c>
      <c r="W870" s="577">
        <v>0</v>
      </c>
      <c r="X870" s="575"/>
      <c r="Y870" s="578">
        <f>IF('REF. DE PREÇOS n editavel'!W870=0,0,IF('REF. DE PREÇOS n editavel'!W870&gt;0,"c","b"))</f>
        <v>0</v>
      </c>
    </row>
    <row r="871" spans="1:25">
      <c r="A871" s="317">
        <v>820000</v>
      </c>
      <c r="B871" s="870" t="s">
        <v>303</v>
      </c>
      <c r="C871" s="871" t="s">
        <v>184</v>
      </c>
      <c r="D871" s="881" t="s">
        <v>289</v>
      </c>
      <c r="E871" s="882">
        <f>'REF. DE PREÇOS n editavel'!E871</f>
        <v>0</v>
      </c>
      <c r="F871" s="883">
        <f>'REF. DE PREÇOS n editavel'!F871</f>
        <v>0</v>
      </c>
      <c r="G871" s="887">
        <f>'REF. DE PREÇOS n editavel'!G871</f>
        <v>0</v>
      </c>
      <c r="H871" s="876">
        <f>'REF. DE PREÇOS n editavel'!H871</f>
        <v>542.29999999999995</v>
      </c>
      <c r="I871" s="876">
        <f>'REF. DE PREÇOS n editavel'!I871</f>
        <v>460.95499999999993</v>
      </c>
      <c r="J871" s="877">
        <f>'REF. DE PREÇOS n editavel'!J871</f>
        <v>563.38</v>
      </c>
      <c r="K871" s="878" t="s">
        <v>15</v>
      </c>
      <c r="L871" s="1092">
        <v>24</v>
      </c>
      <c r="M871" s="1093">
        <f t="shared" si="108"/>
        <v>563.38</v>
      </c>
      <c r="N871" s="868">
        <f t="shared" si="112"/>
        <v>13521.12</v>
      </c>
      <c r="O871" s="880"/>
      <c r="Q871" s="317" t="str">
        <f t="shared" si="109"/>
        <v>x</v>
      </c>
      <c r="R871" s="317" t="str">
        <f t="shared" si="110"/>
        <v>x</v>
      </c>
      <c r="S871" s="317" t="str">
        <f t="shared" si="111"/>
        <v>x</v>
      </c>
      <c r="T871" s="317" t="str">
        <f>'REF. DE PREÇOS n editavel'!S871</f>
        <v>x</v>
      </c>
      <c r="W871" s="577">
        <v>0</v>
      </c>
      <c r="X871" s="575"/>
      <c r="Y871" s="578">
        <f>IF('REF. DE PREÇOS n editavel'!W871=0,0,IF('REF. DE PREÇOS n editavel'!W871&gt;0,"c","b"))</f>
        <v>0</v>
      </c>
    </row>
    <row r="872" spans="1:25">
      <c r="A872" s="317">
        <v>820000</v>
      </c>
      <c r="B872" s="870" t="s">
        <v>304</v>
      </c>
      <c r="C872" s="871" t="s">
        <v>184</v>
      </c>
      <c r="D872" s="881" t="s">
        <v>290</v>
      </c>
      <c r="E872" s="882">
        <f>'REF. DE PREÇOS n editavel'!E872</f>
        <v>0</v>
      </c>
      <c r="F872" s="883">
        <f>'REF. DE PREÇOS n editavel'!F872</f>
        <v>0</v>
      </c>
      <c r="G872" s="887">
        <f>'REF. DE PREÇOS n editavel'!G872</f>
        <v>0</v>
      </c>
      <c r="H872" s="876">
        <f>'REF. DE PREÇOS n editavel'!H872</f>
        <v>542.29999999999995</v>
      </c>
      <c r="I872" s="876">
        <f>'REF. DE PREÇOS n editavel'!I872</f>
        <v>460.95499999999993</v>
      </c>
      <c r="J872" s="877">
        <f>'REF. DE PREÇOS n editavel'!J872</f>
        <v>563.38</v>
      </c>
      <c r="K872" s="878" t="s">
        <v>15</v>
      </c>
      <c r="L872" s="1092"/>
      <c r="M872" s="1093">
        <f t="shared" si="108"/>
        <v>0</v>
      </c>
      <c r="N872" s="868">
        <f t="shared" si="112"/>
        <v>0</v>
      </c>
      <c r="O872" s="880"/>
      <c r="Q872" s="317" t="str">
        <f t="shared" si="109"/>
        <v/>
      </c>
      <c r="R872" s="317" t="str">
        <f t="shared" si="110"/>
        <v/>
      </c>
      <c r="S872" s="317" t="str">
        <f t="shared" si="111"/>
        <v/>
      </c>
      <c r="T872" s="317" t="str">
        <f>'REF. DE PREÇOS n editavel'!S872</f>
        <v/>
      </c>
      <c r="W872" s="577">
        <v>0</v>
      </c>
      <c r="X872" s="575"/>
      <c r="Y872" s="578">
        <f>IF('REF. DE PREÇOS n editavel'!W872=0,0,IF('REF. DE PREÇOS n editavel'!W872&gt;0,"c","b"))</f>
        <v>0</v>
      </c>
    </row>
    <row r="873" spans="1:25">
      <c r="A873" s="317">
        <v>820000</v>
      </c>
      <c r="B873" s="870" t="s">
        <v>305</v>
      </c>
      <c r="C873" s="871" t="s">
        <v>184</v>
      </c>
      <c r="D873" s="881" t="s">
        <v>291</v>
      </c>
      <c r="E873" s="882">
        <f>'REF. DE PREÇOS n editavel'!E873</f>
        <v>0</v>
      </c>
      <c r="F873" s="883">
        <f>'REF. DE PREÇOS n editavel'!F873</f>
        <v>0</v>
      </c>
      <c r="G873" s="887">
        <f>'REF. DE PREÇOS n editavel'!G873</f>
        <v>0</v>
      </c>
      <c r="H873" s="876">
        <f>'REF. DE PREÇOS n editavel'!H873</f>
        <v>542.29999999999995</v>
      </c>
      <c r="I873" s="876">
        <f>'REF. DE PREÇOS n editavel'!I873</f>
        <v>460.95499999999993</v>
      </c>
      <c r="J873" s="877">
        <f>'REF. DE PREÇOS n editavel'!J873</f>
        <v>563.38</v>
      </c>
      <c r="K873" s="878" t="s">
        <v>15</v>
      </c>
      <c r="L873" s="1092"/>
      <c r="M873" s="1093">
        <f t="shared" si="108"/>
        <v>0</v>
      </c>
      <c r="N873" s="868">
        <f t="shared" si="112"/>
        <v>0</v>
      </c>
      <c r="O873" s="880"/>
      <c r="Q873" s="317" t="str">
        <f t="shared" si="109"/>
        <v/>
      </c>
      <c r="R873" s="317" t="str">
        <f t="shared" si="110"/>
        <v/>
      </c>
      <c r="S873" s="317" t="str">
        <f t="shared" si="111"/>
        <v/>
      </c>
      <c r="T873" s="317" t="str">
        <f>'REF. DE PREÇOS n editavel'!S873</f>
        <v/>
      </c>
      <c r="W873" s="577">
        <v>0</v>
      </c>
      <c r="X873" s="575"/>
      <c r="Y873" s="578">
        <f>IF('REF. DE PREÇOS n editavel'!W873=0,0,IF('REF. DE PREÇOS n editavel'!W873&gt;0,"c","b"))</f>
        <v>0</v>
      </c>
    </row>
    <row r="874" spans="1:25">
      <c r="A874" s="317">
        <v>820000</v>
      </c>
      <c r="B874" s="870" t="s">
        <v>306</v>
      </c>
      <c r="C874" s="871" t="s">
        <v>184</v>
      </c>
      <c r="D874" s="881" t="s">
        <v>292</v>
      </c>
      <c r="E874" s="882">
        <f>'REF. DE PREÇOS n editavel'!E874</f>
        <v>0</v>
      </c>
      <c r="F874" s="883">
        <f>'REF. DE PREÇOS n editavel'!F874</f>
        <v>0</v>
      </c>
      <c r="G874" s="887">
        <f>'REF. DE PREÇOS n editavel'!G874</f>
        <v>0</v>
      </c>
      <c r="H874" s="876">
        <f>'REF. DE PREÇOS n editavel'!H874</f>
        <v>542.29999999999995</v>
      </c>
      <c r="I874" s="876">
        <f>'REF. DE PREÇOS n editavel'!I874</f>
        <v>460.95499999999993</v>
      </c>
      <c r="J874" s="877">
        <f>'REF. DE PREÇOS n editavel'!J874</f>
        <v>563.38</v>
      </c>
      <c r="K874" s="878" t="s">
        <v>15</v>
      </c>
      <c r="L874" s="1092">
        <v>58</v>
      </c>
      <c r="M874" s="1093">
        <f t="shared" si="108"/>
        <v>563.38</v>
      </c>
      <c r="N874" s="868">
        <f t="shared" si="112"/>
        <v>32676.04</v>
      </c>
      <c r="O874" s="880"/>
      <c r="Q874" s="317" t="str">
        <f t="shared" si="109"/>
        <v>x</v>
      </c>
      <c r="R874" s="317" t="str">
        <f t="shared" si="110"/>
        <v>x</v>
      </c>
      <c r="S874" s="317" t="str">
        <f t="shared" si="111"/>
        <v>x</v>
      </c>
      <c r="T874" s="317" t="str">
        <f>'REF. DE PREÇOS n editavel'!S874</f>
        <v>x</v>
      </c>
      <c r="W874" s="577">
        <v>0</v>
      </c>
      <c r="X874" s="575"/>
      <c r="Y874" s="578">
        <f>IF('REF. DE PREÇOS n editavel'!W874=0,0,IF('REF. DE PREÇOS n editavel'!W874&gt;0,"c","b"))</f>
        <v>0</v>
      </c>
    </row>
    <row r="875" spans="1:25">
      <c r="A875" s="317">
        <v>820000</v>
      </c>
      <c r="B875" s="870" t="s">
        <v>307</v>
      </c>
      <c r="C875" s="871" t="s">
        <v>184</v>
      </c>
      <c r="D875" s="881" t="s">
        <v>293</v>
      </c>
      <c r="E875" s="882">
        <f>'REF. DE PREÇOS n editavel'!E875</f>
        <v>0</v>
      </c>
      <c r="F875" s="883">
        <f>'REF. DE PREÇOS n editavel'!F875</f>
        <v>0</v>
      </c>
      <c r="G875" s="887">
        <f>'REF. DE PREÇOS n editavel'!G875</f>
        <v>0</v>
      </c>
      <c r="H875" s="876">
        <f>'REF. DE PREÇOS n editavel'!H875</f>
        <v>542.29999999999995</v>
      </c>
      <c r="I875" s="876">
        <f>'REF. DE PREÇOS n editavel'!I875</f>
        <v>542.29999999999995</v>
      </c>
      <c r="J875" s="877">
        <f>'REF. DE PREÇOS n editavel'!J875</f>
        <v>662.8</v>
      </c>
      <c r="K875" s="878" t="s">
        <v>15</v>
      </c>
      <c r="L875" s="1092"/>
      <c r="M875" s="1093">
        <f t="shared" si="108"/>
        <v>0</v>
      </c>
      <c r="N875" s="868">
        <f t="shared" si="112"/>
        <v>0</v>
      </c>
      <c r="O875" s="880"/>
      <c r="Q875" s="317" t="str">
        <f t="shared" si="109"/>
        <v/>
      </c>
      <c r="R875" s="317" t="str">
        <f t="shared" si="110"/>
        <v/>
      </c>
      <c r="S875" s="317" t="str">
        <f t="shared" si="111"/>
        <v/>
      </c>
      <c r="T875" s="317" t="str">
        <f>'REF. DE PREÇOS n editavel'!S875</f>
        <v/>
      </c>
      <c r="W875" s="577">
        <v>0</v>
      </c>
      <c r="X875" s="575"/>
      <c r="Y875" s="578">
        <f>IF('REF. DE PREÇOS n editavel'!W875=0,0,IF('REF. DE PREÇOS n editavel'!W875&gt;0,"c","b"))</f>
        <v>0</v>
      </c>
    </row>
    <row r="876" spans="1:25">
      <c r="A876" s="317">
        <v>820000</v>
      </c>
      <c r="B876" s="870" t="s">
        <v>308</v>
      </c>
      <c r="C876" s="871" t="s">
        <v>184</v>
      </c>
      <c r="D876" s="881" t="s">
        <v>294</v>
      </c>
      <c r="E876" s="882">
        <f>'REF. DE PREÇOS n editavel'!E876</f>
        <v>0</v>
      </c>
      <c r="F876" s="883">
        <f>'REF. DE PREÇOS n editavel'!F876</f>
        <v>0</v>
      </c>
      <c r="G876" s="887">
        <f>'REF. DE PREÇOS n editavel'!G876</f>
        <v>0</v>
      </c>
      <c r="H876" s="876">
        <f>'REF. DE PREÇOS n editavel'!H876</f>
        <v>542.29999999999995</v>
      </c>
      <c r="I876" s="876">
        <f>'REF. DE PREÇOS n editavel'!I876</f>
        <v>542.29999999999995</v>
      </c>
      <c r="J876" s="877">
        <f>'REF. DE PREÇOS n editavel'!J876</f>
        <v>662.8</v>
      </c>
      <c r="K876" s="878" t="s">
        <v>15</v>
      </c>
      <c r="L876" s="1092"/>
      <c r="M876" s="1093">
        <f t="shared" si="108"/>
        <v>0</v>
      </c>
      <c r="N876" s="868">
        <f t="shared" si="112"/>
        <v>0</v>
      </c>
      <c r="O876" s="880"/>
      <c r="Q876" s="317" t="str">
        <f t="shared" si="109"/>
        <v/>
      </c>
      <c r="R876" s="317" t="str">
        <f t="shared" si="110"/>
        <v/>
      </c>
      <c r="S876" s="317" t="str">
        <f t="shared" si="111"/>
        <v/>
      </c>
      <c r="T876" s="317" t="str">
        <f>'REF. DE PREÇOS n editavel'!S876</f>
        <v/>
      </c>
      <c r="W876" s="577">
        <v>0</v>
      </c>
      <c r="X876" s="575"/>
      <c r="Y876" s="578">
        <f>IF('REF. DE PREÇOS n editavel'!W876=0,0,IF('REF. DE PREÇOS n editavel'!W876&gt;0,"c","b"))</f>
        <v>0</v>
      </c>
    </row>
    <row r="877" spans="1:25">
      <c r="A877" s="317">
        <v>820000</v>
      </c>
      <c r="B877" s="870" t="s">
        <v>309</v>
      </c>
      <c r="C877" s="871" t="s">
        <v>184</v>
      </c>
      <c r="D877" s="881" t="s">
        <v>295</v>
      </c>
      <c r="E877" s="882">
        <f>'REF. DE PREÇOS n editavel'!E877</f>
        <v>0</v>
      </c>
      <c r="F877" s="883">
        <f>'REF. DE PREÇOS n editavel'!F877</f>
        <v>0</v>
      </c>
      <c r="G877" s="887">
        <f>'REF. DE PREÇOS n editavel'!G877</f>
        <v>0</v>
      </c>
      <c r="H877" s="876">
        <f>'REF. DE PREÇOS n editavel'!H877</f>
        <v>542.29999999999995</v>
      </c>
      <c r="I877" s="876">
        <f>'REF. DE PREÇOS n editavel'!I877</f>
        <v>542.29999999999995</v>
      </c>
      <c r="J877" s="877">
        <f>'REF. DE PREÇOS n editavel'!J877</f>
        <v>662.8</v>
      </c>
      <c r="K877" s="878" t="s">
        <v>15</v>
      </c>
      <c r="L877" s="1092"/>
      <c r="M877" s="1093">
        <f t="shared" si="108"/>
        <v>0</v>
      </c>
      <c r="N877" s="868">
        <f t="shared" si="112"/>
        <v>0</v>
      </c>
      <c r="O877" s="880"/>
      <c r="Q877" s="317" t="str">
        <f t="shared" si="109"/>
        <v/>
      </c>
      <c r="R877" s="317" t="str">
        <f t="shared" si="110"/>
        <v/>
      </c>
      <c r="S877" s="317" t="str">
        <f t="shared" si="111"/>
        <v/>
      </c>
      <c r="T877" s="317" t="str">
        <f>'REF. DE PREÇOS n editavel'!S877</f>
        <v/>
      </c>
      <c r="W877" s="577">
        <v>0</v>
      </c>
      <c r="X877" s="575"/>
      <c r="Y877" s="578">
        <f>IF('REF. DE PREÇOS n editavel'!W877=0,0,IF('REF. DE PREÇOS n editavel'!W877&gt;0,"c","b"))</f>
        <v>0</v>
      </c>
    </row>
    <row r="878" spans="1:25">
      <c r="A878" s="317">
        <v>820000</v>
      </c>
      <c r="B878" s="870" t="s">
        <v>511</v>
      </c>
      <c r="C878" s="871" t="s">
        <v>184</v>
      </c>
      <c r="D878" s="881" t="s">
        <v>296</v>
      </c>
      <c r="E878" s="882">
        <f>'REF. DE PREÇOS n editavel'!E878</f>
        <v>0</v>
      </c>
      <c r="F878" s="883">
        <f>'REF. DE PREÇOS n editavel'!F878</f>
        <v>0</v>
      </c>
      <c r="G878" s="887">
        <f>'REF. DE PREÇOS n editavel'!G878</f>
        <v>0</v>
      </c>
      <c r="H878" s="876">
        <f>'REF. DE PREÇOS n editavel'!H878</f>
        <v>542.29999999999995</v>
      </c>
      <c r="I878" s="876">
        <f>'REF. DE PREÇOS n editavel'!I878</f>
        <v>542.29999999999995</v>
      </c>
      <c r="J878" s="877">
        <f>'REF. DE PREÇOS n editavel'!J878</f>
        <v>662.8</v>
      </c>
      <c r="K878" s="878" t="s">
        <v>15</v>
      </c>
      <c r="L878" s="1094"/>
      <c r="M878" s="1095">
        <f t="shared" si="108"/>
        <v>0</v>
      </c>
      <c r="N878" s="868">
        <f t="shared" si="112"/>
        <v>0</v>
      </c>
      <c r="O878" s="880"/>
      <c r="Q878" s="317" t="str">
        <f t="shared" si="109"/>
        <v/>
      </c>
      <c r="R878" s="317" t="str">
        <f t="shared" si="110"/>
        <v/>
      </c>
      <c r="S878" s="317" t="str">
        <f t="shared" si="111"/>
        <v/>
      </c>
      <c r="T878" s="317" t="str">
        <f>'REF. DE PREÇOS n editavel'!S878</f>
        <v/>
      </c>
      <c r="W878" s="577">
        <v>0</v>
      </c>
      <c r="X878" s="575"/>
      <c r="Y878" s="578">
        <f>IF('REF. DE PREÇOS n editavel'!W878=0,0,IF('REF. DE PREÇOS n editavel'!W878&gt;0,"c","b"))</f>
        <v>0</v>
      </c>
    </row>
    <row r="879" spans="1:25" ht="22.5">
      <c r="A879" s="317">
        <v>820000</v>
      </c>
      <c r="B879" s="870" t="s">
        <v>1774</v>
      </c>
      <c r="C879" s="871" t="s">
        <v>184</v>
      </c>
      <c r="D879" s="881" t="s">
        <v>528</v>
      </c>
      <c r="E879" s="882">
        <f>'REF. DE PREÇOS n editavel'!E879</f>
        <v>0</v>
      </c>
      <c r="F879" s="883">
        <f>'REF. DE PREÇOS n editavel'!F879</f>
        <v>0</v>
      </c>
      <c r="G879" s="887">
        <f>'REF. DE PREÇOS n editavel'!G879</f>
        <v>0</v>
      </c>
      <c r="H879" s="876">
        <f>'REF. DE PREÇOS n editavel'!H879</f>
        <v>542.29999999999995</v>
      </c>
      <c r="I879" s="876">
        <f>'REF. DE PREÇOS n editavel'!I879</f>
        <v>542.29999999999995</v>
      </c>
      <c r="J879" s="877">
        <f>'REF. DE PREÇOS n editavel'!J879</f>
        <v>662.8</v>
      </c>
      <c r="K879" s="878" t="s">
        <v>15</v>
      </c>
      <c r="L879" s="1094"/>
      <c r="M879" s="1095">
        <f t="shared" si="108"/>
        <v>0</v>
      </c>
      <c r="N879" s="868">
        <f t="shared" si="112"/>
        <v>0</v>
      </c>
      <c r="O879" s="880"/>
      <c r="Q879" s="317" t="str">
        <f t="shared" si="109"/>
        <v/>
      </c>
      <c r="R879" s="317" t="str">
        <f t="shared" si="110"/>
        <v/>
      </c>
      <c r="S879" s="317" t="str">
        <f t="shared" si="111"/>
        <v/>
      </c>
      <c r="T879" s="317" t="str">
        <f>'REF. DE PREÇOS n editavel'!S879</f>
        <v/>
      </c>
      <c r="W879" s="577">
        <v>0</v>
      </c>
      <c r="X879" s="575"/>
      <c r="Y879" s="578">
        <f>IF('REF. DE PREÇOS n editavel'!W879=0,0,IF('REF. DE PREÇOS n editavel'!W879&gt;0,"c","b"))</f>
        <v>0</v>
      </c>
    </row>
    <row r="880" spans="1:25" ht="15" customHeight="1">
      <c r="B880" s="1125"/>
      <c r="C880" s="889"/>
      <c r="D880" s="890" t="s">
        <v>437</v>
      </c>
      <c r="E880" s="891">
        <f>'REF. DE PREÇOS n editavel'!E880</f>
        <v>0</v>
      </c>
      <c r="F880" s="892">
        <f>'REF. DE PREÇOS n editavel'!F880</f>
        <v>0</v>
      </c>
      <c r="G880" s="893">
        <f>'REF. DE PREÇOS n editavel'!G880</f>
        <v>0</v>
      </c>
      <c r="H880" s="894">
        <f>'REF. DE PREÇOS n editavel'!H880</f>
        <v>0</v>
      </c>
      <c r="I880" s="894">
        <f>'REF. DE PREÇOS n editavel'!I880</f>
        <v>0</v>
      </c>
      <c r="J880" s="894">
        <f>'REF. DE PREÇOS n editavel'!J880</f>
        <v>0</v>
      </c>
      <c r="K880" s="895" t="s">
        <v>506</v>
      </c>
      <c r="L880" s="896"/>
      <c r="M880" s="1095">
        <f t="shared" si="108"/>
        <v>0</v>
      </c>
      <c r="N880" s="868">
        <f t="shared" si="112"/>
        <v>0</v>
      </c>
      <c r="O880" s="880"/>
      <c r="P880" s="58" t="str">
        <f>IF(OR(SUM(N881:N912)&gt;0,SUM(N881:N912)&gt;0),"y","")</f>
        <v>y</v>
      </c>
      <c r="Q880" s="317" t="str">
        <f t="shared" si="109"/>
        <v>x</v>
      </c>
      <c r="R880" s="317" t="str">
        <f t="shared" si="110"/>
        <v>x</v>
      </c>
      <c r="S880" s="317" t="str">
        <f t="shared" si="111"/>
        <v/>
      </c>
      <c r="T880" s="317" t="str">
        <f>'REF. DE PREÇOS n editavel'!S880</f>
        <v/>
      </c>
      <c r="W880" s="577">
        <v>0</v>
      </c>
      <c r="X880" s="575"/>
      <c r="Y880" s="578">
        <f>IF('REF. DE PREÇOS n editavel'!W880=0,0,IF('REF. DE PREÇOS n editavel'!W880&gt;0,"c","b"))</f>
        <v>0</v>
      </c>
    </row>
    <row r="881" spans="1:25" ht="15" customHeight="1">
      <c r="B881" s="1010">
        <f>'REF. DE PREÇOS n editavel'!B881</f>
        <v>822000</v>
      </c>
      <c r="C881" s="1045" t="str">
        <f>'REF. DE PREÇOS n editavel'!C881</f>
        <v>DER</v>
      </c>
      <c r="D881" s="1096" t="str">
        <f>'REF. DE PREÇOS n editavel'!D881</f>
        <v>Faixa de Sinalização Horizontal c/tinta resina acrílica base solvente- (0,034 m2/m2) Tinta vermelha para Ciclovia</v>
      </c>
      <c r="E881" s="882">
        <f>'REF. DE PREÇOS n editavel'!E881</f>
        <v>0</v>
      </c>
      <c r="F881" s="883">
        <f>'REF. DE PREÇOS n editavel'!F881</f>
        <v>0</v>
      </c>
      <c r="G881" s="887">
        <f>'REF. DE PREÇOS n editavel'!G881</f>
        <v>0</v>
      </c>
      <c r="H881" s="876">
        <f>'REF. DE PREÇOS n editavel'!H881</f>
        <v>30.86</v>
      </c>
      <c r="I881" s="876">
        <f>'REF. DE PREÇOS n editavel'!I881</f>
        <v>30.86</v>
      </c>
      <c r="J881" s="877">
        <f>'REF. DE PREÇOS n editavel'!J881</f>
        <v>37.72</v>
      </c>
      <c r="K881" s="878" t="str">
        <f>'REF. DE PREÇOS n editavel'!K881</f>
        <v>m2</v>
      </c>
      <c r="L881" s="1092">
        <v>10340</v>
      </c>
      <c r="M881" s="1095">
        <f t="shared" si="108"/>
        <v>37.72</v>
      </c>
      <c r="N881" s="1121">
        <f t="shared" si="112"/>
        <v>390024.8</v>
      </c>
      <c r="O881" s="1120"/>
      <c r="Q881" s="317" t="str">
        <f t="shared" si="109"/>
        <v>x</v>
      </c>
      <c r="R881" s="317" t="str">
        <f t="shared" si="110"/>
        <v>x</v>
      </c>
      <c r="S881" s="317" t="str">
        <f t="shared" si="111"/>
        <v>x</v>
      </c>
      <c r="T881" s="317" t="str">
        <f>'REF. DE PREÇOS n editavel'!S881</f>
        <v>x</v>
      </c>
      <c r="W881" s="577">
        <v>0</v>
      </c>
      <c r="X881" s="575"/>
      <c r="Y881" s="578">
        <f>IF('REF. DE PREÇOS n editavel'!W881=0,0,IF('REF. DE PREÇOS n editavel'!W881&gt;0,"c","b"))</f>
        <v>0</v>
      </c>
    </row>
    <row r="882" spans="1:25" ht="15" customHeight="1">
      <c r="A882" s="634" t="s">
        <v>165</v>
      </c>
      <c r="B882" s="1010" t="str">
        <f>'REF. DE PREÇOS n editavel'!B882</f>
        <v/>
      </c>
      <c r="C882" s="1045" t="str">
        <f>'REF. DE PREÇOS n editavel'!C882</f>
        <v/>
      </c>
      <c r="D882" s="1096">
        <f>'REF. DE PREÇOS n editavel'!D882</f>
        <v>0</v>
      </c>
      <c r="E882" s="882">
        <f>'REF. DE PREÇOS n editavel'!E882</f>
        <v>0</v>
      </c>
      <c r="F882" s="883">
        <f>'REF. DE PREÇOS n editavel'!F882</f>
        <v>0</v>
      </c>
      <c r="G882" s="887">
        <f>'REF. DE PREÇOS n editavel'!G882</f>
        <v>0</v>
      </c>
      <c r="H882" s="876">
        <f>'REF. DE PREÇOS n editavel'!H882</f>
        <v>0</v>
      </c>
      <c r="I882" s="876">
        <f>'REF. DE PREÇOS n editavel'!I882</f>
        <v>0</v>
      </c>
      <c r="J882" s="865">
        <f>'REF. DE PREÇOS n editavel'!J882</f>
        <v>0</v>
      </c>
      <c r="K882" s="878" t="str">
        <f>'REF. DE PREÇOS n editavel'!K882</f>
        <v xml:space="preserve">     </v>
      </c>
      <c r="L882" s="1092"/>
      <c r="M882" s="1095">
        <f t="shared" si="108"/>
        <v>0</v>
      </c>
      <c r="N882" s="1122">
        <f t="shared" si="112"/>
        <v>0</v>
      </c>
      <c r="O882" s="1120"/>
      <c r="Q882" s="317" t="str">
        <f t="shared" si="109"/>
        <v/>
      </c>
      <c r="R882" s="317" t="str">
        <f t="shared" si="110"/>
        <v/>
      </c>
      <c r="S882" s="317" t="str">
        <f t="shared" si="111"/>
        <v/>
      </c>
      <c r="T882" s="317" t="str">
        <f>'REF. DE PREÇOS n editavel'!S882</f>
        <v/>
      </c>
      <c r="W882" s="577">
        <v>0</v>
      </c>
      <c r="X882" s="575"/>
      <c r="Y882" s="578">
        <f>IF('REF. DE PREÇOS n editavel'!W882=0,0,IF('REF. DE PREÇOS n editavel'!W882&gt;0,"c","b"))</f>
        <v>0</v>
      </c>
    </row>
    <row r="883" spans="1:25" ht="15" customHeight="1">
      <c r="A883" s="634" t="s">
        <v>165</v>
      </c>
      <c r="B883" s="1010" t="str">
        <f>'REF. DE PREÇOS n editavel'!B883</f>
        <v/>
      </c>
      <c r="C883" s="1045" t="str">
        <f>'REF. DE PREÇOS n editavel'!C883</f>
        <v/>
      </c>
      <c r="D883" s="1096">
        <f>'REF. DE PREÇOS n editavel'!D883</f>
        <v>0</v>
      </c>
      <c r="E883" s="882">
        <f>'REF. DE PREÇOS n editavel'!E883</f>
        <v>0</v>
      </c>
      <c r="F883" s="883">
        <f>'REF. DE PREÇOS n editavel'!F883</f>
        <v>0</v>
      </c>
      <c r="G883" s="887">
        <f>'REF. DE PREÇOS n editavel'!G883</f>
        <v>0</v>
      </c>
      <c r="H883" s="876">
        <f>'REF. DE PREÇOS n editavel'!H883</f>
        <v>0</v>
      </c>
      <c r="I883" s="876">
        <f>'REF. DE PREÇOS n editavel'!I883</f>
        <v>0</v>
      </c>
      <c r="J883" s="865">
        <f>'REF. DE PREÇOS n editavel'!J883</f>
        <v>0</v>
      </c>
      <c r="K883" s="878" t="str">
        <f>'REF. DE PREÇOS n editavel'!K883</f>
        <v xml:space="preserve">     </v>
      </c>
      <c r="L883" s="1092"/>
      <c r="M883" s="1095">
        <f t="shared" si="108"/>
        <v>0</v>
      </c>
      <c r="N883" s="1122">
        <f t="shared" si="112"/>
        <v>0</v>
      </c>
      <c r="O883" s="1120"/>
      <c r="Q883" s="317" t="str">
        <f t="shared" si="109"/>
        <v/>
      </c>
      <c r="R883" s="317" t="str">
        <f t="shared" si="110"/>
        <v/>
      </c>
      <c r="S883" s="317" t="str">
        <f t="shared" si="111"/>
        <v/>
      </c>
      <c r="T883" s="317" t="str">
        <f>'REF. DE PREÇOS n editavel'!S883</f>
        <v/>
      </c>
      <c r="W883" s="577">
        <v>0</v>
      </c>
      <c r="X883" s="575"/>
      <c r="Y883" s="578">
        <f>IF('REF. DE PREÇOS n editavel'!W883=0,0,IF('REF. DE PREÇOS n editavel'!W883&gt;0,"c","b"))</f>
        <v>0</v>
      </c>
    </row>
    <row r="884" spans="1:25" ht="15" customHeight="1">
      <c r="A884" s="634" t="s">
        <v>165</v>
      </c>
      <c r="B884" s="1010" t="str">
        <f>'REF. DE PREÇOS n editavel'!B884</f>
        <v/>
      </c>
      <c r="C884" s="1045" t="str">
        <f>'REF. DE PREÇOS n editavel'!C884</f>
        <v/>
      </c>
      <c r="D884" s="1096">
        <f>'REF. DE PREÇOS n editavel'!D884</f>
        <v>0</v>
      </c>
      <c r="E884" s="882">
        <f>'REF. DE PREÇOS n editavel'!E884</f>
        <v>0</v>
      </c>
      <c r="F884" s="883">
        <f>'REF. DE PREÇOS n editavel'!F884</f>
        <v>0</v>
      </c>
      <c r="G884" s="887">
        <f>'REF. DE PREÇOS n editavel'!G884</f>
        <v>0</v>
      </c>
      <c r="H884" s="876">
        <f>'REF. DE PREÇOS n editavel'!H884</f>
        <v>0</v>
      </c>
      <c r="I884" s="876">
        <f>'REF. DE PREÇOS n editavel'!I884</f>
        <v>0</v>
      </c>
      <c r="J884" s="865">
        <f>'REF. DE PREÇOS n editavel'!J884</f>
        <v>0</v>
      </c>
      <c r="K884" s="878" t="str">
        <f>'REF. DE PREÇOS n editavel'!K884</f>
        <v xml:space="preserve">     </v>
      </c>
      <c r="L884" s="1092"/>
      <c r="M884" s="1095">
        <f t="shared" si="108"/>
        <v>0</v>
      </c>
      <c r="N884" s="1122">
        <f t="shared" si="112"/>
        <v>0</v>
      </c>
      <c r="O884" s="1120"/>
      <c r="Q884" s="317" t="str">
        <f t="shared" si="109"/>
        <v/>
      </c>
      <c r="R884" s="317" t="str">
        <f t="shared" si="110"/>
        <v/>
      </c>
      <c r="S884" s="317" t="str">
        <f t="shared" si="111"/>
        <v/>
      </c>
      <c r="T884" s="317" t="str">
        <f>'REF. DE PREÇOS n editavel'!S884</f>
        <v/>
      </c>
      <c r="W884" s="577">
        <v>0</v>
      </c>
      <c r="X884" s="575"/>
      <c r="Y884" s="578">
        <f>IF('REF. DE PREÇOS n editavel'!W884=0,0,IF('REF. DE PREÇOS n editavel'!W884&gt;0,"c","b"))</f>
        <v>0</v>
      </c>
    </row>
    <row r="885" spans="1:25" ht="15" customHeight="1">
      <c r="A885" s="634" t="s">
        <v>165</v>
      </c>
      <c r="B885" s="1010" t="str">
        <f>'REF. DE PREÇOS n editavel'!B885</f>
        <v/>
      </c>
      <c r="C885" s="1045" t="str">
        <f>'REF. DE PREÇOS n editavel'!C885</f>
        <v/>
      </c>
      <c r="D885" s="1096">
        <f>'REF. DE PREÇOS n editavel'!D885</f>
        <v>0</v>
      </c>
      <c r="E885" s="882">
        <f>'REF. DE PREÇOS n editavel'!E885</f>
        <v>0</v>
      </c>
      <c r="F885" s="883">
        <f>'REF. DE PREÇOS n editavel'!F885</f>
        <v>0</v>
      </c>
      <c r="G885" s="887">
        <f>'REF. DE PREÇOS n editavel'!G885</f>
        <v>0</v>
      </c>
      <c r="H885" s="876">
        <f>'REF. DE PREÇOS n editavel'!H885</f>
        <v>0</v>
      </c>
      <c r="I885" s="876">
        <f>'REF. DE PREÇOS n editavel'!I885</f>
        <v>0</v>
      </c>
      <c r="J885" s="865">
        <f>'REF. DE PREÇOS n editavel'!J885</f>
        <v>0</v>
      </c>
      <c r="K885" s="878" t="str">
        <f>'REF. DE PREÇOS n editavel'!K885</f>
        <v xml:space="preserve">     </v>
      </c>
      <c r="L885" s="1092"/>
      <c r="M885" s="1095">
        <f t="shared" si="108"/>
        <v>0</v>
      </c>
      <c r="N885" s="1122">
        <f t="shared" si="112"/>
        <v>0</v>
      </c>
      <c r="O885" s="1120"/>
      <c r="Q885" s="317" t="str">
        <f t="shared" si="109"/>
        <v/>
      </c>
      <c r="R885" s="317" t="str">
        <f t="shared" si="110"/>
        <v/>
      </c>
      <c r="S885" s="317" t="str">
        <f t="shared" si="111"/>
        <v/>
      </c>
      <c r="T885" s="317" t="str">
        <f>'REF. DE PREÇOS n editavel'!S885</f>
        <v/>
      </c>
      <c r="W885" s="577">
        <v>0</v>
      </c>
      <c r="X885" s="575"/>
      <c r="Y885" s="578">
        <f>IF('REF. DE PREÇOS n editavel'!W885=0,0,IF('REF. DE PREÇOS n editavel'!W885&gt;0,"c","b"))</f>
        <v>0</v>
      </c>
    </row>
    <row r="886" spans="1:25" ht="15" customHeight="1">
      <c r="A886" s="634" t="s">
        <v>165</v>
      </c>
      <c r="B886" s="1010" t="str">
        <f>'REF. DE PREÇOS n editavel'!B886</f>
        <v/>
      </c>
      <c r="C886" s="1045" t="str">
        <f>'REF. DE PREÇOS n editavel'!C886</f>
        <v/>
      </c>
      <c r="D886" s="1096">
        <f>'REF. DE PREÇOS n editavel'!D886</f>
        <v>0</v>
      </c>
      <c r="E886" s="882">
        <f>'REF. DE PREÇOS n editavel'!E886</f>
        <v>0</v>
      </c>
      <c r="F886" s="883">
        <f>'REF. DE PREÇOS n editavel'!F886</f>
        <v>0</v>
      </c>
      <c r="G886" s="887">
        <f>'REF. DE PREÇOS n editavel'!G886</f>
        <v>0</v>
      </c>
      <c r="H886" s="876">
        <f>'REF. DE PREÇOS n editavel'!H886</f>
        <v>0</v>
      </c>
      <c r="I886" s="876">
        <f>'REF. DE PREÇOS n editavel'!I886</f>
        <v>0</v>
      </c>
      <c r="J886" s="865">
        <f>'REF. DE PREÇOS n editavel'!J886</f>
        <v>0</v>
      </c>
      <c r="K886" s="878" t="str">
        <f>'REF. DE PREÇOS n editavel'!K886</f>
        <v xml:space="preserve">     </v>
      </c>
      <c r="L886" s="1092"/>
      <c r="M886" s="1095">
        <f t="shared" si="108"/>
        <v>0</v>
      </c>
      <c r="N886" s="1122">
        <f t="shared" si="112"/>
        <v>0</v>
      </c>
      <c r="O886" s="1120"/>
      <c r="Q886" s="317" t="str">
        <f t="shared" si="109"/>
        <v/>
      </c>
      <c r="R886" s="317" t="str">
        <f t="shared" si="110"/>
        <v/>
      </c>
      <c r="S886" s="317" t="str">
        <f t="shared" si="111"/>
        <v/>
      </c>
      <c r="T886" s="317" t="str">
        <f>'REF. DE PREÇOS n editavel'!S886</f>
        <v/>
      </c>
      <c r="W886" s="577">
        <v>0</v>
      </c>
      <c r="X886" s="575"/>
      <c r="Y886" s="578">
        <f>IF('REF. DE PREÇOS n editavel'!W886=0,0,IF('REF. DE PREÇOS n editavel'!W886&gt;0,"c","b"))</f>
        <v>0</v>
      </c>
    </row>
    <row r="887" spans="1:25" ht="15" customHeight="1">
      <c r="A887" s="634" t="s">
        <v>165</v>
      </c>
      <c r="B887" s="1010" t="str">
        <f>'REF. DE PREÇOS n editavel'!B887</f>
        <v/>
      </c>
      <c r="C887" s="1045" t="str">
        <f>'REF. DE PREÇOS n editavel'!C887</f>
        <v/>
      </c>
      <c r="D887" s="1096">
        <f>'REF. DE PREÇOS n editavel'!D887</f>
        <v>0</v>
      </c>
      <c r="E887" s="882">
        <f>'REF. DE PREÇOS n editavel'!E887</f>
        <v>0</v>
      </c>
      <c r="F887" s="883">
        <f>'REF. DE PREÇOS n editavel'!F887</f>
        <v>0</v>
      </c>
      <c r="G887" s="887">
        <f>'REF. DE PREÇOS n editavel'!G887</f>
        <v>0</v>
      </c>
      <c r="H887" s="876">
        <f>'REF. DE PREÇOS n editavel'!H887</f>
        <v>0</v>
      </c>
      <c r="I887" s="876">
        <f>'REF. DE PREÇOS n editavel'!I887</f>
        <v>0</v>
      </c>
      <c r="J887" s="865">
        <f>'REF. DE PREÇOS n editavel'!J887</f>
        <v>0</v>
      </c>
      <c r="K887" s="878" t="str">
        <f>'REF. DE PREÇOS n editavel'!K887</f>
        <v xml:space="preserve">     </v>
      </c>
      <c r="L887" s="1092"/>
      <c r="M887" s="1095">
        <f t="shared" si="108"/>
        <v>0</v>
      </c>
      <c r="N887" s="1122">
        <f t="shared" si="112"/>
        <v>0</v>
      </c>
      <c r="O887" s="1120"/>
      <c r="Q887" s="317" t="str">
        <f t="shared" si="109"/>
        <v/>
      </c>
      <c r="R887" s="317" t="str">
        <f t="shared" si="110"/>
        <v/>
      </c>
      <c r="S887" s="317" t="str">
        <f t="shared" si="111"/>
        <v/>
      </c>
      <c r="T887" s="317" t="str">
        <f>'REF. DE PREÇOS n editavel'!S887</f>
        <v/>
      </c>
      <c r="W887" s="577">
        <v>0</v>
      </c>
      <c r="X887" s="575"/>
      <c r="Y887" s="578">
        <f>IF('REF. DE PREÇOS n editavel'!W887=0,0,IF('REF. DE PREÇOS n editavel'!W887&gt;0,"c","b"))</f>
        <v>0</v>
      </c>
    </row>
    <row r="888" spans="1:25" ht="15" customHeight="1">
      <c r="A888" s="634" t="s">
        <v>165</v>
      </c>
      <c r="B888" s="1010" t="str">
        <f>'REF. DE PREÇOS n editavel'!B888</f>
        <v/>
      </c>
      <c r="C888" s="1045" t="str">
        <f>'REF. DE PREÇOS n editavel'!C888</f>
        <v/>
      </c>
      <c r="D888" s="1096">
        <f>'REF. DE PREÇOS n editavel'!D888</f>
        <v>0</v>
      </c>
      <c r="E888" s="882">
        <f>'REF. DE PREÇOS n editavel'!E888</f>
        <v>0</v>
      </c>
      <c r="F888" s="883">
        <f>'REF. DE PREÇOS n editavel'!F888</f>
        <v>0</v>
      </c>
      <c r="G888" s="887">
        <f>'REF. DE PREÇOS n editavel'!G888</f>
        <v>0</v>
      </c>
      <c r="H888" s="876">
        <f>'REF. DE PREÇOS n editavel'!H888</f>
        <v>0</v>
      </c>
      <c r="I888" s="876">
        <f>'REF. DE PREÇOS n editavel'!I888</f>
        <v>0</v>
      </c>
      <c r="J888" s="865">
        <f>'REF. DE PREÇOS n editavel'!J888</f>
        <v>0</v>
      </c>
      <c r="K888" s="878" t="str">
        <f>'REF. DE PREÇOS n editavel'!K888</f>
        <v xml:space="preserve">     </v>
      </c>
      <c r="L888" s="1092"/>
      <c r="M888" s="1095">
        <f t="shared" si="108"/>
        <v>0</v>
      </c>
      <c r="N888" s="1122">
        <f t="shared" si="112"/>
        <v>0</v>
      </c>
      <c r="O888" s="1120"/>
      <c r="Q888" s="317" t="str">
        <f t="shared" si="109"/>
        <v/>
      </c>
      <c r="R888" s="317" t="str">
        <f t="shared" si="110"/>
        <v/>
      </c>
      <c r="S888" s="317" t="str">
        <f t="shared" si="111"/>
        <v/>
      </c>
      <c r="T888" s="317" t="str">
        <f>'REF. DE PREÇOS n editavel'!S888</f>
        <v/>
      </c>
      <c r="W888" s="577">
        <v>0</v>
      </c>
      <c r="X888" s="575"/>
      <c r="Y888" s="578">
        <f>IF('REF. DE PREÇOS n editavel'!W888=0,0,IF('REF. DE PREÇOS n editavel'!W888&gt;0,"c","b"))</f>
        <v>0</v>
      </c>
    </row>
    <row r="889" spans="1:25" ht="15" customHeight="1">
      <c r="A889" s="634" t="s">
        <v>165</v>
      </c>
      <c r="B889" s="1010" t="str">
        <f>'REF. DE PREÇOS n editavel'!B889</f>
        <v/>
      </c>
      <c r="C889" s="1045" t="str">
        <f>'REF. DE PREÇOS n editavel'!C889</f>
        <v/>
      </c>
      <c r="D889" s="1096">
        <f>'REF. DE PREÇOS n editavel'!D889</f>
        <v>0</v>
      </c>
      <c r="E889" s="882">
        <f>'REF. DE PREÇOS n editavel'!E889</f>
        <v>0</v>
      </c>
      <c r="F889" s="883">
        <f>'REF. DE PREÇOS n editavel'!F889</f>
        <v>0</v>
      </c>
      <c r="G889" s="887">
        <f>'REF. DE PREÇOS n editavel'!G889</f>
        <v>0</v>
      </c>
      <c r="H889" s="876">
        <f>'REF. DE PREÇOS n editavel'!H889</f>
        <v>0</v>
      </c>
      <c r="I889" s="876">
        <f>'REF. DE PREÇOS n editavel'!I889</f>
        <v>0</v>
      </c>
      <c r="J889" s="865">
        <f>'REF. DE PREÇOS n editavel'!J889</f>
        <v>0</v>
      </c>
      <c r="K889" s="878" t="str">
        <f>'REF. DE PREÇOS n editavel'!K889</f>
        <v xml:space="preserve">     </v>
      </c>
      <c r="L889" s="1092"/>
      <c r="M889" s="1095">
        <f t="shared" si="108"/>
        <v>0</v>
      </c>
      <c r="N889" s="1122">
        <f t="shared" si="112"/>
        <v>0</v>
      </c>
      <c r="O889" s="1120"/>
      <c r="Q889" s="317" t="str">
        <f t="shared" si="109"/>
        <v/>
      </c>
      <c r="R889" s="317" t="str">
        <f t="shared" si="110"/>
        <v/>
      </c>
      <c r="S889" s="317" t="str">
        <f t="shared" si="111"/>
        <v/>
      </c>
      <c r="T889" s="317" t="str">
        <f>'REF. DE PREÇOS n editavel'!S889</f>
        <v/>
      </c>
      <c r="W889" s="577">
        <v>0</v>
      </c>
      <c r="X889" s="575"/>
      <c r="Y889" s="578">
        <f>IF('REF. DE PREÇOS n editavel'!W889=0,0,IF('REF. DE PREÇOS n editavel'!W889&gt;0,"c","b"))</f>
        <v>0</v>
      </c>
    </row>
    <row r="890" spans="1:25" ht="15" customHeight="1">
      <c r="A890" s="634" t="s">
        <v>165</v>
      </c>
      <c r="B890" s="1010" t="str">
        <f>'REF. DE PREÇOS n editavel'!B890</f>
        <v/>
      </c>
      <c r="C890" s="1045" t="str">
        <f>'REF. DE PREÇOS n editavel'!C890</f>
        <v/>
      </c>
      <c r="D890" s="1096">
        <f>'REF. DE PREÇOS n editavel'!D890</f>
        <v>0</v>
      </c>
      <c r="E890" s="882">
        <f>'REF. DE PREÇOS n editavel'!E890</f>
        <v>0</v>
      </c>
      <c r="F890" s="883">
        <f>'REF. DE PREÇOS n editavel'!F890</f>
        <v>0</v>
      </c>
      <c r="G890" s="887">
        <f>'REF. DE PREÇOS n editavel'!G890</f>
        <v>0</v>
      </c>
      <c r="H890" s="876">
        <f>'REF. DE PREÇOS n editavel'!H890</f>
        <v>0</v>
      </c>
      <c r="I890" s="876">
        <f>'REF. DE PREÇOS n editavel'!I890</f>
        <v>0</v>
      </c>
      <c r="J890" s="865">
        <f>'REF. DE PREÇOS n editavel'!J890</f>
        <v>0</v>
      </c>
      <c r="K890" s="878" t="str">
        <f>'REF. DE PREÇOS n editavel'!K890</f>
        <v xml:space="preserve">     </v>
      </c>
      <c r="L890" s="1092"/>
      <c r="M890" s="1095">
        <f t="shared" si="108"/>
        <v>0</v>
      </c>
      <c r="N890" s="1122">
        <f t="shared" si="112"/>
        <v>0</v>
      </c>
      <c r="O890" s="1120"/>
      <c r="Q890" s="317" t="str">
        <f t="shared" si="109"/>
        <v/>
      </c>
      <c r="R890" s="317" t="str">
        <f t="shared" si="110"/>
        <v/>
      </c>
      <c r="S890" s="317" t="str">
        <f t="shared" si="111"/>
        <v/>
      </c>
      <c r="T890" s="317" t="str">
        <f>'REF. DE PREÇOS n editavel'!S890</f>
        <v/>
      </c>
      <c r="W890" s="577">
        <v>0</v>
      </c>
      <c r="X890" s="575"/>
      <c r="Y890" s="578">
        <f>IF('REF. DE PREÇOS n editavel'!W890=0,0,IF('REF. DE PREÇOS n editavel'!W890&gt;0,"c","b"))</f>
        <v>0</v>
      </c>
    </row>
    <row r="891" spans="1:25" ht="15" customHeight="1">
      <c r="A891" s="634" t="s">
        <v>165</v>
      </c>
      <c r="B891" s="1010" t="str">
        <f>'REF. DE PREÇOS n editavel'!B891</f>
        <v/>
      </c>
      <c r="C891" s="1045" t="str">
        <f>'REF. DE PREÇOS n editavel'!C891</f>
        <v/>
      </c>
      <c r="D891" s="1096">
        <f>'REF. DE PREÇOS n editavel'!D891</f>
        <v>0</v>
      </c>
      <c r="E891" s="882">
        <f>'REF. DE PREÇOS n editavel'!E891</f>
        <v>0</v>
      </c>
      <c r="F891" s="883">
        <f>'REF. DE PREÇOS n editavel'!F891</f>
        <v>0</v>
      </c>
      <c r="G891" s="887">
        <f>'REF. DE PREÇOS n editavel'!G891</f>
        <v>0</v>
      </c>
      <c r="H891" s="876">
        <f>'REF. DE PREÇOS n editavel'!H891</f>
        <v>0</v>
      </c>
      <c r="I891" s="876">
        <f>'REF. DE PREÇOS n editavel'!I891</f>
        <v>0</v>
      </c>
      <c r="J891" s="865">
        <f>'REF. DE PREÇOS n editavel'!J891</f>
        <v>0</v>
      </c>
      <c r="K891" s="878" t="str">
        <f>'REF. DE PREÇOS n editavel'!K891</f>
        <v xml:space="preserve">     </v>
      </c>
      <c r="L891" s="1092"/>
      <c r="M891" s="1095">
        <f t="shared" si="108"/>
        <v>0</v>
      </c>
      <c r="N891" s="1122">
        <f t="shared" si="112"/>
        <v>0</v>
      </c>
      <c r="O891" s="1120"/>
      <c r="Q891" s="317" t="str">
        <f t="shared" si="109"/>
        <v/>
      </c>
      <c r="R891" s="317" t="str">
        <f t="shared" si="110"/>
        <v/>
      </c>
      <c r="S891" s="317" t="str">
        <f t="shared" si="111"/>
        <v/>
      </c>
      <c r="T891" s="317" t="str">
        <f>'REF. DE PREÇOS n editavel'!S891</f>
        <v/>
      </c>
      <c r="W891" s="577">
        <v>0</v>
      </c>
      <c r="X891" s="575"/>
      <c r="Y891" s="578">
        <f>IF('REF. DE PREÇOS n editavel'!W891=0,0,IF('REF. DE PREÇOS n editavel'!W891&gt;0,"c","b"))</f>
        <v>0</v>
      </c>
    </row>
    <row r="892" spans="1:25" ht="15" customHeight="1">
      <c r="A892" s="634" t="s">
        <v>165</v>
      </c>
      <c r="B892" s="1010" t="str">
        <f>'REF. DE PREÇOS n editavel'!B892</f>
        <v/>
      </c>
      <c r="C892" s="1045" t="str">
        <f>'REF. DE PREÇOS n editavel'!C892</f>
        <v/>
      </c>
      <c r="D892" s="1096">
        <f>'REF. DE PREÇOS n editavel'!D892</f>
        <v>0</v>
      </c>
      <c r="E892" s="882">
        <f>'REF. DE PREÇOS n editavel'!E892</f>
        <v>0</v>
      </c>
      <c r="F892" s="883">
        <f>'REF. DE PREÇOS n editavel'!F892</f>
        <v>0</v>
      </c>
      <c r="G892" s="887">
        <f>'REF. DE PREÇOS n editavel'!G892</f>
        <v>0</v>
      </c>
      <c r="H892" s="876">
        <f>'REF. DE PREÇOS n editavel'!H892</f>
        <v>0</v>
      </c>
      <c r="I892" s="876">
        <f>'REF. DE PREÇOS n editavel'!I892</f>
        <v>0</v>
      </c>
      <c r="J892" s="865">
        <f>'REF. DE PREÇOS n editavel'!J892</f>
        <v>0</v>
      </c>
      <c r="K892" s="878" t="str">
        <f>'REF. DE PREÇOS n editavel'!K892</f>
        <v xml:space="preserve">     </v>
      </c>
      <c r="L892" s="1092"/>
      <c r="M892" s="1095">
        <f t="shared" si="108"/>
        <v>0</v>
      </c>
      <c r="N892" s="1122">
        <f t="shared" si="112"/>
        <v>0</v>
      </c>
      <c r="O892" s="1120"/>
      <c r="Q892" s="317" t="str">
        <f t="shared" si="109"/>
        <v/>
      </c>
      <c r="R892" s="317" t="str">
        <f t="shared" si="110"/>
        <v/>
      </c>
      <c r="S892" s="317" t="str">
        <f t="shared" si="111"/>
        <v/>
      </c>
      <c r="T892" s="317" t="str">
        <f>'REF. DE PREÇOS n editavel'!S892</f>
        <v/>
      </c>
      <c r="W892" s="577">
        <v>0</v>
      </c>
      <c r="X892" s="575"/>
      <c r="Y892" s="578">
        <f>IF('REF. DE PREÇOS n editavel'!W892=0,0,IF('REF. DE PREÇOS n editavel'!W892&gt;0,"c","b"))</f>
        <v>0</v>
      </c>
    </row>
    <row r="893" spans="1:25" ht="15" customHeight="1">
      <c r="A893" s="634" t="s">
        <v>165</v>
      </c>
      <c r="B893" s="1010" t="str">
        <f>'REF. DE PREÇOS n editavel'!B893</f>
        <v/>
      </c>
      <c r="C893" s="1045" t="str">
        <f>'REF. DE PREÇOS n editavel'!C893</f>
        <v/>
      </c>
      <c r="D893" s="1096">
        <f>'REF. DE PREÇOS n editavel'!D893</f>
        <v>0</v>
      </c>
      <c r="E893" s="882">
        <f>'REF. DE PREÇOS n editavel'!E893</f>
        <v>0</v>
      </c>
      <c r="F893" s="883">
        <f>'REF. DE PREÇOS n editavel'!F893</f>
        <v>0</v>
      </c>
      <c r="G893" s="887">
        <f>'REF. DE PREÇOS n editavel'!G893</f>
        <v>0</v>
      </c>
      <c r="H893" s="876">
        <f>'REF. DE PREÇOS n editavel'!H893</f>
        <v>0</v>
      </c>
      <c r="I893" s="876">
        <f>'REF. DE PREÇOS n editavel'!I893</f>
        <v>0</v>
      </c>
      <c r="J893" s="865">
        <f>'REF. DE PREÇOS n editavel'!J893</f>
        <v>0</v>
      </c>
      <c r="K893" s="878" t="str">
        <f>'REF. DE PREÇOS n editavel'!K893</f>
        <v xml:space="preserve">     </v>
      </c>
      <c r="L893" s="1092"/>
      <c r="M893" s="1095">
        <f t="shared" si="108"/>
        <v>0</v>
      </c>
      <c r="N893" s="1122">
        <f t="shared" si="112"/>
        <v>0</v>
      </c>
      <c r="O893" s="1120"/>
      <c r="Q893" s="317" t="str">
        <f t="shared" si="109"/>
        <v/>
      </c>
      <c r="R893" s="317" t="str">
        <f t="shared" si="110"/>
        <v/>
      </c>
      <c r="S893" s="317" t="str">
        <f t="shared" si="111"/>
        <v/>
      </c>
      <c r="T893" s="317" t="str">
        <f>'REF. DE PREÇOS n editavel'!S893</f>
        <v/>
      </c>
      <c r="W893" s="577">
        <v>0</v>
      </c>
      <c r="X893" s="575"/>
      <c r="Y893" s="578">
        <f>IF('REF. DE PREÇOS n editavel'!W893=0,0,IF('REF. DE PREÇOS n editavel'!W893&gt;0,"c","b"))</f>
        <v>0</v>
      </c>
    </row>
    <row r="894" spans="1:25" ht="15" customHeight="1">
      <c r="A894" s="634" t="s">
        <v>165</v>
      </c>
      <c r="B894" s="1010" t="str">
        <f>'REF. DE PREÇOS n editavel'!B894</f>
        <v/>
      </c>
      <c r="C894" s="1045" t="str">
        <f>'REF. DE PREÇOS n editavel'!C894</f>
        <v/>
      </c>
      <c r="D894" s="1096">
        <f>'REF. DE PREÇOS n editavel'!D894</f>
        <v>0</v>
      </c>
      <c r="E894" s="882">
        <f>'REF. DE PREÇOS n editavel'!E894</f>
        <v>0</v>
      </c>
      <c r="F894" s="883">
        <f>'REF. DE PREÇOS n editavel'!F894</f>
        <v>0</v>
      </c>
      <c r="G894" s="887">
        <f>'REF. DE PREÇOS n editavel'!G894</f>
        <v>0</v>
      </c>
      <c r="H894" s="876">
        <f>'REF. DE PREÇOS n editavel'!H894</f>
        <v>0</v>
      </c>
      <c r="I894" s="876">
        <f>'REF. DE PREÇOS n editavel'!I894</f>
        <v>0</v>
      </c>
      <c r="J894" s="865">
        <f>'REF. DE PREÇOS n editavel'!J894</f>
        <v>0</v>
      </c>
      <c r="K894" s="878" t="str">
        <f>'REF. DE PREÇOS n editavel'!K894</f>
        <v xml:space="preserve">     </v>
      </c>
      <c r="L894" s="1092"/>
      <c r="M894" s="1095">
        <f t="shared" si="108"/>
        <v>0</v>
      </c>
      <c r="N894" s="1122">
        <f t="shared" si="112"/>
        <v>0</v>
      </c>
      <c r="O894" s="1120"/>
      <c r="Q894" s="317" t="str">
        <f t="shared" si="109"/>
        <v/>
      </c>
      <c r="R894" s="317" t="str">
        <f t="shared" si="110"/>
        <v/>
      </c>
      <c r="S894" s="317" t="str">
        <f t="shared" si="111"/>
        <v/>
      </c>
      <c r="T894" s="317" t="str">
        <f>'REF. DE PREÇOS n editavel'!S894</f>
        <v/>
      </c>
      <c r="W894" s="577">
        <v>0</v>
      </c>
      <c r="X894" s="575"/>
      <c r="Y894" s="578">
        <f>IF('REF. DE PREÇOS n editavel'!W894=0,0,IF('REF. DE PREÇOS n editavel'!W894&gt;0,"c","b"))</f>
        <v>0</v>
      </c>
    </row>
    <row r="895" spans="1:25" ht="15" customHeight="1">
      <c r="A895" s="634" t="s">
        <v>165</v>
      </c>
      <c r="B895" s="1010" t="str">
        <f>'REF. DE PREÇOS n editavel'!B895</f>
        <v/>
      </c>
      <c r="C895" s="1045" t="str">
        <f>'REF. DE PREÇOS n editavel'!C895</f>
        <v/>
      </c>
      <c r="D895" s="1096">
        <f>'REF. DE PREÇOS n editavel'!D895</f>
        <v>0</v>
      </c>
      <c r="E895" s="882">
        <f>'REF. DE PREÇOS n editavel'!E895</f>
        <v>0</v>
      </c>
      <c r="F895" s="883">
        <f>'REF. DE PREÇOS n editavel'!F895</f>
        <v>0</v>
      </c>
      <c r="G895" s="887">
        <f>'REF. DE PREÇOS n editavel'!G895</f>
        <v>0</v>
      </c>
      <c r="H895" s="876">
        <f>'REF. DE PREÇOS n editavel'!H895</f>
        <v>0</v>
      </c>
      <c r="I895" s="876">
        <f>'REF. DE PREÇOS n editavel'!I895</f>
        <v>0</v>
      </c>
      <c r="J895" s="865">
        <f>'REF. DE PREÇOS n editavel'!J895</f>
        <v>0</v>
      </c>
      <c r="K895" s="878" t="str">
        <f>'REF. DE PREÇOS n editavel'!K895</f>
        <v xml:space="preserve">     </v>
      </c>
      <c r="L895" s="1092"/>
      <c r="M895" s="1095">
        <f t="shared" si="108"/>
        <v>0</v>
      </c>
      <c r="N895" s="1122">
        <f t="shared" si="112"/>
        <v>0</v>
      </c>
      <c r="O895" s="1120"/>
      <c r="Q895" s="317" t="str">
        <f t="shared" si="109"/>
        <v/>
      </c>
      <c r="R895" s="317" t="str">
        <f t="shared" si="110"/>
        <v/>
      </c>
      <c r="S895" s="317" t="str">
        <f t="shared" si="111"/>
        <v/>
      </c>
      <c r="T895" s="317" t="str">
        <f>'REF. DE PREÇOS n editavel'!S895</f>
        <v/>
      </c>
      <c r="W895" s="577">
        <v>0</v>
      </c>
      <c r="X895" s="575"/>
      <c r="Y895" s="578">
        <f>IF('REF. DE PREÇOS n editavel'!W895=0,0,IF('REF. DE PREÇOS n editavel'!W895&gt;0,"c","b"))</f>
        <v>0</v>
      </c>
    </row>
    <row r="896" spans="1:25" ht="15" customHeight="1">
      <c r="A896" s="634" t="s">
        <v>165</v>
      </c>
      <c r="B896" s="1010" t="str">
        <f>'REF. DE PREÇOS n editavel'!B896</f>
        <v/>
      </c>
      <c r="C896" s="1045" t="str">
        <f>'REF. DE PREÇOS n editavel'!C896</f>
        <v/>
      </c>
      <c r="D896" s="1096">
        <f>'REF. DE PREÇOS n editavel'!D896</f>
        <v>0</v>
      </c>
      <c r="E896" s="882">
        <f>'REF. DE PREÇOS n editavel'!E896</f>
        <v>0</v>
      </c>
      <c r="F896" s="883">
        <f>'REF. DE PREÇOS n editavel'!F896</f>
        <v>0</v>
      </c>
      <c r="G896" s="887">
        <f>'REF. DE PREÇOS n editavel'!G896</f>
        <v>0</v>
      </c>
      <c r="H896" s="876">
        <f>'REF. DE PREÇOS n editavel'!H896</f>
        <v>0</v>
      </c>
      <c r="I896" s="876">
        <f>'REF. DE PREÇOS n editavel'!I896</f>
        <v>0</v>
      </c>
      <c r="J896" s="865">
        <f>'REF. DE PREÇOS n editavel'!J896</f>
        <v>0</v>
      </c>
      <c r="K896" s="878" t="str">
        <f>'REF. DE PREÇOS n editavel'!K896</f>
        <v xml:space="preserve">     </v>
      </c>
      <c r="L896" s="1092"/>
      <c r="M896" s="1095">
        <f t="shared" si="108"/>
        <v>0</v>
      </c>
      <c r="N896" s="1122">
        <f t="shared" si="112"/>
        <v>0</v>
      </c>
      <c r="O896" s="1120"/>
      <c r="Q896" s="317" t="str">
        <f t="shared" si="109"/>
        <v/>
      </c>
      <c r="R896" s="317" t="str">
        <f t="shared" si="110"/>
        <v/>
      </c>
      <c r="S896" s="317" t="str">
        <f t="shared" si="111"/>
        <v/>
      </c>
      <c r="T896" s="317" t="str">
        <f>'REF. DE PREÇOS n editavel'!S896</f>
        <v/>
      </c>
      <c r="W896" s="577">
        <v>0</v>
      </c>
      <c r="X896" s="575"/>
      <c r="Y896" s="578">
        <f>IF('REF. DE PREÇOS n editavel'!W896=0,0,IF('REF. DE PREÇOS n editavel'!W896&gt;0,"c","b"))</f>
        <v>0</v>
      </c>
    </row>
    <row r="897" spans="1:25" ht="15" customHeight="1">
      <c r="A897" s="634" t="s">
        <v>165</v>
      </c>
      <c r="B897" s="1010" t="str">
        <f>'REF. DE PREÇOS n editavel'!B897</f>
        <v/>
      </c>
      <c r="C897" s="1045" t="str">
        <f>'REF. DE PREÇOS n editavel'!C897</f>
        <v/>
      </c>
      <c r="D897" s="1096">
        <f>'REF. DE PREÇOS n editavel'!D897</f>
        <v>0</v>
      </c>
      <c r="E897" s="882">
        <f>'REF. DE PREÇOS n editavel'!E897</f>
        <v>0</v>
      </c>
      <c r="F897" s="883">
        <f>'REF. DE PREÇOS n editavel'!F897</f>
        <v>0</v>
      </c>
      <c r="G897" s="887">
        <f>'REF. DE PREÇOS n editavel'!G897</f>
        <v>0</v>
      </c>
      <c r="H897" s="876">
        <f>'REF. DE PREÇOS n editavel'!H897</f>
        <v>0</v>
      </c>
      <c r="I897" s="876">
        <f>'REF. DE PREÇOS n editavel'!I897</f>
        <v>0</v>
      </c>
      <c r="J897" s="865">
        <f>'REF. DE PREÇOS n editavel'!J897</f>
        <v>0</v>
      </c>
      <c r="K897" s="878" t="str">
        <f>'REF. DE PREÇOS n editavel'!K897</f>
        <v xml:space="preserve">     </v>
      </c>
      <c r="L897" s="1092"/>
      <c r="M897" s="1095">
        <f t="shared" si="108"/>
        <v>0</v>
      </c>
      <c r="N897" s="1122">
        <f t="shared" si="112"/>
        <v>0</v>
      </c>
      <c r="O897" s="1120"/>
      <c r="Q897" s="317" t="str">
        <f t="shared" si="109"/>
        <v/>
      </c>
      <c r="R897" s="317" t="str">
        <f t="shared" si="110"/>
        <v/>
      </c>
      <c r="S897" s="317" t="str">
        <f t="shared" si="111"/>
        <v/>
      </c>
      <c r="T897" s="317" t="str">
        <f>'REF. DE PREÇOS n editavel'!S897</f>
        <v/>
      </c>
      <c r="W897" s="577">
        <v>0</v>
      </c>
      <c r="X897" s="575"/>
      <c r="Y897" s="578">
        <f>IF('REF. DE PREÇOS n editavel'!W897=0,0,IF('REF. DE PREÇOS n editavel'!W897&gt;0,"c","b"))</f>
        <v>0</v>
      </c>
    </row>
    <row r="898" spans="1:25" ht="15" customHeight="1">
      <c r="A898" s="634" t="s">
        <v>165</v>
      </c>
      <c r="B898" s="1010" t="str">
        <f>'REF. DE PREÇOS n editavel'!B898</f>
        <v/>
      </c>
      <c r="C898" s="1045" t="str">
        <f>'REF. DE PREÇOS n editavel'!C898</f>
        <v/>
      </c>
      <c r="D898" s="1096">
        <f>'REF. DE PREÇOS n editavel'!D898</f>
        <v>0</v>
      </c>
      <c r="E898" s="882">
        <f>'REF. DE PREÇOS n editavel'!E898</f>
        <v>0</v>
      </c>
      <c r="F898" s="883">
        <f>'REF. DE PREÇOS n editavel'!F898</f>
        <v>0</v>
      </c>
      <c r="G898" s="887">
        <f>'REF. DE PREÇOS n editavel'!G898</f>
        <v>0</v>
      </c>
      <c r="H898" s="876">
        <f>'REF. DE PREÇOS n editavel'!H898</f>
        <v>0</v>
      </c>
      <c r="I898" s="876">
        <f>'REF. DE PREÇOS n editavel'!I898</f>
        <v>0</v>
      </c>
      <c r="J898" s="865">
        <f>'REF. DE PREÇOS n editavel'!J898</f>
        <v>0</v>
      </c>
      <c r="K898" s="878" t="str">
        <f>'REF. DE PREÇOS n editavel'!K898</f>
        <v xml:space="preserve">     </v>
      </c>
      <c r="L898" s="1092"/>
      <c r="M898" s="1095">
        <f t="shared" si="108"/>
        <v>0</v>
      </c>
      <c r="N898" s="1122">
        <f t="shared" si="112"/>
        <v>0</v>
      </c>
      <c r="O898" s="1120"/>
      <c r="Q898" s="317" t="str">
        <f t="shared" si="109"/>
        <v/>
      </c>
      <c r="R898" s="317" t="str">
        <f t="shared" si="110"/>
        <v/>
      </c>
      <c r="S898" s="317" t="str">
        <f t="shared" si="111"/>
        <v/>
      </c>
      <c r="T898" s="317" t="str">
        <f>'REF. DE PREÇOS n editavel'!S898</f>
        <v/>
      </c>
      <c r="W898" s="577">
        <v>0</v>
      </c>
      <c r="X898" s="575"/>
      <c r="Y898" s="578">
        <f>IF('REF. DE PREÇOS n editavel'!W898=0,0,IF('REF. DE PREÇOS n editavel'!W898&gt;0,"c","b"))</f>
        <v>0</v>
      </c>
    </row>
    <row r="899" spans="1:25" ht="15" customHeight="1">
      <c r="A899" s="634" t="s">
        <v>165</v>
      </c>
      <c r="B899" s="1010" t="str">
        <f>'REF. DE PREÇOS n editavel'!B899</f>
        <v/>
      </c>
      <c r="C899" s="1045" t="str">
        <f>'REF. DE PREÇOS n editavel'!C899</f>
        <v/>
      </c>
      <c r="D899" s="1096">
        <f>'REF. DE PREÇOS n editavel'!D899</f>
        <v>0</v>
      </c>
      <c r="E899" s="882">
        <f>'REF. DE PREÇOS n editavel'!E899</f>
        <v>0</v>
      </c>
      <c r="F899" s="883">
        <f>'REF. DE PREÇOS n editavel'!F899</f>
        <v>0</v>
      </c>
      <c r="G899" s="887">
        <f>'REF. DE PREÇOS n editavel'!G899</f>
        <v>0</v>
      </c>
      <c r="H899" s="876">
        <f>'REF. DE PREÇOS n editavel'!H899</f>
        <v>0</v>
      </c>
      <c r="I899" s="876">
        <f>'REF. DE PREÇOS n editavel'!I899</f>
        <v>0</v>
      </c>
      <c r="J899" s="865">
        <f>'REF. DE PREÇOS n editavel'!J899</f>
        <v>0</v>
      </c>
      <c r="K899" s="878" t="str">
        <f>'REF. DE PREÇOS n editavel'!K899</f>
        <v xml:space="preserve">     </v>
      </c>
      <c r="L899" s="1092"/>
      <c r="M899" s="1095">
        <f t="shared" si="108"/>
        <v>0</v>
      </c>
      <c r="N899" s="1122">
        <f t="shared" si="112"/>
        <v>0</v>
      </c>
      <c r="O899" s="1120"/>
      <c r="Q899" s="317" t="str">
        <f t="shared" si="109"/>
        <v/>
      </c>
      <c r="R899" s="317" t="str">
        <f t="shared" si="110"/>
        <v/>
      </c>
      <c r="S899" s="317" t="str">
        <f t="shared" si="111"/>
        <v/>
      </c>
      <c r="T899" s="317" t="str">
        <f>'REF. DE PREÇOS n editavel'!S899</f>
        <v/>
      </c>
      <c r="W899" s="577">
        <v>0</v>
      </c>
      <c r="X899" s="575"/>
      <c r="Y899" s="578">
        <f>IF('REF. DE PREÇOS n editavel'!W899=0,0,IF('REF. DE PREÇOS n editavel'!W899&gt;0,"c","b"))</f>
        <v>0</v>
      </c>
    </row>
    <row r="900" spans="1:25" ht="15" customHeight="1">
      <c r="A900" s="634" t="s">
        <v>165</v>
      </c>
      <c r="B900" s="1010" t="str">
        <f>'REF. DE PREÇOS n editavel'!B900</f>
        <v/>
      </c>
      <c r="C900" s="1045" t="str">
        <f>'REF. DE PREÇOS n editavel'!C900</f>
        <v/>
      </c>
      <c r="D900" s="1096">
        <f>'REF. DE PREÇOS n editavel'!D900</f>
        <v>0</v>
      </c>
      <c r="E900" s="882">
        <f>'REF. DE PREÇOS n editavel'!E900</f>
        <v>0</v>
      </c>
      <c r="F900" s="883">
        <f>'REF. DE PREÇOS n editavel'!F900</f>
        <v>0</v>
      </c>
      <c r="G900" s="887">
        <f>'REF. DE PREÇOS n editavel'!G900</f>
        <v>0</v>
      </c>
      <c r="H900" s="876">
        <f>'REF. DE PREÇOS n editavel'!H900</f>
        <v>0</v>
      </c>
      <c r="I900" s="876">
        <f>'REF. DE PREÇOS n editavel'!I900</f>
        <v>0</v>
      </c>
      <c r="J900" s="865">
        <f>'REF. DE PREÇOS n editavel'!J900</f>
        <v>0</v>
      </c>
      <c r="K900" s="878" t="str">
        <f>'REF. DE PREÇOS n editavel'!K900</f>
        <v xml:space="preserve">     </v>
      </c>
      <c r="L900" s="1092"/>
      <c r="M900" s="1095">
        <f t="shared" si="108"/>
        <v>0</v>
      </c>
      <c r="N900" s="1122">
        <f t="shared" si="112"/>
        <v>0</v>
      </c>
      <c r="O900" s="1120"/>
      <c r="Q900" s="317" t="str">
        <f t="shared" si="109"/>
        <v/>
      </c>
      <c r="R900" s="317" t="str">
        <f t="shared" si="110"/>
        <v/>
      </c>
      <c r="S900" s="317" t="str">
        <f t="shared" si="111"/>
        <v/>
      </c>
      <c r="T900" s="317" t="str">
        <f>'REF. DE PREÇOS n editavel'!S900</f>
        <v/>
      </c>
      <c r="W900" s="577">
        <v>0</v>
      </c>
      <c r="X900" s="575"/>
      <c r="Y900" s="578">
        <f>IF('REF. DE PREÇOS n editavel'!W900=0,0,IF('REF. DE PREÇOS n editavel'!W900&gt;0,"c","b"))</f>
        <v>0</v>
      </c>
    </row>
    <row r="901" spans="1:25" ht="15" customHeight="1">
      <c r="A901" s="634" t="s">
        <v>165</v>
      </c>
      <c r="B901" s="1010" t="str">
        <f>'REF. DE PREÇOS n editavel'!B901</f>
        <v/>
      </c>
      <c r="C901" s="1045" t="str">
        <f>'REF. DE PREÇOS n editavel'!C901</f>
        <v/>
      </c>
      <c r="D901" s="1096">
        <f>'REF. DE PREÇOS n editavel'!D901</f>
        <v>0</v>
      </c>
      <c r="E901" s="882">
        <f>'REF. DE PREÇOS n editavel'!E901</f>
        <v>0</v>
      </c>
      <c r="F901" s="883">
        <f>'REF. DE PREÇOS n editavel'!F901</f>
        <v>0</v>
      </c>
      <c r="G901" s="887">
        <f>'REF. DE PREÇOS n editavel'!G901</f>
        <v>0</v>
      </c>
      <c r="H901" s="876">
        <f>'REF. DE PREÇOS n editavel'!H901</f>
        <v>0</v>
      </c>
      <c r="I901" s="876">
        <f>'REF. DE PREÇOS n editavel'!I901</f>
        <v>0</v>
      </c>
      <c r="J901" s="865">
        <f>'REF. DE PREÇOS n editavel'!J901</f>
        <v>0</v>
      </c>
      <c r="K901" s="878" t="str">
        <f>'REF. DE PREÇOS n editavel'!K901</f>
        <v xml:space="preserve">     </v>
      </c>
      <c r="L901" s="1092"/>
      <c r="M901" s="1095">
        <f t="shared" si="108"/>
        <v>0</v>
      </c>
      <c r="N901" s="1122">
        <f t="shared" si="112"/>
        <v>0</v>
      </c>
      <c r="O901" s="1120"/>
      <c r="Q901" s="317" t="str">
        <f t="shared" si="109"/>
        <v/>
      </c>
      <c r="R901" s="317" t="str">
        <f t="shared" si="110"/>
        <v/>
      </c>
      <c r="S901" s="317" t="str">
        <f t="shared" si="111"/>
        <v/>
      </c>
      <c r="T901" s="317" t="str">
        <f>'REF. DE PREÇOS n editavel'!S901</f>
        <v/>
      </c>
      <c r="W901" s="577">
        <v>0</v>
      </c>
      <c r="X901" s="575"/>
      <c r="Y901" s="578">
        <f>IF('REF. DE PREÇOS n editavel'!W901=0,0,IF('REF. DE PREÇOS n editavel'!W901&gt;0,"c","b"))</f>
        <v>0</v>
      </c>
    </row>
    <row r="902" spans="1:25" ht="15" customHeight="1">
      <c r="A902" s="634" t="s">
        <v>165</v>
      </c>
      <c r="B902" s="1010" t="str">
        <f>'REF. DE PREÇOS n editavel'!B902</f>
        <v/>
      </c>
      <c r="C902" s="1045" t="str">
        <f>'REF. DE PREÇOS n editavel'!C902</f>
        <v/>
      </c>
      <c r="D902" s="1096">
        <f>'REF. DE PREÇOS n editavel'!D902</f>
        <v>0</v>
      </c>
      <c r="E902" s="882">
        <f>'REF. DE PREÇOS n editavel'!E902</f>
        <v>0</v>
      </c>
      <c r="F902" s="883">
        <f>'REF. DE PREÇOS n editavel'!F902</f>
        <v>0</v>
      </c>
      <c r="G902" s="887">
        <f>'REF. DE PREÇOS n editavel'!G902</f>
        <v>0</v>
      </c>
      <c r="H902" s="876">
        <f>'REF. DE PREÇOS n editavel'!H902</f>
        <v>0</v>
      </c>
      <c r="I902" s="876">
        <f>'REF. DE PREÇOS n editavel'!I902</f>
        <v>0</v>
      </c>
      <c r="J902" s="865">
        <f>'REF. DE PREÇOS n editavel'!J902</f>
        <v>0</v>
      </c>
      <c r="K902" s="878" t="str">
        <f>'REF. DE PREÇOS n editavel'!K902</f>
        <v xml:space="preserve">     </v>
      </c>
      <c r="L902" s="1092"/>
      <c r="M902" s="1095">
        <f t="shared" si="108"/>
        <v>0</v>
      </c>
      <c r="N902" s="1122">
        <f t="shared" si="112"/>
        <v>0</v>
      </c>
      <c r="O902" s="1120"/>
      <c r="Q902" s="317" t="str">
        <f t="shared" si="109"/>
        <v/>
      </c>
      <c r="R902" s="317" t="str">
        <f t="shared" si="110"/>
        <v/>
      </c>
      <c r="S902" s="317" t="str">
        <f t="shared" si="111"/>
        <v/>
      </c>
      <c r="T902" s="317" t="str">
        <f>'REF. DE PREÇOS n editavel'!S902</f>
        <v/>
      </c>
      <c r="W902" s="577">
        <v>0</v>
      </c>
      <c r="X902" s="575"/>
      <c r="Y902" s="578">
        <f>IF('REF. DE PREÇOS n editavel'!W902=0,0,IF('REF. DE PREÇOS n editavel'!W902&gt;0,"c","b"))</f>
        <v>0</v>
      </c>
    </row>
    <row r="903" spans="1:25" ht="15" customHeight="1">
      <c r="A903" s="634" t="s">
        <v>165</v>
      </c>
      <c r="B903" s="1010" t="str">
        <f>'REF. DE PREÇOS n editavel'!B903</f>
        <v/>
      </c>
      <c r="C903" s="1045" t="str">
        <f>'REF. DE PREÇOS n editavel'!C903</f>
        <v/>
      </c>
      <c r="D903" s="1096">
        <f>'REF. DE PREÇOS n editavel'!D903</f>
        <v>0</v>
      </c>
      <c r="E903" s="882">
        <f>'REF. DE PREÇOS n editavel'!E903</f>
        <v>0</v>
      </c>
      <c r="F903" s="883">
        <f>'REF. DE PREÇOS n editavel'!F903</f>
        <v>0</v>
      </c>
      <c r="G903" s="887">
        <f>'REF. DE PREÇOS n editavel'!G903</f>
        <v>0</v>
      </c>
      <c r="H903" s="876">
        <f>'REF. DE PREÇOS n editavel'!H903</f>
        <v>0</v>
      </c>
      <c r="I903" s="876">
        <f>'REF. DE PREÇOS n editavel'!I903</f>
        <v>0</v>
      </c>
      <c r="J903" s="865">
        <f>'REF. DE PREÇOS n editavel'!J903</f>
        <v>0</v>
      </c>
      <c r="K903" s="878" t="str">
        <f>'REF. DE PREÇOS n editavel'!K903</f>
        <v xml:space="preserve">     </v>
      </c>
      <c r="L903" s="1092"/>
      <c r="M903" s="1095">
        <f t="shared" si="108"/>
        <v>0</v>
      </c>
      <c r="N903" s="1122">
        <f t="shared" si="112"/>
        <v>0</v>
      </c>
      <c r="O903" s="1120"/>
      <c r="Q903" s="317" t="str">
        <f t="shared" si="109"/>
        <v/>
      </c>
      <c r="R903" s="317" t="str">
        <f t="shared" si="110"/>
        <v/>
      </c>
      <c r="S903" s="317" t="str">
        <f t="shared" si="111"/>
        <v/>
      </c>
      <c r="T903" s="317" t="str">
        <f>'REF. DE PREÇOS n editavel'!S903</f>
        <v/>
      </c>
      <c r="W903" s="577">
        <v>0</v>
      </c>
      <c r="X903" s="575"/>
      <c r="Y903" s="578">
        <f>IF('REF. DE PREÇOS n editavel'!W903=0,0,IF('REF. DE PREÇOS n editavel'!W903&gt;0,"c","b"))</f>
        <v>0</v>
      </c>
    </row>
    <row r="904" spans="1:25" ht="15" customHeight="1">
      <c r="A904" s="634" t="s">
        <v>165</v>
      </c>
      <c r="B904" s="1010" t="str">
        <f>'REF. DE PREÇOS n editavel'!B904</f>
        <v/>
      </c>
      <c r="C904" s="1045" t="str">
        <f>'REF. DE PREÇOS n editavel'!C904</f>
        <v/>
      </c>
      <c r="D904" s="1096">
        <f>'REF. DE PREÇOS n editavel'!D904</f>
        <v>0</v>
      </c>
      <c r="E904" s="882">
        <f>'REF. DE PREÇOS n editavel'!E904</f>
        <v>0</v>
      </c>
      <c r="F904" s="883">
        <f>'REF. DE PREÇOS n editavel'!F904</f>
        <v>0</v>
      </c>
      <c r="G904" s="887">
        <f>'REF. DE PREÇOS n editavel'!G904</f>
        <v>0</v>
      </c>
      <c r="H904" s="876">
        <f>'REF. DE PREÇOS n editavel'!H904</f>
        <v>0</v>
      </c>
      <c r="I904" s="876">
        <f>'REF. DE PREÇOS n editavel'!I904</f>
        <v>0</v>
      </c>
      <c r="J904" s="865">
        <f>'REF. DE PREÇOS n editavel'!J904</f>
        <v>0</v>
      </c>
      <c r="K904" s="878" t="str">
        <f>'REF. DE PREÇOS n editavel'!K904</f>
        <v xml:space="preserve">     </v>
      </c>
      <c r="L904" s="1092"/>
      <c r="M904" s="1095">
        <f t="shared" si="108"/>
        <v>0</v>
      </c>
      <c r="N904" s="1122">
        <f t="shared" si="112"/>
        <v>0</v>
      </c>
      <c r="O904" s="1120"/>
      <c r="Q904" s="317" t="str">
        <f t="shared" si="109"/>
        <v/>
      </c>
      <c r="R904" s="317" t="str">
        <f t="shared" si="110"/>
        <v/>
      </c>
      <c r="S904" s="317" t="str">
        <f t="shared" si="111"/>
        <v/>
      </c>
      <c r="T904" s="317" t="str">
        <f>'REF. DE PREÇOS n editavel'!S904</f>
        <v/>
      </c>
      <c r="W904" s="577">
        <v>0</v>
      </c>
      <c r="X904" s="575"/>
      <c r="Y904" s="578">
        <f>IF('REF. DE PREÇOS n editavel'!W904=0,0,IF('REF. DE PREÇOS n editavel'!W904&gt;0,"c","b"))</f>
        <v>0</v>
      </c>
    </row>
    <row r="905" spans="1:25" ht="15" customHeight="1">
      <c r="A905" s="634" t="s">
        <v>165</v>
      </c>
      <c r="B905" s="1010" t="str">
        <f>'REF. DE PREÇOS n editavel'!B905</f>
        <v/>
      </c>
      <c r="C905" s="1045" t="str">
        <f>'REF. DE PREÇOS n editavel'!C905</f>
        <v/>
      </c>
      <c r="D905" s="1096">
        <f>'REF. DE PREÇOS n editavel'!D905</f>
        <v>0</v>
      </c>
      <c r="E905" s="882">
        <f>'REF. DE PREÇOS n editavel'!E905</f>
        <v>0</v>
      </c>
      <c r="F905" s="883">
        <f>'REF. DE PREÇOS n editavel'!F905</f>
        <v>0</v>
      </c>
      <c r="G905" s="887">
        <f>'REF. DE PREÇOS n editavel'!G905</f>
        <v>0</v>
      </c>
      <c r="H905" s="876">
        <f>'REF. DE PREÇOS n editavel'!H905</f>
        <v>0</v>
      </c>
      <c r="I905" s="876">
        <f>'REF. DE PREÇOS n editavel'!I905</f>
        <v>0</v>
      </c>
      <c r="J905" s="865">
        <f>'REF. DE PREÇOS n editavel'!J905</f>
        <v>0</v>
      </c>
      <c r="K905" s="878" t="str">
        <f>'REF. DE PREÇOS n editavel'!K905</f>
        <v xml:space="preserve">     </v>
      </c>
      <c r="L905" s="1092"/>
      <c r="M905" s="1095">
        <f t="shared" si="108"/>
        <v>0</v>
      </c>
      <c r="N905" s="1122">
        <f t="shared" si="112"/>
        <v>0</v>
      </c>
      <c r="O905" s="1120"/>
      <c r="Q905" s="317" t="str">
        <f t="shared" si="109"/>
        <v/>
      </c>
      <c r="R905" s="317" t="str">
        <f t="shared" si="110"/>
        <v/>
      </c>
      <c r="S905" s="317" t="str">
        <f t="shared" si="111"/>
        <v/>
      </c>
      <c r="T905" s="317" t="str">
        <f>'REF. DE PREÇOS n editavel'!S905</f>
        <v/>
      </c>
      <c r="W905" s="577">
        <v>0</v>
      </c>
      <c r="X905" s="575"/>
      <c r="Y905" s="578">
        <f>IF('REF. DE PREÇOS n editavel'!W905=0,0,IF('REF. DE PREÇOS n editavel'!W905&gt;0,"c","b"))</f>
        <v>0</v>
      </c>
    </row>
    <row r="906" spans="1:25" ht="15" customHeight="1">
      <c r="A906" s="634" t="s">
        <v>165</v>
      </c>
      <c r="B906" s="1010" t="str">
        <f>'REF. DE PREÇOS n editavel'!B906</f>
        <v/>
      </c>
      <c r="C906" s="1045" t="str">
        <f>'REF. DE PREÇOS n editavel'!C906</f>
        <v/>
      </c>
      <c r="D906" s="1096">
        <f>'REF. DE PREÇOS n editavel'!D906</f>
        <v>0</v>
      </c>
      <c r="E906" s="882">
        <f>'REF. DE PREÇOS n editavel'!E906</f>
        <v>0</v>
      </c>
      <c r="F906" s="883">
        <f>'REF. DE PREÇOS n editavel'!F906</f>
        <v>0</v>
      </c>
      <c r="G906" s="887">
        <f>'REF. DE PREÇOS n editavel'!G906</f>
        <v>0</v>
      </c>
      <c r="H906" s="876">
        <f>'REF. DE PREÇOS n editavel'!H906</f>
        <v>0</v>
      </c>
      <c r="I906" s="876">
        <f>'REF. DE PREÇOS n editavel'!I906</f>
        <v>0</v>
      </c>
      <c r="J906" s="865">
        <f>'REF. DE PREÇOS n editavel'!J906</f>
        <v>0</v>
      </c>
      <c r="K906" s="878" t="str">
        <f>'REF. DE PREÇOS n editavel'!K906</f>
        <v xml:space="preserve">     </v>
      </c>
      <c r="L906" s="1092"/>
      <c r="M906" s="1095">
        <f t="shared" si="108"/>
        <v>0</v>
      </c>
      <c r="N906" s="1122">
        <f t="shared" si="112"/>
        <v>0</v>
      </c>
      <c r="O906" s="1120"/>
      <c r="Q906" s="317" t="str">
        <f t="shared" si="109"/>
        <v/>
      </c>
      <c r="R906" s="317" t="str">
        <f t="shared" si="110"/>
        <v/>
      </c>
      <c r="S906" s="317" t="str">
        <f t="shared" si="111"/>
        <v/>
      </c>
      <c r="T906" s="317" t="str">
        <f>'REF. DE PREÇOS n editavel'!S906</f>
        <v/>
      </c>
      <c r="W906" s="577">
        <v>0</v>
      </c>
      <c r="X906" s="575"/>
      <c r="Y906" s="578">
        <f>IF('REF. DE PREÇOS n editavel'!W906=0,0,IF('REF. DE PREÇOS n editavel'!W906&gt;0,"c","b"))</f>
        <v>0</v>
      </c>
    </row>
    <row r="907" spans="1:25" ht="15" customHeight="1">
      <c r="A907" s="634" t="s">
        <v>165</v>
      </c>
      <c r="B907" s="1010" t="str">
        <f>'REF. DE PREÇOS n editavel'!B907</f>
        <v/>
      </c>
      <c r="C907" s="1045" t="str">
        <f>'REF. DE PREÇOS n editavel'!C907</f>
        <v/>
      </c>
      <c r="D907" s="1096">
        <f>'REF. DE PREÇOS n editavel'!D907</f>
        <v>0</v>
      </c>
      <c r="E907" s="882">
        <f>'REF. DE PREÇOS n editavel'!E907</f>
        <v>0</v>
      </c>
      <c r="F907" s="883">
        <f>'REF. DE PREÇOS n editavel'!F907</f>
        <v>0</v>
      </c>
      <c r="G907" s="887">
        <f>'REF. DE PREÇOS n editavel'!G907</f>
        <v>0</v>
      </c>
      <c r="H907" s="876">
        <f>'REF. DE PREÇOS n editavel'!H907</f>
        <v>0</v>
      </c>
      <c r="I907" s="876">
        <f>'REF. DE PREÇOS n editavel'!I907</f>
        <v>0</v>
      </c>
      <c r="J907" s="865">
        <f>'REF. DE PREÇOS n editavel'!J907</f>
        <v>0</v>
      </c>
      <c r="K907" s="878" t="str">
        <f>'REF. DE PREÇOS n editavel'!K907</f>
        <v xml:space="preserve">     </v>
      </c>
      <c r="L907" s="1092"/>
      <c r="M907" s="1095">
        <f t="shared" si="108"/>
        <v>0</v>
      </c>
      <c r="N907" s="1122">
        <f t="shared" si="112"/>
        <v>0</v>
      </c>
      <c r="O907" s="1120"/>
      <c r="Q907" s="317" t="str">
        <f t="shared" si="109"/>
        <v/>
      </c>
      <c r="R907" s="317" t="str">
        <f t="shared" si="110"/>
        <v/>
      </c>
      <c r="S907" s="317" t="str">
        <f t="shared" si="111"/>
        <v/>
      </c>
      <c r="T907" s="317" t="str">
        <f>'REF. DE PREÇOS n editavel'!S907</f>
        <v/>
      </c>
      <c r="W907" s="577">
        <v>0</v>
      </c>
      <c r="X907" s="575"/>
      <c r="Y907" s="578">
        <f>IF('REF. DE PREÇOS n editavel'!W907=0,0,IF('REF. DE PREÇOS n editavel'!W907&gt;0,"c","b"))</f>
        <v>0</v>
      </c>
    </row>
    <row r="908" spans="1:25" ht="15" customHeight="1">
      <c r="A908" s="634" t="s">
        <v>165</v>
      </c>
      <c r="B908" s="1010" t="str">
        <f>'REF. DE PREÇOS n editavel'!B908</f>
        <v/>
      </c>
      <c r="C908" s="1045" t="str">
        <f>'REF. DE PREÇOS n editavel'!C908</f>
        <v/>
      </c>
      <c r="D908" s="1096">
        <f>'REF. DE PREÇOS n editavel'!D908</f>
        <v>0</v>
      </c>
      <c r="E908" s="882">
        <f>'REF. DE PREÇOS n editavel'!E908</f>
        <v>0</v>
      </c>
      <c r="F908" s="883">
        <f>'REF. DE PREÇOS n editavel'!F908</f>
        <v>0</v>
      </c>
      <c r="G908" s="887">
        <f>'REF. DE PREÇOS n editavel'!G908</f>
        <v>0</v>
      </c>
      <c r="H908" s="876">
        <f>'REF. DE PREÇOS n editavel'!H908</f>
        <v>0</v>
      </c>
      <c r="I908" s="876">
        <f>'REF. DE PREÇOS n editavel'!I908</f>
        <v>0</v>
      </c>
      <c r="J908" s="865">
        <f>'REF. DE PREÇOS n editavel'!J908</f>
        <v>0</v>
      </c>
      <c r="K908" s="878" t="str">
        <f>'REF. DE PREÇOS n editavel'!K908</f>
        <v xml:space="preserve">     </v>
      </c>
      <c r="L908" s="1092"/>
      <c r="M908" s="1095">
        <f t="shared" si="108"/>
        <v>0</v>
      </c>
      <c r="N908" s="1122">
        <f t="shared" si="112"/>
        <v>0</v>
      </c>
      <c r="O908" s="1120"/>
      <c r="Q908" s="317" t="str">
        <f t="shared" si="109"/>
        <v/>
      </c>
      <c r="R908" s="317" t="str">
        <f t="shared" si="110"/>
        <v/>
      </c>
      <c r="S908" s="317" t="str">
        <f t="shared" si="111"/>
        <v/>
      </c>
      <c r="T908" s="317" t="str">
        <f>'REF. DE PREÇOS n editavel'!S908</f>
        <v/>
      </c>
      <c r="W908" s="577">
        <v>0</v>
      </c>
      <c r="X908" s="575"/>
      <c r="Y908" s="578">
        <f>IF('REF. DE PREÇOS n editavel'!W908=0,0,IF('REF. DE PREÇOS n editavel'!W908&gt;0,"c","b"))</f>
        <v>0</v>
      </c>
    </row>
    <row r="909" spans="1:25" ht="15" customHeight="1">
      <c r="A909" s="634" t="s">
        <v>165</v>
      </c>
      <c r="B909" s="1010" t="str">
        <f>'REF. DE PREÇOS n editavel'!B909</f>
        <v/>
      </c>
      <c r="C909" s="1045" t="str">
        <f>'REF. DE PREÇOS n editavel'!C909</f>
        <v/>
      </c>
      <c r="D909" s="1096">
        <f>'REF. DE PREÇOS n editavel'!D909</f>
        <v>0</v>
      </c>
      <c r="E909" s="882">
        <f>'REF. DE PREÇOS n editavel'!E909</f>
        <v>0</v>
      </c>
      <c r="F909" s="883">
        <f>'REF. DE PREÇOS n editavel'!F909</f>
        <v>0</v>
      </c>
      <c r="G909" s="887">
        <f>'REF. DE PREÇOS n editavel'!G909</f>
        <v>0</v>
      </c>
      <c r="H909" s="876">
        <f>'REF. DE PREÇOS n editavel'!H909</f>
        <v>0</v>
      </c>
      <c r="I909" s="876">
        <f>'REF. DE PREÇOS n editavel'!I909</f>
        <v>0</v>
      </c>
      <c r="J909" s="865">
        <f>'REF. DE PREÇOS n editavel'!J909</f>
        <v>0</v>
      </c>
      <c r="K909" s="878" t="str">
        <f>'REF. DE PREÇOS n editavel'!K909</f>
        <v xml:space="preserve">     </v>
      </c>
      <c r="L909" s="1092"/>
      <c r="M909" s="1095">
        <f t="shared" si="108"/>
        <v>0</v>
      </c>
      <c r="N909" s="1122">
        <f t="shared" si="112"/>
        <v>0</v>
      </c>
      <c r="O909" s="1120"/>
      <c r="Q909" s="317" t="str">
        <f t="shared" si="109"/>
        <v/>
      </c>
      <c r="R909" s="317" t="str">
        <f t="shared" si="110"/>
        <v/>
      </c>
      <c r="S909" s="317" t="str">
        <f t="shared" si="111"/>
        <v/>
      </c>
      <c r="T909" s="317" t="str">
        <f>'REF. DE PREÇOS n editavel'!S909</f>
        <v/>
      </c>
      <c r="W909" s="577">
        <v>0</v>
      </c>
      <c r="X909" s="575"/>
      <c r="Y909" s="578">
        <f>IF('REF. DE PREÇOS n editavel'!W909=0,0,IF('REF. DE PREÇOS n editavel'!W909&gt;0,"c","b"))</f>
        <v>0</v>
      </c>
    </row>
    <row r="910" spans="1:25" ht="15" customHeight="1">
      <c r="A910" s="634" t="s">
        <v>165</v>
      </c>
      <c r="B910" s="1010" t="str">
        <f>'REF. DE PREÇOS n editavel'!B910</f>
        <v/>
      </c>
      <c r="C910" s="1045" t="str">
        <f>'REF. DE PREÇOS n editavel'!C910</f>
        <v/>
      </c>
      <c r="D910" s="1096">
        <f>'REF. DE PREÇOS n editavel'!D910</f>
        <v>0</v>
      </c>
      <c r="E910" s="882">
        <f>'REF. DE PREÇOS n editavel'!E910</f>
        <v>0</v>
      </c>
      <c r="F910" s="883">
        <f>'REF. DE PREÇOS n editavel'!F910</f>
        <v>0</v>
      </c>
      <c r="G910" s="887">
        <f>'REF. DE PREÇOS n editavel'!G910</f>
        <v>0</v>
      </c>
      <c r="H910" s="876">
        <f>'REF. DE PREÇOS n editavel'!H910</f>
        <v>0</v>
      </c>
      <c r="I910" s="876">
        <f>'REF. DE PREÇOS n editavel'!I910</f>
        <v>0</v>
      </c>
      <c r="J910" s="865">
        <f>'REF. DE PREÇOS n editavel'!J910</f>
        <v>0</v>
      </c>
      <c r="K910" s="878" t="str">
        <f>'REF. DE PREÇOS n editavel'!K910</f>
        <v xml:space="preserve">     </v>
      </c>
      <c r="L910" s="1092"/>
      <c r="M910" s="1095">
        <f t="shared" si="108"/>
        <v>0</v>
      </c>
      <c r="N910" s="1122">
        <f t="shared" si="112"/>
        <v>0</v>
      </c>
      <c r="O910" s="1120"/>
      <c r="Q910" s="317" t="str">
        <f t="shared" si="109"/>
        <v/>
      </c>
      <c r="R910" s="317" t="str">
        <f t="shared" si="110"/>
        <v/>
      </c>
      <c r="S910" s="317" t="str">
        <f t="shared" si="111"/>
        <v/>
      </c>
      <c r="T910" s="317" t="str">
        <f>'REF. DE PREÇOS n editavel'!S910</f>
        <v/>
      </c>
      <c r="W910" s="577">
        <v>0</v>
      </c>
      <c r="X910" s="575"/>
      <c r="Y910" s="578">
        <f>IF('REF. DE PREÇOS n editavel'!W910=0,0,IF('REF. DE PREÇOS n editavel'!W910&gt;0,"c","b"))</f>
        <v>0</v>
      </c>
    </row>
    <row r="911" spans="1:25" ht="15" customHeight="1">
      <c r="A911" s="634" t="s">
        <v>165</v>
      </c>
      <c r="B911" s="1010" t="str">
        <f>'REF. DE PREÇOS n editavel'!B911</f>
        <v/>
      </c>
      <c r="C911" s="1045" t="str">
        <f>'REF. DE PREÇOS n editavel'!C911</f>
        <v/>
      </c>
      <c r="D911" s="1096">
        <f>'REF. DE PREÇOS n editavel'!D911</f>
        <v>0</v>
      </c>
      <c r="E911" s="882">
        <f>'REF. DE PREÇOS n editavel'!E911</f>
        <v>0</v>
      </c>
      <c r="F911" s="883">
        <f>'REF. DE PREÇOS n editavel'!F911</f>
        <v>0</v>
      </c>
      <c r="G911" s="887">
        <f>'REF. DE PREÇOS n editavel'!G911</f>
        <v>0</v>
      </c>
      <c r="H911" s="876">
        <f>'REF. DE PREÇOS n editavel'!H911</f>
        <v>0</v>
      </c>
      <c r="I911" s="876">
        <f>'REF. DE PREÇOS n editavel'!I911</f>
        <v>0</v>
      </c>
      <c r="J911" s="865">
        <f>'REF. DE PREÇOS n editavel'!J911</f>
        <v>0</v>
      </c>
      <c r="K911" s="878" t="str">
        <f>'REF. DE PREÇOS n editavel'!K911</f>
        <v xml:space="preserve">     </v>
      </c>
      <c r="L911" s="1092"/>
      <c r="M911" s="1095">
        <f t="shared" si="108"/>
        <v>0</v>
      </c>
      <c r="N911" s="1122">
        <f t="shared" si="112"/>
        <v>0</v>
      </c>
      <c r="O911" s="1120"/>
      <c r="Q911" s="317" t="str">
        <f t="shared" si="109"/>
        <v/>
      </c>
      <c r="R911" s="317" t="str">
        <f t="shared" si="110"/>
        <v/>
      </c>
      <c r="S911" s="317" t="str">
        <f t="shared" si="111"/>
        <v/>
      </c>
      <c r="T911" s="317" t="str">
        <f>'REF. DE PREÇOS n editavel'!S911</f>
        <v/>
      </c>
      <c r="W911" s="577">
        <v>0</v>
      </c>
      <c r="X911" s="575"/>
      <c r="Y911" s="578">
        <f>IF('REF. DE PREÇOS n editavel'!W911=0,0,IF('REF. DE PREÇOS n editavel'!W911&gt;0,"c","b"))</f>
        <v>0</v>
      </c>
    </row>
    <row r="912" spans="1:25" ht="15" customHeight="1" thickBot="1">
      <c r="A912" s="634" t="s">
        <v>165</v>
      </c>
      <c r="B912" s="1010" t="str">
        <f>'REF. DE PREÇOS n editavel'!B912</f>
        <v/>
      </c>
      <c r="C912" s="1045" t="str">
        <f>'REF. DE PREÇOS n editavel'!C912</f>
        <v/>
      </c>
      <c r="D912" s="1096">
        <f>'REF. DE PREÇOS n editavel'!D912</f>
        <v>0</v>
      </c>
      <c r="E912" s="882">
        <f>'REF. DE PREÇOS n editavel'!E912</f>
        <v>0</v>
      </c>
      <c r="F912" s="883">
        <f>'REF. DE PREÇOS n editavel'!F912</f>
        <v>0</v>
      </c>
      <c r="G912" s="887">
        <f>'REF. DE PREÇOS n editavel'!G912</f>
        <v>0</v>
      </c>
      <c r="H912" s="876">
        <f>'REF. DE PREÇOS n editavel'!H912</f>
        <v>0</v>
      </c>
      <c r="I912" s="876">
        <f>'REF. DE PREÇOS n editavel'!I912</f>
        <v>0</v>
      </c>
      <c r="J912" s="865">
        <f>'REF. DE PREÇOS n editavel'!J912</f>
        <v>0</v>
      </c>
      <c r="K912" s="878" t="str">
        <f>'REF. DE PREÇOS n editavel'!K912</f>
        <v xml:space="preserve">     </v>
      </c>
      <c r="L912" s="1092"/>
      <c r="M912" s="1095">
        <f t="shared" ref="M912" si="113">IF(L912=0,0,ROUND(J912,2))</f>
        <v>0</v>
      </c>
      <c r="N912" s="1122">
        <f t="shared" si="112"/>
        <v>0</v>
      </c>
      <c r="O912" s="1120"/>
      <c r="Q912" s="317" t="str">
        <f t="shared" si="109"/>
        <v/>
      </c>
      <c r="R912" s="317" t="str">
        <f t="shared" si="110"/>
        <v/>
      </c>
      <c r="S912" s="317" t="str">
        <f t="shared" si="111"/>
        <v/>
      </c>
      <c r="T912" s="317" t="str">
        <f>'REF. DE PREÇOS n editavel'!S912</f>
        <v/>
      </c>
      <c r="W912" s="577">
        <v>0</v>
      </c>
      <c r="X912" s="575"/>
      <c r="Y912" s="578">
        <f>IF('REF. DE PREÇOS n editavel'!W912=0,0,IF('REF. DE PREÇOS n editavel'!W912&gt;0,"c","b"))</f>
        <v>0</v>
      </c>
    </row>
    <row r="913" spans="1:25" ht="15" customHeight="1" thickBot="1">
      <c r="A913" s="317" t="s">
        <v>310</v>
      </c>
      <c r="B913" s="924" t="s">
        <v>310</v>
      </c>
      <c r="C913" s="925"/>
      <c r="D913" s="926" t="s">
        <v>438</v>
      </c>
      <c r="E913" s="917">
        <f>'REF. DE PREÇOS n editavel'!E913</f>
        <v>0</v>
      </c>
      <c r="F913" s="851">
        <f>'REF. DE PREÇOS n editavel'!F913</f>
        <v>0</v>
      </c>
      <c r="G913" s="919"/>
      <c r="H913" s="919">
        <f>'REF. DE PREÇOS n editavel'!H913</f>
        <v>0</v>
      </c>
      <c r="I913" s="919">
        <f>'REF. DE PREÇOS n editavel'!I913</f>
        <v>0</v>
      </c>
      <c r="J913" s="919">
        <f>'REF. DE PREÇOS n editavel'!J913</f>
        <v>0</v>
      </c>
      <c r="K913" s="853" t="s">
        <v>506</v>
      </c>
      <c r="L913" s="854"/>
      <c r="M913" s="855"/>
      <c r="N913" s="856">
        <f t="shared" si="112"/>
        <v>0</v>
      </c>
      <c r="O913" s="857">
        <f>SUM(N914:N1624)</f>
        <v>0</v>
      </c>
      <c r="P913" s="58" t="str">
        <f>IF(OR(O913&gt;0,O913&gt;0),"X","")</f>
        <v/>
      </c>
      <c r="Q913" s="317" t="str">
        <f t="shared" si="109"/>
        <v/>
      </c>
      <c r="R913" s="317" t="str">
        <f t="shared" si="110"/>
        <v/>
      </c>
      <c r="S913" s="317" t="str">
        <f t="shared" si="111"/>
        <v/>
      </c>
      <c r="T913" s="317" t="str">
        <f>'REF. DE PREÇOS n editavel'!S913</f>
        <v/>
      </c>
      <c r="W913" s="577">
        <v>0</v>
      </c>
      <c r="X913" s="575"/>
      <c r="Y913" s="578">
        <f>IF('REF. DE PREÇOS n editavel'!W913=0,0,IF('REF. DE PREÇOS n editavel'!W913&gt;0,"c","b"))</f>
        <v>0</v>
      </c>
    </row>
    <row r="914" spans="1:25" ht="33.75">
      <c r="A914" s="317">
        <v>102102</v>
      </c>
      <c r="B914" s="870">
        <v>102102</v>
      </c>
      <c r="C914" s="871" t="s">
        <v>590</v>
      </c>
      <c r="D914" s="881" t="s">
        <v>825</v>
      </c>
      <c r="E914" s="882">
        <f>'REF. DE PREÇOS n editavel'!E914</f>
        <v>0</v>
      </c>
      <c r="F914" s="883">
        <f>'REF. DE PREÇOS n editavel'!F914</f>
        <v>0</v>
      </c>
      <c r="G914" s="887">
        <f>'REF. DE PREÇOS n editavel'!G914</f>
        <v>0</v>
      </c>
      <c r="H914" s="876">
        <f>'REF. DE PREÇOS n editavel'!H914</f>
        <v>9956</v>
      </c>
      <c r="I914" s="876">
        <f>'REF. DE PREÇOS n editavel'!I914</f>
        <v>9956</v>
      </c>
      <c r="J914" s="877">
        <f>'REF. DE PREÇOS n editavel'!J914</f>
        <v>12168.22</v>
      </c>
      <c r="K914" s="878" t="s">
        <v>1500</v>
      </c>
      <c r="L914" s="1092"/>
      <c r="M914" s="1093">
        <f t="shared" ref="M914:M965" si="114">IF(L914=0,0,ROUND(J914,2))</f>
        <v>0</v>
      </c>
      <c r="N914" s="868">
        <f t="shared" ref="N914:N918" si="115">IF(ISBLANK(L914),0,IF(W914=0,ROUND(L914*M914,2),IF(W914="b",ROUNDDOWN(L914*M914,2),ROUNDUP(L914*M914,2))))</f>
        <v>0</v>
      </c>
      <c r="O914" s="880"/>
      <c r="Q914" s="317" t="str">
        <f t="shared" ref="Q914:Q976" si="116">IF(P914="X","x",IF(P914="xx","x",IF(P914="xy","x",IF(P914="y","x",IF(OR(N914&gt;0,N914&gt;0),"x","")))))</f>
        <v/>
      </c>
      <c r="R914" s="317" t="str">
        <f t="shared" ref="R914" si="117">IF(P914="X","x",IF(P914="y","x",IF(P914="xx","x",IF(N914&gt;0,"x",""))))</f>
        <v/>
      </c>
      <c r="S914" s="317" t="str">
        <f t="shared" ref="S914" si="118">IF(P914="X","x",IF(N914&gt;0,"x",""))</f>
        <v/>
      </c>
      <c r="T914" s="317" t="str">
        <f>'REF. DE PREÇOS n editavel'!S914</f>
        <v/>
      </c>
      <c r="W914" s="577">
        <v>0</v>
      </c>
      <c r="X914" s="575"/>
      <c r="Y914" s="578">
        <f>IF('REF. DE PREÇOS n editavel'!W914=0,0,IF('REF. DE PREÇOS n editavel'!W914&gt;0,"c","b"))</f>
        <v>0</v>
      </c>
    </row>
    <row r="915" spans="1:25" ht="33.75">
      <c r="A915" s="317">
        <v>102103</v>
      </c>
      <c r="B915" s="870">
        <v>102103</v>
      </c>
      <c r="C915" s="871" t="s">
        <v>590</v>
      </c>
      <c r="D915" s="881" t="s">
        <v>826</v>
      </c>
      <c r="E915" s="882">
        <f>'REF. DE PREÇOS n editavel'!E915</f>
        <v>0</v>
      </c>
      <c r="F915" s="883">
        <f>'REF. DE PREÇOS n editavel'!F915</f>
        <v>0</v>
      </c>
      <c r="G915" s="887">
        <f>'REF. DE PREÇOS n editavel'!G915</f>
        <v>0</v>
      </c>
      <c r="H915" s="876">
        <f>'REF. DE PREÇOS n editavel'!H915</f>
        <v>11068.77</v>
      </c>
      <c r="I915" s="876">
        <f>'REF. DE PREÇOS n editavel'!I915</f>
        <v>11068.77</v>
      </c>
      <c r="J915" s="877">
        <f>'REF. DE PREÇOS n editavel'!J915</f>
        <v>13528.25</v>
      </c>
      <c r="K915" s="878" t="s">
        <v>1500</v>
      </c>
      <c r="L915" s="1092"/>
      <c r="M915" s="1093">
        <f t="shared" si="114"/>
        <v>0</v>
      </c>
      <c r="N915" s="868">
        <f t="shared" si="115"/>
        <v>0</v>
      </c>
      <c r="O915" s="880"/>
      <c r="Q915" s="317" t="str">
        <f t="shared" si="116"/>
        <v/>
      </c>
      <c r="R915" s="317" t="str">
        <f t="shared" ref="R915:R978" si="119">IF(P915="X","x",IF(P915="y","x",IF(P915="xx","x",IF(N915&gt;0,"x",""))))</f>
        <v/>
      </c>
      <c r="S915" s="317" t="str">
        <f t="shared" ref="S915:S978" si="120">IF(P915="X","x",IF(N915&gt;0,"x",""))</f>
        <v/>
      </c>
      <c r="T915" s="317" t="str">
        <f>'REF. DE PREÇOS n editavel'!S915</f>
        <v/>
      </c>
      <c r="W915" s="577">
        <v>0</v>
      </c>
      <c r="X915" s="575"/>
      <c r="Y915" s="578">
        <f>IF('REF. DE PREÇOS n editavel'!W915=0,0,IF('REF. DE PREÇOS n editavel'!W915&gt;0,"c","b"))</f>
        <v>0</v>
      </c>
    </row>
    <row r="916" spans="1:25" ht="33.75">
      <c r="A916" s="317">
        <v>102104</v>
      </c>
      <c r="B916" s="870">
        <v>102104</v>
      </c>
      <c r="C916" s="871" t="s">
        <v>590</v>
      </c>
      <c r="D916" s="881" t="s">
        <v>827</v>
      </c>
      <c r="E916" s="882">
        <f>'REF. DE PREÇOS n editavel'!E916</f>
        <v>0</v>
      </c>
      <c r="F916" s="883">
        <f>'REF. DE PREÇOS n editavel'!F916</f>
        <v>0</v>
      </c>
      <c r="G916" s="887">
        <f>'REF. DE PREÇOS n editavel'!G916</f>
        <v>0</v>
      </c>
      <c r="H916" s="876">
        <f>'REF. DE PREÇOS n editavel'!H916</f>
        <v>14168.89</v>
      </c>
      <c r="I916" s="876">
        <f>'REF. DE PREÇOS n editavel'!I916</f>
        <v>14168.89</v>
      </c>
      <c r="J916" s="877">
        <f>'REF. DE PREÇOS n editavel'!J916</f>
        <v>17317.22</v>
      </c>
      <c r="K916" s="878" t="s">
        <v>1500</v>
      </c>
      <c r="L916" s="1092"/>
      <c r="M916" s="1093">
        <f t="shared" si="114"/>
        <v>0</v>
      </c>
      <c r="N916" s="868">
        <f t="shared" si="115"/>
        <v>0</v>
      </c>
      <c r="O916" s="880"/>
      <c r="Q916" s="317" t="str">
        <f t="shared" si="116"/>
        <v/>
      </c>
      <c r="R916" s="317" t="str">
        <f t="shared" si="119"/>
        <v/>
      </c>
      <c r="S916" s="317" t="str">
        <f t="shared" si="120"/>
        <v/>
      </c>
      <c r="T916" s="317" t="str">
        <f>'REF. DE PREÇOS n editavel'!S916</f>
        <v/>
      </c>
      <c r="W916" s="577">
        <v>0</v>
      </c>
      <c r="X916" s="575"/>
      <c r="Y916" s="578">
        <f>IF('REF. DE PREÇOS n editavel'!W916=0,0,IF('REF. DE PREÇOS n editavel'!W916&gt;0,"c","b"))</f>
        <v>0</v>
      </c>
    </row>
    <row r="917" spans="1:25" ht="33.75">
      <c r="A917" s="317">
        <v>102105</v>
      </c>
      <c r="B917" s="870">
        <v>102105</v>
      </c>
      <c r="C917" s="871" t="s">
        <v>590</v>
      </c>
      <c r="D917" s="881" t="s">
        <v>828</v>
      </c>
      <c r="E917" s="882">
        <f>'REF. DE PREÇOS n editavel'!E917</f>
        <v>0</v>
      </c>
      <c r="F917" s="883">
        <f>'REF. DE PREÇOS n editavel'!F917</f>
        <v>0</v>
      </c>
      <c r="G917" s="887">
        <f>'REF. DE PREÇOS n editavel'!G917</f>
        <v>0</v>
      </c>
      <c r="H917" s="876">
        <f>'REF. DE PREÇOS n editavel'!H917</f>
        <v>17389.88</v>
      </c>
      <c r="I917" s="876">
        <f>'REF. DE PREÇOS n editavel'!I917</f>
        <v>17389.88</v>
      </c>
      <c r="J917" s="877">
        <f>'REF. DE PREÇOS n editavel'!J917</f>
        <v>21253.91</v>
      </c>
      <c r="K917" s="878" t="s">
        <v>1500</v>
      </c>
      <c r="L917" s="1092"/>
      <c r="M917" s="1093">
        <f t="shared" si="114"/>
        <v>0</v>
      </c>
      <c r="N917" s="868">
        <f t="shared" si="115"/>
        <v>0</v>
      </c>
      <c r="O917" s="880"/>
      <c r="Q917" s="317" t="str">
        <f t="shared" si="116"/>
        <v/>
      </c>
      <c r="R917" s="317" t="str">
        <f t="shared" si="119"/>
        <v/>
      </c>
      <c r="S917" s="317" t="str">
        <f t="shared" si="120"/>
        <v/>
      </c>
      <c r="T917" s="317" t="str">
        <f>'REF. DE PREÇOS n editavel'!S917</f>
        <v/>
      </c>
      <c r="W917" s="577">
        <v>0</v>
      </c>
      <c r="X917" s="575"/>
      <c r="Y917" s="578">
        <f>IF('REF. DE PREÇOS n editavel'!W917=0,0,IF('REF. DE PREÇOS n editavel'!W917&gt;0,"c","b"))</f>
        <v>0</v>
      </c>
    </row>
    <row r="918" spans="1:25" ht="33.75">
      <c r="A918" s="317">
        <v>102106</v>
      </c>
      <c r="B918" s="870">
        <v>102106</v>
      </c>
      <c r="C918" s="871" t="s">
        <v>590</v>
      </c>
      <c r="D918" s="881" t="s">
        <v>829</v>
      </c>
      <c r="E918" s="882">
        <f>'REF. DE PREÇOS n editavel'!E918</f>
        <v>0</v>
      </c>
      <c r="F918" s="883">
        <f>'REF. DE PREÇOS n editavel'!F918</f>
        <v>0</v>
      </c>
      <c r="G918" s="887">
        <f>'REF. DE PREÇOS n editavel'!G918</f>
        <v>0</v>
      </c>
      <c r="H918" s="876">
        <f>'REF. DE PREÇOS n editavel'!H918</f>
        <v>21783.06</v>
      </c>
      <c r="I918" s="876">
        <f>'REF. DE PREÇOS n editavel'!I918</f>
        <v>21783.06</v>
      </c>
      <c r="J918" s="877">
        <f>'REF. DE PREÇOS n editavel'!J918</f>
        <v>26623.26</v>
      </c>
      <c r="K918" s="878" t="s">
        <v>1500</v>
      </c>
      <c r="L918" s="1092"/>
      <c r="M918" s="1093">
        <f t="shared" si="114"/>
        <v>0</v>
      </c>
      <c r="N918" s="868">
        <f t="shared" si="115"/>
        <v>0</v>
      </c>
      <c r="O918" s="880"/>
      <c r="Q918" s="317" t="str">
        <f t="shared" si="116"/>
        <v/>
      </c>
      <c r="R918" s="317" t="str">
        <f t="shared" si="119"/>
        <v/>
      </c>
      <c r="S918" s="317" t="str">
        <f t="shared" si="120"/>
        <v/>
      </c>
      <c r="T918" s="317" t="str">
        <f>'REF. DE PREÇOS n editavel'!S918</f>
        <v/>
      </c>
      <c r="W918" s="577">
        <v>0</v>
      </c>
      <c r="X918" s="575"/>
      <c r="Y918" s="578">
        <f>IF('REF. DE PREÇOS n editavel'!W918=0,0,IF('REF. DE PREÇOS n editavel'!W918&gt;0,"c","b"))</f>
        <v>0</v>
      </c>
    </row>
    <row r="919" spans="1:25" ht="33.75">
      <c r="A919" s="317">
        <v>102107</v>
      </c>
      <c r="B919" s="870">
        <v>102107</v>
      </c>
      <c r="C919" s="871" t="s">
        <v>590</v>
      </c>
      <c r="D919" s="881" t="s">
        <v>830</v>
      </c>
      <c r="E919" s="882">
        <f>'REF. DE PREÇOS n editavel'!E919</f>
        <v>0</v>
      </c>
      <c r="F919" s="883">
        <f>'REF. DE PREÇOS n editavel'!F919</f>
        <v>0</v>
      </c>
      <c r="G919" s="887">
        <f>'REF. DE PREÇOS n editavel'!G919</f>
        <v>0</v>
      </c>
      <c r="H919" s="876">
        <f>'REF. DE PREÇOS n editavel'!H919</f>
        <v>30352.89</v>
      </c>
      <c r="I919" s="876">
        <f>'REF. DE PREÇOS n editavel'!I919</f>
        <v>30352.89</v>
      </c>
      <c r="J919" s="877">
        <f>'REF. DE PREÇOS n editavel'!J919</f>
        <v>37097.300000000003</v>
      </c>
      <c r="K919" s="878" t="s">
        <v>1500</v>
      </c>
      <c r="L919" s="1092"/>
      <c r="M919" s="1093">
        <f t="shared" si="114"/>
        <v>0</v>
      </c>
      <c r="N919" s="868">
        <f t="shared" ref="N919:N982" si="121">IF(ISBLANK(L919),0,IF(W919=0,ROUND(L919*M919,2),IF(W919="b",ROUNDDOWN(L919*M919,2),ROUNDUP(L919*M919,2))))</f>
        <v>0</v>
      </c>
      <c r="O919" s="880"/>
      <c r="Q919" s="317" t="str">
        <f t="shared" si="116"/>
        <v/>
      </c>
      <c r="R919" s="317" t="str">
        <f t="shared" si="119"/>
        <v/>
      </c>
      <c r="S919" s="317" t="str">
        <f t="shared" si="120"/>
        <v/>
      </c>
      <c r="T919" s="317" t="str">
        <f>'REF. DE PREÇOS n editavel'!S919</f>
        <v/>
      </c>
      <c r="W919" s="577">
        <v>0</v>
      </c>
      <c r="X919" s="575"/>
      <c r="Y919" s="578">
        <f>IF('REF. DE PREÇOS n editavel'!W919=0,0,IF('REF. DE PREÇOS n editavel'!W919&gt;0,"c","b"))</f>
        <v>0</v>
      </c>
    </row>
    <row r="920" spans="1:25" ht="33.75">
      <c r="A920" s="317">
        <v>102108</v>
      </c>
      <c r="B920" s="870">
        <v>102108</v>
      </c>
      <c r="C920" s="871" t="s">
        <v>590</v>
      </c>
      <c r="D920" s="881" t="s">
        <v>831</v>
      </c>
      <c r="E920" s="882">
        <f>'REF. DE PREÇOS n editavel'!E920</f>
        <v>0</v>
      </c>
      <c r="F920" s="883">
        <f>'REF. DE PREÇOS n editavel'!F920</f>
        <v>0</v>
      </c>
      <c r="G920" s="887">
        <f>'REF. DE PREÇOS n editavel'!G920</f>
        <v>0</v>
      </c>
      <c r="H920" s="876">
        <f>'REF. DE PREÇOS n editavel'!H920</f>
        <v>35328.54</v>
      </c>
      <c r="I920" s="876">
        <f>'REF. DE PREÇOS n editavel'!I920</f>
        <v>35328.54</v>
      </c>
      <c r="J920" s="877">
        <f>'REF. DE PREÇOS n editavel'!J920</f>
        <v>43178.54</v>
      </c>
      <c r="K920" s="878" t="s">
        <v>1500</v>
      </c>
      <c r="L920" s="1092"/>
      <c r="M920" s="1093">
        <f t="shared" si="114"/>
        <v>0</v>
      </c>
      <c r="N920" s="868">
        <f t="shared" si="121"/>
        <v>0</v>
      </c>
      <c r="O920" s="880"/>
      <c r="Q920" s="317" t="str">
        <f t="shared" si="116"/>
        <v/>
      </c>
      <c r="R920" s="317" t="str">
        <f t="shared" si="119"/>
        <v/>
      </c>
      <c r="S920" s="317" t="str">
        <f t="shared" si="120"/>
        <v/>
      </c>
      <c r="T920" s="317" t="str">
        <f>'REF. DE PREÇOS n editavel'!S920</f>
        <v/>
      </c>
      <c r="W920" s="577">
        <v>0</v>
      </c>
      <c r="X920" s="575"/>
      <c r="Y920" s="578">
        <f>IF('REF. DE PREÇOS n editavel'!W920=0,0,IF('REF. DE PREÇOS n editavel'!W920&gt;0,"c","b"))</f>
        <v>0</v>
      </c>
    </row>
    <row r="921" spans="1:25" ht="22.5">
      <c r="A921" s="317">
        <v>102109</v>
      </c>
      <c r="B921" s="870">
        <v>102109</v>
      </c>
      <c r="C921" s="871" t="s">
        <v>590</v>
      </c>
      <c r="D921" s="881" t="s">
        <v>832</v>
      </c>
      <c r="E921" s="882">
        <f>'REF. DE PREÇOS n editavel'!E921</f>
        <v>0</v>
      </c>
      <c r="F921" s="883">
        <f>'REF. DE PREÇOS n editavel'!F921</f>
        <v>0</v>
      </c>
      <c r="G921" s="887">
        <f>'REF. DE PREÇOS n editavel'!G921</f>
        <v>0</v>
      </c>
      <c r="H921" s="876">
        <f>'REF. DE PREÇOS n editavel'!H921</f>
        <v>45.94</v>
      </c>
      <c r="I921" s="876">
        <f>'REF. DE PREÇOS n editavel'!I921</f>
        <v>45.94</v>
      </c>
      <c r="J921" s="877">
        <f>'REF. DE PREÇOS n editavel'!J921</f>
        <v>56.15</v>
      </c>
      <c r="K921" s="878" t="s">
        <v>1500</v>
      </c>
      <c r="L921" s="1092"/>
      <c r="M921" s="1093">
        <f t="shared" si="114"/>
        <v>0</v>
      </c>
      <c r="N921" s="868">
        <f t="shared" si="121"/>
        <v>0</v>
      </c>
      <c r="O921" s="880"/>
      <c r="Q921" s="317" t="str">
        <f t="shared" si="116"/>
        <v/>
      </c>
      <c r="R921" s="317" t="str">
        <f t="shared" si="119"/>
        <v/>
      </c>
      <c r="S921" s="317" t="str">
        <f t="shared" si="120"/>
        <v/>
      </c>
      <c r="T921" s="317" t="str">
        <f>'REF. DE PREÇOS n editavel'!S921</f>
        <v/>
      </c>
      <c r="W921" s="577">
        <v>0</v>
      </c>
      <c r="X921" s="575"/>
      <c r="Y921" s="578">
        <f>IF('REF. DE PREÇOS n editavel'!W921=0,0,IF('REF. DE PREÇOS n editavel'!W921&gt;0,"c","b"))</f>
        <v>0</v>
      </c>
    </row>
    <row r="922" spans="1:25" ht="22.5">
      <c r="A922" s="317">
        <v>102110</v>
      </c>
      <c r="B922" s="870">
        <v>102110</v>
      </c>
      <c r="C922" s="871" t="s">
        <v>590</v>
      </c>
      <c r="D922" s="881" t="s">
        <v>833</v>
      </c>
      <c r="E922" s="882">
        <f>'REF. DE PREÇOS n editavel'!E922</f>
        <v>0</v>
      </c>
      <c r="F922" s="883">
        <f>'REF. DE PREÇOS n editavel'!F922</f>
        <v>0</v>
      </c>
      <c r="G922" s="887">
        <f>'REF. DE PREÇOS n editavel'!G922</f>
        <v>0</v>
      </c>
      <c r="H922" s="876">
        <f>'REF. DE PREÇOS n editavel'!H922</f>
        <v>110.92</v>
      </c>
      <c r="I922" s="876">
        <f>'REF. DE PREÇOS n editavel'!I922</f>
        <v>110.92</v>
      </c>
      <c r="J922" s="877">
        <f>'REF. DE PREÇOS n editavel'!J922</f>
        <v>135.57</v>
      </c>
      <c r="K922" s="878" t="s">
        <v>1500</v>
      </c>
      <c r="L922" s="1092"/>
      <c r="M922" s="1093">
        <f t="shared" si="114"/>
        <v>0</v>
      </c>
      <c r="N922" s="868">
        <f t="shared" si="121"/>
        <v>0</v>
      </c>
      <c r="O922" s="880"/>
      <c r="Q922" s="317" t="str">
        <f t="shared" si="116"/>
        <v/>
      </c>
      <c r="R922" s="317" t="str">
        <f t="shared" si="119"/>
        <v/>
      </c>
      <c r="S922" s="317" t="str">
        <f t="shared" si="120"/>
        <v/>
      </c>
      <c r="T922" s="317" t="str">
        <f>'REF. DE PREÇOS n editavel'!S922</f>
        <v/>
      </c>
      <c r="W922" s="577">
        <v>0</v>
      </c>
      <c r="X922" s="575"/>
      <c r="Y922" s="578">
        <f>IF('REF. DE PREÇOS n editavel'!W922=0,0,IF('REF. DE PREÇOS n editavel'!W922&gt;0,"c","b"))</f>
        <v>0</v>
      </c>
    </row>
    <row r="923" spans="1:25" ht="22.5">
      <c r="A923" s="317">
        <v>100619</v>
      </c>
      <c r="B923" s="870">
        <v>100619</v>
      </c>
      <c r="C923" s="871" t="s">
        <v>590</v>
      </c>
      <c r="D923" s="881" t="s">
        <v>834</v>
      </c>
      <c r="E923" s="882">
        <f>'REF. DE PREÇOS n editavel'!E923</f>
        <v>0</v>
      </c>
      <c r="F923" s="883">
        <f>'REF. DE PREÇOS n editavel'!F923</f>
        <v>0</v>
      </c>
      <c r="G923" s="887">
        <f>'REF. DE PREÇOS n editavel'!G923</f>
        <v>0</v>
      </c>
      <c r="H923" s="876">
        <f>'REF. DE PREÇOS n editavel'!H923</f>
        <v>601.52</v>
      </c>
      <c r="I923" s="876">
        <f>'REF. DE PREÇOS n editavel'!I923</f>
        <v>601.52</v>
      </c>
      <c r="J923" s="877">
        <f>'REF. DE PREÇOS n editavel'!J923</f>
        <v>735.18</v>
      </c>
      <c r="K923" s="878" t="s">
        <v>1500</v>
      </c>
      <c r="L923" s="1092"/>
      <c r="M923" s="1093">
        <f t="shared" si="114"/>
        <v>0</v>
      </c>
      <c r="N923" s="868">
        <f t="shared" si="121"/>
        <v>0</v>
      </c>
      <c r="O923" s="880"/>
      <c r="Q923" s="317" t="str">
        <f t="shared" si="116"/>
        <v/>
      </c>
      <c r="R923" s="317" t="str">
        <f t="shared" si="119"/>
        <v/>
      </c>
      <c r="S923" s="317" t="str">
        <f t="shared" si="120"/>
        <v/>
      </c>
      <c r="T923" s="317" t="str">
        <f>'REF. DE PREÇOS n editavel'!S923</f>
        <v/>
      </c>
      <c r="W923" s="577">
        <v>0</v>
      </c>
      <c r="X923" s="575"/>
      <c r="Y923" s="578">
        <f>IF('REF. DE PREÇOS n editavel'!W923=0,0,IF('REF. DE PREÇOS n editavel'!W923&gt;0,"c","b"))</f>
        <v>0</v>
      </c>
    </row>
    <row r="924" spans="1:25" ht="22.5">
      <c r="A924" s="317">
        <v>100620</v>
      </c>
      <c r="B924" s="870">
        <v>100620</v>
      </c>
      <c r="C924" s="871" t="s">
        <v>590</v>
      </c>
      <c r="D924" s="881" t="s">
        <v>835</v>
      </c>
      <c r="E924" s="882">
        <f>'REF. DE PREÇOS n editavel'!E924</f>
        <v>0</v>
      </c>
      <c r="F924" s="883">
        <f>'REF. DE PREÇOS n editavel'!F924</f>
        <v>0</v>
      </c>
      <c r="G924" s="887">
        <f>'REF. DE PREÇOS n editavel'!G924</f>
        <v>0</v>
      </c>
      <c r="H924" s="876">
        <f>'REF. DE PREÇOS n editavel'!H924</f>
        <v>3497.06</v>
      </c>
      <c r="I924" s="876">
        <f>'REF. DE PREÇOS n editavel'!I924</f>
        <v>3497.06</v>
      </c>
      <c r="J924" s="877">
        <f>'REF. DE PREÇOS n editavel'!J924</f>
        <v>4274.1099999999997</v>
      </c>
      <c r="K924" s="878" t="s">
        <v>1500</v>
      </c>
      <c r="L924" s="1092"/>
      <c r="M924" s="1093">
        <f t="shared" si="114"/>
        <v>0</v>
      </c>
      <c r="N924" s="868">
        <f t="shared" si="121"/>
        <v>0</v>
      </c>
      <c r="O924" s="880"/>
      <c r="Q924" s="317" t="str">
        <f t="shared" si="116"/>
        <v/>
      </c>
      <c r="R924" s="317" t="str">
        <f t="shared" si="119"/>
        <v/>
      </c>
      <c r="S924" s="317" t="str">
        <f t="shared" si="120"/>
        <v/>
      </c>
      <c r="T924" s="317" t="str">
        <f>'REF. DE PREÇOS n editavel'!S924</f>
        <v/>
      </c>
      <c r="W924" s="577">
        <v>0</v>
      </c>
      <c r="X924" s="575"/>
      <c r="Y924" s="578">
        <f>IF('REF. DE PREÇOS n editavel'!W924=0,0,IF('REF. DE PREÇOS n editavel'!W924&gt;0,"c","b"))</f>
        <v>0</v>
      </c>
    </row>
    <row r="925" spans="1:25" ht="22.5">
      <c r="A925" s="317">
        <v>100621</v>
      </c>
      <c r="B925" s="870">
        <v>100621</v>
      </c>
      <c r="C925" s="871" t="s">
        <v>590</v>
      </c>
      <c r="D925" s="881" t="s">
        <v>836</v>
      </c>
      <c r="E925" s="882">
        <f>'REF. DE PREÇOS n editavel'!E925</f>
        <v>0</v>
      </c>
      <c r="F925" s="883">
        <f>'REF. DE PREÇOS n editavel'!F925</f>
        <v>0</v>
      </c>
      <c r="G925" s="887">
        <f>'REF. DE PREÇOS n editavel'!G925</f>
        <v>0</v>
      </c>
      <c r="H925" s="876">
        <f>'REF. DE PREÇOS n editavel'!H925</f>
        <v>3985.57</v>
      </c>
      <c r="I925" s="876">
        <f>'REF. DE PREÇOS n editavel'!I925</f>
        <v>3985.57</v>
      </c>
      <c r="J925" s="877">
        <f>'REF. DE PREÇOS n editavel'!J925</f>
        <v>4871.16</v>
      </c>
      <c r="K925" s="878" t="s">
        <v>1500</v>
      </c>
      <c r="L925" s="1092"/>
      <c r="M925" s="1093">
        <f t="shared" si="114"/>
        <v>0</v>
      </c>
      <c r="N925" s="868">
        <f t="shared" si="121"/>
        <v>0</v>
      </c>
      <c r="O925" s="880"/>
      <c r="Q925" s="317" t="str">
        <f t="shared" si="116"/>
        <v/>
      </c>
      <c r="R925" s="317" t="str">
        <f t="shared" si="119"/>
        <v/>
      </c>
      <c r="S925" s="317" t="str">
        <f t="shared" si="120"/>
        <v/>
      </c>
      <c r="T925" s="317" t="str">
        <f>'REF. DE PREÇOS n editavel'!S925</f>
        <v/>
      </c>
      <c r="W925" s="577">
        <v>0</v>
      </c>
      <c r="X925" s="575"/>
      <c r="Y925" s="578">
        <f>IF('REF. DE PREÇOS n editavel'!W925=0,0,IF('REF. DE PREÇOS n editavel'!W925&gt;0,"c","b"))</f>
        <v>0</v>
      </c>
    </row>
    <row r="926" spans="1:25" ht="22.5">
      <c r="A926" s="317">
        <v>100622</v>
      </c>
      <c r="B926" s="870">
        <v>100622</v>
      </c>
      <c r="C926" s="871" t="s">
        <v>590</v>
      </c>
      <c r="D926" s="881" t="s">
        <v>837</v>
      </c>
      <c r="E926" s="882">
        <f>'REF. DE PREÇOS n editavel'!E926</f>
        <v>0</v>
      </c>
      <c r="F926" s="883">
        <f>'REF. DE PREÇOS n editavel'!F926</f>
        <v>0</v>
      </c>
      <c r="G926" s="887">
        <f>'REF. DE PREÇOS n editavel'!G926</f>
        <v>0</v>
      </c>
      <c r="H926" s="876">
        <f>'REF. DE PREÇOS n editavel'!H926</f>
        <v>2579.4299999999998</v>
      </c>
      <c r="I926" s="876">
        <f>'REF. DE PREÇOS n editavel'!I926</f>
        <v>2579.4299999999998</v>
      </c>
      <c r="J926" s="877">
        <f>'REF. DE PREÇOS n editavel'!J926</f>
        <v>3152.58</v>
      </c>
      <c r="K926" s="878" t="s">
        <v>1500</v>
      </c>
      <c r="L926" s="1092"/>
      <c r="M926" s="1093">
        <f t="shared" si="114"/>
        <v>0</v>
      </c>
      <c r="N926" s="868">
        <f t="shared" si="121"/>
        <v>0</v>
      </c>
      <c r="O926" s="880"/>
      <c r="Q926" s="317" t="str">
        <f t="shared" si="116"/>
        <v/>
      </c>
      <c r="R926" s="317" t="str">
        <f t="shared" si="119"/>
        <v/>
      </c>
      <c r="S926" s="317" t="str">
        <f t="shared" si="120"/>
        <v/>
      </c>
      <c r="T926" s="317" t="str">
        <f>'REF. DE PREÇOS n editavel'!S926</f>
        <v/>
      </c>
      <c r="W926" s="577">
        <v>0</v>
      </c>
      <c r="X926" s="575"/>
      <c r="Y926" s="578">
        <f>IF('REF. DE PREÇOS n editavel'!W926=0,0,IF('REF. DE PREÇOS n editavel'!W926&gt;0,"c","b"))</f>
        <v>0</v>
      </c>
    </row>
    <row r="927" spans="1:25" ht="22.5">
      <c r="A927" s="317">
        <v>100623</v>
      </c>
      <c r="B927" s="870">
        <v>100623</v>
      </c>
      <c r="C927" s="871" t="s">
        <v>590</v>
      </c>
      <c r="D927" s="881" t="s">
        <v>838</v>
      </c>
      <c r="E927" s="882">
        <f>'REF. DE PREÇOS n editavel'!E927</f>
        <v>0</v>
      </c>
      <c r="F927" s="883">
        <f>'REF. DE PREÇOS n editavel'!F927</f>
        <v>0</v>
      </c>
      <c r="G927" s="887">
        <f>'REF. DE PREÇOS n editavel'!G927</f>
        <v>0</v>
      </c>
      <c r="H927" s="876">
        <f>'REF. DE PREÇOS n editavel'!H927</f>
        <v>2785.78</v>
      </c>
      <c r="I927" s="876">
        <f>'REF. DE PREÇOS n editavel'!I927</f>
        <v>2785.78</v>
      </c>
      <c r="J927" s="877">
        <f>'REF. DE PREÇOS n editavel'!J927</f>
        <v>3404.78</v>
      </c>
      <c r="K927" s="878" t="s">
        <v>1500</v>
      </c>
      <c r="L927" s="1092"/>
      <c r="M927" s="1093">
        <f t="shared" si="114"/>
        <v>0</v>
      </c>
      <c r="N927" s="868">
        <f t="shared" si="121"/>
        <v>0</v>
      </c>
      <c r="O927" s="880"/>
      <c r="Q927" s="317" t="str">
        <f t="shared" si="116"/>
        <v/>
      </c>
      <c r="R927" s="317" t="str">
        <f t="shared" si="119"/>
        <v/>
      </c>
      <c r="S927" s="317" t="str">
        <f t="shared" si="120"/>
        <v/>
      </c>
      <c r="T927" s="317" t="str">
        <f>'REF. DE PREÇOS n editavel'!S927</f>
        <v/>
      </c>
      <c r="W927" s="577">
        <v>0</v>
      </c>
      <c r="X927" s="575"/>
      <c r="Y927" s="578">
        <f>IF('REF. DE PREÇOS n editavel'!W927=0,0,IF('REF. DE PREÇOS n editavel'!W927&gt;0,"c","b"))</f>
        <v>0</v>
      </c>
    </row>
    <row r="928" spans="1:25" ht="33.75">
      <c r="A928" s="317">
        <v>100578</v>
      </c>
      <c r="B928" s="870">
        <v>100578</v>
      </c>
      <c r="C928" s="871" t="s">
        <v>590</v>
      </c>
      <c r="D928" s="881" t="s">
        <v>839</v>
      </c>
      <c r="E928" s="882">
        <f>'REF. DE PREÇOS n editavel'!E928</f>
        <v>0</v>
      </c>
      <c r="F928" s="883">
        <f>'REF. DE PREÇOS n editavel'!F928</f>
        <v>0</v>
      </c>
      <c r="G928" s="887">
        <f>'REF. DE PREÇOS n editavel'!G928</f>
        <v>0</v>
      </c>
      <c r="H928" s="876">
        <f>'REF. DE PREÇOS n editavel'!H928</f>
        <v>509.26</v>
      </c>
      <c r="I928" s="876">
        <f>'REF. DE PREÇOS n editavel'!I928</f>
        <v>509.26</v>
      </c>
      <c r="J928" s="877">
        <f>'REF. DE PREÇOS n editavel'!J928</f>
        <v>622.41999999999996</v>
      </c>
      <c r="K928" s="878" t="s">
        <v>1500</v>
      </c>
      <c r="L928" s="1092"/>
      <c r="M928" s="1093">
        <f t="shared" si="114"/>
        <v>0</v>
      </c>
      <c r="N928" s="868">
        <f t="shared" si="121"/>
        <v>0</v>
      </c>
      <c r="O928" s="880"/>
      <c r="Q928" s="317" t="str">
        <f t="shared" si="116"/>
        <v/>
      </c>
      <c r="R928" s="317" t="str">
        <f t="shared" si="119"/>
        <v/>
      </c>
      <c r="S928" s="317" t="str">
        <f t="shared" si="120"/>
        <v/>
      </c>
      <c r="T928" s="317" t="str">
        <f>'REF. DE PREÇOS n editavel'!S928</f>
        <v/>
      </c>
      <c r="W928" s="577">
        <v>0</v>
      </c>
      <c r="X928" s="575"/>
      <c r="Y928" s="578">
        <f>IF('REF. DE PREÇOS n editavel'!W928=0,0,IF('REF. DE PREÇOS n editavel'!W928&gt;0,"c","b"))</f>
        <v>0</v>
      </c>
    </row>
    <row r="929" spans="1:25" ht="33.75">
      <c r="A929" s="317">
        <v>100579</v>
      </c>
      <c r="B929" s="870">
        <v>100579</v>
      </c>
      <c r="C929" s="871" t="s">
        <v>590</v>
      </c>
      <c r="D929" s="881" t="s">
        <v>840</v>
      </c>
      <c r="E929" s="882">
        <f>'REF. DE PREÇOS n editavel'!E929</f>
        <v>0</v>
      </c>
      <c r="F929" s="883">
        <f>'REF. DE PREÇOS n editavel'!F929</f>
        <v>0</v>
      </c>
      <c r="G929" s="887">
        <f>'REF. DE PREÇOS n editavel'!G929</f>
        <v>0</v>
      </c>
      <c r="H929" s="876">
        <f>'REF. DE PREÇOS n editavel'!H929</f>
        <v>558</v>
      </c>
      <c r="I929" s="876">
        <f>'REF. DE PREÇOS n editavel'!I929</f>
        <v>558</v>
      </c>
      <c r="J929" s="877">
        <f>'REF. DE PREÇOS n editavel'!J929</f>
        <v>681.99</v>
      </c>
      <c r="K929" s="878" t="s">
        <v>1500</v>
      </c>
      <c r="L929" s="1092"/>
      <c r="M929" s="1093">
        <f t="shared" si="114"/>
        <v>0</v>
      </c>
      <c r="N929" s="868">
        <f t="shared" si="121"/>
        <v>0</v>
      </c>
      <c r="O929" s="880"/>
      <c r="Q929" s="317" t="str">
        <f t="shared" si="116"/>
        <v/>
      </c>
      <c r="R929" s="317" t="str">
        <f t="shared" si="119"/>
        <v/>
      </c>
      <c r="S929" s="317" t="str">
        <f t="shared" si="120"/>
        <v/>
      </c>
      <c r="T929" s="317" t="str">
        <f>'REF. DE PREÇOS n editavel'!S929</f>
        <v/>
      </c>
      <c r="W929" s="577">
        <v>0</v>
      </c>
      <c r="X929" s="575"/>
      <c r="Y929" s="578">
        <f>IF('REF. DE PREÇOS n editavel'!W929=0,0,IF('REF. DE PREÇOS n editavel'!W929&gt;0,"c","b"))</f>
        <v>0</v>
      </c>
    </row>
    <row r="930" spans="1:25" ht="33.75">
      <c r="A930" s="317">
        <v>100580</v>
      </c>
      <c r="B930" s="870">
        <v>100580</v>
      </c>
      <c r="C930" s="871" t="s">
        <v>590</v>
      </c>
      <c r="D930" s="881" t="s">
        <v>841</v>
      </c>
      <c r="E930" s="882">
        <f>'REF. DE PREÇOS n editavel'!E930</f>
        <v>0</v>
      </c>
      <c r="F930" s="883">
        <f>'REF. DE PREÇOS n editavel'!F930</f>
        <v>0</v>
      </c>
      <c r="G930" s="887">
        <f>'REF. DE PREÇOS n editavel'!G930</f>
        <v>0</v>
      </c>
      <c r="H930" s="876">
        <f>'REF. DE PREÇOS n editavel'!H930</f>
        <v>615.13</v>
      </c>
      <c r="I930" s="876">
        <f>'REF. DE PREÇOS n editavel'!I930</f>
        <v>615.13</v>
      </c>
      <c r="J930" s="877">
        <f>'REF. DE PREÇOS n editavel'!J930</f>
        <v>751.81</v>
      </c>
      <c r="K930" s="878" t="s">
        <v>1500</v>
      </c>
      <c r="L930" s="1092"/>
      <c r="M930" s="1093">
        <f t="shared" si="114"/>
        <v>0</v>
      </c>
      <c r="N930" s="868">
        <f t="shared" si="121"/>
        <v>0</v>
      </c>
      <c r="O930" s="880"/>
      <c r="Q930" s="317" t="str">
        <f t="shared" si="116"/>
        <v/>
      </c>
      <c r="R930" s="317" t="str">
        <f t="shared" si="119"/>
        <v/>
      </c>
      <c r="S930" s="317" t="str">
        <f t="shared" si="120"/>
        <v/>
      </c>
      <c r="T930" s="317" t="str">
        <f>'REF. DE PREÇOS n editavel'!S930</f>
        <v/>
      </c>
      <c r="W930" s="577">
        <v>0</v>
      </c>
      <c r="X930" s="575"/>
      <c r="Y930" s="578">
        <f>IF('REF. DE PREÇOS n editavel'!W930=0,0,IF('REF. DE PREÇOS n editavel'!W930&gt;0,"c","b"))</f>
        <v>0</v>
      </c>
    </row>
    <row r="931" spans="1:25" ht="33.75">
      <c r="A931" s="317">
        <v>100581</v>
      </c>
      <c r="B931" s="870">
        <v>100581</v>
      </c>
      <c r="C931" s="871" t="s">
        <v>590</v>
      </c>
      <c r="D931" s="881" t="s">
        <v>842</v>
      </c>
      <c r="E931" s="882">
        <f>'REF. DE PREÇOS n editavel'!E931</f>
        <v>0</v>
      </c>
      <c r="F931" s="883">
        <f>'REF. DE PREÇOS n editavel'!F931</f>
        <v>0</v>
      </c>
      <c r="G931" s="887">
        <f>'REF. DE PREÇOS n editavel'!G931</f>
        <v>0</v>
      </c>
      <c r="H931" s="876">
        <f>'REF. DE PREÇOS n editavel'!H931</f>
        <v>582.14</v>
      </c>
      <c r="I931" s="876">
        <f>'REF. DE PREÇOS n editavel'!I931</f>
        <v>582.14</v>
      </c>
      <c r="J931" s="877">
        <f>'REF. DE PREÇOS n editavel'!J931</f>
        <v>711.49</v>
      </c>
      <c r="K931" s="878" t="s">
        <v>1500</v>
      </c>
      <c r="L931" s="1092"/>
      <c r="M931" s="1093">
        <f t="shared" si="114"/>
        <v>0</v>
      </c>
      <c r="N931" s="868">
        <f t="shared" si="121"/>
        <v>0</v>
      </c>
      <c r="O931" s="880"/>
      <c r="Q931" s="317" t="str">
        <f t="shared" si="116"/>
        <v/>
      </c>
      <c r="R931" s="317" t="str">
        <f t="shared" si="119"/>
        <v/>
      </c>
      <c r="S931" s="317" t="str">
        <f t="shared" si="120"/>
        <v/>
      </c>
      <c r="T931" s="317" t="str">
        <f>'REF. DE PREÇOS n editavel'!S931</f>
        <v/>
      </c>
      <c r="W931" s="577">
        <v>0</v>
      </c>
      <c r="X931" s="575"/>
      <c r="Y931" s="578">
        <f>IF('REF. DE PREÇOS n editavel'!W931=0,0,IF('REF. DE PREÇOS n editavel'!W931&gt;0,"c","b"))</f>
        <v>0</v>
      </c>
    </row>
    <row r="932" spans="1:25" ht="33.75">
      <c r="A932" s="317">
        <v>100582</v>
      </c>
      <c r="B932" s="870">
        <v>100582</v>
      </c>
      <c r="C932" s="871" t="s">
        <v>590</v>
      </c>
      <c r="D932" s="881" t="s">
        <v>843</v>
      </c>
      <c r="E932" s="882">
        <f>'REF. DE PREÇOS n editavel'!E932</f>
        <v>0</v>
      </c>
      <c r="F932" s="883">
        <f>'REF. DE PREÇOS n editavel'!F932</f>
        <v>0</v>
      </c>
      <c r="G932" s="887">
        <f>'REF. DE PREÇOS n editavel'!G932</f>
        <v>0</v>
      </c>
      <c r="H932" s="876">
        <f>'REF. DE PREÇOS n editavel'!H932</f>
        <v>685.15</v>
      </c>
      <c r="I932" s="876">
        <f>'REF. DE PREÇOS n editavel'!I932</f>
        <v>685.15</v>
      </c>
      <c r="J932" s="877">
        <f>'REF. DE PREÇOS n editavel'!J932</f>
        <v>837.39</v>
      </c>
      <c r="K932" s="878" t="s">
        <v>1500</v>
      </c>
      <c r="L932" s="1092"/>
      <c r="M932" s="1093">
        <f t="shared" si="114"/>
        <v>0</v>
      </c>
      <c r="N932" s="868">
        <f t="shared" si="121"/>
        <v>0</v>
      </c>
      <c r="O932" s="880"/>
      <c r="Q932" s="317" t="str">
        <f t="shared" si="116"/>
        <v/>
      </c>
      <c r="R932" s="317" t="str">
        <f t="shared" si="119"/>
        <v/>
      </c>
      <c r="S932" s="317" t="str">
        <f t="shared" si="120"/>
        <v/>
      </c>
      <c r="T932" s="317" t="str">
        <f>'REF. DE PREÇOS n editavel'!S932</f>
        <v/>
      </c>
      <c r="W932" s="577">
        <v>0</v>
      </c>
      <c r="X932" s="575"/>
      <c r="Y932" s="578">
        <f>IF('REF. DE PREÇOS n editavel'!W932=0,0,IF('REF. DE PREÇOS n editavel'!W932&gt;0,"c","b"))</f>
        <v>0</v>
      </c>
    </row>
    <row r="933" spans="1:25" ht="33.75">
      <c r="A933" s="317">
        <v>100583</v>
      </c>
      <c r="B933" s="870">
        <v>100583</v>
      </c>
      <c r="C933" s="871" t="s">
        <v>590</v>
      </c>
      <c r="D933" s="881" t="s">
        <v>844</v>
      </c>
      <c r="E933" s="882">
        <f>'REF. DE PREÇOS n editavel'!E933</f>
        <v>0</v>
      </c>
      <c r="F933" s="883">
        <f>'REF. DE PREÇOS n editavel'!F933</f>
        <v>0</v>
      </c>
      <c r="G933" s="887">
        <f>'REF. DE PREÇOS n editavel'!G933</f>
        <v>0</v>
      </c>
      <c r="H933" s="876">
        <f>'REF. DE PREÇOS n editavel'!H933</f>
        <v>608.13</v>
      </c>
      <c r="I933" s="876">
        <f>'REF. DE PREÇOS n editavel'!I933</f>
        <v>608.13</v>
      </c>
      <c r="J933" s="877">
        <f>'REF. DE PREÇOS n editavel'!J933</f>
        <v>743.26</v>
      </c>
      <c r="K933" s="878" t="s">
        <v>1500</v>
      </c>
      <c r="L933" s="1092"/>
      <c r="M933" s="1093">
        <f t="shared" si="114"/>
        <v>0</v>
      </c>
      <c r="N933" s="868">
        <f t="shared" si="121"/>
        <v>0</v>
      </c>
      <c r="O933" s="880"/>
      <c r="Q933" s="317" t="str">
        <f t="shared" si="116"/>
        <v/>
      </c>
      <c r="R933" s="317" t="str">
        <f t="shared" si="119"/>
        <v/>
      </c>
      <c r="S933" s="317" t="str">
        <f t="shared" si="120"/>
        <v/>
      </c>
      <c r="T933" s="317" t="str">
        <f>'REF. DE PREÇOS n editavel'!S933</f>
        <v/>
      </c>
      <c r="W933" s="577">
        <v>0</v>
      </c>
      <c r="X933" s="575"/>
      <c r="Y933" s="578">
        <f>IF('REF. DE PREÇOS n editavel'!W933=0,0,IF('REF. DE PREÇOS n editavel'!W933&gt;0,"c","b"))</f>
        <v>0</v>
      </c>
    </row>
    <row r="934" spans="1:25" ht="33.75">
      <c r="A934" s="317">
        <v>100584</v>
      </c>
      <c r="B934" s="870">
        <v>100584</v>
      </c>
      <c r="C934" s="871" t="s">
        <v>590</v>
      </c>
      <c r="D934" s="881" t="s">
        <v>845</v>
      </c>
      <c r="E934" s="882">
        <f>'REF. DE PREÇOS n editavel'!E934</f>
        <v>0</v>
      </c>
      <c r="F934" s="883">
        <f>'REF. DE PREÇOS n editavel'!F934</f>
        <v>0</v>
      </c>
      <c r="G934" s="887">
        <f>'REF. DE PREÇOS n editavel'!G934</f>
        <v>0</v>
      </c>
      <c r="H934" s="876">
        <f>'REF. DE PREÇOS n editavel'!H934</f>
        <v>670.05</v>
      </c>
      <c r="I934" s="876">
        <f>'REF. DE PREÇOS n editavel'!I934</f>
        <v>670.05</v>
      </c>
      <c r="J934" s="877">
        <f>'REF. DE PREÇOS n editavel'!J934</f>
        <v>818.94</v>
      </c>
      <c r="K934" s="878" t="s">
        <v>1500</v>
      </c>
      <c r="L934" s="1092"/>
      <c r="M934" s="1093">
        <f t="shared" si="114"/>
        <v>0</v>
      </c>
      <c r="N934" s="868">
        <f t="shared" si="121"/>
        <v>0</v>
      </c>
      <c r="O934" s="880"/>
      <c r="Q934" s="317" t="str">
        <f t="shared" si="116"/>
        <v/>
      </c>
      <c r="R934" s="317" t="str">
        <f t="shared" si="119"/>
        <v/>
      </c>
      <c r="S934" s="317" t="str">
        <f t="shared" si="120"/>
        <v/>
      </c>
      <c r="T934" s="317" t="str">
        <f>'REF. DE PREÇOS n editavel'!S934</f>
        <v/>
      </c>
      <c r="W934" s="577">
        <v>0</v>
      </c>
      <c r="X934" s="575"/>
      <c r="Y934" s="578">
        <f>IF('REF. DE PREÇOS n editavel'!W934=0,0,IF('REF. DE PREÇOS n editavel'!W934&gt;0,"c","b"))</f>
        <v>0</v>
      </c>
    </row>
    <row r="935" spans="1:25" ht="33.75">
      <c r="A935" s="317">
        <v>100585</v>
      </c>
      <c r="B935" s="870">
        <v>100585</v>
      </c>
      <c r="C935" s="871" t="s">
        <v>590</v>
      </c>
      <c r="D935" s="881" t="s">
        <v>846</v>
      </c>
      <c r="E935" s="882">
        <f>'REF. DE PREÇOS n editavel'!E935</f>
        <v>0</v>
      </c>
      <c r="F935" s="883">
        <f>'REF. DE PREÇOS n editavel'!F935</f>
        <v>0</v>
      </c>
      <c r="G935" s="887">
        <f>'REF. DE PREÇOS n editavel'!G935</f>
        <v>0</v>
      </c>
      <c r="H935" s="876">
        <f>'REF. DE PREÇOS n editavel'!H935</f>
        <v>658.54</v>
      </c>
      <c r="I935" s="876">
        <f>'REF. DE PREÇOS n editavel'!I935</f>
        <v>658.54</v>
      </c>
      <c r="J935" s="877">
        <f>'REF. DE PREÇOS n editavel'!J935</f>
        <v>804.87</v>
      </c>
      <c r="K935" s="878" t="s">
        <v>1500</v>
      </c>
      <c r="L935" s="1092"/>
      <c r="M935" s="1093">
        <f t="shared" si="114"/>
        <v>0</v>
      </c>
      <c r="N935" s="868">
        <f t="shared" si="121"/>
        <v>0</v>
      </c>
      <c r="O935" s="880"/>
      <c r="Q935" s="317" t="str">
        <f t="shared" si="116"/>
        <v/>
      </c>
      <c r="R935" s="317" t="str">
        <f t="shared" si="119"/>
        <v/>
      </c>
      <c r="S935" s="317" t="str">
        <f t="shared" si="120"/>
        <v/>
      </c>
      <c r="T935" s="317" t="str">
        <f>'REF. DE PREÇOS n editavel'!S935</f>
        <v/>
      </c>
      <c r="W935" s="577">
        <v>0</v>
      </c>
      <c r="X935" s="575"/>
      <c r="Y935" s="578">
        <f>IF('REF. DE PREÇOS n editavel'!W935=0,0,IF('REF. DE PREÇOS n editavel'!W935&gt;0,"c","b"))</f>
        <v>0</v>
      </c>
    </row>
    <row r="936" spans="1:25" ht="33.75">
      <c r="A936" s="317">
        <v>100586</v>
      </c>
      <c r="B936" s="870">
        <v>100586</v>
      </c>
      <c r="C936" s="871" t="s">
        <v>590</v>
      </c>
      <c r="D936" s="881" t="s">
        <v>847</v>
      </c>
      <c r="E936" s="882">
        <f>'REF. DE PREÇOS n editavel'!E936</f>
        <v>0</v>
      </c>
      <c r="F936" s="883">
        <f>'REF. DE PREÇOS n editavel'!F936</f>
        <v>0</v>
      </c>
      <c r="G936" s="887">
        <f>'REF. DE PREÇOS n editavel'!G936</f>
        <v>0</v>
      </c>
      <c r="H936" s="876">
        <f>'REF. DE PREÇOS n editavel'!H936</f>
        <v>757.16</v>
      </c>
      <c r="I936" s="876">
        <f>'REF. DE PREÇOS n editavel'!I936</f>
        <v>757.16</v>
      </c>
      <c r="J936" s="877">
        <f>'REF. DE PREÇOS n editavel'!J936</f>
        <v>925.4</v>
      </c>
      <c r="K936" s="878" t="s">
        <v>1500</v>
      </c>
      <c r="L936" s="1092"/>
      <c r="M936" s="1093">
        <f t="shared" si="114"/>
        <v>0</v>
      </c>
      <c r="N936" s="868">
        <f t="shared" si="121"/>
        <v>0</v>
      </c>
      <c r="O936" s="880"/>
      <c r="Q936" s="317" t="str">
        <f t="shared" si="116"/>
        <v/>
      </c>
      <c r="R936" s="317" t="str">
        <f t="shared" si="119"/>
        <v/>
      </c>
      <c r="S936" s="317" t="str">
        <f t="shared" si="120"/>
        <v/>
      </c>
      <c r="T936" s="317" t="str">
        <f>'REF. DE PREÇOS n editavel'!S936</f>
        <v/>
      </c>
      <c r="W936" s="577">
        <v>0</v>
      </c>
      <c r="X936" s="575"/>
      <c r="Y936" s="578">
        <f>IF('REF. DE PREÇOS n editavel'!W936=0,0,IF('REF. DE PREÇOS n editavel'!W936&gt;0,"c","b"))</f>
        <v>0</v>
      </c>
    </row>
    <row r="937" spans="1:25" ht="33.75">
      <c r="A937" s="317">
        <v>100587</v>
      </c>
      <c r="B937" s="870">
        <v>100587</v>
      </c>
      <c r="C937" s="871" t="s">
        <v>590</v>
      </c>
      <c r="D937" s="881" t="s">
        <v>848</v>
      </c>
      <c r="E937" s="882">
        <f>'REF. DE PREÇOS n editavel'!E937</f>
        <v>0</v>
      </c>
      <c r="F937" s="883">
        <f>'REF. DE PREÇOS n editavel'!F937</f>
        <v>0</v>
      </c>
      <c r="G937" s="887">
        <f>'REF. DE PREÇOS n editavel'!G937</f>
        <v>0</v>
      </c>
      <c r="H937" s="876">
        <f>'REF. DE PREÇOS n editavel'!H937</f>
        <v>710.91</v>
      </c>
      <c r="I937" s="876">
        <f>'REF. DE PREÇOS n editavel'!I937</f>
        <v>710.91</v>
      </c>
      <c r="J937" s="877">
        <f>'REF. DE PREÇOS n editavel'!J937</f>
        <v>868.87</v>
      </c>
      <c r="K937" s="878" t="s">
        <v>1500</v>
      </c>
      <c r="L937" s="1092"/>
      <c r="M937" s="1093">
        <f t="shared" si="114"/>
        <v>0</v>
      </c>
      <c r="N937" s="868">
        <f t="shared" si="121"/>
        <v>0</v>
      </c>
      <c r="O937" s="880"/>
      <c r="Q937" s="317" t="str">
        <f t="shared" si="116"/>
        <v/>
      </c>
      <c r="R937" s="317" t="str">
        <f t="shared" si="119"/>
        <v/>
      </c>
      <c r="S937" s="317" t="str">
        <f t="shared" si="120"/>
        <v/>
      </c>
      <c r="T937" s="317" t="str">
        <f>'REF. DE PREÇOS n editavel'!S937</f>
        <v/>
      </c>
      <c r="W937" s="577">
        <v>0</v>
      </c>
      <c r="X937" s="575"/>
      <c r="Y937" s="578">
        <f>IF('REF. DE PREÇOS n editavel'!W937=0,0,IF('REF. DE PREÇOS n editavel'!W937&gt;0,"c","b"))</f>
        <v>0</v>
      </c>
    </row>
    <row r="938" spans="1:25" ht="33.75">
      <c r="A938" s="317">
        <v>100588</v>
      </c>
      <c r="B938" s="870">
        <v>100588</v>
      </c>
      <c r="C938" s="871" t="s">
        <v>590</v>
      </c>
      <c r="D938" s="881" t="s">
        <v>849</v>
      </c>
      <c r="E938" s="882">
        <f>'REF. DE PREÇOS n editavel'!E938</f>
        <v>0</v>
      </c>
      <c r="F938" s="883">
        <f>'REF. DE PREÇOS n editavel'!F938</f>
        <v>0</v>
      </c>
      <c r="G938" s="887">
        <f>'REF. DE PREÇOS n editavel'!G938</f>
        <v>0</v>
      </c>
      <c r="H938" s="876">
        <f>'REF. DE PREÇOS n editavel'!H938</f>
        <v>787.57</v>
      </c>
      <c r="I938" s="876">
        <f>'REF. DE PREÇOS n editavel'!I938</f>
        <v>787.57</v>
      </c>
      <c r="J938" s="877">
        <f>'REF. DE PREÇOS n editavel'!J938</f>
        <v>962.57</v>
      </c>
      <c r="K938" s="878" t="s">
        <v>1500</v>
      </c>
      <c r="L938" s="1092"/>
      <c r="M938" s="1093">
        <f t="shared" si="114"/>
        <v>0</v>
      </c>
      <c r="N938" s="868">
        <f t="shared" si="121"/>
        <v>0</v>
      </c>
      <c r="O938" s="880"/>
      <c r="Q938" s="317" t="str">
        <f t="shared" si="116"/>
        <v/>
      </c>
      <c r="R938" s="317" t="str">
        <f t="shared" si="119"/>
        <v/>
      </c>
      <c r="S938" s="317" t="str">
        <f t="shared" si="120"/>
        <v/>
      </c>
      <c r="T938" s="317" t="str">
        <f>'REF. DE PREÇOS n editavel'!S938</f>
        <v/>
      </c>
      <c r="W938" s="577">
        <v>0</v>
      </c>
      <c r="X938" s="575"/>
      <c r="Y938" s="578">
        <f>IF('REF. DE PREÇOS n editavel'!W938=0,0,IF('REF. DE PREÇOS n editavel'!W938&gt;0,"c","b"))</f>
        <v>0</v>
      </c>
    </row>
    <row r="939" spans="1:25" ht="33.75">
      <c r="A939" s="317">
        <v>100589</v>
      </c>
      <c r="B939" s="870">
        <v>100589</v>
      </c>
      <c r="C939" s="871" t="s">
        <v>590</v>
      </c>
      <c r="D939" s="881" t="s">
        <v>850</v>
      </c>
      <c r="E939" s="882">
        <f>'REF. DE PREÇOS n editavel'!E939</f>
        <v>0</v>
      </c>
      <c r="F939" s="883">
        <f>'REF. DE PREÇOS n editavel'!F939</f>
        <v>0</v>
      </c>
      <c r="G939" s="887">
        <f>'REF. DE PREÇOS n editavel'!G939</f>
        <v>0</v>
      </c>
      <c r="H939" s="876">
        <f>'REF. DE PREÇOS n editavel'!H939</f>
        <v>790.38</v>
      </c>
      <c r="I939" s="876">
        <f>'REF. DE PREÇOS n editavel'!I939</f>
        <v>790.38</v>
      </c>
      <c r="J939" s="877">
        <f>'REF. DE PREÇOS n editavel'!J939</f>
        <v>966</v>
      </c>
      <c r="K939" s="878" t="s">
        <v>1500</v>
      </c>
      <c r="L939" s="1092"/>
      <c r="M939" s="1093">
        <f t="shared" si="114"/>
        <v>0</v>
      </c>
      <c r="N939" s="868">
        <f t="shared" si="121"/>
        <v>0</v>
      </c>
      <c r="O939" s="880"/>
      <c r="Q939" s="317" t="str">
        <f t="shared" si="116"/>
        <v/>
      </c>
      <c r="R939" s="317" t="str">
        <f t="shared" si="119"/>
        <v/>
      </c>
      <c r="S939" s="317" t="str">
        <f t="shared" si="120"/>
        <v/>
      </c>
      <c r="T939" s="317" t="str">
        <f>'REF. DE PREÇOS n editavel'!S939</f>
        <v/>
      </c>
      <c r="W939" s="577">
        <v>0</v>
      </c>
      <c r="X939" s="575"/>
      <c r="Y939" s="578">
        <f>IF('REF. DE PREÇOS n editavel'!W939=0,0,IF('REF. DE PREÇOS n editavel'!W939&gt;0,"c","b"))</f>
        <v>0</v>
      </c>
    </row>
    <row r="940" spans="1:25" ht="33.75">
      <c r="A940" s="317">
        <v>100590</v>
      </c>
      <c r="B940" s="870">
        <v>100590</v>
      </c>
      <c r="C940" s="871" t="s">
        <v>590</v>
      </c>
      <c r="D940" s="881" t="s">
        <v>851</v>
      </c>
      <c r="E940" s="882">
        <f>'REF. DE PREÇOS n editavel'!E940</f>
        <v>0</v>
      </c>
      <c r="F940" s="883">
        <f>'REF. DE PREÇOS n editavel'!F940</f>
        <v>0</v>
      </c>
      <c r="G940" s="887">
        <f>'REF. DE PREÇOS n editavel'!G940</f>
        <v>0</v>
      </c>
      <c r="H940" s="876">
        <f>'REF. DE PREÇOS n editavel'!H940</f>
        <v>866.24</v>
      </c>
      <c r="I940" s="876">
        <f>'REF. DE PREÇOS n editavel'!I940</f>
        <v>866.24</v>
      </c>
      <c r="J940" s="877">
        <f>'REF. DE PREÇOS n editavel'!J940</f>
        <v>1058.72</v>
      </c>
      <c r="K940" s="878" t="s">
        <v>1500</v>
      </c>
      <c r="L940" s="1092"/>
      <c r="M940" s="1093">
        <f t="shared" si="114"/>
        <v>0</v>
      </c>
      <c r="N940" s="868">
        <f t="shared" si="121"/>
        <v>0</v>
      </c>
      <c r="O940" s="880"/>
      <c r="Q940" s="317" t="str">
        <f t="shared" si="116"/>
        <v/>
      </c>
      <c r="R940" s="317" t="str">
        <f t="shared" si="119"/>
        <v/>
      </c>
      <c r="S940" s="317" t="str">
        <f t="shared" si="120"/>
        <v/>
      </c>
      <c r="T940" s="317" t="str">
        <f>'REF. DE PREÇOS n editavel'!S940</f>
        <v/>
      </c>
      <c r="W940" s="577">
        <v>0</v>
      </c>
      <c r="X940" s="575"/>
      <c r="Y940" s="578">
        <f>IF('REF. DE PREÇOS n editavel'!W940=0,0,IF('REF. DE PREÇOS n editavel'!W940&gt;0,"c","b"))</f>
        <v>0</v>
      </c>
    </row>
    <row r="941" spans="1:25" ht="33.75">
      <c r="A941" s="317">
        <v>100591</v>
      </c>
      <c r="B941" s="870">
        <v>100591</v>
      </c>
      <c r="C941" s="871" t="s">
        <v>590</v>
      </c>
      <c r="D941" s="881" t="s">
        <v>852</v>
      </c>
      <c r="E941" s="882">
        <f>'REF. DE PREÇOS n editavel'!E941</f>
        <v>0</v>
      </c>
      <c r="F941" s="883">
        <f>'REF. DE PREÇOS n editavel'!F941</f>
        <v>0</v>
      </c>
      <c r="G941" s="887">
        <f>'REF. DE PREÇOS n editavel'!G941</f>
        <v>0</v>
      </c>
      <c r="H941" s="876">
        <f>'REF. DE PREÇOS n editavel'!H941</f>
        <v>783.32</v>
      </c>
      <c r="I941" s="876">
        <f>'REF. DE PREÇOS n editavel'!I941</f>
        <v>783.32</v>
      </c>
      <c r="J941" s="877">
        <f>'REF. DE PREÇOS n editavel'!J941</f>
        <v>957.37</v>
      </c>
      <c r="K941" s="878" t="s">
        <v>1500</v>
      </c>
      <c r="L941" s="1092"/>
      <c r="M941" s="1093">
        <f t="shared" si="114"/>
        <v>0</v>
      </c>
      <c r="N941" s="868">
        <f t="shared" si="121"/>
        <v>0</v>
      </c>
      <c r="O941" s="880"/>
      <c r="Q941" s="317" t="str">
        <f t="shared" si="116"/>
        <v/>
      </c>
      <c r="R941" s="317" t="str">
        <f t="shared" si="119"/>
        <v/>
      </c>
      <c r="S941" s="317" t="str">
        <f t="shared" si="120"/>
        <v/>
      </c>
      <c r="T941" s="317" t="str">
        <f>'REF. DE PREÇOS n editavel'!S941</f>
        <v/>
      </c>
      <c r="W941" s="577">
        <v>0</v>
      </c>
      <c r="X941" s="575"/>
      <c r="Y941" s="578">
        <f>IF('REF. DE PREÇOS n editavel'!W941=0,0,IF('REF. DE PREÇOS n editavel'!W941&gt;0,"c","b"))</f>
        <v>0</v>
      </c>
    </row>
    <row r="942" spans="1:25" ht="33.75">
      <c r="A942" s="317">
        <v>100592</v>
      </c>
      <c r="B942" s="870">
        <v>100592</v>
      </c>
      <c r="C942" s="871" t="s">
        <v>590</v>
      </c>
      <c r="D942" s="881" t="s">
        <v>853</v>
      </c>
      <c r="E942" s="882">
        <f>'REF. DE PREÇOS n editavel'!E942</f>
        <v>0</v>
      </c>
      <c r="F942" s="883">
        <f>'REF. DE PREÇOS n editavel'!F942</f>
        <v>0</v>
      </c>
      <c r="G942" s="887">
        <f>'REF. DE PREÇOS n editavel'!G942</f>
        <v>0</v>
      </c>
      <c r="H942" s="876">
        <f>'REF. DE PREÇOS n editavel'!H942</f>
        <v>846.16</v>
      </c>
      <c r="I942" s="876">
        <f>'REF. DE PREÇOS n editavel'!I942</f>
        <v>846.16</v>
      </c>
      <c r="J942" s="877">
        <f>'REF. DE PREÇOS n editavel'!J942</f>
        <v>1034.18</v>
      </c>
      <c r="K942" s="878" t="s">
        <v>1500</v>
      </c>
      <c r="L942" s="1092"/>
      <c r="M942" s="1093">
        <f t="shared" si="114"/>
        <v>0</v>
      </c>
      <c r="N942" s="868">
        <f t="shared" si="121"/>
        <v>0</v>
      </c>
      <c r="O942" s="880"/>
      <c r="Q942" s="317" t="str">
        <f t="shared" si="116"/>
        <v/>
      </c>
      <c r="R942" s="317" t="str">
        <f t="shared" si="119"/>
        <v/>
      </c>
      <c r="S942" s="317" t="str">
        <f t="shared" si="120"/>
        <v/>
      </c>
      <c r="T942" s="317" t="str">
        <f>'REF. DE PREÇOS n editavel'!S942</f>
        <v/>
      </c>
      <c r="W942" s="577">
        <v>0</v>
      </c>
      <c r="X942" s="575"/>
      <c r="Y942" s="578">
        <f>IF('REF. DE PREÇOS n editavel'!W942=0,0,IF('REF. DE PREÇOS n editavel'!W942&gt;0,"c","b"))</f>
        <v>0</v>
      </c>
    </row>
    <row r="943" spans="1:25" ht="33.75">
      <c r="A943" s="317">
        <v>100593</v>
      </c>
      <c r="B943" s="870">
        <v>100593</v>
      </c>
      <c r="C943" s="871" t="s">
        <v>590</v>
      </c>
      <c r="D943" s="881" t="s">
        <v>854</v>
      </c>
      <c r="E943" s="882">
        <f>'REF. DE PREÇOS n editavel'!E943</f>
        <v>0</v>
      </c>
      <c r="F943" s="883">
        <f>'REF. DE PREÇOS n editavel'!F943</f>
        <v>0</v>
      </c>
      <c r="G943" s="887">
        <f>'REF. DE PREÇOS n editavel'!G943</f>
        <v>0</v>
      </c>
      <c r="H943" s="876">
        <f>'REF. DE PREÇOS n editavel'!H943</f>
        <v>839.13</v>
      </c>
      <c r="I943" s="876">
        <f>'REF. DE PREÇOS n editavel'!I943</f>
        <v>839.13</v>
      </c>
      <c r="J943" s="877">
        <f>'REF. DE PREÇOS n editavel'!J943</f>
        <v>1025.58</v>
      </c>
      <c r="K943" s="878" t="s">
        <v>1500</v>
      </c>
      <c r="L943" s="1092"/>
      <c r="M943" s="1093">
        <f t="shared" si="114"/>
        <v>0</v>
      </c>
      <c r="N943" s="868">
        <f t="shared" si="121"/>
        <v>0</v>
      </c>
      <c r="O943" s="880"/>
      <c r="Q943" s="317" t="str">
        <f t="shared" si="116"/>
        <v/>
      </c>
      <c r="R943" s="317" t="str">
        <f t="shared" si="119"/>
        <v/>
      </c>
      <c r="S943" s="317" t="str">
        <f t="shared" si="120"/>
        <v/>
      </c>
      <c r="T943" s="317" t="str">
        <f>'REF. DE PREÇOS n editavel'!S943</f>
        <v/>
      </c>
      <c r="W943" s="577">
        <v>0</v>
      </c>
      <c r="X943" s="575"/>
      <c r="Y943" s="578">
        <f>IF('REF. DE PREÇOS n editavel'!W943=0,0,IF('REF. DE PREÇOS n editavel'!W943&gt;0,"c","b"))</f>
        <v>0</v>
      </c>
    </row>
    <row r="944" spans="1:25" ht="33.75">
      <c r="A944" s="317">
        <v>100594</v>
      </c>
      <c r="B944" s="870">
        <v>100594</v>
      </c>
      <c r="C944" s="871" t="s">
        <v>590</v>
      </c>
      <c r="D944" s="881" t="s">
        <v>855</v>
      </c>
      <c r="E944" s="882">
        <f>'REF. DE PREÇOS n editavel'!E944</f>
        <v>0</v>
      </c>
      <c r="F944" s="883">
        <f>'REF. DE PREÇOS n editavel'!F944</f>
        <v>0</v>
      </c>
      <c r="G944" s="887">
        <f>'REF. DE PREÇOS n editavel'!G944</f>
        <v>0</v>
      </c>
      <c r="H944" s="876">
        <f>'REF. DE PREÇOS n editavel'!H944</f>
        <v>945.58</v>
      </c>
      <c r="I944" s="876">
        <f>'REF. DE PREÇOS n editavel'!I944</f>
        <v>945.58</v>
      </c>
      <c r="J944" s="877">
        <f>'REF. DE PREÇOS n editavel'!J944</f>
        <v>1155.69</v>
      </c>
      <c r="K944" s="878" t="s">
        <v>1500</v>
      </c>
      <c r="L944" s="1092"/>
      <c r="M944" s="1093">
        <f t="shared" si="114"/>
        <v>0</v>
      </c>
      <c r="N944" s="868">
        <f t="shared" si="121"/>
        <v>0</v>
      </c>
      <c r="O944" s="880"/>
      <c r="Q944" s="317" t="str">
        <f t="shared" si="116"/>
        <v/>
      </c>
      <c r="R944" s="317" t="str">
        <f t="shared" si="119"/>
        <v/>
      </c>
      <c r="S944" s="317" t="str">
        <f t="shared" si="120"/>
        <v/>
      </c>
      <c r="T944" s="317" t="str">
        <f>'REF. DE PREÇOS n editavel'!S944</f>
        <v/>
      </c>
      <c r="W944" s="577">
        <v>0</v>
      </c>
      <c r="X944" s="575"/>
      <c r="Y944" s="578">
        <f>IF('REF. DE PREÇOS n editavel'!W944=0,0,IF('REF. DE PREÇOS n editavel'!W944&gt;0,"c","b"))</f>
        <v>0</v>
      </c>
    </row>
    <row r="945" spans="1:25" ht="33.75">
      <c r="A945" s="317">
        <v>100595</v>
      </c>
      <c r="B945" s="870">
        <v>100595</v>
      </c>
      <c r="C945" s="871" t="s">
        <v>590</v>
      </c>
      <c r="D945" s="881" t="s">
        <v>856</v>
      </c>
      <c r="E945" s="882">
        <f>'REF. DE PREÇOS n editavel'!E945</f>
        <v>0</v>
      </c>
      <c r="F945" s="883">
        <f>'REF. DE PREÇOS n editavel'!F945</f>
        <v>0</v>
      </c>
      <c r="G945" s="887">
        <f>'REF. DE PREÇOS n editavel'!G945</f>
        <v>0</v>
      </c>
      <c r="H945" s="876">
        <f>'REF. DE PREÇOS n editavel'!H945</f>
        <v>1006.57</v>
      </c>
      <c r="I945" s="876">
        <f>'REF. DE PREÇOS n editavel'!I945</f>
        <v>1006.57</v>
      </c>
      <c r="J945" s="877">
        <f>'REF. DE PREÇOS n editavel'!J945</f>
        <v>1230.23</v>
      </c>
      <c r="K945" s="878" t="s">
        <v>1500</v>
      </c>
      <c r="L945" s="1092"/>
      <c r="M945" s="1093">
        <f t="shared" si="114"/>
        <v>0</v>
      </c>
      <c r="N945" s="868">
        <f t="shared" si="121"/>
        <v>0</v>
      </c>
      <c r="O945" s="880"/>
      <c r="Q945" s="317" t="str">
        <f t="shared" si="116"/>
        <v/>
      </c>
      <c r="R945" s="317" t="str">
        <f t="shared" si="119"/>
        <v/>
      </c>
      <c r="S945" s="317" t="str">
        <f t="shared" si="120"/>
        <v/>
      </c>
      <c r="T945" s="317" t="str">
        <f>'REF. DE PREÇOS n editavel'!S945</f>
        <v/>
      </c>
      <c r="W945" s="577">
        <v>0</v>
      </c>
      <c r="X945" s="575"/>
      <c r="Y945" s="578">
        <f>IF('REF. DE PREÇOS n editavel'!W945=0,0,IF('REF. DE PREÇOS n editavel'!W945&gt;0,"c","b"))</f>
        <v>0</v>
      </c>
    </row>
    <row r="946" spans="1:25" ht="33.75">
      <c r="A946" s="317">
        <v>100596</v>
      </c>
      <c r="B946" s="870">
        <v>100596</v>
      </c>
      <c r="C946" s="871" t="s">
        <v>590</v>
      </c>
      <c r="D946" s="881" t="s">
        <v>857</v>
      </c>
      <c r="E946" s="882">
        <f>'REF. DE PREÇOS n editavel'!E946</f>
        <v>0</v>
      </c>
      <c r="F946" s="883">
        <f>'REF. DE PREÇOS n editavel'!F946</f>
        <v>0</v>
      </c>
      <c r="G946" s="887">
        <f>'REF. DE PREÇOS n editavel'!G946</f>
        <v>0</v>
      </c>
      <c r="H946" s="876">
        <f>'REF. DE PREÇOS n editavel'!H946</f>
        <v>1150.1199999999999</v>
      </c>
      <c r="I946" s="876">
        <f>'REF. DE PREÇOS n editavel'!I946</f>
        <v>1150.1199999999999</v>
      </c>
      <c r="J946" s="877">
        <f>'REF. DE PREÇOS n editavel'!J946</f>
        <v>1405.68</v>
      </c>
      <c r="K946" s="878" t="s">
        <v>1500</v>
      </c>
      <c r="L946" s="1092"/>
      <c r="M946" s="1093">
        <f t="shared" si="114"/>
        <v>0</v>
      </c>
      <c r="N946" s="868">
        <f t="shared" si="121"/>
        <v>0</v>
      </c>
      <c r="O946" s="880"/>
      <c r="Q946" s="317" t="str">
        <f t="shared" si="116"/>
        <v/>
      </c>
      <c r="R946" s="317" t="str">
        <f t="shared" si="119"/>
        <v/>
      </c>
      <c r="S946" s="317" t="str">
        <f t="shared" si="120"/>
        <v/>
      </c>
      <c r="T946" s="317" t="str">
        <f>'REF. DE PREÇOS n editavel'!S946</f>
        <v/>
      </c>
      <c r="W946" s="577">
        <v>0</v>
      </c>
      <c r="X946" s="575"/>
      <c r="Y946" s="578">
        <f>IF('REF. DE PREÇOS n editavel'!W946=0,0,IF('REF. DE PREÇOS n editavel'!W946&gt;0,"c","b"))</f>
        <v>0</v>
      </c>
    </row>
    <row r="947" spans="1:25" ht="33.75">
      <c r="A947" s="317">
        <v>100597</v>
      </c>
      <c r="B947" s="870">
        <v>100597</v>
      </c>
      <c r="C947" s="871" t="s">
        <v>590</v>
      </c>
      <c r="D947" s="881" t="s">
        <v>858</v>
      </c>
      <c r="E947" s="882">
        <f>'REF. DE PREÇOS n editavel'!E947</f>
        <v>0</v>
      </c>
      <c r="F947" s="883">
        <f>'REF. DE PREÇOS n editavel'!F947</f>
        <v>0</v>
      </c>
      <c r="G947" s="887">
        <f>'REF. DE PREÇOS n editavel'!G947</f>
        <v>0</v>
      </c>
      <c r="H947" s="876">
        <f>'REF. DE PREÇOS n editavel'!H947</f>
        <v>1167.05</v>
      </c>
      <c r="I947" s="876">
        <f>'REF. DE PREÇOS n editavel'!I947</f>
        <v>1167.05</v>
      </c>
      <c r="J947" s="877">
        <f>'REF. DE PREÇOS n editavel'!J947</f>
        <v>1426.37</v>
      </c>
      <c r="K947" s="878" t="s">
        <v>1500</v>
      </c>
      <c r="L947" s="1092"/>
      <c r="M947" s="1093">
        <f t="shared" si="114"/>
        <v>0</v>
      </c>
      <c r="N947" s="868">
        <f t="shared" si="121"/>
        <v>0</v>
      </c>
      <c r="O947" s="880"/>
      <c r="Q947" s="317" t="str">
        <f t="shared" si="116"/>
        <v/>
      </c>
      <c r="R947" s="317" t="str">
        <f t="shared" si="119"/>
        <v/>
      </c>
      <c r="S947" s="317" t="str">
        <f t="shared" si="120"/>
        <v/>
      </c>
      <c r="T947" s="317" t="str">
        <f>'REF. DE PREÇOS n editavel'!S947</f>
        <v/>
      </c>
      <c r="W947" s="577">
        <v>0</v>
      </c>
      <c r="X947" s="575"/>
      <c r="Y947" s="578">
        <f>IF('REF. DE PREÇOS n editavel'!W947=0,0,IF('REF. DE PREÇOS n editavel'!W947&gt;0,"c","b"))</f>
        <v>0</v>
      </c>
    </row>
    <row r="948" spans="1:25" ht="33.75">
      <c r="A948" s="317">
        <v>100598</v>
      </c>
      <c r="B948" s="870">
        <v>100598</v>
      </c>
      <c r="C948" s="871" t="s">
        <v>590</v>
      </c>
      <c r="D948" s="881" t="s">
        <v>859</v>
      </c>
      <c r="E948" s="882">
        <f>'REF. DE PREÇOS n editavel'!E948</f>
        <v>0</v>
      </c>
      <c r="F948" s="883">
        <f>'REF. DE PREÇOS n editavel'!F948</f>
        <v>0</v>
      </c>
      <c r="G948" s="887">
        <f>'REF. DE PREÇOS n editavel'!G948</f>
        <v>0</v>
      </c>
      <c r="H948" s="876">
        <f>'REF. DE PREÇOS n editavel'!H948</f>
        <v>1285.3900000000001</v>
      </c>
      <c r="I948" s="876">
        <f>'REF. DE PREÇOS n editavel'!I948</f>
        <v>1285.3900000000001</v>
      </c>
      <c r="J948" s="877">
        <f>'REF. DE PREÇOS n editavel'!J948</f>
        <v>1571</v>
      </c>
      <c r="K948" s="878" t="s">
        <v>1500</v>
      </c>
      <c r="L948" s="1092"/>
      <c r="M948" s="1093">
        <f t="shared" si="114"/>
        <v>0</v>
      </c>
      <c r="N948" s="868">
        <f t="shared" si="121"/>
        <v>0</v>
      </c>
      <c r="O948" s="880"/>
      <c r="Q948" s="317" t="str">
        <f t="shared" si="116"/>
        <v/>
      </c>
      <c r="R948" s="317" t="str">
        <f t="shared" si="119"/>
        <v/>
      </c>
      <c r="S948" s="317" t="str">
        <f t="shared" si="120"/>
        <v/>
      </c>
      <c r="T948" s="317" t="str">
        <f>'REF. DE PREÇOS n editavel'!S948</f>
        <v/>
      </c>
      <c r="W948" s="577">
        <v>0</v>
      </c>
      <c r="X948" s="575"/>
      <c r="Y948" s="578">
        <f>IF('REF. DE PREÇOS n editavel'!W948=0,0,IF('REF. DE PREÇOS n editavel'!W948&gt;0,"c","b"))</f>
        <v>0</v>
      </c>
    </row>
    <row r="949" spans="1:25" ht="33.75">
      <c r="A949" s="317">
        <v>100599</v>
      </c>
      <c r="B949" s="870">
        <v>100599</v>
      </c>
      <c r="C949" s="871" t="s">
        <v>590</v>
      </c>
      <c r="D949" s="881" t="s">
        <v>860</v>
      </c>
      <c r="E949" s="882">
        <f>'REF. DE PREÇOS n editavel'!E949</f>
        <v>0</v>
      </c>
      <c r="F949" s="883">
        <f>'REF. DE PREÇOS n editavel'!F949</f>
        <v>0</v>
      </c>
      <c r="G949" s="887">
        <f>'REF. DE PREÇOS n editavel'!G949</f>
        <v>0</v>
      </c>
      <c r="H949" s="876">
        <f>'REF. DE PREÇOS n editavel'!H949</f>
        <v>516.86</v>
      </c>
      <c r="I949" s="876">
        <f>'REF. DE PREÇOS n editavel'!I949</f>
        <v>516.86</v>
      </c>
      <c r="J949" s="877">
        <f>'REF. DE PREÇOS n editavel'!J949</f>
        <v>631.71</v>
      </c>
      <c r="K949" s="878" t="s">
        <v>1500</v>
      </c>
      <c r="L949" s="1092"/>
      <c r="M949" s="1093">
        <f t="shared" si="114"/>
        <v>0</v>
      </c>
      <c r="N949" s="868">
        <f t="shared" si="121"/>
        <v>0</v>
      </c>
      <c r="O949" s="880"/>
      <c r="Q949" s="317" t="str">
        <f t="shared" si="116"/>
        <v/>
      </c>
      <c r="R949" s="317" t="str">
        <f t="shared" si="119"/>
        <v/>
      </c>
      <c r="S949" s="317" t="str">
        <f t="shared" si="120"/>
        <v/>
      </c>
      <c r="T949" s="317" t="str">
        <f>'REF. DE PREÇOS n editavel'!S949</f>
        <v/>
      </c>
      <c r="W949" s="577">
        <v>0</v>
      </c>
      <c r="X949" s="575"/>
      <c r="Y949" s="578">
        <f>IF('REF. DE PREÇOS n editavel'!W949=0,0,IF('REF. DE PREÇOS n editavel'!W949&gt;0,"c","b"))</f>
        <v>0</v>
      </c>
    </row>
    <row r="950" spans="1:25" ht="33.75">
      <c r="A950" s="317">
        <v>100600</v>
      </c>
      <c r="B950" s="870">
        <v>100600</v>
      </c>
      <c r="C950" s="871" t="s">
        <v>590</v>
      </c>
      <c r="D950" s="881" t="s">
        <v>861</v>
      </c>
      <c r="E950" s="882">
        <f>'REF. DE PREÇOS n editavel'!E950</f>
        <v>0</v>
      </c>
      <c r="F950" s="883">
        <f>'REF. DE PREÇOS n editavel'!F950</f>
        <v>0</v>
      </c>
      <c r="G950" s="887">
        <f>'REF. DE PREÇOS n editavel'!G950</f>
        <v>0</v>
      </c>
      <c r="H950" s="876">
        <f>'REF. DE PREÇOS n editavel'!H950</f>
        <v>613.13</v>
      </c>
      <c r="I950" s="876">
        <f>'REF. DE PREÇOS n editavel'!I950</f>
        <v>613.13</v>
      </c>
      <c r="J950" s="877">
        <f>'REF. DE PREÇOS n editavel'!J950</f>
        <v>749.37</v>
      </c>
      <c r="K950" s="878" t="s">
        <v>1500</v>
      </c>
      <c r="L950" s="1092"/>
      <c r="M950" s="1093">
        <f t="shared" si="114"/>
        <v>0</v>
      </c>
      <c r="N950" s="868">
        <f t="shared" si="121"/>
        <v>0</v>
      </c>
      <c r="O950" s="880"/>
      <c r="Q950" s="317" t="str">
        <f t="shared" si="116"/>
        <v/>
      </c>
      <c r="R950" s="317" t="str">
        <f t="shared" si="119"/>
        <v/>
      </c>
      <c r="S950" s="317" t="str">
        <f t="shared" si="120"/>
        <v/>
      </c>
      <c r="T950" s="317" t="str">
        <f>'REF. DE PREÇOS n editavel'!S950</f>
        <v/>
      </c>
      <c r="W950" s="577">
        <v>0</v>
      </c>
      <c r="X950" s="575"/>
      <c r="Y950" s="578">
        <f>IF('REF. DE PREÇOS n editavel'!W950=0,0,IF('REF. DE PREÇOS n editavel'!W950&gt;0,"c","b"))</f>
        <v>0</v>
      </c>
    </row>
    <row r="951" spans="1:25" ht="33.75">
      <c r="A951" s="317">
        <v>100601</v>
      </c>
      <c r="B951" s="870">
        <v>100601</v>
      </c>
      <c r="C951" s="871" t="s">
        <v>590</v>
      </c>
      <c r="D951" s="881" t="s">
        <v>862</v>
      </c>
      <c r="E951" s="882">
        <f>'REF. DE PREÇOS n editavel'!E951</f>
        <v>0</v>
      </c>
      <c r="F951" s="883">
        <f>'REF. DE PREÇOS n editavel'!F951</f>
        <v>0</v>
      </c>
      <c r="G951" s="887">
        <f>'REF. DE PREÇOS n editavel'!G951</f>
        <v>0</v>
      </c>
      <c r="H951" s="876">
        <f>'REF. DE PREÇOS n editavel'!H951</f>
        <v>772.56</v>
      </c>
      <c r="I951" s="876">
        <f>'REF. DE PREÇOS n editavel'!I951</f>
        <v>772.56</v>
      </c>
      <c r="J951" s="877">
        <f>'REF. DE PREÇOS n editavel'!J951</f>
        <v>944.22</v>
      </c>
      <c r="K951" s="878" t="s">
        <v>1500</v>
      </c>
      <c r="L951" s="1092"/>
      <c r="M951" s="1093">
        <f t="shared" si="114"/>
        <v>0</v>
      </c>
      <c r="N951" s="868">
        <f t="shared" si="121"/>
        <v>0</v>
      </c>
      <c r="O951" s="880"/>
      <c r="Q951" s="317" t="str">
        <f t="shared" si="116"/>
        <v/>
      </c>
      <c r="R951" s="317" t="str">
        <f t="shared" si="119"/>
        <v/>
      </c>
      <c r="S951" s="317" t="str">
        <f t="shared" si="120"/>
        <v/>
      </c>
      <c r="T951" s="317" t="str">
        <f>'REF. DE PREÇOS n editavel'!S951</f>
        <v/>
      </c>
      <c r="W951" s="577">
        <v>0</v>
      </c>
      <c r="X951" s="575"/>
      <c r="Y951" s="578">
        <f>IF('REF. DE PREÇOS n editavel'!W951=0,0,IF('REF. DE PREÇOS n editavel'!W951&gt;0,"c","b"))</f>
        <v>0</v>
      </c>
    </row>
    <row r="952" spans="1:25" ht="33.75">
      <c r="A952" s="317">
        <v>100602</v>
      </c>
      <c r="B952" s="870">
        <v>100602</v>
      </c>
      <c r="C952" s="871" t="s">
        <v>590</v>
      </c>
      <c r="D952" s="881" t="s">
        <v>863</v>
      </c>
      <c r="E952" s="882">
        <f>'REF. DE PREÇOS n editavel'!E952</f>
        <v>0</v>
      </c>
      <c r="F952" s="883">
        <f>'REF. DE PREÇOS n editavel'!F952</f>
        <v>0</v>
      </c>
      <c r="G952" s="887">
        <f>'REF. DE PREÇOS n editavel'!G952</f>
        <v>0</v>
      </c>
      <c r="H952" s="876">
        <f>'REF. DE PREÇOS n editavel'!H952</f>
        <v>971.46</v>
      </c>
      <c r="I952" s="876">
        <f>'REF. DE PREÇOS n editavel'!I952</f>
        <v>971.46</v>
      </c>
      <c r="J952" s="877">
        <f>'REF. DE PREÇOS n editavel'!J952</f>
        <v>1187.32</v>
      </c>
      <c r="K952" s="878" t="s">
        <v>1500</v>
      </c>
      <c r="L952" s="1092"/>
      <c r="M952" s="1093">
        <f t="shared" si="114"/>
        <v>0</v>
      </c>
      <c r="N952" s="868">
        <f t="shared" si="121"/>
        <v>0</v>
      </c>
      <c r="O952" s="880"/>
      <c r="Q952" s="317" t="str">
        <f t="shared" si="116"/>
        <v/>
      </c>
      <c r="R952" s="317" t="str">
        <f t="shared" si="119"/>
        <v/>
      </c>
      <c r="S952" s="317" t="str">
        <f t="shared" si="120"/>
        <v/>
      </c>
      <c r="T952" s="317" t="str">
        <f>'REF. DE PREÇOS n editavel'!S952</f>
        <v/>
      </c>
      <c r="W952" s="577">
        <v>0</v>
      </c>
      <c r="X952" s="575"/>
      <c r="Y952" s="578">
        <f>IF('REF. DE PREÇOS n editavel'!W952=0,0,IF('REF. DE PREÇOS n editavel'!W952&gt;0,"c","b"))</f>
        <v>0</v>
      </c>
    </row>
    <row r="953" spans="1:25" ht="33.75">
      <c r="A953" s="317">
        <v>100603</v>
      </c>
      <c r="B953" s="870">
        <v>100603</v>
      </c>
      <c r="C953" s="871" t="s">
        <v>590</v>
      </c>
      <c r="D953" s="881" t="s">
        <v>864</v>
      </c>
      <c r="E953" s="882">
        <f>'REF. DE PREÇOS n editavel'!E953</f>
        <v>0</v>
      </c>
      <c r="F953" s="883">
        <f>'REF. DE PREÇOS n editavel'!F953</f>
        <v>0</v>
      </c>
      <c r="G953" s="887">
        <f>'REF. DE PREÇOS n editavel'!G953</f>
        <v>0</v>
      </c>
      <c r="H953" s="876">
        <f>'REF. DE PREÇOS n editavel'!H953</f>
        <v>1484.28</v>
      </c>
      <c r="I953" s="876">
        <f>'REF. DE PREÇOS n editavel'!I953</f>
        <v>1484.28</v>
      </c>
      <c r="J953" s="877">
        <f>'REF. DE PREÇOS n editavel'!J953</f>
        <v>1814.09</v>
      </c>
      <c r="K953" s="878" t="s">
        <v>1500</v>
      </c>
      <c r="L953" s="1092"/>
      <c r="M953" s="1093">
        <f t="shared" si="114"/>
        <v>0</v>
      </c>
      <c r="N953" s="868">
        <f t="shared" si="121"/>
        <v>0</v>
      </c>
      <c r="O953" s="880"/>
      <c r="Q953" s="317" t="str">
        <f t="shared" si="116"/>
        <v/>
      </c>
      <c r="R953" s="317" t="str">
        <f t="shared" si="119"/>
        <v/>
      </c>
      <c r="S953" s="317" t="str">
        <f t="shared" si="120"/>
        <v/>
      </c>
      <c r="T953" s="317" t="str">
        <f>'REF. DE PREÇOS n editavel'!S953</f>
        <v/>
      </c>
      <c r="W953" s="577">
        <v>0</v>
      </c>
      <c r="X953" s="575"/>
      <c r="Y953" s="578">
        <f>IF('REF. DE PREÇOS n editavel'!W953=0,0,IF('REF. DE PREÇOS n editavel'!W953&gt;0,"c","b"))</f>
        <v>0</v>
      </c>
    </row>
    <row r="954" spans="1:25" ht="33.75">
      <c r="A954" s="317">
        <v>100604</v>
      </c>
      <c r="B954" s="870">
        <v>100604</v>
      </c>
      <c r="C954" s="871" t="s">
        <v>590</v>
      </c>
      <c r="D954" s="881" t="s">
        <v>865</v>
      </c>
      <c r="E954" s="882">
        <f>'REF. DE PREÇOS n editavel'!E954</f>
        <v>0</v>
      </c>
      <c r="F954" s="883">
        <f>'REF. DE PREÇOS n editavel'!F954</f>
        <v>0</v>
      </c>
      <c r="G954" s="887">
        <f>'REF. DE PREÇOS n editavel'!G954</f>
        <v>0</v>
      </c>
      <c r="H954" s="876">
        <f>'REF. DE PREÇOS n editavel'!H954</f>
        <v>652.23</v>
      </c>
      <c r="I954" s="876">
        <f>'REF. DE PREÇOS n editavel'!I954</f>
        <v>652.23</v>
      </c>
      <c r="J954" s="877">
        <f>'REF. DE PREÇOS n editavel'!J954</f>
        <v>797.16</v>
      </c>
      <c r="K954" s="878" t="s">
        <v>1500</v>
      </c>
      <c r="L954" s="1092"/>
      <c r="M954" s="1093">
        <f t="shared" si="114"/>
        <v>0</v>
      </c>
      <c r="N954" s="868">
        <f t="shared" si="121"/>
        <v>0</v>
      </c>
      <c r="O954" s="880"/>
      <c r="Q954" s="317" t="str">
        <f t="shared" si="116"/>
        <v/>
      </c>
      <c r="R954" s="317" t="str">
        <f t="shared" si="119"/>
        <v/>
      </c>
      <c r="S954" s="317" t="str">
        <f t="shared" si="120"/>
        <v/>
      </c>
      <c r="T954" s="317" t="str">
        <f>'REF. DE PREÇOS n editavel'!S954</f>
        <v/>
      </c>
      <c r="W954" s="577">
        <v>0</v>
      </c>
      <c r="X954" s="575"/>
      <c r="Y954" s="578">
        <f>IF('REF. DE PREÇOS n editavel'!W954=0,0,IF('REF. DE PREÇOS n editavel'!W954&gt;0,"c","b"))</f>
        <v>0</v>
      </c>
    </row>
    <row r="955" spans="1:25" ht="33.75">
      <c r="A955" s="317">
        <v>100605</v>
      </c>
      <c r="B955" s="870">
        <v>100605</v>
      </c>
      <c r="C955" s="871" t="s">
        <v>590</v>
      </c>
      <c r="D955" s="881" t="s">
        <v>866</v>
      </c>
      <c r="E955" s="882">
        <f>'REF. DE PREÇOS n editavel'!E955</f>
        <v>0</v>
      </c>
      <c r="F955" s="883">
        <f>'REF. DE PREÇOS n editavel'!F955</f>
        <v>0</v>
      </c>
      <c r="G955" s="887">
        <f>'REF. DE PREÇOS n editavel'!G955</f>
        <v>0</v>
      </c>
      <c r="H955" s="876">
        <f>'REF. DE PREÇOS n editavel'!H955</f>
        <v>1021.11</v>
      </c>
      <c r="I955" s="876">
        <f>'REF. DE PREÇOS n editavel'!I955</f>
        <v>1021.11</v>
      </c>
      <c r="J955" s="877">
        <f>'REF. DE PREÇOS n editavel'!J955</f>
        <v>1248</v>
      </c>
      <c r="K955" s="878" t="s">
        <v>1500</v>
      </c>
      <c r="L955" s="1092"/>
      <c r="M955" s="1093">
        <f t="shared" si="114"/>
        <v>0</v>
      </c>
      <c r="N955" s="868">
        <f t="shared" si="121"/>
        <v>0</v>
      </c>
      <c r="O955" s="880"/>
      <c r="Q955" s="317" t="str">
        <f t="shared" si="116"/>
        <v/>
      </c>
      <c r="R955" s="317" t="str">
        <f t="shared" si="119"/>
        <v/>
      </c>
      <c r="S955" s="317" t="str">
        <f t="shared" si="120"/>
        <v/>
      </c>
      <c r="T955" s="317" t="str">
        <f>'REF. DE PREÇOS n editavel'!S955</f>
        <v/>
      </c>
      <c r="W955" s="577">
        <v>0</v>
      </c>
      <c r="X955" s="575"/>
      <c r="Y955" s="578">
        <f>IF('REF. DE PREÇOS n editavel'!W955=0,0,IF('REF. DE PREÇOS n editavel'!W955&gt;0,"c","b"))</f>
        <v>0</v>
      </c>
    </row>
    <row r="956" spans="1:25" ht="33.75">
      <c r="A956" s="317">
        <v>100606</v>
      </c>
      <c r="B956" s="870">
        <v>100606</v>
      </c>
      <c r="C956" s="871" t="s">
        <v>590</v>
      </c>
      <c r="D956" s="881" t="s">
        <v>867</v>
      </c>
      <c r="E956" s="882">
        <f>'REF. DE PREÇOS n editavel'!E956</f>
        <v>0</v>
      </c>
      <c r="F956" s="883">
        <f>'REF. DE PREÇOS n editavel'!F956</f>
        <v>0</v>
      </c>
      <c r="G956" s="887">
        <f>'REF. DE PREÇOS n editavel'!G956</f>
        <v>0</v>
      </c>
      <c r="H956" s="876">
        <f>'REF. DE PREÇOS n editavel'!H956</f>
        <v>1547.64</v>
      </c>
      <c r="I956" s="876">
        <f>'REF. DE PREÇOS n editavel'!I956</f>
        <v>1547.64</v>
      </c>
      <c r="J956" s="877">
        <f>'REF. DE PREÇOS n editavel'!J956</f>
        <v>1891.53</v>
      </c>
      <c r="K956" s="878" t="s">
        <v>1500</v>
      </c>
      <c r="L956" s="1092"/>
      <c r="M956" s="1093">
        <f t="shared" si="114"/>
        <v>0</v>
      </c>
      <c r="N956" s="868">
        <f t="shared" si="121"/>
        <v>0</v>
      </c>
      <c r="O956" s="880"/>
      <c r="Q956" s="317" t="str">
        <f t="shared" si="116"/>
        <v/>
      </c>
      <c r="R956" s="317" t="str">
        <f t="shared" si="119"/>
        <v/>
      </c>
      <c r="S956" s="317" t="str">
        <f t="shared" si="120"/>
        <v/>
      </c>
      <c r="T956" s="317" t="str">
        <f>'REF. DE PREÇOS n editavel'!S956</f>
        <v/>
      </c>
      <c r="W956" s="577">
        <v>0</v>
      </c>
      <c r="X956" s="575"/>
      <c r="Y956" s="578">
        <f>IF('REF. DE PREÇOS n editavel'!W956=0,0,IF('REF. DE PREÇOS n editavel'!W956&gt;0,"c","b"))</f>
        <v>0</v>
      </c>
    </row>
    <row r="957" spans="1:25" ht="33.75">
      <c r="A957" s="317">
        <v>100607</v>
      </c>
      <c r="B957" s="870">
        <v>100607</v>
      </c>
      <c r="C957" s="871" t="s">
        <v>590</v>
      </c>
      <c r="D957" s="881" t="s">
        <v>868</v>
      </c>
      <c r="E957" s="882">
        <f>'REF. DE PREÇOS n editavel'!E957</f>
        <v>0</v>
      </c>
      <c r="F957" s="883">
        <f>'REF. DE PREÇOS n editavel'!F957</f>
        <v>0</v>
      </c>
      <c r="G957" s="887">
        <f>'REF. DE PREÇOS n editavel'!G957</f>
        <v>0</v>
      </c>
      <c r="H957" s="876">
        <f>'REF. DE PREÇOS n editavel'!H957</f>
        <v>670.9</v>
      </c>
      <c r="I957" s="876">
        <f>'REF. DE PREÇOS n editavel'!I957</f>
        <v>670.9</v>
      </c>
      <c r="J957" s="877">
        <f>'REF. DE PREÇOS n editavel'!J957</f>
        <v>819.97</v>
      </c>
      <c r="K957" s="878" t="s">
        <v>1500</v>
      </c>
      <c r="L957" s="1092"/>
      <c r="M957" s="1093">
        <f t="shared" si="114"/>
        <v>0</v>
      </c>
      <c r="N957" s="868">
        <f t="shared" si="121"/>
        <v>0</v>
      </c>
      <c r="O957" s="880"/>
      <c r="Q957" s="317" t="str">
        <f t="shared" si="116"/>
        <v/>
      </c>
      <c r="R957" s="317" t="str">
        <f t="shared" si="119"/>
        <v/>
      </c>
      <c r="S957" s="317" t="str">
        <f t="shared" si="120"/>
        <v/>
      </c>
      <c r="T957" s="317" t="str">
        <f>'REF. DE PREÇOS n editavel'!S957</f>
        <v/>
      </c>
      <c r="W957" s="577">
        <v>0</v>
      </c>
      <c r="X957" s="575"/>
      <c r="Y957" s="578">
        <f>IF('REF. DE PREÇOS n editavel'!W957=0,0,IF('REF. DE PREÇOS n editavel'!W957&gt;0,"c","b"))</f>
        <v>0</v>
      </c>
    </row>
    <row r="958" spans="1:25" ht="33.75">
      <c r="A958" s="317">
        <v>100608</v>
      </c>
      <c r="B958" s="870">
        <v>100608</v>
      </c>
      <c r="C958" s="871" t="s">
        <v>590</v>
      </c>
      <c r="D958" s="881" t="s">
        <v>869</v>
      </c>
      <c r="E958" s="882">
        <f>'REF. DE PREÇOS n editavel'!E958</f>
        <v>0</v>
      </c>
      <c r="F958" s="883">
        <f>'REF. DE PREÇOS n editavel'!F958</f>
        <v>0</v>
      </c>
      <c r="G958" s="887">
        <f>'REF. DE PREÇOS n editavel'!G958</f>
        <v>0</v>
      </c>
      <c r="H958" s="876">
        <f>'REF. DE PREÇOS n editavel'!H958</f>
        <v>1045.5899999999999</v>
      </c>
      <c r="I958" s="876">
        <f>'REF. DE PREÇOS n editavel'!I958</f>
        <v>1045.5899999999999</v>
      </c>
      <c r="J958" s="877">
        <f>'REF. DE PREÇOS n editavel'!J958</f>
        <v>1277.92</v>
      </c>
      <c r="K958" s="878" t="s">
        <v>1500</v>
      </c>
      <c r="L958" s="1092"/>
      <c r="M958" s="1093">
        <f t="shared" si="114"/>
        <v>0</v>
      </c>
      <c r="N958" s="868">
        <f t="shared" si="121"/>
        <v>0</v>
      </c>
      <c r="O958" s="880"/>
      <c r="Q958" s="317" t="str">
        <f t="shared" si="116"/>
        <v/>
      </c>
      <c r="R958" s="317" t="str">
        <f t="shared" si="119"/>
        <v/>
      </c>
      <c r="S958" s="317" t="str">
        <f t="shared" si="120"/>
        <v/>
      </c>
      <c r="T958" s="317" t="str">
        <f>'REF. DE PREÇOS n editavel'!S958</f>
        <v/>
      </c>
      <c r="W958" s="577">
        <v>0</v>
      </c>
      <c r="X958" s="575"/>
      <c r="Y958" s="578">
        <f>IF('REF. DE PREÇOS n editavel'!W958=0,0,IF('REF. DE PREÇOS n editavel'!W958&gt;0,"c","b"))</f>
        <v>0</v>
      </c>
    </row>
    <row r="959" spans="1:25" ht="33.75">
      <c r="A959" s="317">
        <v>100609</v>
      </c>
      <c r="B959" s="870">
        <v>100609</v>
      </c>
      <c r="C959" s="871" t="s">
        <v>590</v>
      </c>
      <c r="D959" s="881" t="s">
        <v>870</v>
      </c>
      <c r="E959" s="882">
        <f>'REF. DE PREÇOS n editavel'!E959</f>
        <v>0</v>
      </c>
      <c r="F959" s="883">
        <f>'REF. DE PREÇOS n editavel'!F959</f>
        <v>0</v>
      </c>
      <c r="G959" s="887">
        <f>'REF. DE PREÇOS n editavel'!G959</f>
        <v>0</v>
      </c>
      <c r="H959" s="876">
        <f>'REF. DE PREÇOS n editavel'!H959</f>
        <v>1581.56</v>
      </c>
      <c r="I959" s="876">
        <f>'REF. DE PREÇOS n editavel'!I959</f>
        <v>1581.56</v>
      </c>
      <c r="J959" s="877">
        <f>'REF. DE PREÇOS n editavel'!J959</f>
        <v>1932.98</v>
      </c>
      <c r="K959" s="878" t="s">
        <v>1500</v>
      </c>
      <c r="L959" s="1092"/>
      <c r="M959" s="1093">
        <f t="shared" si="114"/>
        <v>0</v>
      </c>
      <c r="N959" s="868">
        <f t="shared" si="121"/>
        <v>0</v>
      </c>
      <c r="O959" s="880"/>
      <c r="Q959" s="317" t="str">
        <f t="shared" si="116"/>
        <v/>
      </c>
      <c r="R959" s="317" t="str">
        <f t="shared" si="119"/>
        <v/>
      </c>
      <c r="S959" s="317" t="str">
        <f t="shared" si="120"/>
        <v/>
      </c>
      <c r="T959" s="317" t="str">
        <f>'REF. DE PREÇOS n editavel'!S959</f>
        <v/>
      </c>
      <c r="W959" s="577">
        <v>0</v>
      </c>
      <c r="X959" s="575"/>
      <c r="Y959" s="578">
        <f>IF('REF. DE PREÇOS n editavel'!W959=0,0,IF('REF. DE PREÇOS n editavel'!W959&gt;0,"c","b"))</f>
        <v>0</v>
      </c>
    </row>
    <row r="960" spans="1:25" ht="33.75">
      <c r="A960" s="317">
        <v>100610</v>
      </c>
      <c r="B960" s="870">
        <v>100610</v>
      </c>
      <c r="C960" s="871" t="s">
        <v>590</v>
      </c>
      <c r="D960" s="881" t="s">
        <v>871</v>
      </c>
      <c r="E960" s="882">
        <f>'REF. DE PREÇOS n editavel'!E960</f>
        <v>0</v>
      </c>
      <c r="F960" s="883">
        <f>'REF. DE PREÇOS n editavel'!F960</f>
        <v>0</v>
      </c>
      <c r="G960" s="887">
        <f>'REF. DE PREÇOS n editavel'!G960</f>
        <v>0</v>
      </c>
      <c r="H960" s="876">
        <f>'REF. DE PREÇOS n editavel'!H960</f>
        <v>689.49</v>
      </c>
      <c r="I960" s="876">
        <f>'REF. DE PREÇOS n editavel'!I960</f>
        <v>689.49</v>
      </c>
      <c r="J960" s="877">
        <f>'REF. DE PREÇOS n editavel'!J960</f>
        <v>842.69</v>
      </c>
      <c r="K960" s="878" t="s">
        <v>1500</v>
      </c>
      <c r="L960" s="1092"/>
      <c r="M960" s="1093">
        <f t="shared" si="114"/>
        <v>0</v>
      </c>
      <c r="N960" s="868">
        <f t="shared" si="121"/>
        <v>0</v>
      </c>
      <c r="O960" s="880"/>
      <c r="Q960" s="317" t="str">
        <f t="shared" si="116"/>
        <v/>
      </c>
      <c r="R960" s="317" t="str">
        <f t="shared" si="119"/>
        <v/>
      </c>
      <c r="S960" s="317" t="str">
        <f t="shared" si="120"/>
        <v/>
      </c>
      <c r="T960" s="317" t="str">
        <f>'REF. DE PREÇOS n editavel'!S960</f>
        <v/>
      </c>
      <c r="W960" s="577">
        <v>0</v>
      </c>
      <c r="X960" s="575"/>
      <c r="Y960" s="578">
        <f>IF('REF. DE PREÇOS n editavel'!W960=0,0,IF('REF. DE PREÇOS n editavel'!W960&gt;0,"c","b"))</f>
        <v>0</v>
      </c>
    </row>
    <row r="961" spans="1:25" ht="33.75">
      <c r="A961" s="317">
        <v>100611</v>
      </c>
      <c r="B961" s="870">
        <v>100611</v>
      </c>
      <c r="C961" s="871" t="s">
        <v>590</v>
      </c>
      <c r="D961" s="881" t="s">
        <v>872</v>
      </c>
      <c r="E961" s="882">
        <f>'REF. DE PREÇOS n editavel'!E961</f>
        <v>0</v>
      </c>
      <c r="F961" s="883">
        <f>'REF. DE PREÇOS n editavel'!F961</f>
        <v>0</v>
      </c>
      <c r="G961" s="887">
        <f>'REF. DE PREÇOS n editavel'!G961</f>
        <v>0</v>
      </c>
      <c r="H961" s="876">
        <f>'REF. DE PREÇOS n editavel'!H961</f>
        <v>858.26</v>
      </c>
      <c r="I961" s="876">
        <f>'REF. DE PREÇOS n editavel'!I961</f>
        <v>858.26</v>
      </c>
      <c r="J961" s="877">
        <f>'REF. DE PREÇOS n editavel'!J961</f>
        <v>1048.97</v>
      </c>
      <c r="K961" s="878" t="s">
        <v>1500</v>
      </c>
      <c r="L961" s="1092"/>
      <c r="M961" s="1093">
        <f t="shared" si="114"/>
        <v>0</v>
      </c>
      <c r="N961" s="868">
        <f t="shared" si="121"/>
        <v>0</v>
      </c>
      <c r="O961" s="880"/>
      <c r="Q961" s="317" t="str">
        <f t="shared" si="116"/>
        <v/>
      </c>
      <c r="R961" s="317" t="str">
        <f t="shared" si="119"/>
        <v/>
      </c>
      <c r="S961" s="317" t="str">
        <f t="shared" si="120"/>
        <v/>
      </c>
      <c r="T961" s="317" t="str">
        <f>'REF. DE PREÇOS n editavel'!S961</f>
        <v/>
      </c>
      <c r="W961" s="577">
        <v>0</v>
      </c>
      <c r="X961" s="575"/>
      <c r="Y961" s="578">
        <f>IF('REF. DE PREÇOS n editavel'!W961=0,0,IF('REF. DE PREÇOS n editavel'!W961&gt;0,"c","b"))</f>
        <v>0</v>
      </c>
    </row>
    <row r="962" spans="1:25" ht="33.75">
      <c r="A962" s="317">
        <v>100612</v>
      </c>
      <c r="B962" s="870">
        <v>100612</v>
      </c>
      <c r="C962" s="871" t="s">
        <v>590</v>
      </c>
      <c r="D962" s="881" t="s">
        <v>873</v>
      </c>
      <c r="E962" s="882">
        <f>'REF. DE PREÇOS n editavel'!E962</f>
        <v>0</v>
      </c>
      <c r="F962" s="883">
        <f>'REF. DE PREÇOS n editavel'!F962</f>
        <v>0</v>
      </c>
      <c r="G962" s="887">
        <f>'REF. DE PREÇOS n editavel'!G962</f>
        <v>0</v>
      </c>
      <c r="H962" s="876">
        <f>'REF. DE PREÇOS n editavel'!H962</f>
        <v>1069.6600000000001</v>
      </c>
      <c r="I962" s="876">
        <f>'REF. DE PREÇOS n editavel'!I962</f>
        <v>1069.6600000000001</v>
      </c>
      <c r="J962" s="877">
        <f>'REF. DE PREÇOS n editavel'!J962</f>
        <v>1307.3399999999999</v>
      </c>
      <c r="K962" s="878" t="s">
        <v>1500</v>
      </c>
      <c r="L962" s="1092"/>
      <c r="M962" s="1093">
        <f t="shared" si="114"/>
        <v>0</v>
      </c>
      <c r="N962" s="868">
        <f t="shared" si="121"/>
        <v>0</v>
      </c>
      <c r="O962" s="880"/>
      <c r="Q962" s="317" t="str">
        <f t="shared" si="116"/>
        <v/>
      </c>
      <c r="R962" s="317" t="str">
        <f t="shared" si="119"/>
        <v/>
      </c>
      <c r="S962" s="317" t="str">
        <f t="shared" si="120"/>
        <v/>
      </c>
      <c r="T962" s="317" t="str">
        <f>'REF. DE PREÇOS n editavel'!S962</f>
        <v/>
      </c>
      <c r="W962" s="577">
        <v>0</v>
      </c>
      <c r="X962" s="575"/>
      <c r="Y962" s="578">
        <f>IF('REF. DE PREÇOS n editavel'!W962=0,0,IF('REF. DE PREÇOS n editavel'!W962&gt;0,"c","b"))</f>
        <v>0</v>
      </c>
    </row>
    <row r="963" spans="1:25" ht="33.75">
      <c r="A963" s="317">
        <v>100613</v>
      </c>
      <c r="B963" s="870">
        <v>100613</v>
      </c>
      <c r="C963" s="871" t="s">
        <v>590</v>
      </c>
      <c r="D963" s="881" t="s">
        <v>874</v>
      </c>
      <c r="E963" s="882">
        <f>'REF. DE PREÇOS n editavel'!E963</f>
        <v>0</v>
      </c>
      <c r="F963" s="883">
        <f>'REF. DE PREÇOS n editavel'!F963</f>
        <v>0</v>
      </c>
      <c r="G963" s="887">
        <f>'REF. DE PREÇOS n editavel'!G963</f>
        <v>0</v>
      </c>
      <c r="H963" s="876">
        <f>'REF. DE PREÇOS n editavel'!H963</f>
        <v>1614.79</v>
      </c>
      <c r="I963" s="876">
        <f>'REF. DE PREÇOS n editavel'!I963</f>
        <v>1614.79</v>
      </c>
      <c r="J963" s="877">
        <f>'REF. DE PREÇOS n editavel'!J963</f>
        <v>1973.6</v>
      </c>
      <c r="K963" s="878" t="s">
        <v>1500</v>
      </c>
      <c r="L963" s="1092"/>
      <c r="M963" s="1093">
        <f t="shared" si="114"/>
        <v>0</v>
      </c>
      <c r="N963" s="868">
        <f t="shared" si="121"/>
        <v>0</v>
      </c>
      <c r="O963" s="880"/>
      <c r="Q963" s="317" t="str">
        <f t="shared" si="116"/>
        <v/>
      </c>
      <c r="R963" s="317" t="str">
        <f t="shared" si="119"/>
        <v/>
      </c>
      <c r="S963" s="317" t="str">
        <f t="shared" si="120"/>
        <v/>
      </c>
      <c r="T963" s="317" t="str">
        <f>'REF. DE PREÇOS n editavel'!S963</f>
        <v/>
      </c>
      <c r="W963" s="577">
        <v>0</v>
      </c>
      <c r="X963" s="575"/>
      <c r="Y963" s="578">
        <f>IF('REF. DE PREÇOS n editavel'!W963=0,0,IF('REF. DE PREÇOS n editavel'!W963&gt;0,"c","b"))</f>
        <v>0</v>
      </c>
    </row>
    <row r="964" spans="1:25" ht="33.75">
      <c r="A964" s="317">
        <v>100614</v>
      </c>
      <c r="B964" s="870">
        <v>100614</v>
      </c>
      <c r="C964" s="871" t="s">
        <v>590</v>
      </c>
      <c r="D964" s="881" t="s">
        <v>875</v>
      </c>
      <c r="E964" s="882">
        <f>'REF. DE PREÇOS n editavel'!E964</f>
        <v>0</v>
      </c>
      <c r="F964" s="883">
        <f>'REF. DE PREÇOS n editavel'!F964</f>
        <v>0</v>
      </c>
      <c r="G964" s="887">
        <f>'REF. DE PREÇOS n editavel'!G964</f>
        <v>0</v>
      </c>
      <c r="H964" s="876">
        <f>'REF. DE PREÇOS n editavel'!H964</f>
        <v>900.34</v>
      </c>
      <c r="I964" s="876">
        <f>'REF. DE PREÇOS n editavel'!I964</f>
        <v>900.34</v>
      </c>
      <c r="J964" s="877">
        <f>'REF. DE PREÇOS n editavel'!J964</f>
        <v>1100.4000000000001</v>
      </c>
      <c r="K964" s="878" t="s">
        <v>1500</v>
      </c>
      <c r="L964" s="1092"/>
      <c r="M964" s="1093">
        <f t="shared" si="114"/>
        <v>0</v>
      </c>
      <c r="N964" s="868">
        <f t="shared" si="121"/>
        <v>0</v>
      </c>
      <c r="O964" s="880"/>
      <c r="Q964" s="317" t="str">
        <f t="shared" si="116"/>
        <v/>
      </c>
      <c r="R964" s="317" t="str">
        <f t="shared" si="119"/>
        <v/>
      </c>
      <c r="S964" s="317" t="str">
        <f t="shared" si="120"/>
        <v/>
      </c>
      <c r="T964" s="317" t="str">
        <f>'REF. DE PREÇOS n editavel'!S964</f>
        <v/>
      </c>
      <c r="W964" s="577">
        <v>0</v>
      </c>
      <c r="X964" s="575"/>
      <c r="Y964" s="578">
        <f>IF('REF. DE PREÇOS n editavel'!W964=0,0,IF('REF. DE PREÇOS n editavel'!W964&gt;0,"c","b"))</f>
        <v>0</v>
      </c>
    </row>
    <row r="965" spans="1:25" ht="33.75">
      <c r="A965" s="317">
        <v>100615</v>
      </c>
      <c r="B965" s="870">
        <v>100615</v>
      </c>
      <c r="C965" s="871" t="s">
        <v>590</v>
      </c>
      <c r="D965" s="881" t="s">
        <v>876</v>
      </c>
      <c r="E965" s="882">
        <f>'REF. DE PREÇOS n editavel'!E965</f>
        <v>0</v>
      </c>
      <c r="F965" s="883">
        <f>'REF. DE PREÇOS n editavel'!F965</f>
        <v>0</v>
      </c>
      <c r="G965" s="887">
        <f>'REF. DE PREÇOS n editavel'!G965</f>
        <v>0</v>
      </c>
      <c r="H965" s="876">
        <f>'REF. DE PREÇOS n editavel'!H965</f>
        <v>1117.47</v>
      </c>
      <c r="I965" s="876">
        <f>'REF. DE PREÇOS n editavel'!I965</f>
        <v>1117.47</v>
      </c>
      <c r="J965" s="877">
        <f>'REF. DE PREÇOS n editavel'!J965</f>
        <v>1365.77</v>
      </c>
      <c r="K965" s="878" t="s">
        <v>1500</v>
      </c>
      <c r="L965" s="1092"/>
      <c r="M965" s="1093">
        <f t="shared" si="114"/>
        <v>0</v>
      </c>
      <c r="N965" s="868">
        <f t="shared" si="121"/>
        <v>0</v>
      </c>
      <c r="O965" s="880"/>
      <c r="Q965" s="317" t="str">
        <f t="shared" si="116"/>
        <v/>
      </c>
      <c r="R965" s="317" t="str">
        <f t="shared" si="119"/>
        <v/>
      </c>
      <c r="S965" s="317" t="str">
        <f t="shared" si="120"/>
        <v/>
      </c>
      <c r="T965" s="317" t="str">
        <f>'REF. DE PREÇOS n editavel'!S965</f>
        <v/>
      </c>
      <c r="W965" s="577">
        <v>0</v>
      </c>
      <c r="X965" s="575"/>
      <c r="Y965" s="578">
        <f>IF('REF. DE PREÇOS n editavel'!W965=0,0,IF('REF. DE PREÇOS n editavel'!W965&gt;0,"c","b"))</f>
        <v>0</v>
      </c>
    </row>
    <row r="966" spans="1:25" ht="33.75">
      <c r="A966" s="317">
        <v>100616</v>
      </c>
      <c r="B966" s="870">
        <v>100616</v>
      </c>
      <c r="C966" s="871" t="s">
        <v>590</v>
      </c>
      <c r="D966" s="881" t="s">
        <v>877</v>
      </c>
      <c r="E966" s="882">
        <f>'REF. DE PREÇOS n editavel'!E966</f>
        <v>0</v>
      </c>
      <c r="F966" s="883">
        <f>'REF. DE PREÇOS n editavel'!F966</f>
        <v>0</v>
      </c>
      <c r="G966" s="887">
        <f>'REF. DE PREÇOS n editavel'!G966</f>
        <v>0</v>
      </c>
      <c r="H966" s="876">
        <f>'REF. DE PREÇOS n editavel'!H966</f>
        <v>1684.75</v>
      </c>
      <c r="I966" s="876">
        <f>'REF. DE PREÇOS n editavel'!I966</f>
        <v>1684.75</v>
      </c>
      <c r="J966" s="877">
        <f>'REF. DE PREÇOS n editavel'!J966</f>
        <v>2059.1</v>
      </c>
      <c r="K966" s="878" t="s">
        <v>1500</v>
      </c>
      <c r="L966" s="1092"/>
      <c r="M966" s="1093">
        <f t="shared" ref="M966:M1029" si="122">IF(L966=0,0,ROUND(J966,2))</f>
        <v>0</v>
      </c>
      <c r="N966" s="868">
        <f t="shared" si="121"/>
        <v>0</v>
      </c>
      <c r="O966" s="880"/>
      <c r="Q966" s="317" t="str">
        <f t="shared" si="116"/>
        <v/>
      </c>
      <c r="R966" s="317" t="str">
        <f t="shared" si="119"/>
        <v/>
      </c>
      <c r="S966" s="317" t="str">
        <f t="shared" si="120"/>
        <v/>
      </c>
      <c r="T966" s="317" t="str">
        <f>'REF. DE PREÇOS n editavel'!S966</f>
        <v/>
      </c>
      <c r="W966" s="577">
        <v>0</v>
      </c>
      <c r="X966" s="575"/>
      <c r="Y966" s="578">
        <f>IF('REF. DE PREÇOS n editavel'!W966=0,0,IF('REF. DE PREÇOS n editavel'!W966&gt;0,"c","b"))</f>
        <v>0</v>
      </c>
    </row>
    <row r="967" spans="1:25" ht="33.75">
      <c r="A967" s="317">
        <v>100617</v>
      </c>
      <c r="B967" s="870">
        <v>100617</v>
      </c>
      <c r="C967" s="871" t="s">
        <v>590</v>
      </c>
      <c r="D967" s="881" t="s">
        <v>878</v>
      </c>
      <c r="E967" s="882">
        <f>'REF. DE PREÇOS n editavel'!E967</f>
        <v>0</v>
      </c>
      <c r="F967" s="883">
        <f>'REF. DE PREÇOS n editavel'!F967</f>
        <v>0</v>
      </c>
      <c r="G967" s="887">
        <f>'REF. DE PREÇOS n editavel'!G967</f>
        <v>0</v>
      </c>
      <c r="H967" s="876">
        <f>'REF. DE PREÇOS n editavel'!H967</f>
        <v>1165.17</v>
      </c>
      <c r="I967" s="876">
        <f>'REF. DE PREÇOS n editavel'!I967</f>
        <v>1165.17</v>
      </c>
      <c r="J967" s="877">
        <f>'REF. DE PREÇOS n editavel'!J967</f>
        <v>1424.07</v>
      </c>
      <c r="K967" s="878" t="s">
        <v>1500</v>
      </c>
      <c r="L967" s="1092"/>
      <c r="M967" s="1093">
        <f t="shared" si="122"/>
        <v>0</v>
      </c>
      <c r="N967" s="868">
        <f t="shared" si="121"/>
        <v>0</v>
      </c>
      <c r="O967" s="880"/>
      <c r="Q967" s="317" t="str">
        <f t="shared" si="116"/>
        <v/>
      </c>
      <c r="R967" s="317" t="str">
        <f t="shared" si="119"/>
        <v/>
      </c>
      <c r="S967" s="317" t="str">
        <f t="shared" si="120"/>
        <v/>
      </c>
      <c r="T967" s="317" t="str">
        <f>'REF. DE PREÇOS n editavel'!S967</f>
        <v/>
      </c>
      <c r="W967" s="577">
        <v>0</v>
      </c>
      <c r="X967" s="575"/>
      <c r="Y967" s="578">
        <f>IF('REF. DE PREÇOS n editavel'!W967=0,0,IF('REF. DE PREÇOS n editavel'!W967&gt;0,"c","b"))</f>
        <v>0</v>
      </c>
    </row>
    <row r="968" spans="1:25" ht="45">
      <c r="A968" s="317">
        <v>100618</v>
      </c>
      <c r="B968" s="870">
        <v>100618</v>
      </c>
      <c r="C968" s="871" t="s">
        <v>590</v>
      </c>
      <c r="D968" s="881" t="s">
        <v>879</v>
      </c>
      <c r="E968" s="882">
        <f>'REF. DE PREÇOS n editavel'!E968</f>
        <v>0</v>
      </c>
      <c r="F968" s="883">
        <f>'REF. DE PREÇOS n editavel'!F968</f>
        <v>0</v>
      </c>
      <c r="G968" s="887">
        <f>'REF. DE PREÇOS n editavel'!G968</f>
        <v>0</v>
      </c>
      <c r="H968" s="876">
        <f>'REF. DE PREÇOS n editavel'!H968</f>
        <v>1758.03</v>
      </c>
      <c r="I968" s="876">
        <f>'REF. DE PREÇOS n editavel'!I968</f>
        <v>1758.03</v>
      </c>
      <c r="J968" s="877">
        <f>'REF. DE PREÇOS n editavel'!J968</f>
        <v>2148.66</v>
      </c>
      <c r="K968" s="878" t="s">
        <v>1500</v>
      </c>
      <c r="L968" s="1092"/>
      <c r="M968" s="1093">
        <f t="shared" si="122"/>
        <v>0</v>
      </c>
      <c r="N968" s="868">
        <f t="shared" si="121"/>
        <v>0</v>
      </c>
      <c r="O968" s="880"/>
      <c r="Q968" s="317" t="str">
        <f t="shared" si="116"/>
        <v/>
      </c>
      <c r="R968" s="317" t="str">
        <f t="shared" si="119"/>
        <v/>
      </c>
      <c r="S968" s="317" t="str">
        <f t="shared" si="120"/>
        <v/>
      </c>
      <c r="T968" s="317" t="str">
        <f>'REF. DE PREÇOS n editavel'!S968</f>
        <v/>
      </c>
      <c r="W968" s="577">
        <v>0</v>
      </c>
      <c r="X968" s="575"/>
      <c r="Y968" s="578">
        <f>IF('REF. DE PREÇOS n editavel'!W968=0,0,IF('REF. DE PREÇOS n editavel'!W968&gt;0,"c","b"))</f>
        <v>0</v>
      </c>
    </row>
    <row r="969" spans="1:25" ht="22.5">
      <c r="A969" s="317">
        <v>97660</v>
      </c>
      <c r="B969" s="870">
        <v>97660</v>
      </c>
      <c r="C969" s="871" t="s">
        <v>590</v>
      </c>
      <c r="D969" s="881" t="s">
        <v>880</v>
      </c>
      <c r="E969" s="882">
        <f>'REF. DE PREÇOS n editavel'!E969</f>
        <v>0</v>
      </c>
      <c r="F969" s="883">
        <f>'REF. DE PREÇOS n editavel'!F969</f>
        <v>0</v>
      </c>
      <c r="G969" s="887">
        <f>'REF. DE PREÇOS n editavel'!G969</f>
        <v>0</v>
      </c>
      <c r="H969" s="876">
        <f>'REF. DE PREÇOS n editavel'!H969</f>
        <v>0.77</v>
      </c>
      <c r="I969" s="876">
        <f>'REF. DE PREÇOS n editavel'!I969</f>
        <v>0.77</v>
      </c>
      <c r="J969" s="877">
        <f>'REF. DE PREÇOS n editavel'!J969</f>
        <v>0.94</v>
      </c>
      <c r="K969" s="878" t="s">
        <v>1500</v>
      </c>
      <c r="L969" s="1092"/>
      <c r="M969" s="1093">
        <f t="shared" si="122"/>
        <v>0</v>
      </c>
      <c r="N969" s="868">
        <f t="shared" si="121"/>
        <v>0</v>
      </c>
      <c r="O969" s="880"/>
      <c r="Q969" s="317" t="str">
        <f t="shared" si="116"/>
        <v/>
      </c>
      <c r="R969" s="317" t="str">
        <f t="shared" si="119"/>
        <v/>
      </c>
      <c r="S969" s="317" t="str">
        <f t="shared" si="120"/>
        <v/>
      </c>
      <c r="T969" s="317" t="str">
        <f>'REF. DE PREÇOS n editavel'!S969</f>
        <v/>
      </c>
      <c r="W969" s="577">
        <v>0</v>
      </c>
      <c r="X969" s="575"/>
      <c r="Y969" s="578">
        <f>IF('REF. DE PREÇOS n editavel'!W969=0,0,IF('REF. DE PREÇOS n editavel'!W969&gt;0,"c","b"))</f>
        <v>0</v>
      </c>
    </row>
    <row r="970" spans="1:25" ht="22.5">
      <c r="A970" s="317">
        <v>90447</v>
      </c>
      <c r="B970" s="870">
        <v>90447</v>
      </c>
      <c r="C970" s="871" t="s">
        <v>590</v>
      </c>
      <c r="D970" s="881" t="s">
        <v>881</v>
      </c>
      <c r="E970" s="882">
        <f>'REF. DE PREÇOS n editavel'!E970</f>
        <v>0</v>
      </c>
      <c r="F970" s="883">
        <f>'REF. DE PREÇOS n editavel'!F970</f>
        <v>0</v>
      </c>
      <c r="G970" s="887">
        <f>'REF. DE PREÇOS n editavel'!G970</f>
        <v>0</v>
      </c>
      <c r="H970" s="876">
        <f>'REF. DE PREÇOS n editavel'!H970</f>
        <v>8.0299999999999994</v>
      </c>
      <c r="I970" s="876">
        <f>'REF. DE PREÇOS n editavel'!I970</f>
        <v>8.0299999999999994</v>
      </c>
      <c r="J970" s="877">
        <f>'REF. DE PREÇOS n editavel'!J970</f>
        <v>9.81</v>
      </c>
      <c r="K970" s="878" t="s">
        <v>62</v>
      </c>
      <c r="L970" s="1092"/>
      <c r="M970" s="1093">
        <f t="shared" si="122"/>
        <v>0</v>
      </c>
      <c r="N970" s="868">
        <f t="shared" si="121"/>
        <v>0</v>
      </c>
      <c r="O970" s="880"/>
      <c r="Q970" s="317" t="str">
        <f t="shared" si="116"/>
        <v/>
      </c>
      <c r="R970" s="317" t="str">
        <f t="shared" si="119"/>
        <v/>
      </c>
      <c r="S970" s="317" t="str">
        <f t="shared" si="120"/>
        <v/>
      </c>
      <c r="T970" s="317" t="str">
        <f>'REF. DE PREÇOS n editavel'!S970</f>
        <v/>
      </c>
      <c r="W970" s="577">
        <v>0</v>
      </c>
      <c r="X970" s="575"/>
      <c r="Y970" s="578">
        <f>IF('REF. DE PREÇOS n editavel'!W970=0,0,IF('REF. DE PREÇOS n editavel'!W970&gt;0,"c","b"))</f>
        <v>0</v>
      </c>
    </row>
    <row r="971" spans="1:25" ht="22.5">
      <c r="A971" s="317">
        <v>90456</v>
      </c>
      <c r="B971" s="870">
        <v>90456</v>
      </c>
      <c r="C971" s="871" t="s">
        <v>590</v>
      </c>
      <c r="D971" s="881" t="s">
        <v>882</v>
      </c>
      <c r="E971" s="882">
        <f>'REF. DE PREÇOS n editavel'!E971</f>
        <v>0</v>
      </c>
      <c r="F971" s="883">
        <f>'REF. DE PREÇOS n editavel'!F971</f>
        <v>0</v>
      </c>
      <c r="G971" s="887">
        <f>'REF. DE PREÇOS n editavel'!G971</f>
        <v>0</v>
      </c>
      <c r="H971" s="876">
        <f>'REF. DE PREÇOS n editavel'!H971</f>
        <v>5.16</v>
      </c>
      <c r="I971" s="876">
        <f>'REF. DE PREÇOS n editavel'!I971</f>
        <v>5.16</v>
      </c>
      <c r="J971" s="877">
        <f>'REF. DE PREÇOS n editavel'!J971</f>
        <v>6.31</v>
      </c>
      <c r="K971" s="878" t="s">
        <v>1500</v>
      </c>
      <c r="L971" s="1092"/>
      <c r="M971" s="1093">
        <f t="shared" si="122"/>
        <v>0</v>
      </c>
      <c r="N971" s="868">
        <f t="shared" si="121"/>
        <v>0</v>
      </c>
      <c r="O971" s="880"/>
      <c r="Q971" s="317" t="str">
        <f t="shared" si="116"/>
        <v/>
      </c>
      <c r="R971" s="317" t="str">
        <f t="shared" si="119"/>
        <v/>
      </c>
      <c r="S971" s="317" t="str">
        <f t="shared" si="120"/>
        <v/>
      </c>
      <c r="T971" s="317" t="str">
        <f>'REF. DE PREÇOS n editavel'!S971</f>
        <v/>
      </c>
      <c r="W971" s="577">
        <v>0</v>
      </c>
      <c r="X971" s="575"/>
      <c r="Y971" s="578">
        <f>IF('REF. DE PREÇOS n editavel'!W971=0,0,IF('REF. DE PREÇOS n editavel'!W971&gt;0,"c","b"))</f>
        <v>0</v>
      </c>
    </row>
    <row r="972" spans="1:25" ht="22.5">
      <c r="A972" s="317">
        <v>90457</v>
      </c>
      <c r="B972" s="870">
        <v>90457</v>
      </c>
      <c r="C972" s="871" t="s">
        <v>590</v>
      </c>
      <c r="D972" s="881" t="s">
        <v>883</v>
      </c>
      <c r="E972" s="882">
        <f>'REF. DE PREÇOS n editavel'!E972</f>
        <v>0</v>
      </c>
      <c r="F972" s="883">
        <f>'REF. DE PREÇOS n editavel'!F972</f>
        <v>0</v>
      </c>
      <c r="G972" s="887">
        <f>'REF. DE PREÇOS n editavel'!G972</f>
        <v>0</v>
      </c>
      <c r="H972" s="876">
        <f>'REF. DE PREÇOS n editavel'!H972</f>
        <v>11.77</v>
      </c>
      <c r="I972" s="876">
        <f>'REF. DE PREÇOS n editavel'!I972</f>
        <v>11.77</v>
      </c>
      <c r="J972" s="877">
        <f>'REF. DE PREÇOS n editavel'!J972</f>
        <v>14.39</v>
      </c>
      <c r="K972" s="878" t="s">
        <v>1500</v>
      </c>
      <c r="L972" s="1092"/>
      <c r="M972" s="1093">
        <f t="shared" si="122"/>
        <v>0</v>
      </c>
      <c r="N972" s="868">
        <f t="shared" si="121"/>
        <v>0</v>
      </c>
      <c r="O972" s="880"/>
      <c r="Q972" s="317" t="str">
        <f t="shared" si="116"/>
        <v/>
      </c>
      <c r="R972" s="317" t="str">
        <f t="shared" si="119"/>
        <v/>
      </c>
      <c r="S972" s="317" t="str">
        <f t="shared" si="120"/>
        <v/>
      </c>
      <c r="T972" s="317" t="str">
        <f>'REF. DE PREÇOS n editavel'!S972</f>
        <v/>
      </c>
      <c r="W972" s="577">
        <v>0</v>
      </c>
      <c r="X972" s="575"/>
      <c r="Y972" s="578">
        <f>IF('REF. DE PREÇOS n editavel'!W972=0,0,IF('REF. DE PREÇOS n editavel'!W972&gt;0,"c","b"))</f>
        <v>0</v>
      </c>
    </row>
    <row r="973" spans="1:25" ht="22.5">
      <c r="A973" s="317">
        <v>90458</v>
      </c>
      <c r="B973" s="870">
        <v>90458</v>
      </c>
      <c r="C973" s="871" t="s">
        <v>590</v>
      </c>
      <c r="D973" s="881" t="s">
        <v>884</v>
      </c>
      <c r="E973" s="882">
        <f>'REF. DE PREÇOS n editavel'!E973</f>
        <v>0</v>
      </c>
      <c r="F973" s="883">
        <f>'REF. DE PREÇOS n editavel'!F973</f>
        <v>0</v>
      </c>
      <c r="G973" s="887">
        <f>'REF. DE PREÇOS n editavel'!G973</f>
        <v>0</v>
      </c>
      <c r="H973" s="876">
        <f>'REF. DE PREÇOS n editavel'!H973</f>
        <v>33.409999999999997</v>
      </c>
      <c r="I973" s="876">
        <f>'REF. DE PREÇOS n editavel'!I973</f>
        <v>33.409999999999997</v>
      </c>
      <c r="J973" s="877">
        <f>'REF. DE PREÇOS n editavel'!J973</f>
        <v>40.83</v>
      </c>
      <c r="K973" s="878" t="s">
        <v>1500</v>
      </c>
      <c r="L973" s="1092"/>
      <c r="M973" s="1093">
        <f t="shared" si="122"/>
        <v>0</v>
      </c>
      <c r="N973" s="868">
        <f t="shared" si="121"/>
        <v>0</v>
      </c>
      <c r="O973" s="880"/>
      <c r="Q973" s="317" t="str">
        <f t="shared" si="116"/>
        <v/>
      </c>
      <c r="R973" s="317" t="str">
        <f t="shared" si="119"/>
        <v/>
      </c>
      <c r="S973" s="317" t="str">
        <f t="shared" si="120"/>
        <v/>
      </c>
      <c r="T973" s="317" t="str">
        <f>'REF. DE PREÇOS n editavel'!S973</f>
        <v/>
      </c>
      <c r="W973" s="577">
        <v>0</v>
      </c>
      <c r="X973" s="575"/>
      <c r="Y973" s="578">
        <f>IF('REF. DE PREÇOS n editavel'!W973=0,0,IF('REF. DE PREÇOS n editavel'!W973&gt;0,"c","b"))</f>
        <v>0</v>
      </c>
    </row>
    <row r="974" spans="1:25" ht="22.5">
      <c r="A974" s="317">
        <v>101938</v>
      </c>
      <c r="B974" s="870">
        <v>101938</v>
      </c>
      <c r="C974" s="871" t="s">
        <v>590</v>
      </c>
      <c r="D974" s="881" t="s">
        <v>885</v>
      </c>
      <c r="E974" s="882">
        <f>'REF. DE PREÇOS n editavel'!E974</f>
        <v>0</v>
      </c>
      <c r="F974" s="883">
        <f>'REF. DE PREÇOS n editavel'!F974</f>
        <v>0</v>
      </c>
      <c r="G974" s="887">
        <f>'REF. DE PREÇOS n editavel'!G974</f>
        <v>0</v>
      </c>
      <c r="H974" s="876">
        <f>'REF. DE PREÇOS n editavel'!H974</f>
        <v>127.45</v>
      </c>
      <c r="I974" s="876">
        <f>'REF. DE PREÇOS n editavel'!I974</f>
        <v>127.45</v>
      </c>
      <c r="J974" s="877">
        <f>'REF. DE PREÇOS n editavel'!J974</f>
        <v>155.77000000000001</v>
      </c>
      <c r="K974" s="878" t="s">
        <v>1500</v>
      </c>
      <c r="L974" s="1092"/>
      <c r="M974" s="1093">
        <f t="shared" si="122"/>
        <v>0</v>
      </c>
      <c r="N974" s="868">
        <f t="shared" si="121"/>
        <v>0</v>
      </c>
      <c r="O974" s="880"/>
      <c r="Q974" s="317" t="str">
        <f t="shared" si="116"/>
        <v/>
      </c>
      <c r="R974" s="317" t="str">
        <f t="shared" si="119"/>
        <v/>
      </c>
      <c r="S974" s="317" t="str">
        <f t="shared" si="120"/>
        <v/>
      </c>
      <c r="T974" s="317" t="str">
        <f>'REF. DE PREÇOS n editavel'!S974</f>
        <v/>
      </c>
      <c r="W974" s="577">
        <v>0</v>
      </c>
      <c r="X974" s="575"/>
      <c r="Y974" s="578">
        <f>IF('REF. DE PREÇOS n editavel'!W974=0,0,IF('REF. DE PREÇOS n editavel'!W974&gt;0,"c","b"))</f>
        <v>0</v>
      </c>
    </row>
    <row r="975" spans="1:25" ht="33.75">
      <c r="A975" s="317">
        <v>101489</v>
      </c>
      <c r="B975" s="870">
        <v>101489</v>
      </c>
      <c r="C975" s="871" t="s">
        <v>590</v>
      </c>
      <c r="D975" s="881" t="s">
        <v>886</v>
      </c>
      <c r="E975" s="882">
        <f>'REF. DE PREÇOS n editavel'!E975</f>
        <v>0</v>
      </c>
      <c r="F975" s="883">
        <f>'REF. DE PREÇOS n editavel'!F975</f>
        <v>0</v>
      </c>
      <c r="G975" s="887">
        <f>'REF. DE PREÇOS n editavel'!G975</f>
        <v>0</v>
      </c>
      <c r="H975" s="876">
        <f>'REF. DE PREÇOS n editavel'!H975</f>
        <v>1507.06</v>
      </c>
      <c r="I975" s="876">
        <f>'REF. DE PREÇOS n editavel'!I975</f>
        <v>1507.06</v>
      </c>
      <c r="J975" s="877">
        <f>'REF. DE PREÇOS n editavel'!J975</f>
        <v>1841.93</v>
      </c>
      <c r="K975" s="878" t="s">
        <v>1500</v>
      </c>
      <c r="L975" s="1092"/>
      <c r="M975" s="1093">
        <f t="shared" si="122"/>
        <v>0</v>
      </c>
      <c r="N975" s="868">
        <f t="shared" si="121"/>
        <v>0</v>
      </c>
      <c r="O975" s="880"/>
      <c r="Q975" s="317" t="str">
        <f t="shared" si="116"/>
        <v/>
      </c>
      <c r="R975" s="317" t="str">
        <f t="shared" si="119"/>
        <v/>
      </c>
      <c r="S975" s="317" t="str">
        <f t="shared" si="120"/>
        <v/>
      </c>
      <c r="T975" s="317" t="str">
        <f>'REF. DE PREÇOS n editavel'!S975</f>
        <v/>
      </c>
      <c r="W975" s="577">
        <v>0</v>
      </c>
      <c r="X975" s="575"/>
      <c r="Y975" s="578">
        <f>IF('REF. DE PREÇOS n editavel'!W975=0,0,IF('REF. DE PREÇOS n editavel'!W975&gt;0,"c","b"))</f>
        <v>0</v>
      </c>
    </row>
    <row r="976" spans="1:25" ht="33.75">
      <c r="A976" s="317">
        <v>101490</v>
      </c>
      <c r="B976" s="870">
        <v>101490</v>
      </c>
      <c r="C976" s="871" t="s">
        <v>590</v>
      </c>
      <c r="D976" s="881" t="s">
        <v>887</v>
      </c>
      <c r="E976" s="882">
        <f>'REF. DE PREÇOS n editavel'!E976</f>
        <v>0</v>
      </c>
      <c r="F976" s="883">
        <f>'REF. DE PREÇOS n editavel'!F976</f>
        <v>0</v>
      </c>
      <c r="G976" s="887">
        <f>'REF. DE PREÇOS n editavel'!G976</f>
        <v>0</v>
      </c>
      <c r="H976" s="876">
        <f>'REF. DE PREÇOS n editavel'!H976</f>
        <v>1605.18</v>
      </c>
      <c r="I976" s="876">
        <f>'REF. DE PREÇOS n editavel'!I976</f>
        <v>1605.18</v>
      </c>
      <c r="J976" s="877">
        <f>'REF. DE PREÇOS n editavel'!J976</f>
        <v>1961.85</v>
      </c>
      <c r="K976" s="878" t="s">
        <v>1500</v>
      </c>
      <c r="L976" s="1092"/>
      <c r="M976" s="1093">
        <f t="shared" si="122"/>
        <v>0</v>
      </c>
      <c r="N976" s="868">
        <f t="shared" si="121"/>
        <v>0</v>
      </c>
      <c r="O976" s="880"/>
      <c r="Q976" s="317" t="str">
        <f t="shared" si="116"/>
        <v/>
      </c>
      <c r="R976" s="317" t="str">
        <f t="shared" si="119"/>
        <v/>
      </c>
      <c r="S976" s="317" t="str">
        <f t="shared" si="120"/>
        <v/>
      </c>
      <c r="T976" s="317" t="str">
        <f>'REF. DE PREÇOS n editavel'!S976</f>
        <v/>
      </c>
      <c r="W976" s="577">
        <v>0</v>
      </c>
      <c r="X976" s="575"/>
      <c r="Y976" s="578">
        <f>IF('REF. DE PREÇOS n editavel'!W976=0,0,IF('REF. DE PREÇOS n editavel'!W976&gt;0,"c","b"))</f>
        <v>0</v>
      </c>
    </row>
    <row r="977" spans="1:25" ht="33.75">
      <c r="A977" s="317">
        <v>101491</v>
      </c>
      <c r="B977" s="870">
        <v>101491</v>
      </c>
      <c r="C977" s="871" t="s">
        <v>590</v>
      </c>
      <c r="D977" s="881" t="s">
        <v>888</v>
      </c>
      <c r="E977" s="882">
        <f>'REF. DE PREÇOS n editavel'!E977</f>
        <v>0</v>
      </c>
      <c r="F977" s="883">
        <f>'REF. DE PREÇOS n editavel'!F977</f>
        <v>0</v>
      </c>
      <c r="G977" s="887">
        <f>'REF. DE PREÇOS n editavel'!G977</f>
        <v>0</v>
      </c>
      <c r="H977" s="876">
        <f>'REF. DE PREÇOS n editavel'!H977</f>
        <v>1632.79</v>
      </c>
      <c r="I977" s="876">
        <f>'REF. DE PREÇOS n editavel'!I977</f>
        <v>1632.79</v>
      </c>
      <c r="J977" s="877">
        <f>'REF. DE PREÇOS n editavel'!J977</f>
        <v>1995.6</v>
      </c>
      <c r="K977" s="878" t="s">
        <v>1500</v>
      </c>
      <c r="L977" s="1092"/>
      <c r="M977" s="1093">
        <f t="shared" si="122"/>
        <v>0</v>
      </c>
      <c r="N977" s="868">
        <f t="shared" si="121"/>
        <v>0</v>
      </c>
      <c r="O977" s="880"/>
      <c r="Q977" s="317" t="str">
        <f t="shared" ref="Q977:Q1040" si="123">IF(P977="X","x",IF(P977="xx","x",IF(P977="xy","x",IF(P977="y","x",IF(OR(N977&gt;0,N977&gt;0),"x","")))))</f>
        <v/>
      </c>
      <c r="R977" s="317" t="str">
        <f t="shared" si="119"/>
        <v/>
      </c>
      <c r="S977" s="317" t="str">
        <f t="shared" si="120"/>
        <v/>
      </c>
      <c r="T977" s="317" t="str">
        <f>'REF. DE PREÇOS n editavel'!S977</f>
        <v/>
      </c>
      <c r="W977" s="577">
        <v>0</v>
      </c>
      <c r="X977" s="575"/>
      <c r="Y977" s="578">
        <f>IF('REF. DE PREÇOS n editavel'!W977=0,0,IF('REF. DE PREÇOS n editavel'!W977&gt;0,"c","b"))</f>
        <v>0</v>
      </c>
    </row>
    <row r="978" spans="1:25" ht="33.75">
      <c r="A978" s="317">
        <v>101492</v>
      </c>
      <c r="B978" s="870">
        <v>101492</v>
      </c>
      <c r="C978" s="871" t="s">
        <v>590</v>
      </c>
      <c r="D978" s="881" t="s">
        <v>889</v>
      </c>
      <c r="E978" s="882">
        <f>'REF. DE PREÇOS n editavel'!E978</f>
        <v>0</v>
      </c>
      <c r="F978" s="883">
        <f>'REF. DE PREÇOS n editavel'!F978</f>
        <v>0</v>
      </c>
      <c r="G978" s="887">
        <f>'REF. DE PREÇOS n editavel'!G978</f>
        <v>0</v>
      </c>
      <c r="H978" s="876">
        <f>'REF. DE PREÇOS n editavel'!H978</f>
        <v>1787.27</v>
      </c>
      <c r="I978" s="876">
        <f>'REF. DE PREÇOS n editavel'!I978</f>
        <v>1787.27</v>
      </c>
      <c r="J978" s="877">
        <f>'REF. DE PREÇOS n editavel'!J978</f>
        <v>2184.4</v>
      </c>
      <c r="K978" s="878" t="s">
        <v>1500</v>
      </c>
      <c r="L978" s="1092"/>
      <c r="M978" s="1093">
        <f t="shared" si="122"/>
        <v>0</v>
      </c>
      <c r="N978" s="868">
        <f t="shared" si="121"/>
        <v>0</v>
      </c>
      <c r="O978" s="880"/>
      <c r="Q978" s="317" t="str">
        <f t="shared" si="123"/>
        <v/>
      </c>
      <c r="R978" s="317" t="str">
        <f t="shared" si="119"/>
        <v/>
      </c>
      <c r="S978" s="317" t="str">
        <f t="shared" si="120"/>
        <v/>
      </c>
      <c r="T978" s="317" t="str">
        <f>'REF. DE PREÇOS n editavel'!S978</f>
        <v/>
      </c>
      <c r="W978" s="577">
        <v>0</v>
      </c>
      <c r="X978" s="575"/>
      <c r="Y978" s="578">
        <f>IF('REF. DE PREÇOS n editavel'!W978=0,0,IF('REF. DE PREÇOS n editavel'!W978&gt;0,"c","b"))</f>
        <v>0</v>
      </c>
    </row>
    <row r="979" spans="1:25" ht="33.75">
      <c r="A979" s="317">
        <v>101493</v>
      </c>
      <c r="B979" s="870">
        <v>101493</v>
      </c>
      <c r="C979" s="871" t="s">
        <v>590</v>
      </c>
      <c r="D979" s="881" t="s">
        <v>890</v>
      </c>
      <c r="E979" s="882">
        <f>'REF. DE PREÇOS n editavel'!E979</f>
        <v>0</v>
      </c>
      <c r="F979" s="883">
        <f>'REF. DE PREÇOS n editavel'!F979</f>
        <v>0</v>
      </c>
      <c r="G979" s="887">
        <f>'REF. DE PREÇOS n editavel'!G979</f>
        <v>0</v>
      </c>
      <c r="H979" s="876">
        <f>'REF. DE PREÇOS n editavel'!H979</f>
        <v>1487.05</v>
      </c>
      <c r="I979" s="876">
        <f>'REF. DE PREÇOS n editavel'!I979</f>
        <v>1487.05</v>
      </c>
      <c r="J979" s="877">
        <f>'REF. DE PREÇOS n editavel'!J979</f>
        <v>1817.47</v>
      </c>
      <c r="K979" s="878" t="s">
        <v>1500</v>
      </c>
      <c r="L979" s="1092"/>
      <c r="M979" s="1093">
        <f t="shared" si="122"/>
        <v>0</v>
      </c>
      <c r="N979" s="868">
        <f t="shared" si="121"/>
        <v>0</v>
      </c>
      <c r="O979" s="880"/>
      <c r="Q979" s="317" t="str">
        <f t="shared" si="123"/>
        <v/>
      </c>
      <c r="R979" s="317" t="str">
        <f t="shared" ref="R979:R1042" si="124">IF(P979="X","x",IF(P979="y","x",IF(P979="xx","x",IF(N979&gt;0,"x",""))))</f>
        <v/>
      </c>
      <c r="S979" s="317" t="str">
        <f t="shared" ref="S979:S1042" si="125">IF(P979="X","x",IF(N979&gt;0,"x",""))</f>
        <v/>
      </c>
      <c r="T979" s="317" t="str">
        <f>'REF. DE PREÇOS n editavel'!S979</f>
        <v/>
      </c>
      <c r="W979" s="577">
        <v>0</v>
      </c>
      <c r="X979" s="575"/>
      <c r="Y979" s="578">
        <f>IF('REF. DE PREÇOS n editavel'!W979=0,0,IF('REF. DE PREÇOS n editavel'!W979&gt;0,"c","b"))</f>
        <v>0</v>
      </c>
    </row>
    <row r="980" spans="1:25" ht="33.75">
      <c r="A980" s="317">
        <v>101494</v>
      </c>
      <c r="B980" s="870">
        <v>101494</v>
      </c>
      <c r="C980" s="871" t="s">
        <v>590</v>
      </c>
      <c r="D980" s="881" t="s">
        <v>891</v>
      </c>
      <c r="E980" s="882">
        <f>'REF. DE PREÇOS n editavel'!E980</f>
        <v>0</v>
      </c>
      <c r="F980" s="883">
        <f>'REF. DE PREÇOS n editavel'!F980</f>
        <v>0</v>
      </c>
      <c r="G980" s="887">
        <f>'REF. DE PREÇOS n editavel'!G980</f>
        <v>0</v>
      </c>
      <c r="H980" s="876">
        <f>'REF. DE PREÇOS n editavel'!H980</f>
        <v>1585.17</v>
      </c>
      <c r="I980" s="876">
        <f>'REF. DE PREÇOS n editavel'!I980</f>
        <v>1585.17</v>
      </c>
      <c r="J980" s="877">
        <f>'REF. DE PREÇOS n editavel'!J980</f>
        <v>1937.39</v>
      </c>
      <c r="K980" s="878" t="s">
        <v>1500</v>
      </c>
      <c r="L980" s="1092"/>
      <c r="M980" s="1093">
        <f t="shared" si="122"/>
        <v>0</v>
      </c>
      <c r="N980" s="868">
        <f t="shared" si="121"/>
        <v>0</v>
      </c>
      <c r="O980" s="880"/>
      <c r="Q980" s="317" t="str">
        <f t="shared" si="123"/>
        <v/>
      </c>
      <c r="R980" s="317" t="str">
        <f t="shared" si="124"/>
        <v/>
      </c>
      <c r="S980" s="317" t="str">
        <f t="shared" si="125"/>
        <v/>
      </c>
      <c r="T980" s="317" t="str">
        <f>'REF. DE PREÇOS n editavel'!S980</f>
        <v/>
      </c>
      <c r="W980" s="577">
        <v>0</v>
      </c>
      <c r="X980" s="575"/>
      <c r="Y980" s="578">
        <f>IF('REF. DE PREÇOS n editavel'!W980=0,0,IF('REF. DE PREÇOS n editavel'!W980&gt;0,"c","b"))</f>
        <v>0</v>
      </c>
    </row>
    <row r="981" spans="1:25" ht="33.75">
      <c r="A981" s="317">
        <v>101495</v>
      </c>
      <c r="B981" s="870">
        <v>101495</v>
      </c>
      <c r="C981" s="871" t="s">
        <v>590</v>
      </c>
      <c r="D981" s="881" t="s">
        <v>892</v>
      </c>
      <c r="E981" s="882">
        <f>'REF. DE PREÇOS n editavel'!E981</f>
        <v>0</v>
      </c>
      <c r="F981" s="883">
        <f>'REF. DE PREÇOS n editavel'!F981</f>
        <v>0</v>
      </c>
      <c r="G981" s="887">
        <f>'REF. DE PREÇOS n editavel'!G981</f>
        <v>0</v>
      </c>
      <c r="H981" s="876">
        <f>'REF. DE PREÇOS n editavel'!H981</f>
        <v>1612.78</v>
      </c>
      <c r="I981" s="876">
        <f>'REF. DE PREÇOS n editavel'!I981</f>
        <v>1612.78</v>
      </c>
      <c r="J981" s="877">
        <f>'REF. DE PREÇOS n editavel'!J981</f>
        <v>1971.14</v>
      </c>
      <c r="K981" s="878" t="s">
        <v>1500</v>
      </c>
      <c r="L981" s="1092"/>
      <c r="M981" s="1093">
        <f t="shared" si="122"/>
        <v>0</v>
      </c>
      <c r="N981" s="868">
        <f t="shared" si="121"/>
        <v>0</v>
      </c>
      <c r="O981" s="880"/>
      <c r="Q981" s="317" t="str">
        <f t="shared" si="123"/>
        <v/>
      </c>
      <c r="R981" s="317" t="str">
        <f t="shared" si="124"/>
        <v/>
      </c>
      <c r="S981" s="317" t="str">
        <f t="shared" si="125"/>
        <v/>
      </c>
      <c r="T981" s="317" t="str">
        <f>'REF. DE PREÇOS n editavel'!S981</f>
        <v/>
      </c>
      <c r="W981" s="577">
        <v>0</v>
      </c>
      <c r="X981" s="575"/>
      <c r="Y981" s="578">
        <f>IF('REF. DE PREÇOS n editavel'!W981=0,0,IF('REF. DE PREÇOS n editavel'!W981&gt;0,"c","b"))</f>
        <v>0</v>
      </c>
    </row>
    <row r="982" spans="1:25" ht="33.75">
      <c r="A982" s="317">
        <v>101496</v>
      </c>
      <c r="B982" s="870">
        <v>101496</v>
      </c>
      <c r="C982" s="871" t="s">
        <v>590</v>
      </c>
      <c r="D982" s="881" t="s">
        <v>893</v>
      </c>
      <c r="E982" s="882">
        <f>'REF. DE PREÇOS n editavel'!E982</f>
        <v>0</v>
      </c>
      <c r="F982" s="883">
        <f>'REF. DE PREÇOS n editavel'!F982</f>
        <v>0</v>
      </c>
      <c r="G982" s="887">
        <f>'REF. DE PREÇOS n editavel'!G982</f>
        <v>0</v>
      </c>
      <c r="H982" s="876">
        <f>'REF. DE PREÇOS n editavel'!H982</f>
        <v>1767.26</v>
      </c>
      <c r="I982" s="876">
        <f>'REF. DE PREÇOS n editavel'!I982</f>
        <v>1767.26</v>
      </c>
      <c r="J982" s="877">
        <f>'REF. DE PREÇOS n editavel'!J982</f>
        <v>2159.9499999999998</v>
      </c>
      <c r="K982" s="878" t="s">
        <v>1500</v>
      </c>
      <c r="L982" s="1092"/>
      <c r="M982" s="1093">
        <f t="shared" si="122"/>
        <v>0</v>
      </c>
      <c r="N982" s="868">
        <f t="shared" si="121"/>
        <v>0</v>
      </c>
      <c r="O982" s="880"/>
      <c r="Q982" s="317" t="str">
        <f t="shared" si="123"/>
        <v/>
      </c>
      <c r="R982" s="317" t="str">
        <f t="shared" si="124"/>
        <v/>
      </c>
      <c r="S982" s="317" t="str">
        <f t="shared" si="125"/>
        <v/>
      </c>
      <c r="T982" s="317" t="str">
        <f>'REF. DE PREÇOS n editavel'!S982</f>
        <v/>
      </c>
      <c r="W982" s="577">
        <v>0</v>
      </c>
      <c r="X982" s="575"/>
      <c r="Y982" s="578">
        <f>IF('REF. DE PREÇOS n editavel'!W982=0,0,IF('REF. DE PREÇOS n editavel'!W982&gt;0,"c","b"))</f>
        <v>0</v>
      </c>
    </row>
    <row r="983" spans="1:25" ht="33.75">
      <c r="A983" s="317">
        <v>101497</v>
      </c>
      <c r="B983" s="870">
        <v>101497</v>
      </c>
      <c r="C983" s="871" t="s">
        <v>590</v>
      </c>
      <c r="D983" s="881" t="s">
        <v>894</v>
      </c>
      <c r="E983" s="882">
        <f>'REF. DE PREÇOS n editavel'!E983</f>
        <v>0</v>
      </c>
      <c r="F983" s="883">
        <f>'REF. DE PREÇOS n editavel'!F983</f>
        <v>0</v>
      </c>
      <c r="G983" s="887">
        <f>'REF. DE PREÇOS n editavel'!G983</f>
        <v>0</v>
      </c>
      <c r="H983" s="876">
        <f>'REF. DE PREÇOS n editavel'!H983</f>
        <v>1782.8</v>
      </c>
      <c r="I983" s="876">
        <f>'REF. DE PREÇOS n editavel'!I983</f>
        <v>1782.8</v>
      </c>
      <c r="J983" s="877">
        <f>'REF. DE PREÇOS n editavel'!J983</f>
        <v>2178.94</v>
      </c>
      <c r="K983" s="878" t="s">
        <v>1500</v>
      </c>
      <c r="L983" s="1092"/>
      <c r="M983" s="1093">
        <f t="shared" si="122"/>
        <v>0</v>
      </c>
      <c r="N983" s="868">
        <f t="shared" ref="N983:N1046" si="126">IF(ISBLANK(L983),0,IF(W983=0,ROUND(L983*M983,2),IF(W983="b",ROUNDDOWN(L983*M983,2),ROUNDUP(L983*M983,2))))</f>
        <v>0</v>
      </c>
      <c r="O983" s="880"/>
      <c r="Q983" s="317" t="str">
        <f t="shared" si="123"/>
        <v/>
      </c>
      <c r="R983" s="317" t="str">
        <f t="shared" si="124"/>
        <v/>
      </c>
      <c r="S983" s="317" t="str">
        <f t="shared" si="125"/>
        <v/>
      </c>
      <c r="T983" s="317" t="str">
        <f>'REF. DE PREÇOS n editavel'!S983</f>
        <v/>
      </c>
      <c r="W983" s="577">
        <v>0</v>
      </c>
      <c r="X983" s="575"/>
      <c r="Y983" s="578">
        <f>IF('REF. DE PREÇOS n editavel'!W983=0,0,IF('REF. DE PREÇOS n editavel'!W983&gt;0,"c","b"))</f>
        <v>0</v>
      </c>
    </row>
    <row r="984" spans="1:25" ht="33.75">
      <c r="A984" s="317">
        <v>101498</v>
      </c>
      <c r="B984" s="870">
        <v>101498</v>
      </c>
      <c r="C984" s="871" t="s">
        <v>590</v>
      </c>
      <c r="D984" s="881" t="s">
        <v>895</v>
      </c>
      <c r="E984" s="882">
        <f>'REF. DE PREÇOS n editavel'!E984</f>
        <v>0</v>
      </c>
      <c r="F984" s="883">
        <f>'REF. DE PREÇOS n editavel'!F984</f>
        <v>0</v>
      </c>
      <c r="G984" s="887">
        <f>'REF. DE PREÇOS n editavel'!G984</f>
        <v>0</v>
      </c>
      <c r="H984" s="876">
        <f>'REF. DE PREÇOS n editavel'!H984</f>
        <v>1931.32</v>
      </c>
      <c r="I984" s="876">
        <f>'REF. DE PREÇOS n editavel'!I984</f>
        <v>1931.32</v>
      </c>
      <c r="J984" s="877">
        <f>'REF. DE PREÇOS n editavel'!J984</f>
        <v>2360.46</v>
      </c>
      <c r="K984" s="878" t="s">
        <v>1500</v>
      </c>
      <c r="L984" s="1092"/>
      <c r="M984" s="1093">
        <f t="shared" si="122"/>
        <v>0</v>
      </c>
      <c r="N984" s="868">
        <f t="shared" si="126"/>
        <v>0</v>
      </c>
      <c r="O984" s="880"/>
      <c r="Q984" s="317" t="str">
        <f t="shared" si="123"/>
        <v/>
      </c>
      <c r="R984" s="317" t="str">
        <f t="shared" si="124"/>
        <v/>
      </c>
      <c r="S984" s="317" t="str">
        <f t="shared" si="125"/>
        <v/>
      </c>
      <c r="T984" s="317" t="str">
        <f>'REF. DE PREÇOS n editavel'!S984</f>
        <v/>
      </c>
      <c r="W984" s="577">
        <v>0</v>
      </c>
      <c r="X984" s="575"/>
      <c r="Y984" s="578">
        <f>IF('REF. DE PREÇOS n editavel'!W984=0,0,IF('REF. DE PREÇOS n editavel'!W984&gt;0,"c","b"))</f>
        <v>0</v>
      </c>
    </row>
    <row r="985" spans="1:25" ht="33.75">
      <c r="A985" s="317">
        <v>101499</v>
      </c>
      <c r="B985" s="870">
        <v>101499</v>
      </c>
      <c r="C985" s="871" t="s">
        <v>590</v>
      </c>
      <c r="D985" s="881" t="s">
        <v>896</v>
      </c>
      <c r="E985" s="882">
        <f>'REF. DE PREÇOS n editavel'!E985</f>
        <v>0</v>
      </c>
      <c r="F985" s="883">
        <f>'REF. DE PREÇOS n editavel'!F985</f>
        <v>0</v>
      </c>
      <c r="G985" s="887">
        <f>'REF. DE PREÇOS n editavel'!G985</f>
        <v>0</v>
      </c>
      <c r="H985" s="876">
        <f>'REF. DE PREÇOS n editavel'!H985</f>
        <v>1973.11</v>
      </c>
      <c r="I985" s="876">
        <f>'REF. DE PREÇOS n editavel'!I985</f>
        <v>1973.11</v>
      </c>
      <c r="J985" s="877">
        <f>'REF. DE PREÇOS n editavel'!J985</f>
        <v>2411.54</v>
      </c>
      <c r="K985" s="878" t="s">
        <v>1500</v>
      </c>
      <c r="L985" s="1092"/>
      <c r="M985" s="1093">
        <f t="shared" si="122"/>
        <v>0</v>
      </c>
      <c r="N985" s="868">
        <f t="shared" si="126"/>
        <v>0</v>
      </c>
      <c r="O985" s="880"/>
      <c r="Q985" s="317" t="str">
        <f t="shared" si="123"/>
        <v/>
      </c>
      <c r="R985" s="317" t="str">
        <f t="shared" si="124"/>
        <v/>
      </c>
      <c r="S985" s="317" t="str">
        <f t="shared" si="125"/>
        <v/>
      </c>
      <c r="T985" s="317" t="str">
        <f>'REF. DE PREÇOS n editavel'!S985</f>
        <v/>
      </c>
      <c r="W985" s="577">
        <v>0</v>
      </c>
      <c r="X985" s="575"/>
      <c r="Y985" s="578">
        <f>IF('REF. DE PREÇOS n editavel'!W985=0,0,IF('REF. DE PREÇOS n editavel'!W985&gt;0,"c","b"))</f>
        <v>0</v>
      </c>
    </row>
    <row r="986" spans="1:25" ht="33.75">
      <c r="A986" s="317">
        <v>101500</v>
      </c>
      <c r="B986" s="870">
        <v>101500</v>
      </c>
      <c r="C986" s="871" t="s">
        <v>590</v>
      </c>
      <c r="D986" s="881" t="s">
        <v>897</v>
      </c>
      <c r="E986" s="882">
        <f>'REF. DE PREÇOS n editavel'!E986</f>
        <v>0</v>
      </c>
      <c r="F986" s="883">
        <f>'REF. DE PREÇOS n editavel'!F986</f>
        <v>0</v>
      </c>
      <c r="G986" s="887">
        <f>'REF. DE PREÇOS n editavel'!G986</f>
        <v>0</v>
      </c>
      <c r="H986" s="876">
        <f>'REF. DE PREÇOS n editavel'!H986</f>
        <v>2185.7800000000002</v>
      </c>
      <c r="I986" s="876">
        <f>'REF. DE PREÇOS n editavel'!I986</f>
        <v>2185.7800000000002</v>
      </c>
      <c r="J986" s="877">
        <f>'REF. DE PREÇOS n editavel'!J986</f>
        <v>2671.46</v>
      </c>
      <c r="K986" s="878" t="s">
        <v>1500</v>
      </c>
      <c r="L986" s="1092"/>
      <c r="M986" s="1093">
        <f t="shared" si="122"/>
        <v>0</v>
      </c>
      <c r="N986" s="868">
        <f t="shared" si="126"/>
        <v>0</v>
      </c>
      <c r="O986" s="880"/>
      <c r="Q986" s="317" t="str">
        <f t="shared" si="123"/>
        <v/>
      </c>
      <c r="R986" s="317" t="str">
        <f t="shared" si="124"/>
        <v/>
      </c>
      <c r="S986" s="317" t="str">
        <f t="shared" si="125"/>
        <v/>
      </c>
      <c r="T986" s="317" t="str">
        <f>'REF. DE PREÇOS n editavel'!S986</f>
        <v/>
      </c>
      <c r="W986" s="577">
        <v>0</v>
      </c>
      <c r="X986" s="575"/>
      <c r="Y986" s="578">
        <f>IF('REF. DE PREÇOS n editavel'!W986=0,0,IF('REF. DE PREÇOS n editavel'!W986&gt;0,"c","b"))</f>
        <v>0</v>
      </c>
    </row>
    <row r="987" spans="1:25" ht="22.5">
      <c r="A987" s="317">
        <v>101501</v>
      </c>
      <c r="B987" s="870">
        <v>101501</v>
      </c>
      <c r="C987" s="871" t="s">
        <v>590</v>
      </c>
      <c r="D987" s="881" t="s">
        <v>898</v>
      </c>
      <c r="E987" s="882">
        <f>'REF. DE PREÇOS n editavel'!E987</f>
        <v>0</v>
      </c>
      <c r="F987" s="883">
        <f>'REF. DE PREÇOS n editavel'!F987</f>
        <v>0</v>
      </c>
      <c r="G987" s="887">
        <f>'REF. DE PREÇOS n editavel'!G987</f>
        <v>0</v>
      </c>
      <c r="H987" s="876">
        <f>'REF. DE PREÇOS n editavel'!H987</f>
        <v>1770.67</v>
      </c>
      <c r="I987" s="876">
        <f>'REF. DE PREÇOS n editavel'!I987</f>
        <v>1770.67</v>
      </c>
      <c r="J987" s="877">
        <f>'REF. DE PREÇOS n editavel'!J987</f>
        <v>2164.11</v>
      </c>
      <c r="K987" s="878" t="s">
        <v>1500</v>
      </c>
      <c r="L987" s="1092"/>
      <c r="M987" s="1093">
        <f t="shared" si="122"/>
        <v>0</v>
      </c>
      <c r="N987" s="868">
        <f t="shared" si="126"/>
        <v>0</v>
      </c>
      <c r="O987" s="880"/>
      <c r="Q987" s="317" t="str">
        <f t="shared" si="123"/>
        <v/>
      </c>
      <c r="R987" s="317" t="str">
        <f t="shared" si="124"/>
        <v/>
      </c>
      <c r="S987" s="317" t="str">
        <f t="shared" si="125"/>
        <v/>
      </c>
      <c r="T987" s="317" t="str">
        <f>'REF. DE PREÇOS n editavel'!S987</f>
        <v/>
      </c>
      <c r="W987" s="577">
        <v>0</v>
      </c>
      <c r="X987" s="575"/>
      <c r="Y987" s="578">
        <f>IF('REF. DE PREÇOS n editavel'!W987=0,0,IF('REF. DE PREÇOS n editavel'!W987&gt;0,"c","b"))</f>
        <v>0</v>
      </c>
    </row>
    <row r="988" spans="1:25" ht="22.5">
      <c r="A988" s="317">
        <v>101502</v>
      </c>
      <c r="B988" s="870">
        <v>101502</v>
      </c>
      <c r="C988" s="871" t="s">
        <v>590</v>
      </c>
      <c r="D988" s="881" t="s">
        <v>899</v>
      </c>
      <c r="E988" s="882">
        <f>'REF. DE PREÇOS n editavel'!E988</f>
        <v>0</v>
      </c>
      <c r="F988" s="883">
        <f>'REF. DE PREÇOS n editavel'!F988</f>
        <v>0</v>
      </c>
      <c r="G988" s="887">
        <f>'REF. DE PREÇOS n editavel'!G988</f>
        <v>0</v>
      </c>
      <c r="H988" s="876">
        <f>'REF. DE PREÇOS n editavel'!H988</f>
        <v>1919.19</v>
      </c>
      <c r="I988" s="876">
        <f>'REF. DE PREÇOS n editavel'!I988</f>
        <v>1919.19</v>
      </c>
      <c r="J988" s="877">
        <f>'REF. DE PREÇOS n editavel'!J988</f>
        <v>2345.63</v>
      </c>
      <c r="K988" s="878" t="s">
        <v>1500</v>
      </c>
      <c r="L988" s="1092"/>
      <c r="M988" s="1093">
        <f t="shared" si="122"/>
        <v>0</v>
      </c>
      <c r="N988" s="868">
        <f t="shared" si="126"/>
        <v>0</v>
      </c>
      <c r="O988" s="880"/>
      <c r="Q988" s="317" t="str">
        <f t="shared" si="123"/>
        <v/>
      </c>
      <c r="R988" s="317" t="str">
        <f t="shared" si="124"/>
        <v/>
      </c>
      <c r="S988" s="317" t="str">
        <f t="shared" si="125"/>
        <v/>
      </c>
      <c r="T988" s="317" t="str">
        <f>'REF. DE PREÇOS n editavel'!S988</f>
        <v/>
      </c>
      <c r="W988" s="577">
        <v>0</v>
      </c>
      <c r="X988" s="575"/>
      <c r="Y988" s="578">
        <f>IF('REF. DE PREÇOS n editavel'!W988=0,0,IF('REF. DE PREÇOS n editavel'!W988&gt;0,"c","b"))</f>
        <v>0</v>
      </c>
    </row>
    <row r="989" spans="1:25" ht="22.5">
      <c r="A989" s="317">
        <v>101503</v>
      </c>
      <c r="B989" s="870">
        <v>101503</v>
      </c>
      <c r="C989" s="871" t="s">
        <v>590</v>
      </c>
      <c r="D989" s="881" t="s">
        <v>900</v>
      </c>
      <c r="E989" s="882">
        <f>'REF. DE PREÇOS n editavel'!E989</f>
        <v>0</v>
      </c>
      <c r="F989" s="883">
        <f>'REF. DE PREÇOS n editavel'!F989</f>
        <v>0</v>
      </c>
      <c r="G989" s="887">
        <f>'REF. DE PREÇOS n editavel'!G989</f>
        <v>0</v>
      </c>
      <c r="H989" s="876">
        <f>'REF. DE PREÇOS n editavel'!H989</f>
        <v>1960.98</v>
      </c>
      <c r="I989" s="876">
        <f>'REF. DE PREÇOS n editavel'!I989</f>
        <v>1960.98</v>
      </c>
      <c r="J989" s="877">
        <f>'REF. DE PREÇOS n editavel'!J989</f>
        <v>2396.71</v>
      </c>
      <c r="K989" s="878" t="s">
        <v>1500</v>
      </c>
      <c r="L989" s="1092"/>
      <c r="M989" s="1093">
        <f t="shared" si="122"/>
        <v>0</v>
      </c>
      <c r="N989" s="868">
        <f t="shared" si="126"/>
        <v>0</v>
      </c>
      <c r="O989" s="880"/>
      <c r="Q989" s="317" t="str">
        <f t="shared" si="123"/>
        <v/>
      </c>
      <c r="R989" s="317" t="str">
        <f t="shared" si="124"/>
        <v/>
      </c>
      <c r="S989" s="317" t="str">
        <f t="shared" si="125"/>
        <v/>
      </c>
      <c r="T989" s="317" t="str">
        <f>'REF. DE PREÇOS n editavel'!S989</f>
        <v/>
      </c>
      <c r="W989" s="577">
        <v>0</v>
      </c>
      <c r="X989" s="575"/>
      <c r="Y989" s="578">
        <f>IF('REF. DE PREÇOS n editavel'!W989=0,0,IF('REF. DE PREÇOS n editavel'!W989&gt;0,"c","b"))</f>
        <v>0</v>
      </c>
    </row>
    <row r="990" spans="1:25" ht="22.5">
      <c r="A990" s="317">
        <v>101504</v>
      </c>
      <c r="B990" s="870">
        <v>101504</v>
      </c>
      <c r="C990" s="871" t="s">
        <v>590</v>
      </c>
      <c r="D990" s="881" t="s">
        <v>901</v>
      </c>
      <c r="E990" s="882">
        <f>'REF. DE PREÇOS n editavel'!E990</f>
        <v>0</v>
      </c>
      <c r="F990" s="883">
        <f>'REF. DE PREÇOS n editavel'!F990</f>
        <v>0</v>
      </c>
      <c r="G990" s="887">
        <f>'REF. DE PREÇOS n editavel'!G990</f>
        <v>0</v>
      </c>
      <c r="H990" s="876">
        <f>'REF. DE PREÇOS n editavel'!H990</f>
        <v>2173.65</v>
      </c>
      <c r="I990" s="876">
        <f>'REF. DE PREÇOS n editavel'!I990</f>
        <v>2173.65</v>
      </c>
      <c r="J990" s="877">
        <f>'REF. DE PREÇOS n editavel'!J990</f>
        <v>2656.64</v>
      </c>
      <c r="K990" s="878" t="s">
        <v>1500</v>
      </c>
      <c r="L990" s="1092"/>
      <c r="M990" s="1093">
        <f t="shared" si="122"/>
        <v>0</v>
      </c>
      <c r="N990" s="868">
        <f t="shared" si="126"/>
        <v>0</v>
      </c>
      <c r="O990" s="880"/>
      <c r="Q990" s="317" t="str">
        <f t="shared" si="123"/>
        <v/>
      </c>
      <c r="R990" s="317" t="str">
        <f t="shared" si="124"/>
        <v/>
      </c>
      <c r="S990" s="317" t="str">
        <f t="shared" si="125"/>
        <v/>
      </c>
      <c r="T990" s="317" t="str">
        <f>'REF. DE PREÇOS n editavel'!S990</f>
        <v/>
      </c>
      <c r="W990" s="577">
        <v>0</v>
      </c>
      <c r="X990" s="575"/>
      <c r="Y990" s="578">
        <f>IF('REF. DE PREÇOS n editavel'!W990=0,0,IF('REF. DE PREÇOS n editavel'!W990&gt;0,"c","b"))</f>
        <v>0</v>
      </c>
    </row>
    <row r="991" spans="1:25" ht="33.75">
      <c r="A991" s="317">
        <v>101505</v>
      </c>
      <c r="B991" s="870">
        <v>101505</v>
      </c>
      <c r="C991" s="871" t="s">
        <v>590</v>
      </c>
      <c r="D991" s="881" t="s">
        <v>902</v>
      </c>
      <c r="E991" s="882">
        <f>'REF. DE PREÇOS n editavel'!E991</f>
        <v>0</v>
      </c>
      <c r="F991" s="883">
        <f>'REF. DE PREÇOS n editavel'!F991</f>
        <v>0</v>
      </c>
      <c r="G991" s="887">
        <f>'REF. DE PREÇOS n editavel'!G991</f>
        <v>0</v>
      </c>
      <c r="H991" s="876">
        <f>'REF. DE PREÇOS n editavel'!H991</f>
        <v>1896.69</v>
      </c>
      <c r="I991" s="876">
        <f>'REF. DE PREÇOS n editavel'!I991</f>
        <v>1896.69</v>
      </c>
      <c r="J991" s="877">
        <f>'REF. DE PREÇOS n editavel'!J991</f>
        <v>2318.13</v>
      </c>
      <c r="K991" s="878" t="s">
        <v>1500</v>
      </c>
      <c r="L991" s="1092"/>
      <c r="M991" s="1093">
        <f t="shared" si="122"/>
        <v>0</v>
      </c>
      <c r="N991" s="868">
        <f t="shared" si="126"/>
        <v>0</v>
      </c>
      <c r="O991" s="880"/>
      <c r="Q991" s="317" t="str">
        <f t="shared" si="123"/>
        <v/>
      </c>
      <c r="R991" s="317" t="str">
        <f t="shared" si="124"/>
        <v/>
      </c>
      <c r="S991" s="317" t="str">
        <f t="shared" si="125"/>
        <v/>
      </c>
      <c r="T991" s="317" t="str">
        <f>'REF. DE PREÇOS n editavel'!S991</f>
        <v/>
      </c>
      <c r="W991" s="577">
        <v>0</v>
      </c>
      <c r="X991" s="575"/>
      <c r="Y991" s="578">
        <f>IF('REF. DE PREÇOS n editavel'!W991=0,0,IF('REF. DE PREÇOS n editavel'!W991&gt;0,"c","b"))</f>
        <v>0</v>
      </c>
    </row>
    <row r="992" spans="1:25" ht="33.75">
      <c r="A992" s="317">
        <v>101506</v>
      </c>
      <c r="B992" s="870">
        <v>101506</v>
      </c>
      <c r="C992" s="871" t="s">
        <v>590</v>
      </c>
      <c r="D992" s="881" t="s">
        <v>903</v>
      </c>
      <c r="E992" s="882">
        <f>'REF. DE PREÇOS n editavel'!E992</f>
        <v>0</v>
      </c>
      <c r="F992" s="883">
        <f>'REF. DE PREÇOS n editavel'!F992</f>
        <v>0</v>
      </c>
      <c r="G992" s="887">
        <f>'REF. DE PREÇOS n editavel'!G992</f>
        <v>0</v>
      </c>
      <c r="H992" s="876">
        <f>'REF. DE PREÇOS n editavel'!H992</f>
        <v>2094.7199999999998</v>
      </c>
      <c r="I992" s="876">
        <f>'REF. DE PREÇOS n editavel'!I992</f>
        <v>2094.7199999999998</v>
      </c>
      <c r="J992" s="877">
        <f>'REF. DE PREÇOS n editavel'!J992</f>
        <v>2560.17</v>
      </c>
      <c r="K992" s="878" t="s">
        <v>1500</v>
      </c>
      <c r="L992" s="1092"/>
      <c r="M992" s="1093">
        <f t="shared" si="122"/>
        <v>0</v>
      </c>
      <c r="N992" s="868">
        <f t="shared" si="126"/>
        <v>0</v>
      </c>
      <c r="O992" s="880"/>
      <c r="Q992" s="317" t="str">
        <f t="shared" si="123"/>
        <v/>
      </c>
      <c r="R992" s="317" t="str">
        <f t="shared" si="124"/>
        <v/>
      </c>
      <c r="S992" s="317" t="str">
        <f t="shared" si="125"/>
        <v/>
      </c>
      <c r="T992" s="317" t="str">
        <f>'REF. DE PREÇOS n editavel'!S992</f>
        <v/>
      </c>
      <c r="W992" s="577">
        <v>0</v>
      </c>
      <c r="X992" s="575"/>
      <c r="Y992" s="578">
        <f>IF('REF. DE PREÇOS n editavel'!W992=0,0,IF('REF. DE PREÇOS n editavel'!W992&gt;0,"c","b"))</f>
        <v>0</v>
      </c>
    </row>
    <row r="993" spans="1:25" ht="33.75">
      <c r="A993" s="317">
        <v>101507</v>
      </c>
      <c r="B993" s="870">
        <v>101507</v>
      </c>
      <c r="C993" s="871" t="s">
        <v>590</v>
      </c>
      <c r="D993" s="881" t="s">
        <v>904</v>
      </c>
      <c r="E993" s="882">
        <f>'REF. DE PREÇOS n editavel'!E993</f>
        <v>0</v>
      </c>
      <c r="F993" s="883">
        <f>'REF. DE PREÇOS n editavel'!F993</f>
        <v>0</v>
      </c>
      <c r="G993" s="887">
        <f>'REF. DE PREÇOS n editavel'!G993</f>
        <v>0</v>
      </c>
      <c r="H993" s="876">
        <f>'REF. DE PREÇOS n editavel'!H993</f>
        <v>2150.44</v>
      </c>
      <c r="I993" s="876">
        <f>'REF. DE PREÇOS n editavel'!I993</f>
        <v>2150.44</v>
      </c>
      <c r="J993" s="877">
        <f>'REF. DE PREÇOS n editavel'!J993</f>
        <v>2628.27</v>
      </c>
      <c r="K993" s="878" t="s">
        <v>1500</v>
      </c>
      <c r="L993" s="1092"/>
      <c r="M993" s="1093">
        <f t="shared" si="122"/>
        <v>0</v>
      </c>
      <c r="N993" s="868">
        <f t="shared" si="126"/>
        <v>0</v>
      </c>
      <c r="O993" s="880"/>
      <c r="Q993" s="317" t="str">
        <f t="shared" si="123"/>
        <v/>
      </c>
      <c r="R993" s="317" t="str">
        <f t="shared" si="124"/>
        <v/>
      </c>
      <c r="S993" s="317" t="str">
        <f t="shared" si="125"/>
        <v/>
      </c>
      <c r="T993" s="317" t="str">
        <f>'REF. DE PREÇOS n editavel'!S993</f>
        <v/>
      </c>
      <c r="W993" s="577">
        <v>0</v>
      </c>
      <c r="X993" s="575"/>
      <c r="Y993" s="578">
        <f>IF('REF. DE PREÇOS n editavel'!W993=0,0,IF('REF. DE PREÇOS n editavel'!W993&gt;0,"c","b"))</f>
        <v>0</v>
      </c>
    </row>
    <row r="994" spans="1:25" ht="33.75">
      <c r="A994" s="317">
        <v>101508</v>
      </c>
      <c r="B994" s="870">
        <v>101508</v>
      </c>
      <c r="C994" s="871" t="s">
        <v>590</v>
      </c>
      <c r="D994" s="881" t="s">
        <v>905</v>
      </c>
      <c r="E994" s="882">
        <f>'REF. DE PREÇOS n editavel'!E994</f>
        <v>0</v>
      </c>
      <c r="F994" s="883">
        <f>'REF. DE PREÇOS n editavel'!F994</f>
        <v>0</v>
      </c>
      <c r="G994" s="887">
        <f>'REF. DE PREÇOS n editavel'!G994</f>
        <v>0</v>
      </c>
      <c r="H994" s="876">
        <f>'REF. DE PREÇOS n editavel'!H994</f>
        <v>2420.2800000000002</v>
      </c>
      <c r="I994" s="876">
        <f>'REF. DE PREÇOS n editavel'!I994</f>
        <v>2420.2800000000002</v>
      </c>
      <c r="J994" s="877">
        <f>'REF. DE PREÇOS n editavel'!J994</f>
        <v>2958.07</v>
      </c>
      <c r="K994" s="878" t="s">
        <v>1500</v>
      </c>
      <c r="L994" s="1092"/>
      <c r="M994" s="1093">
        <f t="shared" si="122"/>
        <v>0</v>
      </c>
      <c r="N994" s="868">
        <f t="shared" si="126"/>
        <v>0</v>
      </c>
      <c r="O994" s="880"/>
      <c r="Q994" s="317" t="str">
        <f t="shared" si="123"/>
        <v/>
      </c>
      <c r="R994" s="317" t="str">
        <f t="shared" si="124"/>
        <v/>
      </c>
      <c r="S994" s="317" t="str">
        <f t="shared" si="125"/>
        <v/>
      </c>
      <c r="T994" s="317" t="str">
        <f>'REF. DE PREÇOS n editavel'!S994</f>
        <v/>
      </c>
      <c r="W994" s="577">
        <v>0</v>
      </c>
      <c r="X994" s="575"/>
      <c r="Y994" s="578">
        <f>IF('REF. DE PREÇOS n editavel'!W994=0,0,IF('REF. DE PREÇOS n editavel'!W994&gt;0,"c","b"))</f>
        <v>0</v>
      </c>
    </row>
    <row r="995" spans="1:25" ht="22.5">
      <c r="A995" s="317">
        <v>101509</v>
      </c>
      <c r="B995" s="870">
        <v>101509</v>
      </c>
      <c r="C995" s="871" t="s">
        <v>590</v>
      </c>
      <c r="D995" s="881" t="s">
        <v>906</v>
      </c>
      <c r="E995" s="882">
        <f>'REF. DE PREÇOS n editavel'!E995</f>
        <v>0</v>
      </c>
      <c r="F995" s="883">
        <f>'REF. DE PREÇOS n editavel'!F995</f>
        <v>0</v>
      </c>
      <c r="G995" s="887">
        <f>'REF. DE PREÇOS n editavel'!G995</f>
        <v>0</v>
      </c>
      <c r="H995" s="876">
        <f>'REF. DE PREÇOS n editavel'!H995</f>
        <v>2020.87</v>
      </c>
      <c r="I995" s="876">
        <f>'REF. DE PREÇOS n editavel'!I995</f>
        <v>2020.87</v>
      </c>
      <c r="J995" s="877">
        <f>'REF. DE PREÇOS n editavel'!J995</f>
        <v>2469.91</v>
      </c>
      <c r="K995" s="878" t="s">
        <v>1500</v>
      </c>
      <c r="L995" s="1092"/>
      <c r="M995" s="1093">
        <f t="shared" si="122"/>
        <v>0</v>
      </c>
      <c r="N995" s="868">
        <f t="shared" si="126"/>
        <v>0</v>
      </c>
      <c r="O995" s="880"/>
      <c r="Q995" s="317" t="str">
        <f t="shared" si="123"/>
        <v/>
      </c>
      <c r="R995" s="317" t="str">
        <f t="shared" si="124"/>
        <v/>
      </c>
      <c r="S995" s="317" t="str">
        <f t="shared" si="125"/>
        <v/>
      </c>
      <c r="T995" s="317" t="str">
        <f>'REF. DE PREÇOS n editavel'!S995</f>
        <v/>
      </c>
      <c r="W995" s="577">
        <v>0</v>
      </c>
      <c r="X995" s="575"/>
      <c r="Y995" s="578">
        <f>IF('REF. DE PREÇOS n editavel'!W995=0,0,IF('REF. DE PREÇOS n editavel'!W995&gt;0,"c","b"))</f>
        <v>0</v>
      </c>
    </row>
    <row r="996" spans="1:25" ht="22.5">
      <c r="A996" s="317">
        <v>101510</v>
      </c>
      <c r="B996" s="870">
        <v>101510</v>
      </c>
      <c r="C996" s="871" t="s">
        <v>590</v>
      </c>
      <c r="D996" s="881" t="s">
        <v>907</v>
      </c>
      <c r="E996" s="882">
        <f>'REF. DE PREÇOS n editavel'!E996</f>
        <v>0</v>
      </c>
      <c r="F996" s="883">
        <f>'REF. DE PREÇOS n editavel'!F996</f>
        <v>0</v>
      </c>
      <c r="G996" s="887">
        <f>'REF. DE PREÇOS n editavel'!G996</f>
        <v>0</v>
      </c>
      <c r="H996" s="876">
        <f>'REF. DE PREÇOS n editavel'!H996</f>
        <v>2218.9</v>
      </c>
      <c r="I996" s="876">
        <f>'REF. DE PREÇOS n editavel'!I996</f>
        <v>2218.9</v>
      </c>
      <c r="J996" s="877">
        <f>'REF. DE PREÇOS n editavel'!J996</f>
        <v>2711.94</v>
      </c>
      <c r="K996" s="878" t="s">
        <v>1500</v>
      </c>
      <c r="L996" s="1092"/>
      <c r="M996" s="1093">
        <f t="shared" si="122"/>
        <v>0</v>
      </c>
      <c r="N996" s="868">
        <f t="shared" si="126"/>
        <v>0</v>
      </c>
      <c r="O996" s="880"/>
      <c r="Q996" s="317" t="str">
        <f t="shared" si="123"/>
        <v/>
      </c>
      <c r="R996" s="317" t="str">
        <f t="shared" si="124"/>
        <v/>
      </c>
      <c r="S996" s="317" t="str">
        <f t="shared" si="125"/>
        <v/>
      </c>
      <c r="T996" s="317" t="str">
        <f>'REF. DE PREÇOS n editavel'!S996</f>
        <v/>
      </c>
      <c r="W996" s="577">
        <v>0</v>
      </c>
      <c r="X996" s="575"/>
      <c r="Y996" s="578">
        <f>IF('REF. DE PREÇOS n editavel'!W996=0,0,IF('REF. DE PREÇOS n editavel'!W996&gt;0,"c","b"))</f>
        <v>0</v>
      </c>
    </row>
    <row r="997" spans="1:25" ht="22.5">
      <c r="A997" s="317">
        <v>101511</v>
      </c>
      <c r="B997" s="870">
        <v>101511</v>
      </c>
      <c r="C997" s="871" t="s">
        <v>590</v>
      </c>
      <c r="D997" s="881" t="s">
        <v>908</v>
      </c>
      <c r="E997" s="882">
        <f>'REF. DE PREÇOS n editavel'!E997</f>
        <v>0</v>
      </c>
      <c r="F997" s="883">
        <f>'REF. DE PREÇOS n editavel'!F997</f>
        <v>0</v>
      </c>
      <c r="G997" s="887">
        <f>'REF. DE PREÇOS n editavel'!G997</f>
        <v>0</v>
      </c>
      <c r="H997" s="876">
        <f>'REF. DE PREÇOS n editavel'!H997</f>
        <v>2274.62</v>
      </c>
      <c r="I997" s="876">
        <f>'REF. DE PREÇOS n editavel'!I997</f>
        <v>2274.62</v>
      </c>
      <c r="J997" s="877">
        <f>'REF. DE PREÇOS n editavel'!J997</f>
        <v>2780.04</v>
      </c>
      <c r="K997" s="878" t="s">
        <v>1500</v>
      </c>
      <c r="L997" s="1092"/>
      <c r="M997" s="1093">
        <f t="shared" si="122"/>
        <v>0</v>
      </c>
      <c r="N997" s="868">
        <f t="shared" si="126"/>
        <v>0</v>
      </c>
      <c r="O997" s="880"/>
      <c r="Q997" s="317" t="str">
        <f t="shared" si="123"/>
        <v/>
      </c>
      <c r="R997" s="317" t="str">
        <f t="shared" si="124"/>
        <v/>
      </c>
      <c r="S997" s="317" t="str">
        <f t="shared" si="125"/>
        <v/>
      </c>
      <c r="T997" s="317" t="str">
        <f>'REF. DE PREÇOS n editavel'!S997</f>
        <v/>
      </c>
      <c r="W997" s="577">
        <v>0</v>
      </c>
      <c r="X997" s="575"/>
      <c r="Y997" s="578">
        <f>IF('REF. DE PREÇOS n editavel'!W997=0,0,IF('REF. DE PREÇOS n editavel'!W997&gt;0,"c","b"))</f>
        <v>0</v>
      </c>
    </row>
    <row r="998" spans="1:25" ht="22.5">
      <c r="A998" s="317">
        <v>101512</v>
      </c>
      <c r="B998" s="870">
        <v>101512</v>
      </c>
      <c r="C998" s="871" t="s">
        <v>590</v>
      </c>
      <c r="D998" s="881" t="s">
        <v>909</v>
      </c>
      <c r="E998" s="882">
        <f>'REF. DE PREÇOS n editavel'!E998</f>
        <v>0</v>
      </c>
      <c r="F998" s="883">
        <f>'REF. DE PREÇOS n editavel'!F998</f>
        <v>0</v>
      </c>
      <c r="G998" s="887">
        <f>'REF. DE PREÇOS n editavel'!G998</f>
        <v>0</v>
      </c>
      <c r="H998" s="876">
        <f>'REF. DE PREÇOS n editavel'!H998</f>
        <v>2544.46</v>
      </c>
      <c r="I998" s="876">
        <f>'REF. DE PREÇOS n editavel'!I998</f>
        <v>2544.46</v>
      </c>
      <c r="J998" s="877">
        <f>'REF. DE PREÇOS n editavel'!J998</f>
        <v>3109.84</v>
      </c>
      <c r="K998" s="878" t="s">
        <v>1500</v>
      </c>
      <c r="L998" s="1092"/>
      <c r="M998" s="1093">
        <f t="shared" si="122"/>
        <v>0</v>
      </c>
      <c r="N998" s="868">
        <f t="shared" si="126"/>
        <v>0</v>
      </c>
      <c r="O998" s="880"/>
      <c r="Q998" s="317" t="str">
        <f t="shared" si="123"/>
        <v/>
      </c>
      <c r="R998" s="317" t="str">
        <f t="shared" si="124"/>
        <v/>
      </c>
      <c r="S998" s="317" t="str">
        <f t="shared" si="125"/>
        <v/>
      </c>
      <c r="T998" s="317" t="str">
        <f>'REF. DE PREÇOS n editavel'!S998</f>
        <v/>
      </c>
      <c r="W998" s="577">
        <v>0</v>
      </c>
      <c r="X998" s="575"/>
      <c r="Y998" s="578">
        <f>IF('REF. DE PREÇOS n editavel'!W998=0,0,IF('REF. DE PREÇOS n editavel'!W998&gt;0,"c","b"))</f>
        <v>0</v>
      </c>
    </row>
    <row r="999" spans="1:25" ht="33.75">
      <c r="A999" s="317">
        <v>101513</v>
      </c>
      <c r="B999" s="870">
        <v>101513</v>
      </c>
      <c r="C999" s="871" t="s">
        <v>590</v>
      </c>
      <c r="D999" s="881" t="s">
        <v>910</v>
      </c>
      <c r="E999" s="882">
        <f>'REF. DE PREÇOS n editavel'!E999</f>
        <v>0</v>
      </c>
      <c r="F999" s="883">
        <f>'REF. DE PREÇOS n editavel'!F999</f>
        <v>0</v>
      </c>
      <c r="G999" s="887">
        <f>'REF. DE PREÇOS n editavel'!G999</f>
        <v>0</v>
      </c>
      <c r="H999" s="876">
        <f>'REF. DE PREÇOS n editavel'!H999</f>
        <v>840</v>
      </c>
      <c r="I999" s="876">
        <f>'REF. DE PREÇOS n editavel'!I999</f>
        <v>840</v>
      </c>
      <c r="J999" s="877">
        <f>'REF. DE PREÇOS n editavel'!J999</f>
        <v>1026.6500000000001</v>
      </c>
      <c r="K999" s="878" t="s">
        <v>1500</v>
      </c>
      <c r="L999" s="1092"/>
      <c r="M999" s="1093">
        <f t="shared" si="122"/>
        <v>0</v>
      </c>
      <c r="N999" s="868">
        <f t="shared" si="126"/>
        <v>0</v>
      </c>
      <c r="O999" s="880"/>
      <c r="Q999" s="317" t="str">
        <f t="shared" si="123"/>
        <v/>
      </c>
      <c r="R999" s="317" t="str">
        <f t="shared" si="124"/>
        <v/>
      </c>
      <c r="S999" s="317" t="str">
        <f t="shared" si="125"/>
        <v/>
      </c>
      <c r="T999" s="317" t="str">
        <f>'REF. DE PREÇOS n editavel'!S999</f>
        <v/>
      </c>
      <c r="W999" s="577">
        <v>0</v>
      </c>
      <c r="X999" s="575"/>
      <c r="Y999" s="578">
        <f>IF('REF. DE PREÇOS n editavel'!W999=0,0,IF('REF. DE PREÇOS n editavel'!W999&gt;0,"c","b"))</f>
        <v>0</v>
      </c>
    </row>
    <row r="1000" spans="1:25" ht="33.75">
      <c r="A1000" s="317">
        <v>101514</v>
      </c>
      <c r="B1000" s="870">
        <v>101514</v>
      </c>
      <c r="C1000" s="871" t="s">
        <v>590</v>
      </c>
      <c r="D1000" s="881" t="s">
        <v>911</v>
      </c>
      <c r="E1000" s="882">
        <f>'REF. DE PREÇOS n editavel'!E1000</f>
        <v>0</v>
      </c>
      <c r="F1000" s="883">
        <f>'REF. DE PREÇOS n editavel'!F1000</f>
        <v>0</v>
      </c>
      <c r="G1000" s="887">
        <f>'REF. DE PREÇOS n editavel'!G1000</f>
        <v>0</v>
      </c>
      <c r="H1000" s="876">
        <f>'REF. DE PREÇOS n editavel'!H1000</f>
        <v>957.75</v>
      </c>
      <c r="I1000" s="876">
        <f>'REF. DE PREÇOS n editavel'!I1000</f>
        <v>957.75</v>
      </c>
      <c r="J1000" s="877">
        <f>'REF. DE PREÇOS n editavel'!J1000</f>
        <v>1170.56</v>
      </c>
      <c r="K1000" s="878" t="s">
        <v>1500</v>
      </c>
      <c r="L1000" s="1092"/>
      <c r="M1000" s="1093">
        <f t="shared" si="122"/>
        <v>0</v>
      </c>
      <c r="N1000" s="868">
        <f t="shared" si="126"/>
        <v>0</v>
      </c>
      <c r="O1000" s="880"/>
      <c r="Q1000" s="317" t="str">
        <f t="shared" si="123"/>
        <v/>
      </c>
      <c r="R1000" s="317" t="str">
        <f t="shared" si="124"/>
        <v/>
      </c>
      <c r="S1000" s="317" t="str">
        <f t="shared" si="125"/>
        <v/>
      </c>
      <c r="T1000" s="317" t="str">
        <f>'REF. DE PREÇOS n editavel'!S1000</f>
        <v/>
      </c>
      <c r="W1000" s="577">
        <v>0</v>
      </c>
      <c r="X1000" s="575"/>
      <c r="Y1000" s="578">
        <f>IF('REF. DE PREÇOS n editavel'!W1000=0,0,IF('REF. DE PREÇOS n editavel'!W1000&gt;0,"c","b"))</f>
        <v>0</v>
      </c>
    </row>
    <row r="1001" spans="1:25" ht="33.75">
      <c r="A1001" s="317">
        <v>101515</v>
      </c>
      <c r="B1001" s="870">
        <v>101515</v>
      </c>
      <c r="C1001" s="871" t="s">
        <v>590</v>
      </c>
      <c r="D1001" s="881" t="s">
        <v>912</v>
      </c>
      <c r="E1001" s="882">
        <f>'REF. DE PREÇOS n editavel'!E1001</f>
        <v>0</v>
      </c>
      <c r="F1001" s="883">
        <f>'REF. DE PREÇOS n editavel'!F1001</f>
        <v>0</v>
      </c>
      <c r="G1001" s="887">
        <f>'REF. DE PREÇOS n editavel'!G1001</f>
        <v>0</v>
      </c>
      <c r="H1001" s="876">
        <f>'REF. DE PREÇOS n editavel'!H1001</f>
        <v>990.88</v>
      </c>
      <c r="I1001" s="876">
        <f>'REF. DE PREÇOS n editavel'!I1001</f>
        <v>990.88</v>
      </c>
      <c r="J1001" s="877">
        <f>'REF. DE PREÇOS n editavel'!J1001</f>
        <v>1211.05</v>
      </c>
      <c r="K1001" s="878" t="s">
        <v>1500</v>
      </c>
      <c r="L1001" s="1092"/>
      <c r="M1001" s="1093">
        <f t="shared" si="122"/>
        <v>0</v>
      </c>
      <c r="N1001" s="868">
        <f t="shared" si="126"/>
        <v>0</v>
      </c>
      <c r="O1001" s="880"/>
      <c r="Q1001" s="317" t="str">
        <f t="shared" si="123"/>
        <v/>
      </c>
      <c r="R1001" s="317" t="str">
        <f t="shared" si="124"/>
        <v/>
      </c>
      <c r="S1001" s="317" t="str">
        <f t="shared" si="125"/>
        <v/>
      </c>
      <c r="T1001" s="317" t="str">
        <f>'REF. DE PREÇOS n editavel'!S1001</f>
        <v/>
      </c>
      <c r="W1001" s="577">
        <v>0</v>
      </c>
      <c r="X1001" s="575"/>
      <c r="Y1001" s="578">
        <f>IF('REF. DE PREÇOS n editavel'!W1001=0,0,IF('REF. DE PREÇOS n editavel'!W1001&gt;0,"c","b"))</f>
        <v>0</v>
      </c>
    </row>
    <row r="1002" spans="1:25" ht="33.75">
      <c r="A1002" s="317">
        <v>101516</v>
      </c>
      <c r="B1002" s="870">
        <v>101516</v>
      </c>
      <c r="C1002" s="871" t="s">
        <v>590</v>
      </c>
      <c r="D1002" s="881" t="s">
        <v>913</v>
      </c>
      <c r="E1002" s="882">
        <f>'REF. DE PREÇOS n editavel'!E1002</f>
        <v>0</v>
      </c>
      <c r="F1002" s="883">
        <f>'REF. DE PREÇOS n editavel'!F1002</f>
        <v>0</v>
      </c>
      <c r="G1002" s="887">
        <f>'REF. DE PREÇOS n editavel'!G1002</f>
        <v>0</v>
      </c>
      <c r="H1002" s="876">
        <f>'REF. DE PREÇOS n editavel'!H1002</f>
        <v>1126.8399999999999</v>
      </c>
      <c r="I1002" s="876">
        <f>'REF. DE PREÇOS n editavel'!I1002</f>
        <v>1126.8399999999999</v>
      </c>
      <c r="J1002" s="877">
        <f>'REF. DE PREÇOS n editavel'!J1002</f>
        <v>1377.22</v>
      </c>
      <c r="K1002" s="878" t="s">
        <v>1500</v>
      </c>
      <c r="L1002" s="1092"/>
      <c r="M1002" s="1093">
        <f t="shared" si="122"/>
        <v>0</v>
      </c>
      <c r="N1002" s="868">
        <f t="shared" si="126"/>
        <v>0</v>
      </c>
      <c r="O1002" s="880"/>
      <c r="Q1002" s="317" t="str">
        <f t="shared" si="123"/>
        <v/>
      </c>
      <c r="R1002" s="317" t="str">
        <f t="shared" si="124"/>
        <v/>
      </c>
      <c r="S1002" s="317" t="str">
        <f t="shared" si="125"/>
        <v/>
      </c>
      <c r="T1002" s="317" t="str">
        <f>'REF. DE PREÇOS n editavel'!S1002</f>
        <v/>
      </c>
      <c r="W1002" s="577">
        <v>0</v>
      </c>
      <c r="X1002" s="575"/>
      <c r="Y1002" s="578">
        <f>IF('REF. DE PREÇOS n editavel'!W1002=0,0,IF('REF. DE PREÇOS n editavel'!W1002&gt;0,"c","b"))</f>
        <v>0</v>
      </c>
    </row>
    <row r="1003" spans="1:25" ht="33.75">
      <c r="A1003" s="317">
        <v>101517</v>
      </c>
      <c r="B1003" s="870">
        <v>101517</v>
      </c>
      <c r="C1003" s="871" t="s">
        <v>590</v>
      </c>
      <c r="D1003" s="881" t="s">
        <v>914</v>
      </c>
      <c r="E1003" s="882">
        <f>'REF. DE PREÇOS n editavel'!E1003</f>
        <v>0</v>
      </c>
      <c r="F1003" s="883">
        <f>'REF. DE PREÇOS n editavel'!F1003</f>
        <v>0</v>
      </c>
      <c r="G1003" s="887">
        <f>'REF. DE PREÇOS n editavel'!G1003</f>
        <v>0</v>
      </c>
      <c r="H1003" s="876">
        <f>'REF. DE PREÇOS n editavel'!H1003</f>
        <v>819.99</v>
      </c>
      <c r="I1003" s="876">
        <f>'REF. DE PREÇOS n editavel'!I1003</f>
        <v>819.99</v>
      </c>
      <c r="J1003" s="877">
        <f>'REF. DE PREÇOS n editavel'!J1003</f>
        <v>1002.19</v>
      </c>
      <c r="K1003" s="878" t="s">
        <v>1500</v>
      </c>
      <c r="L1003" s="1092"/>
      <c r="M1003" s="1093">
        <f t="shared" si="122"/>
        <v>0</v>
      </c>
      <c r="N1003" s="868">
        <f t="shared" si="126"/>
        <v>0</v>
      </c>
      <c r="O1003" s="880"/>
      <c r="Q1003" s="317" t="str">
        <f t="shared" si="123"/>
        <v/>
      </c>
      <c r="R1003" s="317" t="str">
        <f t="shared" si="124"/>
        <v/>
      </c>
      <c r="S1003" s="317" t="str">
        <f t="shared" si="125"/>
        <v/>
      </c>
      <c r="T1003" s="317" t="str">
        <f>'REF. DE PREÇOS n editavel'!S1003</f>
        <v/>
      </c>
      <c r="W1003" s="577">
        <v>0</v>
      </c>
      <c r="X1003" s="575"/>
      <c r="Y1003" s="578">
        <f>IF('REF. DE PREÇOS n editavel'!W1003=0,0,IF('REF. DE PREÇOS n editavel'!W1003&gt;0,"c","b"))</f>
        <v>0</v>
      </c>
    </row>
    <row r="1004" spans="1:25" ht="33.75">
      <c r="A1004" s="317">
        <v>101518</v>
      </c>
      <c r="B1004" s="870">
        <v>101518</v>
      </c>
      <c r="C1004" s="871" t="s">
        <v>590</v>
      </c>
      <c r="D1004" s="881" t="s">
        <v>915</v>
      </c>
      <c r="E1004" s="882">
        <f>'REF. DE PREÇOS n editavel'!E1004</f>
        <v>0</v>
      </c>
      <c r="F1004" s="883">
        <f>'REF. DE PREÇOS n editavel'!F1004</f>
        <v>0</v>
      </c>
      <c r="G1004" s="887">
        <f>'REF. DE PREÇOS n editavel'!G1004</f>
        <v>0</v>
      </c>
      <c r="H1004" s="876">
        <f>'REF. DE PREÇOS n editavel'!H1004</f>
        <v>937.74</v>
      </c>
      <c r="I1004" s="876">
        <f>'REF. DE PREÇOS n editavel'!I1004</f>
        <v>937.74</v>
      </c>
      <c r="J1004" s="877">
        <f>'REF. DE PREÇOS n editavel'!J1004</f>
        <v>1146.1099999999999</v>
      </c>
      <c r="K1004" s="878" t="s">
        <v>1500</v>
      </c>
      <c r="L1004" s="1092"/>
      <c r="M1004" s="1093">
        <f t="shared" si="122"/>
        <v>0</v>
      </c>
      <c r="N1004" s="868">
        <f t="shared" si="126"/>
        <v>0</v>
      </c>
      <c r="O1004" s="880"/>
      <c r="Q1004" s="317" t="str">
        <f t="shared" si="123"/>
        <v/>
      </c>
      <c r="R1004" s="317" t="str">
        <f t="shared" si="124"/>
        <v/>
      </c>
      <c r="S1004" s="317" t="str">
        <f t="shared" si="125"/>
        <v/>
      </c>
      <c r="T1004" s="317" t="str">
        <f>'REF. DE PREÇOS n editavel'!S1004</f>
        <v/>
      </c>
      <c r="W1004" s="577">
        <v>0</v>
      </c>
      <c r="X1004" s="575"/>
      <c r="Y1004" s="578">
        <f>IF('REF. DE PREÇOS n editavel'!W1004=0,0,IF('REF. DE PREÇOS n editavel'!W1004&gt;0,"c","b"))</f>
        <v>0</v>
      </c>
    </row>
    <row r="1005" spans="1:25" ht="33.75">
      <c r="A1005" s="317">
        <v>101519</v>
      </c>
      <c r="B1005" s="870">
        <v>101519</v>
      </c>
      <c r="C1005" s="871" t="s">
        <v>590</v>
      </c>
      <c r="D1005" s="881" t="s">
        <v>916</v>
      </c>
      <c r="E1005" s="882">
        <f>'REF. DE PREÇOS n editavel'!E1005</f>
        <v>0</v>
      </c>
      <c r="F1005" s="883">
        <f>'REF. DE PREÇOS n editavel'!F1005</f>
        <v>0</v>
      </c>
      <c r="G1005" s="887">
        <f>'REF. DE PREÇOS n editavel'!G1005</f>
        <v>0</v>
      </c>
      <c r="H1005" s="876">
        <f>'REF. DE PREÇOS n editavel'!H1005</f>
        <v>970.87</v>
      </c>
      <c r="I1005" s="876">
        <f>'REF. DE PREÇOS n editavel'!I1005</f>
        <v>970.87</v>
      </c>
      <c r="J1005" s="877">
        <f>'REF. DE PREÇOS n editavel'!J1005</f>
        <v>1186.5999999999999</v>
      </c>
      <c r="K1005" s="878" t="s">
        <v>1500</v>
      </c>
      <c r="L1005" s="1092"/>
      <c r="M1005" s="1093">
        <f t="shared" si="122"/>
        <v>0</v>
      </c>
      <c r="N1005" s="868">
        <f t="shared" si="126"/>
        <v>0</v>
      </c>
      <c r="O1005" s="880"/>
      <c r="Q1005" s="317" t="str">
        <f t="shared" si="123"/>
        <v/>
      </c>
      <c r="R1005" s="317" t="str">
        <f t="shared" si="124"/>
        <v/>
      </c>
      <c r="S1005" s="317" t="str">
        <f t="shared" si="125"/>
        <v/>
      </c>
      <c r="T1005" s="317" t="str">
        <f>'REF. DE PREÇOS n editavel'!S1005</f>
        <v/>
      </c>
      <c r="W1005" s="577">
        <v>0</v>
      </c>
      <c r="X1005" s="575"/>
      <c r="Y1005" s="578">
        <f>IF('REF. DE PREÇOS n editavel'!W1005=0,0,IF('REF. DE PREÇOS n editavel'!W1005&gt;0,"c","b"))</f>
        <v>0</v>
      </c>
    </row>
    <row r="1006" spans="1:25" ht="33.75">
      <c r="A1006" s="317">
        <v>101520</v>
      </c>
      <c r="B1006" s="870">
        <v>101520</v>
      </c>
      <c r="C1006" s="871" t="s">
        <v>590</v>
      </c>
      <c r="D1006" s="881" t="s">
        <v>917</v>
      </c>
      <c r="E1006" s="882">
        <f>'REF. DE PREÇOS n editavel'!E1006</f>
        <v>0</v>
      </c>
      <c r="F1006" s="883">
        <f>'REF. DE PREÇOS n editavel'!F1006</f>
        <v>0</v>
      </c>
      <c r="G1006" s="887">
        <f>'REF. DE PREÇOS n editavel'!G1006</f>
        <v>0</v>
      </c>
      <c r="H1006" s="876">
        <f>'REF. DE PREÇOS n editavel'!H1006</f>
        <v>1106.83</v>
      </c>
      <c r="I1006" s="876">
        <f>'REF. DE PREÇOS n editavel'!I1006</f>
        <v>1106.83</v>
      </c>
      <c r="J1006" s="877">
        <f>'REF. DE PREÇOS n editavel'!J1006</f>
        <v>1352.77</v>
      </c>
      <c r="K1006" s="878" t="s">
        <v>1500</v>
      </c>
      <c r="L1006" s="1092"/>
      <c r="M1006" s="1093">
        <f t="shared" si="122"/>
        <v>0</v>
      </c>
      <c r="N1006" s="868">
        <f t="shared" si="126"/>
        <v>0</v>
      </c>
      <c r="O1006" s="880"/>
      <c r="Q1006" s="317" t="str">
        <f t="shared" si="123"/>
        <v/>
      </c>
      <c r="R1006" s="317" t="str">
        <f t="shared" si="124"/>
        <v/>
      </c>
      <c r="S1006" s="317" t="str">
        <f t="shared" si="125"/>
        <v/>
      </c>
      <c r="T1006" s="317" t="str">
        <f>'REF. DE PREÇOS n editavel'!S1006</f>
        <v/>
      </c>
      <c r="W1006" s="577">
        <v>0</v>
      </c>
      <c r="X1006" s="575"/>
      <c r="Y1006" s="578">
        <f>IF('REF. DE PREÇOS n editavel'!W1006=0,0,IF('REF. DE PREÇOS n editavel'!W1006&gt;0,"c","b"))</f>
        <v>0</v>
      </c>
    </row>
    <row r="1007" spans="1:25" ht="33.75">
      <c r="A1007" s="317">
        <v>101521</v>
      </c>
      <c r="B1007" s="870">
        <v>101521</v>
      </c>
      <c r="C1007" s="871" t="s">
        <v>590</v>
      </c>
      <c r="D1007" s="881" t="s">
        <v>918</v>
      </c>
      <c r="E1007" s="882">
        <f>'REF. DE PREÇOS n editavel'!E1007</f>
        <v>0</v>
      </c>
      <c r="F1007" s="883">
        <f>'REF. DE PREÇOS n editavel'!F1007</f>
        <v>0</v>
      </c>
      <c r="G1007" s="887">
        <f>'REF. DE PREÇOS n editavel'!G1007</f>
        <v>0</v>
      </c>
      <c r="H1007" s="876">
        <f>'REF. DE PREÇOS n editavel'!H1007</f>
        <v>1130.83</v>
      </c>
      <c r="I1007" s="876">
        <f>'REF. DE PREÇOS n editavel'!I1007</f>
        <v>1130.83</v>
      </c>
      <c r="J1007" s="877">
        <f>'REF. DE PREÇOS n editavel'!J1007</f>
        <v>1382.1</v>
      </c>
      <c r="K1007" s="878" t="s">
        <v>1500</v>
      </c>
      <c r="L1007" s="1092"/>
      <c r="M1007" s="1093">
        <f t="shared" si="122"/>
        <v>0</v>
      </c>
      <c r="N1007" s="868">
        <f t="shared" si="126"/>
        <v>0</v>
      </c>
      <c r="O1007" s="880"/>
      <c r="Q1007" s="317" t="str">
        <f t="shared" si="123"/>
        <v/>
      </c>
      <c r="R1007" s="317" t="str">
        <f t="shared" si="124"/>
        <v/>
      </c>
      <c r="S1007" s="317" t="str">
        <f t="shared" si="125"/>
        <v/>
      </c>
      <c r="T1007" s="317" t="str">
        <f>'REF. DE PREÇOS n editavel'!S1007</f>
        <v/>
      </c>
      <c r="W1007" s="577">
        <v>0</v>
      </c>
      <c r="X1007" s="575"/>
      <c r="Y1007" s="578">
        <f>IF('REF. DE PREÇOS n editavel'!W1007=0,0,IF('REF. DE PREÇOS n editavel'!W1007&gt;0,"c","b"))</f>
        <v>0</v>
      </c>
    </row>
    <row r="1008" spans="1:25" ht="33.75">
      <c r="A1008" s="317">
        <v>101522</v>
      </c>
      <c r="B1008" s="870">
        <v>101522</v>
      </c>
      <c r="C1008" s="871" t="s">
        <v>590</v>
      </c>
      <c r="D1008" s="881" t="s">
        <v>919</v>
      </c>
      <c r="E1008" s="882">
        <f>'REF. DE PREÇOS n editavel'!E1008</f>
        <v>0</v>
      </c>
      <c r="F1008" s="883">
        <f>'REF. DE PREÇOS n editavel'!F1008</f>
        <v>0</v>
      </c>
      <c r="G1008" s="887">
        <f>'REF. DE PREÇOS n editavel'!G1008</f>
        <v>0</v>
      </c>
      <c r="H1008" s="876">
        <f>'REF. DE PREÇOS n editavel'!H1008</f>
        <v>1307.45</v>
      </c>
      <c r="I1008" s="876">
        <f>'REF. DE PREÇOS n editavel'!I1008</f>
        <v>1307.45</v>
      </c>
      <c r="J1008" s="877">
        <f>'REF. DE PREÇOS n editavel'!J1008</f>
        <v>1597.97</v>
      </c>
      <c r="K1008" s="878" t="s">
        <v>1500</v>
      </c>
      <c r="L1008" s="1092"/>
      <c r="M1008" s="1093">
        <f t="shared" si="122"/>
        <v>0</v>
      </c>
      <c r="N1008" s="868">
        <f t="shared" si="126"/>
        <v>0</v>
      </c>
      <c r="O1008" s="880"/>
      <c r="Q1008" s="317" t="str">
        <f t="shared" si="123"/>
        <v/>
      </c>
      <c r="R1008" s="317" t="str">
        <f t="shared" si="124"/>
        <v/>
      </c>
      <c r="S1008" s="317" t="str">
        <f t="shared" si="125"/>
        <v/>
      </c>
      <c r="T1008" s="317" t="str">
        <f>'REF. DE PREÇOS n editavel'!S1008</f>
        <v/>
      </c>
      <c r="W1008" s="577">
        <v>0</v>
      </c>
      <c r="X1008" s="575"/>
      <c r="Y1008" s="578">
        <f>IF('REF. DE PREÇOS n editavel'!W1008=0,0,IF('REF. DE PREÇOS n editavel'!W1008&gt;0,"c","b"))</f>
        <v>0</v>
      </c>
    </row>
    <row r="1009" spans="1:25" ht="33.75">
      <c r="A1009" s="317">
        <v>101523</v>
      </c>
      <c r="B1009" s="870">
        <v>101523</v>
      </c>
      <c r="C1009" s="871" t="s">
        <v>590</v>
      </c>
      <c r="D1009" s="881" t="s">
        <v>920</v>
      </c>
      <c r="E1009" s="882">
        <f>'REF. DE PREÇOS n editavel'!E1009</f>
        <v>0</v>
      </c>
      <c r="F1009" s="883">
        <f>'REF. DE PREÇOS n editavel'!F1009</f>
        <v>0</v>
      </c>
      <c r="G1009" s="887">
        <f>'REF. DE PREÇOS n editavel'!G1009</f>
        <v>0</v>
      </c>
      <c r="H1009" s="876">
        <f>'REF. DE PREÇOS n editavel'!H1009</f>
        <v>1357.14</v>
      </c>
      <c r="I1009" s="876">
        <f>'REF. DE PREÇOS n editavel'!I1009</f>
        <v>1357.14</v>
      </c>
      <c r="J1009" s="877">
        <f>'REF. DE PREÇOS n editavel'!J1009</f>
        <v>1658.7</v>
      </c>
      <c r="K1009" s="878" t="s">
        <v>1500</v>
      </c>
      <c r="L1009" s="1092"/>
      <c r="M1009" s="1093">
        <f t="shared" si="122"/>
        <v>0</v>
      </c>
      <c r="N1009" s="868">
        <f t="shared" si="126"/>
        <v>0</v>
      </c>
      <c r="O1009" s="880"/>
      <c r="Q1009" s="317" t="str">
        <f t="shared" si="123"/>
        <v/>
      </c>
      <c r="R1009" s="317" t="str">
        <f t="shared" si="124"/>
        <v/>
      </c>
      <c r="S1009" s="317" t="str">
        <f t="shared" si="125"/>
        <v/>
      </c>
      <c r="T1009" s="317" t="str">
        <f>'REF. DE PREÇOS n editavel'!S1009</f>
        <v/>
      </c>
      <c r="W1009" s="577">
        <v>0</v>
      </c>
      <c r="X1009" s="575"/>
      <c r="Y1009" s="578">
        <f>IF('REF. DE PREÇOS n editavel'!W1009=0,0,IF('REF. DE PREÇOS n editavel'!W1009&gt;0,"c","b"))</f>
        <v>0</v>
      </c>
    </row>
    <row r="1010" spans="1:25" ht="33.75">
      <c r="A1010" s="317">
        <v>101524</v>
      </c>
      <c r="B1010" s="870">
        <v>101524</v>
      </c>
      <c r="C1010" s="871" t="s">
        <v>590</v>
      </c>
      <c r="D1010" s="881" t="s">
        <v>921</v>
      </c>
      <c r="E1010" s="882">
        <f>'REF. DE PREÇOS n editavel'!E1010</f>
        <v>0</v>
      </c>
      <c r="F1010" s="883">
        <f>'REF. DE PREÇOS n editavel'!F1010</f>
        <v>0</v>
      </c>
      <c r="G1010" s="887">
        <f>'REF. DE PREÇOS n editavel'!G1010</f>
        <v>0</v>
      </c>
      <c r="H1010" s="876">
        <f>'REF. DE PREÇOS n editavel'!H1010</f>
        <v>1561.08</v>
      </c>
      <c r="I1010" s="876">
        <f>'REF. DE PREÇOS n editavel'!I1010</f>
        <v>1561.08</v>
      </c>
      <c r="J1010" s="877">
        <f>'REF. DE PREÇOS n editavel'!J1010</f>
        <v>1907.95</v>
      </c>
      <c r="K1010" s="878" t="s">
        <v>1500</v>
      </c>
      <c r="L1010" s="1092"/>
      <c r="M1010" s="1093">
        <f t="shared" si="122"/>
        <v>0</v>
      </c>
      <c r="N1010" s="868">
        <f t="shared" si="126"/>
        <v>0</v>
      </c>
      <c r="O1010" s="880"/>
      <c r="Q1010" s="317" t="str">
        <f t="shared" si="123"/>
        <v/>
      </c>
      <c r="R1010" s="317" t="str">
        <f t="shared" si="124"/>
        <v/>
      </c>
      <c r="S1010" s="317" t="str">
        <f t="shared" si="125"/>
        <v/>
      </c>
      <c r="T1010" s="317" t="str">
        <f>'REF. DE PREÇOS n editavel'!S1010</f>
        <v/>
      </c>
      <c r="W1010" s="577">
        <v>0</v>
      </c>
      <c r="X1010" s="575"/>
      <c r="Y1010" s="578">
        <f>IF('REF. DE PREÇOS n editavel'!W1010=0,0,IF('REF. DE PREÇOS n editavel'!W1010&gt;0,"c","b"))</f>
        <v>0</v>
      </c>
    </row>
    <row r="1011" spans="1:25" ht="33.75">
      <c r="A1011" s="317">
        <v>101525</v>
      </c>
      <c r="B1011" s="870">
        <v>101525</v>
      </c>
      <c r="C1011" s="871" t="s">
        <v>590</v>
      </c>
      <c r="D1011" s="881" t="s">
        <v>922</v>
      </c>
      <c r="E1011" s="882">
        <f>'REF. DE PREÇOS n editavel'!E1011</f>
        <v>0</v>
      </c>
      <c r="F1011" s="883">
        <f>'REF. DE PREÇOS n editavel'!F1011</f>
        <v>0</v>
      </c>
      <c r="G1011" s="887">
        <f>'REF. DE PREÇOS n editavel'!G1011</f>
        <v>0</v>
      </c>
      <c r="H1011" s="876">
        <f>'REF. DE PREÇOS n editavel'!H1011</f>
        <v>1118.71</v>
      </c>
      <c r="I1011" s="876">
        <f>'REF. DE PREÇOS n editavel'!I1011</f>
        <v>1118.71</v>
      </c>
      <c r="J1011" s="877">
        <f>'REF. DE PREÇOS n editavel'!J1011</f>
        <v>1367.29</v>
      </c>
      <c r="K1011" s="878" t="s">
        <v>1500</v>
      </c>
      <c r="L1011" s="1092"/>
      <c r="M1011" s="1093">
        <f t="shared" si="122"/>
        <v>0</v>
      </c>
      <c r="N1011" s="868">
        <f t="shared" si="126"/>
        <v>0</v>
      </c>
      <c r="O1011" s="880"/>
      <c r="Q1011" s="317" t="str">
        <f t="shared" si="123"/>
        <v/>
      </c>
      <c r="R1011" s="317" t="str">
        <f t="shared" si="124"/>
        <v/>
      </c>
      <c r="S1011" s="317" t="str">
        <f t="shared" si="125"/>
        <v/>
      </c>
      <c r="T1011" s="317" t="str">
        <f>'REF. DE PREÇOS n editavel'!S1011</f>
        <v/>
      </c>
      <c r="W1011" s="577">
        <v>0</v>
      </c>
      <c r="X1011" s="575"/>
      <c r="Y1011" s="578">
        <f>IF('REF. DE PREÇOS n editavel'!W1011=0,0,IF('REF. DE PREÇOS n editavel'!W1011&gt;0,"c","b"))</f>
        <v>0</v>
      </c>
    </row>
    <row r="1012" spans="1:25" ht="33.75">
      <c r="A1012" s="317">
        <v>101526</v>
      </c>
      <c r="B1012" s="870">
        <v>101526</v>
      </c>
      <c r="C1012" s="871" t="s">
        <v>590</v>
      </c>
      <c r="D1012" s="881" t="s">
        <v>923</v>
      </c>
      <c r="E1012" s="882">
        <f>'REF. DE PREÇOS n editavel'!E1012</f>
        <v>0</v>
      </c>
      <c r="F1012" s="883">
        <f>'REF. DE PREÇOS n editavel'!F1012</f>
        <v>0</v>
      </c>
      <c r="G1012" s="887">
        <f>'REF. DE PREÇOS n editavel'!G1012</f>
        <v>0</v>
      </c>
      <c r="H1012" s="876">
        <f>'REF. DE PREÇOS n editavel'!H1012</f>
        <v>1295.33</v>
      </c>
      <c r="I1012" s="876">
        <f>'REF. DE PREÇOS n editavel'!I1012</f>
        <v>1295.33</v>
      </c>
      <c r="J1012" s="877">
        <f>'REF. DE PREÇOS n editavel'!J1012</f>
        <v>1583.15</v>
      </c>
      <c r="K1012" s="878" t="s">
        <v>1500</v>
      </c>
      <c r="L1012" s="1092"/>
      <c r="M1012" s="1093">
        <f t="shared" si="122"/>
        <v>0</v>
      </c>
      <c r="N1012" s="868">
        <f t="shared" si="126"/>
        <v>0</v>
      </c>
      <c r="O1012" s="880"/>
      <c r="Q1012" s="317" t="str">
        <f t="shared" si="123"/>
        <v/>
      </c>
      <c r="R1012" s="317" t="str">
        <f t="shared" si="124"/>
        <v/>
      </c>
      <c r="S1012" s="317" t="str">
        <f t="shared" si="125"/>
        <v/>
      </c>
      <c r="T1012" s="317" t="str">
        <f>'REF. DE PREÇOS n editavel'!S1012</f>
        <v/>
      </c>
      <c r="W1012" s="577">
        <v>0</v>
      </c>
      <c r="X1012" s="575"/>
      <c r="Y1012" s="578">
        <f>IF('REF. DE PREÇOS n editavel'!W1012=0,0,IF('REF. DE PREÇOS n editavel'!W1012&gt;0,"c","b"))</f>
        <v>0</v>
      </c>
    </row>
    <row r="1013" spans="1:25" ht="33.75">
      <c r="A1013" s="317">
        <v>101527</v>
      </c>
      <c r="B1013" s="870">
        <v>101527</v>
      </c>
      <c r="C1013" s="871" t="s">
        <v>590</v>
      </c>
      <c r="D1013" s="881" t="s">
        <v>924</v>
      </c>
      <c r="E1013" s="882">
        <f>'REF. DE PREÇOS n editavel'!E1013</f>
        <v>0</v>
      </c>
      <c r="F1013" s="883">
        <f>'REF. DE PREÇOS n editavel'!F1013</f>
        <v>0</v>
      </c>
      <c r="G1013" s="887">
        <f>'REF. DE PREÇOS n editavel'!G1013</f>
        <v>0</v>
      </c>
      <c r="H1013" s="876">
        <f>'REF. DE PREÇOS n editavel'!H1013</f>
        <v>1345.02</v>
      </c>
      <c r="I1013" s="876">
        <f>'REF. DE PREÇOS n editavel'!I1013</f>
        <v>1345.02</v>
      </c>
      <c r="J1013" s="877">
        <f>'REF. DE PREÇOS n editavel'!J1013</f>
        <v>1643.88</v>
      </c>
      <c r="K1013" s="878" t="s">
        <v>1500</v>
      </c>
      <c r="L1013" s="1092"/>
      <c r="M1013" s="1093">
        <f t="shared" si="122"/>
        <v>0</v>
      </c>
      <c r="N1013" s="868">
        <f t="shared" si="126"/>
        <v>0</v>
      </c>
      <c r="O1013" s="880"/>
      <c r="Q1013" s="317" t="str">
        <f t="shared" si="123"/>
        <v/>
      </c>
      <c r="R1013" s="317" t="str">
        <f t="shared" si="124"/>
        <v/>
      </c>
      <c r="S1013" s="317" t="str">
        <f t="shared" si="125"/>
        <v/>
      </c>
      <c r="T1013" s="317" t="str">
        <f>'REF. DE PREÇOS n editavel'!S1013</f>
        <v/>
      </c>
      <c r="W1013" s="577">
        <v>0</v>
      </c>
      <c r="X1013" s="575"/>
      <c r="Y1013" s="578">
        <f>IF('REF. DE PREÇOS n editavel'!W1013=0,0,IF('REF. DE PREÇOS n editavel'!W1013&gt;0,"c","b"))</f>
        <v>0</v>
      </c>
    </row>
    <row r="1014" spans="1:25" ht="33.75">
      <c r="A1014" s="317">
        <v>101528</v>
      </c>
      <c r="B1014" s="870">
        <v>101528</v>
      </c>
      <c r="C1014" s="871" t="s">
        <v>590</v>
      </c>
      <c r="D1014" s="881" t="s">
        <v>925</v>
      </c>
      <c r="E1014" s="882">
        <f>'REF. DE PREÇOS n editavel'!E1014</f>
        <v>0</v>
      </c>
      <c r="F1014" s="883">
        <f>'REF. DE PREÇOS n editavel'!F1014</f>
        <v>0</v>
      </c>
      <c r="G1014" s="887">
        <f>'REF. DE PREÇOS n editavel'!G1014</f>
        <v>0</v>
      </c>
      <c r="H1014" s="876">
        <f>'REF. DE PREÇOS n editavel'!H1014</f>
        <v>1548.96</v>
      </c>
      <c r="I1014" s="876">
        <f>'REF. DE PREÇOS n editavel'!I1014</f>
        <v>1548.96</v>
      </c>
      <c r="J1014" s="877">
        <f>'REF. DE PREÇOS n editavel'!J1014</f>
        <v>1893.14</v>
      </c>
      <c r="K1014" s="878" t="s">
        <v>1500</v>
      </c>
      <c r="L1014" s="1092"/>
      <c r="M1014" s="1093">
        <f t="shared" si="122"/>
        <v>0</v>
      </c>
      <c r="N1014" s="868">
        <f t="shared" si="126"/>
        <v>0</v>
      </c>
      <c r="O1014" s="880"/>
      <c r="Q1014" s="317" t="str">
        <f t="shared" si="123"/>
        <v/>
      </c>
      <c r="R1014" s="317" t="str">
        <f t="shared" si="124"/>
        <v/>
      </c>
      <c r="S1014" s="317" t="str">
        <f t="shared" si="125"/>
        <v/>
      </c>
      <c r="T1014" s="317" t="str">
        <f>'REF. DE PREÇOS n editavel'!S1014</f>
        <v/>
      </c>
      <c r="W1014" s="577">
        <v>0</v>
      </c>
      <c r="X1014" s="575"/>
      <c r="Y1014" s="578">
        <f>IF('REF. DE PREÇOS n editavel'!W1014=0,0,IF('REF. DE PREÇOS n editavel'!W1014&gt;0,"c","b"))</f>
        <v>0</v>
      </c>
    </row>
    <row r="1015" spans="1:25" ht="33.75">
      <c r="A1015" s="317">
        <v>101529</v>
      </c>
      <c r="B1015" s="870">
        <v>101529</v>
      </c>
      <c r="C1015" s="871" t="s">
        <v>590</v>
      </c>
      <c r="D1015" s="881" t="s">
        <v>926</v>
      </c>
      <c r="E1015" s="882">
        <f>'REF. DE PREÇOS n editavel'!E1015</f>
        <v>0</v>
      </c>
      <c r="F1015" s="883">
        <f>'REF. DE PREÇOS n editavel'!F1015</f>
        <v>0</v>
      </c>
      <c r="G1015" s="887">
        <f>'REF. DE PREÇOS n editavel'!G1015</f>
        <v>0</v>
      </c>
      <c r="H1015" s="876">
        <f>'REF. DE PREÇOS n editavel'!H1015</f>
        <v>1261.4000000000001</v>
      </c>
      <c r="I1015" s="876">
        <f>'REF. DE PREÇOS n editavel'!I1015</f>
        <v>1261.4000000000001</v>
      </c>
      <c r="J1015" s="877">
        <f>'REF. DE PREÇOS n editavel'!J1015</f>
        <v>1541.68</v>
      </c>
      <c r="K1015" s="878" t="s">
        <v>1500</v>
      </c>
      <c r="L1015" s="1092"/>
      <c r="M1015" s="1093">
        <f t="shared" si="122"/>
        <v>0</v>
      </c>
      <c r="N1015" s="868">
        <f t="shared" si="126"/>
        <v>0</v>
      </c>
      <c r="O1015" s="880"/>
      <c r="Q1015" s="317" t="str">
        <f t="shared" si="123"/>
        <v/>
      </c>
      <c r="R1015" s="317" t="str">
        <f t="shared" si="124"/>
        <v/>
      </c>
      <c r="S1015" s="317" t="str">
        <f t="shared" si="125"/>
        <v/>
      </c>
      <c r="T1015" s="317" t="str">
        <f>'REF. DE PREÇOS n editavel'!S1015</f>
        <v/>
      </c>
      <c r="W1015" s="577">
        <v>0</v>
      </c>
      <c r="X1015" s="575"/>
      <c r="Y1015" s="578">
        <f>IF('REF. DE PREÇOS n editavel'!W1015=0,0,IF('REF. DE PREÇOS n editavel'!W1015&gt;0,"c","b"))</f>
        <v>0</v>
      </c>
    </row>
    <row r="1016" spans="1:25" ht="33.75">
      <c r="A1016" s="317">
        <v>101530</v>
      </c>
      <c r="B1016" s="870">
        <v>101530</v>
      </c>
      <c r="C1016" s="871" t="s">
        <v>590</v>
      </c>
      <c r="D1016" s="881" t="s">
        <v>927</v>
      </c>
      <c r="E1016" s="882">
        <f>'REF. DE PREÇOS n editavel'!E1016</f>
        <v>0</v>
      </c>
      <c r="F1016" s="883">
        <f>'REF. DE PREÇOS n editavel'!F1016</f>
        <v>0</v>
      </c>
      <c r="G1016" s="887">
        <f>'REF. DE PREÇOS n editavel'!G1016</f>
        <v>0</v>
      </c>
      <c r="H1016" s="876">
        <f>'REF. DE PREÇOS n editavel'!H1016</f>
        <v>1496.89</v>
      </c>
      <c r="I1016" s="876">
        <f>'REF. DE PREÇOS n editavel'!I1016</f>
        <v>1496.89</v>
      </c>
      <c r="J1016" s="877">
        <f>'REF. DE PREÇOS n editavel'!J1016</f>
        <v>1829.5</v>
      </c>
      <c r="K1016" s="878" t="s">
        <v>1500</v>
      </c>
      <c r="L1016" s="1092"/>
      <c r="M1016" s="1093">
        <f t="shared" si="122"/>
        <v>0</v>
      </c>
      <c r="N1016" s="868">
        <f t="shared" si="126"/>
        <v>0</v>
      </c>
      <c r="O1016" s="880"/>
      <c r="Q1016" s="317" t="str">
        <f t="shared" si="123"/>
        <v/>
      </c>
      <c r="R1016" s="317" t="str">
        <f t="shared" si="124"/>
        <v/>
      </c>
      <c r="S1016" s="317" t="str">
        <f t="shared" si="125"/>
        <v/>
      </c>
      <c r="T1016" s="317" t="str">
        <f>'REF. DE PREÇOS n editavel'!S1016</f>
        <v/>
      </c>
      <c r="W1016" s="577">
        <v>0</v>
      </c>
      <c r="X1016" s="575"/>
      <c r="Y1016" s="578">
        <f>IF('REF. DE PREÇOS n editavel'!W1016=0,0,IF('REF. DE PREÇOS n editavel'!W1016&gt;0,"c","b"))</f>
        <v>0</v>
      </c>
    </row>
    <row r="1017" spans="1:25" ht="33.75">
      <c r="A1017" s="317">
        <v>101531</v>
      </c>
      <c r="B1017" s="870">
        <v>101531</v>
      </c>
      <c r="C1017" s="871" t="s">
        <v>590</v>
      </c>
      <c r="D1017" s="881" t="s">
        <v>928</v>
      </c>
      <c r="E1017" s="882">
        <f>'REF. DE PREÇOS n editavel'!E1017</f>
        <v>0</v>
      </c>
      <c r="F1017" s="883">
        <f>'REF. DE PREÇOS n editavel'!F1017</f>
        <v>0</v>
      </c>
      <c r="G1017" s="887">
        <f>'REF. DE PREÇOS n editavel'!G1017</f>
        <v>0</v>
      </c>
      <c r="H1017" s="876">
        <f>'REF. DE PREÇOS n editavel'!H1017</f>
        <v>1563.15</v>
      </c>
      <c r="I1017" s="876">
        <f>'REF. DE PREÇOS n editavel'!I1017</f>
        <v>1563.15</v>
      </c>
      <c r="J1017" s="877">
        <f>'REF. DE PREÇOS n editavel'!J1017</f>
        <v>1910.48</v>
      </c>
      <c r="K1017" s="878" t="s">
        <v>1500</v>
      </c>
      <c r="L1017" s="1092"/>
      <c r="M1017" s="1093">
        <f t="shared" si="122"/>
        <v>0</v>
      </c>
      <c r="N1017" s="868">
        <f t="shared" si="126"/>
        <v>0</v>
      </c>
      <c r="O1017" s="880"/>
      <c r="Q1017" s="317" t="str">
        <f t="shared" si="123"/>
        <v/>
      </c>
      <c r="R1017" s="317" t="str">
        <f t="shared" si="124"/>
        <v/>
      </c>
      <c r="S1017" s="317" t="str">
        <f t="shared" si="125"/>
        <v/>
      </c>
      <c r="T1017" s="317" t="str">
        <f>'REF. DE PREÇOS n editavel'!S1017</f>
        <v/>
      </c>
      <c r="W1017" s="577">
        <v>0</v>
      </c>
      <c r="X1017" s="575"/>
      <c r="Y1017" s="578">
        <f>IF('REF. DE PREÇOS n editavel'!W1017=0,0,IF('REF. DE PREÇOS n editavel'!W1017&gt;0,"c","b"))</f>
        <v>0</v>
      </c>
    </row>
    <row r="1018" spans="1:25" ht="33.75">
      <c r="A1018" s="317">
        <v>101532</v>
      </c>
      <c r="B1018" s="870">
        <v>101532</v>
      </c>
      <c r="C1018" s="871" t="s">
        <v>590</v>
      </c>
      <c r="D1018" s="881" t="s">
        <v>929</v>
      </c>
      <c r="E1018" s="882">
        <f>'REF. DE PREÇOS n editavel'!E1018</f>
        <v>0</v>
      </c>
      <c r="F1018" s="883">
        <f>'REF. DE PREÇOS n editavel'!F1018</f>
        <v>0</v>
      </c>
      <c r="G1018" s="887">
        <f>'REF. DE PREÇOS n editavel'!G1018</f>
        <v>0</v>
      </c>
      <c r="H1018" s="876">
        <f>'REF. DE PREÇOS n editavel'!H1018</f>
        <v>1835.07</v>
      </c>
      <c r="I1018" s="876">
        <f>'REF. DE PREÇOS n editavel'!I1018</f>
        <v>1835.07</v>
      </c>
      <c r="J1018" s="877">
        <f>'REF. DE PREÇOS n editavel'!J1018</f>
        <v>2242.8200000000002</v>
      </c>
      <c r="K1018" s="878" t="s">
        <v>1500</v>
      </c>
      <c r="L1018" s="1092"/>
      <c r="M1018" s="1093">
        <f t="shared" si="122"/>
        <v>0</v>
      </c>
      <c r="N1018" s="868">
        <f t="shared" si="126"/>
        <v>0</v>
      </c>
      <c r="O1018" s="880"/>
      <c r="Q1018" s="317" t="str">
        <f t="shared" si="123"/>
        <v/>
      </c>
      <c r="R1018" s="317" t="str">
        <f t="shared" si="124"/>
        <v/>
      </c>
      <c r="S1018" s="317" t="str">
        <f t="shared" si="125"/>
        <v/>
      </c>
      <c r="T1018" s="317" t="str">
        <f>'REF. DE PREÇOS n editavel'!S1018</f>
        <v/>
      </c>
      <c r="W1018" s="577">
        <v>0</v>
      </c>
      <c r="X1018" s="575"/>
      <c r="Y1018" s="578">
        <f>IF('REF. DE PREÇOS n editavel'!W1018=0,0,IF('REF. DE PREÇOS n editavel'!W1018&gt;0,"c","b"))</f>
        <v>0</v>
      </c>
    </row>
    <row r="1019" spans="1:25" ht="33.75">
      <c r="A1019" s="317">
        <v>101533</v>
      </c>
      <c r="B1019" s="870">
        <v>101533</v>
      </c>
      <c r="C1019" s="871" t="s">
        <v>590</v>
      </c>
      <c r="D1019" s="881" t="s">
        <v>930</v>
      </c>
      <c r="E1019" s="882">
        <f>'REF. DE PREÇOS n editavel'!E1019</f>
        <v>0</v>
      </c>
      <c r="F1019" s="883">
        <f>'REF. DE PREÇOS n editavel'!F1019</f>
        <v>0</v>
      </c>
      <c r="G1019" s="887">
        <f>'REF. DE PREÇOS n editavel'!G1019</f>
        <v>0</v>
      </c>
      <c r="H1019" s="876">
        <f>'REF. DE PREÇOS n editavel'!H1019</f>
        <v>1385.59</v>
      </c>
      <c r="I1019" s="876">
        <f>'REF. DE PREÇOS n editavel'!I1019</f>
        <v>1385.59</v>
      </c>
      <c r="J1019" s="877">
        <f>'REF. DE PREÇOS n editavel'!J1019</f>
        <v>1693.47</v>
      </c>
      <c r="K1019" s="878" t="s">
        <v>1500</v>
      </c>
      <c r="L1019" s="1092"/>
      <c r="M1019" s="1093">
        <f t="shared" si="122"/>
        <v>0</v>
      </c>
      <c r="N1019" s="868">
        <f t="shared" si="126"/>
        <v>0</v>
      </c>
      <c r="O1019" s="880"/>
      <c r="Q1019" s="317" t="str">
        <f t="shared" si="123"/>
        <v/>
      </c>
      <c r="R1019" s="317" t="str">
        <f t="shared" si="124"/>
        <v/>
      </c>
      <c r="S1019" s="317" t="str">
        <f t="shared" si="125"/>
        <v/>
      </c>
      <c r="T1019" s="317" t="str">
        <f>'REF. DE PREÇOS n editavel'!S1019</f>
        <v/>
      </c>
      <c r="W1019" s="577">
        <v>0</v>
      </c>
      <c r="X1019" s="575"/>
      <c r="Y1019" s="578">
        <f>IF('REF. DE PREÇOS n editavel'!W1019=0,0,IF('REF. DE PREÇOS n editavel'!W1019&gt;0,"c","b"))</f>
        <v>0</v>
      </c>
    </row>
    <row r="1020" spans="1:25" ht="33.75">
      <c r="A1020" s="317">
        <v>101534</v>
      </c>
      <c r="B1020" s="870">
        <v>101534</v>
      </c>
      <c r="C1020" s="871" t="s">
        <v>590</v>
      </c>
      <c r="D1020" s="881" t="s">
        <v>931</v>
      </c>
      <c r="E1020" s="882">
        <f>'REF. DE PREÇOS n editavel'!E1020</f>
        <v>0</v>
      </c>
      <c r="F1020" s="883">
        <f>'REF. DE PREÇOS n editavel'!F1020</f>
        <v>0</v>
      </c>
      <c r="G1020" s="887">
        <f>'REF. DE PREÇOS n editavel'!G1020</f>
        <v>0</v>
      </c>
      <c r="H1020" s="876">
        <f>'REF. DE PREÇOS n editavel'!H1020</f>
        <v>1621.08</v>
      </c>
      <c r="I1020" s="876">
        <f>'REF. DE PREÇOS n editavel'!I1020</f>
        <v>1621.08</v>
      </c>
      <c r="J1020" s="877">
        <f>'REF. DE PREÇOS n editavel'!J1020</f>
        <v>1981.28</v>
      </c>
      <c r="K1020" s="878" t="s">
        <v>1500</v>
      </c>
      <c r="L1020" s="1092"/>
      <c r="M1020" s="1093">
        <f t="shared" si="122"/>
        <v>0</v>
      </c>
      <c r="N1020" s="868">
        <f t="shared" si="126"/>
        <v>0</v>
      </c>
      <c r="O1020" s="880"/>
      <c r="Q1020" s="317" t="str">
        <f t="shared" si="123"/>
        <v/>
      </c>
      <c r="R1020" s="317" t="str">
        <f t="shared" si="124"/>
        <v/>
      </c>
      <c r="S1020" s="317" t="str">
        <f t="shared" si="125"/>
        <v/>
      </c>
      <c r="T1020" s="317" t="str">
        <f>'REF. DE PREÇOS n editavel'!S1020</f>
        <v/>
      </c>
      <c r="W1020" s="577">
        <v>0</v>
      </c>
      <c r="X1020" s="575"/>
      <c r="Y1020" s="578">
        <f>IF('REF. DE PREÇOS n editavel'!W1020=0,0,IF('REF. DE PREÇOS n editavel'!W1020&gt;0,"c","b"))</f>
        <v>0</v>
      </c>
    </row>
    <row r="1021" spans="1:25" ht="33.75">
      <c r="A1021" s="317">
        <v>101535</v>
      </c>
      <c r="B1021" s="870">
        <v>101535</v>
      </c>
      <c r="C1021" s="871" t="s">
        <v>590</v>
      </c>
      <c r="D1021" s="881" t="s">
        <v>932</v>
      </c>
      <c r="E1021" s="882">
        <f>'REF. DE PREÇOS n editavel'!E1021</f>
        <v>0</v>
      </c>
      <c r="F1021" s="883">
        <f>'REF. DE PREÇOS n editavel'!F1021</f>
        <v>0</v>
      </c>
      <c r="G1021" s="887">
        <f>'REF. DE PREÇOS n editavel'!G1021</f>
        <v>0</v>
      </c>
      <c r="H1021" s="876">
        <f>'REF. DE PREÇOS n editavel'!H1021</f>
        <v>1687.34</v>
      </c>
      <c r="I1021" s="876">
        <f>'REF. DE PREÇOS n editavel'!I1021</f>
        <v>1687.34</v>
      </c>
      <c r="J1021" s="877">
        <f>'REF. DE PREÇOS n editavel'!J1021</f>
        <v>2062.27</v>
      </c>
      <c r="K1021" s="878" t="s">
        <v>1500</v>
      </c>
      <c r="L1021" s="1092"/>
      <c r="M1021" s="1093">
        <f t="shared" si="122"/>
        <v>0</v>
      </c>
      <c r="N1021" s="868">
        <f t="shared" si="126"/>
        <v>0</v>
      </c>
      <c r="O1021" s="880"/>
      <c r="Q1021" s="317" t="str">
        <f t="shared" si="123"/>
        <v/>
      </c>
      <c r="R1021" s="317" t="str">
        <f t="shared" si="124"/>
        <v/>
      </c>
      <c r="S1021" s="317" t="str">
        <f t="shared" si="125"/>
        <v/>
      </c>
      <c r="T1021" s="317" t="str">
        <f>'REF. DE PREÇOS n editavel'!S1021</f>
        <v/>
      </c>
      <c r="W1021" s="577">
        <v>0</v>
      </c>
      <c r="X1021" s="575"/>
      <c r="Y1021" s="578">
        <f>IF('REF. DE PREÇOS n editavel'!W1021=0,0,IF('REF. DE PREÇOS n editavel'!W1021&gt;0,"c","b"))</f>
        <v>0</v>
      </c>
    </row>
    <row r="1022" spans="1:25" ht="33.75">
      <c r="A1022" s="317">
        <v>101536</v>
      </c>
      <c r="B1022" s="870">
        <v>101536</v>
      </c>
      <c r="C1022" s="871" t="s">
        <v>590</v>
      </c>
      <c r="D1022" s="881" t="s">
        <v>933</v>
      </c>
      <c r="E1022" s="882">
        <f>'REF. DE PREÇOS n editavel'!E1022</f>
        <v>0</v>
      </c>
      <c r="F1022" s="883">
        <f>'REF. DE PREÇOS n editavel'!F1022</f>
        <v>0</v>
      </c>
      <c r="G1022" s="887">
        <f>'REF. DE PREÇOS n editavel'!G1022</f>
        <v>0</v>
      </c>
      <c r="H1022" s="876">
        <f>'REF. DE PREÇOS n editavel'!H1022</f>
        <v>1959.26</v>
      </c>
      <c r="I1022" s="876">
        <f>'REF. DE PREÇOS n editavel'!I1022</f>
        <v>1959.26</v>
      </c>
      <c r="J1022" s="877">
        <f>'REF. DE PREÇOS n editavel'!J1022</f>
        <v>2394.61</v>
      </c>
      <c r="K1022" s="878" t="s">
        <v>1500</v>
      </c>
      <c r="L1022" s="1092"/>
      <c r="M1022" s="1093">
        <f t="shared" si="122"/>
        <v>0</v>
      </c>
      <c r="N1022" s="868">
        <f t="shared" si="126"/>
        <v>0</v>
      </c>
      <c r="O1022" s="880"/>
      <c r="Q1022" s="317" t="str">
        <f t="shared" si="123"/>
        <v/>
      </c>
      <c r="R1022" s="317" t="str">
        <f t="shared" si="124"/>
        <v/>
      </c>
      <c r="S1022" s="317" t="str">
        <f t="shared" si="125"/>
        <v/>
      </c>
      <c r="T1022" s="317" t="str">
        <f>'REF. DE PREÇOS n editavel'!S1022</f>
        <v/>
      </c>
      <c r="W1022" s="577">
        <v>0</v>
      </c>
      <c r="X1022" s="575"/>
      <c r="Y1022" s="578">
        <f>IF('REF. DE PREÇOS n editavel'!W1022=0,0,IF('REF. DE PREÇOS n editavel'!W1022&gt;0,"c","b"))</f>
        <v>0</v>
      </c>
    </row>
    <row r="1023" spans="1:25" ht="35.1" customHeight="1">
      <c r="A1023" s="317" t="s">
        <v>934</v>
      </c>
      <c r="B1023" s="870" t="str">
        <f>'REF. DE PREÇOS n editavel'!B1023</f>
        <v>16.105.000030.SER</v>
      </c>
      <c r="C1023" s="871" t="str">
        <f>'REF. DE PREÇOS n editavel'!C1023</f>
        <v>PINI - fev/23</v>
      </c>
      <c r="D1023" s="881" t="str">
        <f>'REF. DE PREÇOS n editavel'!D1023</f>
        <v>ENTRADA DE ENERGIA ELÉTRICA, SUBTERRÂNEA, TRIFÁSICA, COM CAIXA DE EMBUTIR, CABO DE 16 MM2 E DISJUNTOR DIN 50A (NÃO INCLUSA MURETA DE ALVENARIA). AF_07/2020</v>
      </c>
      <c r="E1023" s="882">
        <f>'REF. DE PREÇOS n editavel'!E1023</f>
        <v>0</v>
      </c>
      <c r="F1023" s="883">
        <f>'REF. DE PREÇOS n editavel'!F1023</f>
        <v>0</v>
      </c>
      <c r="G1023" s="887">
        <f>'REF. DE PREÇOS n editavel'!G1023</f>
        <v>0</v>
      </c>
      <c r="H1023" s="876">
        <f>'REF. DE PREÇOS n editavel'!H1023</f>
        <v>1885.87</v>
      </c>
      <c r="I1023" s="876">
        <f>'REF. DE PREÇOS n editavel'!I1023</f>
        <v>1885.87</v>
      </c>
      <c r="J1023" s="877">
        <f>'REF. DE PREÇOS n editavel'!J1023</f>
        <v>2304.91</v>
      </c>
      <c r="K1023" s="878" t="s">
        <v>1500</v>
      </c>
      <c r="L1023" s="1092"/>
      <c r="M1023" s="1093">
        <f t="shared" si="122"/>
        <v>0</v>
      </c>
      <c r="N1023" s="868">
        <f t="shared" si="126"/>
        <v>0</v>
      </c>
      <c r="O1023" s="880"/>
      <c r="Q1023" s="317" t="str">
        <f t="shared" si="123"/>
        <v/>
      </c>
      <c r="R1023" s="317" t="str">
        <f t="shared" si="124"/>
        <v/>
      </c>
      <c r="S1023" s="317" t="str">
        <f t="shared" si="125"/>
        <v/>
      </c>
      <c r="T1023" s="317" t="str">
        <f>'REF. DE PREÇOS n editavel'!S1023</f>
        <v/>
      </c>
      <c r="W1023" s="577">
        <v>0</v>
      </c>
      <c r="X1023" s="575"/>
      <c r="Y1023" s="578">
        <f>IF('REF. DE PREÇOS n editavel'!W1023=0,0,IF('REF. DE PREÇOS n editavel'!W1023&gt;0,"c","b"))</f>
        <v>0</v>
      </c>
    </row>
    <row r="1024" spans="1:25" ht="35.1" customHeight="1">
      <c r="A1024" s="317" t="s">
        <v>935</v>
      </c>
      <c r="B1024" s="870" t="str">
        <f>'REF. DE PREÇOS n editavel'!B1024</f>
        <v>16.105.000031.SER</v>
      </c>
      <c r="C1024" s="871" t="str">
        <f>'REF. DE PREÇOS n editavel'!C1024</f>
        <v>PINI - fev/23</v>
      </c>
      <c r="D1024" s="881" t="str">
        <f>'REF. DE PREÇOS n editavel'!D1024</f>
        <v>ENTRADA DE ENERGIA ELÉTRICA, SUBTERRÂNEA, TRIFÁSICA, COM CAIXA DE EMBUTIR, CABO DE 25 MM2 E DISJUNTOR DIN 50A (NÃO INCLUSA MURETA DE ALVENARIA). AF_07/2020</v>
      </c>
      <c r="E1024" s="882">
        <f>'REF. DE PREÇOS n editavel'!E1024</f>
        <v>0</v>
      </c>
      <c r="F1024" s="883">
        <f>'REF. DE PREÇOS n editavel'!F1024</f>
        <v>0</v>
      </c>
      <c r="G1024" s="887">
        <f>'REF. DE PREÇOS n editavel'!G1024</f>
        <v>0</v>
      </c>
      <c r="H1024" s="876">
        <f>'REF. DE PREÇOS n editavel'!H1024</f>
        <v>2069.96</v>
      </c>
      <c r="I1024" s="876">
        <f>'REF. DE PREÇOS n editavel'!I1024</f>
        <v>2069.96</v>
      </c>
      <c r="J1024" s="877">
        <f>'REF. DE PREÇOS n editavel'!J1024</f>
        <v>2529.91</v>
      </c>
      <c r="K1024" s="878" t="s">
        <v>1500</v>
      </c>
      <c r="L1024" s="1092"/>
      <c r="M1024" s="1093">
        <f t="shared" si="122"/>
        <v>0</v>
      </c>
      <c r="N1024" s="868">
        <f t="shared" si="126"/>
        <v>0</v>
      </c>
      <c r="O1024" s="880"/>
      <c r="Q1024" s="317" t="str">
        <f t="shared" si="123"/>
        <v/>
      </c>
      <c r="R1024" s="317" t="str">
        <f t="shared" si="124"/>
        <v/>
      </c>
      <c r="S1024" s="317" t="str">
        <f t="shared" si="125"/>
        <v/>
      </c>
      <c r="T1024" s="317" t="str">
        <f>'REF. DE PREÇOS n editavel'!S1024</f>
        <v/>
      </c>
      <c r="W1024" s="577">
        <v>0</v>
      </c>
      <c r="X1024" s="575"/>
      <c r="Y1024" s="578">
        <f>IF('REF. DE PREÇOS n editavel'!W1024=0,0,IF('REF. DE PREÇOS n editavel'!W1024&gt;0,"c","b"))</f>
        <v>0</v>
      </c>
    </row>
    <row r="1025" spans="1:25" ht="35.1" customHeight="1">
      <c r="A1025" s="317" t="s">
        <v>936</v>
      </c>
      <c r="B1025" s="870" t="str">
        <f>'REF. DE PREÇOS n editavel'!B1025</f>
        <v>16.105.000032.SER</v>
      </c>
      <c r="C1025" s="871" t="str">
        <f>'REF. DE PREÇOS n editavel'!C1025</f>
        <v>PINI - fev/23</v>
      </c>
      <c r="D1025" s="881" t="str">
        <f>'REF. DE PREÇOS n editavel'!D1025</f>
        <v>ENTRADA DE ENERGIA ELÉTRICA, SUBTERRÂNEA, TRIFÁSICA, COM CAIXA DE EMBUTIR, CABO DE 35 MM2 E DISJUNTOR DIN 50A (NÃO INCLUSA MURETA DE ALVENARIA). AF_07/2020</v>
      </c>
      <c r="E1025" s="882">
        <f>'REF. DE PREÇOS n editavel'!E1025</f>
        <v>0</v>
      </c>
      <c r="F1025" s="883">
        <f>'REF. DE PREÇOS n editavel'!F1025</f>
        <v>0</v>
      </c>
      <c r="G1025" s="887">
        <f>'REF. DE PREÇOS n editavel'!G1025</f>
        <v>0</v>
      </c>
      <c r="H1025" s="876">
        <f>'REF. DE PREÇOS n editavel'!H1025</f>
        <v>2505.64</v>
      </c>
      <c r="I1025" s="876">
        <f>'REF. DE PREÇOS n editavel'!I1025</f>
        <v>2505.64</v>
      </c>
      <c r="J1025" s="877">
        <f>'REF. DE PREÇOS n editavel'!J1025</f>
        <v>3062.39</v>
      </c>
      <c r="K1025" s="878" t="s">
        <v>1500</v>
      </c>
      <c r="L1025" s="1092"/>
      <c r="M1025" s="1093">
        <f t="shared" si="122"/>
        <v>0</v>
      </c>
      <c r="N1025" s="868">
        <f t="shared" si="126"/>
        <v>0</v>
      </c>
      <c r="O1025" s="880"/>
      <c r="Q1025" s="317" t="str">
        <f t="shared" si="123"/>
        <v/>
      </c>
      <c r="R1025" s="317" t="str">
        <f t="shared" si="124"/>
        <v/>
      </c>
      <c r="S1025" s="317" t="str">
        <f t="shared" si="125"/>
        <v/>
      </c>
      <c r="T1025" s="317" t="str">
        <f>'REF. DE PREÇOS n editavel'!S1025</f>
        <v/>
      </c>
      <c r="W1025" s="577">
        <v>0</v>
      </c>
      <c r="X1025" s="575"/>
      <c r="Y1025" s="578">
        <f>IF('REF. DE PREÇOS n editavel'!W1025=0,0,IF('REF. DE PREÇOS n editavel'!W1025&gt;0,"c","b"))</f>
        <v>0</v>
      </c>
    </row>
    <row r="1026" spans="1:25">
      <c r="A1026" s="317" t="s">
        <v>937</v>
      </c>
      <c r="B1026" s="870" t="str">
        <f>'REF. DE PREÇOS n editavel'!B1026</f>
        <v>16.105.000033.SER</v>
      </c>
      <c r="C1026" s="871" t="str">
        <f>'REF. DE PREÇOS n editavel'!C1026</f>
        <v>PINI - fev/23</v>
      </c>
      <c r="D1026" s="881" t="str">
        <f>'REF. DE PREÇOS n editavel'!D1026</f>
        <v>Entrada de energia em poste próprio da edificação com potência instalada de 15 a 20 KW</v>
      </c>
      <c r="E1026" s="882">
        <f>'REF. DE PREÇOS n editavel'!E1026</f>
        <v>0</v>
      </c>
      <c r="F1026" s="883">
        <f>'REF. DE PREÇOS n editavel'!F1026</f>
        <v>0</v>
      </c>
      <c r="G1026" s="887">
        <f>'REF. DE PREÇOS n editavel'!G1026</f>
        <v>0</v>
      </c>
      <c r="H1026" s="876">
        <f>'REF. DE PREÇOS n editavel'!H1026</f>
        <v>2829.71</v>
      </c>
      <c r="I1026" s="876">
        <f>'REF. DE PREÇOS n editavel'!I1026</f>
        <v>2829.71</v>
      </c>
      <c r="J1026" s="877">
        <f>'REF. DE PREÇOS n editavel'!J1026</f>
        <v>3458.47</v>
      </c>
      <c r="K1026" s="878" t="s">
        <v>1500</v>
      </c>
      <c r="L1026" s="1092"/>
      <c r="M1026" s="1093">
        <f t="shared" si="122"/>
        <v>0</v>
      </c>
      <c r="N1026" s="868">
        <f t="shared" si="126"/>
        <v>0</v>
      </c>
      <c r="O1026" s="880"/>
      <c r="Q1026" s="317" t="str">
        <f t="shared" si="123"/>
        <v/>
      </c>
      <c r="R1026" s="317" t="str">
        <f t="shared" si="124"/>
        <v/>
      </c>
      <c r="S1026" s="317" t="str">
        <f t="shared" si="125"/>
        <v/>
      </c>
      <c r="T1026" s="317" t="str">
        <f>'REF. DE PREÇOS n editavel'!S1026</f>
        <v/>
      </c>
      <c r="W1026" s="577">
        <v>0</v>
      </c>
      <c r="X1026" s="575"/>
      <c r="Y1026" s="578">
        <f>IF('REF. DE PREÇOS n editavel'!W1026=0,0,IF('REF. DE PREÇOS n editavel'!W1026&gt;0,"c","b"))</f>
        <v>0</v>
      </c>
    </row>
    <row r="1027" spans="1:25">
      <c r="A1027" s="317" t="s">
        <v>939</v>
      </c>
      <c r="B1027" s="870" t="str">
        <f>'REF. DE PREÇOS n editavel'!B1027</f>
        <v>16.105.000034.SER</v>
      </c>
      <c r="C1027" s="871" t="str">
        <f>'REF. DE PREÇOS n editavel'!C1027</f>
        <v>PINI - fev/23</v>
      </c>
      <c r="D1027" s="881" t="str">
        <f>'REF. DE PREÇOS n editavel'!D1027</f>
        <v>Entrada de energia em poste próprio da edificação com potência instalada de 20 a 25 KW</v>
      </c>
      <c r="E1027" s="882">
        <f>'REF. DE PREÇOS n editavel'!E1027</f>
        <v>0</v>
      </c>
      <c r="F1027" s="883">
        <f>'REF. DE PREÇOS n editavel'!F1027</f>
        <v>0</v>
      </c>
      <c r="G1027" s="887">
        <f>'REF. DE PREÇOS n editavel'!G1027</f>
        <v>0</v>
      </c>
      <c r="H1027" s="876">
        <f>'REF. DE PREÇOS n editavel'!H1027</f>
        <v>4324.09</v>
      </c>
      <c r="I1027" s="876">
        <f>'REF. DE PREÇOS n editavel'!I1027</f>
        <v>4324.09</v>
      </c>
      <c r="J1027" s="877">
        <f>'REF. DE PREÇOS n editavel'!J1027</f>
        <v>5284.9</v>
      </c>
      <c r="K1027" s="878" t="s">
        <v>1500</v>
      </c>
      <c r="L1027" s="1092"/>
      <c r="M1027" s="1093">
        <f t="shared" si="122"/>
        <v>0</v>
      </c>
      <c r="N1027" s="868">
        <f t="shared" si="126"/>
        <v>0</v>
      </c>
      <c r="O1027" s="880"/>
      <c r="Q1027" s="317" t="str">
        <f t="shared" si="123"/>
        <v/>
      </c>
      <c r="R1027" s="317" t="str">
        <f t="shared" si="124"/>
        <v/>
      </c>
      <c r="S1027" s="317" t="str">
        <f t="shared" si="125"/>
        <v/>
      </c>
      <c r="T1027" s="317" t="str">
        <f>'REF. DE PREÇOS n editavel'!S1027</f>
        <v/>
      </c>
      <c r="W1027" s="577">
        <v>0</v>
      </c>
      <c r="X1027" s="575"/>
      <c r="Y1027" s="578">
        <f>IF('REF. DE PREÇOS n editavel'!W1027=0,0,IF('REF. DE PREÇOS n editavel'!W1027&gt;0,"c","b"))</f>
        <v>0</v>
      </c>
    </row>
    <row r="1028" spans="1:25">
      <c r="A1028" s="317" t="s">
        <v>941</v>
      </c>
      <c r="B1028" s="870" t="str">
        <f>'REF. DE PREÇOS n editavel'!B1028</f>
        <v>16.105.000035.SER</v>
      </c>
      <c r="C1028" s="871" t="str">
        <f>'REF. DE PREÇOS n editavel'!C1028</f>
        <v>PINI - fev/23</v>
      </c>
      <c r="D1028" s="881" t="str">
        <f>'REF. DE PREÇOS n editavel'!D1028</f>
        <v>Entrada de energia em poste próprio da edificação com potência instalada de 25 a 30 KW</v>
      </c>
      <c r="E1028" s="882">
        <f>'REF. DE PREÇOS n editavel'!E1028</f>
        <v>0</v>
      </c>
      <c r="F1028" s="883">
        <f>'REF. DE PREÇOS n editavel'!F1028</f>
        <v>0</v>
      </c>
      <c r="G1028" s="887">
        <f>'REF. DE PREÇOS n editavel'!G1028</f>
        <v>0</v>
      </c>
      <c r="H1028" s="876">
        <f>'REF. DE PREÇOS n editavel'!H1028</f>
        <v>5277.61</v>
      </c>
      <c r="I1028" s="876">
        <f>'REF. DE PREÇOS n editavel'!I1028</f>
        <v>5277.61</v>
      </c>
      <c r="J1028" s="877">
        <f>'REF. DE PREÇOS n editavel'!J1028</f>
        <v>6450.29</v>
      </c>
      <c r="K1028" s="878" t="s">
        <v>1500</v>
      </c>
      <c r="L1028" s="1092"/>
      <c r="M1028" s="1093">
        <f t="shared" si="122"/>
        <v>0</v>
      </c>
      <c r="N1028" s="868">
        <f t="shared" si="126"/>
        <v>0</v>
      </c>
      <c r="O1028" s="880"/>
      <c r="Q1028" s="317" t="str">
        <f t="shared" si="123"/>
        <v/>
      </c>
      <c r="R1028" s="317" t="str">
        <f t="shared" si="124"/>
        <v/>
      </c>
      <c r="S1028" s="317" t="str">
        <f t="shared" si="125"/>
        <v/>
      </c>
      <c r="T1028" s="317" t="str">
        <f>'REF. DE PREÇOS n editavel'!S1028</f>
        <v/>
      </c>
      <c r="W1028" s="577">
        <v>0</v>
      </c>
      <c r="X1028" s="575"/>
      <c r="Y1028" s="578">
        <f>IF('REF. DE PREÇOS n editavel'!W1028=0,0,IF('REF. DE PREÇOS n editavel'!W1028&gt;0,"c","b"))</f>
        <v>0</v>
      </c>
    </row>
    <row r="1029" spans="1:25" ht="22.5">
      <c r="A1029" s="317">
        <v>96984</v>
      </c>
      <c r="B1029" s="870">
        <v>96984</v>
      </c>
      <c r="C1029" s="871" t="s">
        <v>590</v>
      </c>
      <c r="D1029" s="881" t="s">
        <v>943</v>
      </c>
      <c r="E1029" s="882">
        <f>'REF. DE PREÇOS n editavel'!E1029</f>
        <v>0</v>
      </c>
      <c r="F1029" s="883">
        <f>'REF. DE PREÇOS n editavel'!F1029</f>
        <v>0</v>
      </c>
      <c r="G1029" s="887">
        <f>'REF. DE PREÇOS n editavel'!G1029</f>
        <v>0</v>
      </c>
      <c r="H1029" s="876">
        <f>'REF. DE PREÇOS n editavel'!H1029</f>
        <v>77.59</v>
      </c>
      <c r="I1029" s="876">
        <f>'REF. DE PREÇOS n editavel'!I1029</f>
        <v>77.59</v>
      </c>
      <c r="J1029" s="877">
        <f>'REF. DE PREÇOS n editavel'!J1029</f>
        <v>94.83</v>
      </c>
      <c r="K1029" s="878" t="s">
        <v>1500</v>
      </c>
      <c r="L1029" s="1092"/>
      <c r="M1029" s="1093">
        <f t="shared" si="122"/>
        <v>0</v>
      </c>
      <c r="N1029" s="868">
        <f t="shared" si="126"/>
        <v>0</v>
      </c>
      <c r="O1029" s="880"/>
      <c r="Q1029" s="317" t="str">
        <f t="shared" si="123"/>
        <v/>
      </c>
      <c r="R1029" s="317" t="str">
        <f t="shared" si="124"/>
        <v/>
      </c>
      <c r="S1029" s="317" t="str">
        <f t="shared" si="125"/>
        <v/>
      </c>
      <c r="T1029" s="317" t="str">
        <f>'REF. DE PREÇOS n editavel'!S1029</f>
        <v/>
      </c>
      <c r="W1029" s="577">
        <v>0</v>
      </c>
      <c r="X1029" s="575"/>
      <c r="Y1029" s="578">
        <f>IF('REF. DE PREÇOS n editavel'!W1029=0,0,IF('REF. DE PREÇOS n editavel'!W1029&gt;0,"c","b"))</f>
        <v>0</v>
      </c>
    </row>
    <row r="1030" spans="1:25" ht="22.5">
      <c r="A1030" s="317">
        <v>91831</v>
      </c>
      <c r="B1030" s="870">
        <v>91831</v>
      </c>
      <c r="C1030" s="871" t="s">
        <v>590</v>
      </c>
      <c r="D1030" s="881" t="s">
        <v>944</v>
      </c>
      <c r="E1030" s="882">
        <f>'REF. DE PREÇOS n editavel'!E1030</f>
        <v>0</v>
      </c>
      <c r="F1030" s="883">
        <f>'REF. DE PREÇOS n editavel'!F1030</f>
        <v>0</v>
      </c>
      <c r="G1030" s="887">
        <f>'REF. DE PREÇOS n editavel'!G1030</f>
        <v>0</v>
      </c>
      <c r="H1030" s="876">
        <f>'REF. DE PREÇOS n editavel'!H1030</f>
        <v>10.69</v>
      </c>
      <c r="I1030" s="876">
        <f>'REF. DE PREÇOS n editavel'!I1030</f>
        <v>10.69</v>
      </c>
      <c r="J1030" s="877">
        <f>'REF. DE PREÇOS n editavel'!J1030</f>
        <v>13.07</v>
      </c>
      <c r="K1030" s="878" t="s">
        <v>62</v>
      </c>
      <c r="L1030" s="1092"/>
      <c r="M1030" s="1093">
        <f t="shared" ref="M1030:M1093" si="127">IF(L1030=0,0,ROUND(J1030,2))</f>
        <v>0</v>
      </c>
      <c r="N1030" s="868">
        <f t="shared" si="126"/>
        <v>0</v>
      </c>
      <c r="O1030" s="880"/>
      <c r="Q1030" s="317" t="str">
        <f t="shared" si="123"/>
        <v/>
      </c>
      <c r="R1030" s="317" t="str">
        <f t="shared" si="124"/>
        <v/>
      </c>
      <c r="S1030" s="317" t="str">
        <f t="shared" si="125"/>
        <v/>
      </c>
      <c r="T1030" s="317" t="str">
        <f>'REF. DE PREÇOS n editavel'!S1030</f>
        <v/>
      </c>
      <c r="W1030" s="577">
        <v>0</v>
      </c>
      <c r="X1030" s="575"/>
      <c r="Y1030" s="578">
        <f>IF('REF. DE PREÇOS n editavel'!W1030=0,0,IF('REF. DE PREÇOS n editavel'!W1030&gt;0,"c","b"))</f>
        <v>0</v>
      </c>
    </row>
    <row r="1031" spans="1:25" ht="22.5">
      <c r="A1031" s="317">
        <v>91834</v>
      </c>
      <c r="B1031" s="870">
        <v>91834</v>
      </c>
      <c r="C1031" s="871" t="s">
        <v>590</v>
      </c>
      <c r="D1031" s="881" t="s">
        <v>945</v>
      </c>
      <c r="E1031" s="882">
        <f>'REF. DE PREÇOS n editavel'!E1031</f>
        <v>0</v>
      </c>
      <c r="F1031" s="883">
        <f>'REF. DE PREÇOS n editavel'!F1031</f>
        <v>0</v>
      </c>
      <c r="G1031" s="887">
        <f>'REF. DE PREÇOS n editavel'!G1031</f>
        <v>0</v>
      </c>
      <c r="H1031" s="876">
        <f>'REF. DE PREÇOS n editavel'!H1031</f>
        <v>11.9</v>
      </c>
      <c r="I1031" s="876">
        <f>'REF. DE PREÇOS n editavel'!I1031</f>
        <v>11.9</v>
      </c>
      <c r="J1031" s="877">
        <f>'REF. DE PREÇOS n editavel'!J1031</f>
        <v>14.54</v>
      </c>
      <c r="K1031" s="878" t="s">
        <v>62</v>
      </c>
      <c r="L1031" s="1092"/>
      <c r="M1031" s="1093">
        <f t="shared" si="127"/>
        <v>0</v>
      </c>
      <c r="N1031" s="868">
        <f t="shared" si="126"/>
        <v>0</v>
      </c>
      <c r="O1031" s="880"/>
      <c r="Q1031" s="317" t="str">
        <f t="shared" si="123"/>
        <v/>
      </c>
      <c r="R1031" s="317" t="str">
        <f t="shared" si="124"/>
        <v/>
      </c>
      <c r="S1031" s="317" t="str">
        <f t="shared" si="125"/>
        <v/>
      </c>
      <c r="T1031" s="317" t="str">
        <f>'REF. DE PREÇOS n editavel'!S1031</f>
        <v/>
      </c>
      <c r="W1031" s="577">
        <v>0</v>
      </c>
      <c r="X1031" s="575"/>
      <c r="Y1031" s="578">
        <f>IF('REF. DE PREÇOS n editavel'!W1031=0,0,IF('REF. DE PREÇOS n editavel'!W1031&gt;0,"c","b"))</f>
        <v>0</v>
      </c>
    </row>
    <row r="1032" spans="1:25" ht="22.5">
      <c r="A1032" s="317">
        <v>91836</v>
      </c>
      <c r="B1032" s="870">
        <v>91836</v>
      </c>
      <c r="C1032" s="871" t="s">
        <v>590</v>
      </c>
      <c r="D1032" s="881" t="s">
        <v>946</v>
      </c>
      <c r="E1032" s="882">
        <f>'REF. DE PREÇOS n editavel'!E1032</f>
        <v>0</v>
      </c>
      <c r="F1032" s="883">
        <f>'REF. DE PREÇOS n editavel'!F1032</f>
        <v>0</v>
      </c>
      <c r="G1032" s="887">
        <f>'REF. DE PREÇOS n editavel'!G1032</f>
        <v>0</v>
      </c>
      <c r="H1032" s="876">
        <f>'REF. DE PREÇOS n editavel'!H1032</f>
        <v>15.96</v>
      </c>
      <c r="I1032" s="876">
        <f>'REF. DE PREÇOS n editavel'!I1032</f>
        <v>15.96</v>
      </c>
      <c r="J1032" s="877">
        <f>'REF. DE PREÇOS n editavel'!J1032</f>
        <v>19.510000000000002</v>
      </c>
      <c r="K1032" s="878" t="s">
        <v>62</v>
      </c>
      <c r="L1032" s="1092"/>
      <c r="M1032" s="1093">
        <f t="shared" si="127"/>
        <v>0</v>
      </c>
      <c r="N1032" s="868">
        <f t="shared" si="126"/>
        <v>0</v>
      </c>
      <c r="O1032" s="880"/>
      <c r="Q1032" s="317" t="str">
        <f t="shared" si="123"/>
        <v/>
      </c>
      <c r="R1032" s="317" t="str">
        <f t="shared" si="124"/>
        <v/>
      </c>
      <c r="S1032" s="317" t="str">
        <f t="shared" si="125"/>
        <v/>
      </c>
      <c r="T1032" s="317" t="str">
        <f>'REF. DE PREÇOS n editavel'!S1032</f>
        <v/>
      </c>
      <c r="W1032" s="577">
        <v>0</v>
      </c>
      <c r="X1032" s="575"/>
      <c r="Y1032" s="578">
        <f>IF('REF. DE PREÇOS n editavel'!W1032=0,0,IF('REF. DE PREÇOS n editavel'!W1032&gt;0,"c","b"))</f>
        <v>0</v>
      </c>
    </row>
    <row r="1033" spans="1:25" ht="22.5">
      <c r="A1033" s="317">
        <v>91842</v>
      </c>
      <c r="B1033" s="870">
        <v>91842</v>
      </c>
      <c r="C1033" s="871" t="s">
        <v>590</v>
      </c>
      <c r="D1033" s="881" t="s">
        <v>947</v>
      </c>
      <c r="E1033" s="882">
        <f>'REF. DE PREÇOS n editavel'!E1033</f>
        <v>0</v>
      </c>
      <c r="F1033" s="883">
        <f>'REF. DE PREÇOS n editavel'!F1033</f>
        <v>0</v>
      </c>
      <c r="G1033" s="887">
        <f>'REF. DE PREÇOS n editavel'!G1033</f>
        <v>0</v>
      </c>
      <c r="H1033" s="876">
        <f>'REF. DE PREÇOS n editavel'!H1033</f>
        <v>8.0500000000000007</v>
      </c>
      <c r="I1033" s="876">
        <f>'REF. DE PREÇOS n editavel'!I1033</f>
        <v>8.0500000000000007</v>
      </c>
      <c r="J1033" s="877">
        <f>'REF. DE PREÇOS n editavel'!J1033</f>
        <v>9.84</v>
      </c>
      <c r="K1033" s="878" t="s">
        <v>62</v>
      </c>
      <c r="L1033" s="1092"/>
      <c r="M1033" s="1093">
        <f t="shared" si="127"/>
        <v>0</v>
      </c>
      <c r="N1033" s="868">
        <f t="shared" si="126"/>
        <v>0</v>
      </c>
      <c r="O1033" s="880"/>
      <c r="Q1033" s="317" t="str">
        <f t="shared" si="123"/>
        <v/>
      </c>
      <c r="R1033" s="317" t="str">
        <f t="shared" si="124"/>
        <v/>
      </c>
      <c r="S1033" s="317" t="str">
        <f t="shared" si="125"/>
        <v/>
      </c>
      <c r="T1033" s="317" t="str">
        <f>'REF. DE PREÇOS n editavel'!S1033</f>
        <v/>
      </c>
      <c r="W1033" s="577">
        <v>0</v>
      </c>
      <c r="X1033" s="575"/>
      <c r="Y1033" s="578">
        <f>IF('REF. DE PREÇOS n editavel'!W1033=0,0,IF('REF. DE PREÇOS n editavel'!W1033&gt;0,"c","b"))</f>
        <v>0</v>
      </c>
    </row>
    <row r="1034" spans="1:25" ht="22.5">
      <c r="A1034" s="317">
        <v>91844</v>
      </c>
      <c r="B1034" s="870">
        <v>91844</v>
      </c>
      <c r="C1034" s="871" t="s">
        <v>590</v>
      </c>
      <c r="D1034" s="881" t="s">
        <v>948</v>
      </c>
      <c r="E1034" s="882">
        <f>'REF. DE PREÇOS n editavel'!E1034</f>
        <v>0</v>
      </c>
      <c r="F1034" s="883">
        <f>'REF. DE PREÇOS n editavel'!F1034</f>
        <v>0</v>
      </c>
      <c r="G1034" s="887">
        <f>'REF. DE PREÇOS n editavel'!G1034</f>
        <v>0</v>
      </c>
      <c r="H1034" s="876">
        <f>'REF. DE PREÇOS n editavel'!H1034</f>
        <v>9.26</v>
      </c>
      <c r="I1034" s="876">
        <f>'REF. DE PREÇOS n editavel'!I1034</f>
        <v>9.26</v>
      </c>
      <c r="J1034" s="877">
        <f>'REF. DE PREÇOS n editavel'!J1034</f>
        <v>11.32</v>
      </c>
      <c r="K1034" s="878" t="s">
        <v>62</v>
      </c>
      <c r="L1034" s="1092"/>
      <c r="M1034" s="1093">
        <f t="shared" si="127"/>
        <v>0</v>
      </c>
      <c r="N1034" s="868">
        <f t="shared" si="126"/>
        <v>0</v>
      </c>
      <c r="O1034" s="880"/>
      <c r="Q1034" s="317" t="str">
        <f t="shared" si="123"/>
        <v/>
      </c>
      <c r="R1034" s="317" t="str">
        <f t="shared" si="124"/>
        <v/>
      </c>
      <c r="S1034" s="317" t="str">
        <f t="shared" si="125"/>
        <v/>
      </c>
      <c r="T1034" s="317" t="str">
        <f>'REF. DE PREÇOS n editavel'!S1034</f>
        <v/>
      </c>
      <c r="W1034" s="577">
        <v>0</v>
      </c>
      <c r="X1034" s="575"/>
      <c r="Y1034" s="578">
        <f>IF('REF. DE PREÇOS n editavel'!W1034=0,0,IF('REF. DE PREÇOS n editavel'!W1034&gt;0,"c","b"))</f>
        <v>0</v>
      </c>
    </row>
    <row r="1035" spans="1:25" ht="22.5">
      <c r="A1035" s="317">
        <v>91846</v>
      </c>
      <c r="B1035" s="870">
        <v>91846</v>
      </c>
      <c r="C1035" s="871" t="s">
        <v>590</v>
      </c>
      <c r="D1035" s="881" t="s">
        <v>949</v>
      </c>
      <c r="E1035" s="882">
        <f>'REF. DE PREÇOS n editavel'!E1035</f>
        <v>0</v>
      </c>
      <c r="F1035" s="883">
        <f>'REF. DE PREÇOS n editavel'!F1035</f>
        <v>0</v>
      </c>
      <c r="G1035" s="887">
        <f>'REF. DE PREÇOS n editavel'!G1035</f>
        <v>0</v>
      </c>
      <c r="H1035" s="876">
        <f>'REF. DE PREÇOS n editavel'!H1035</f>
        <v>13.33</v>
      </c>
      <c r="I1035" s="876">
        <f>'REF. DE PREÇOS n editavel'!I1035</f>
        <v>13.33</v>
      </c>
      <c r="J1035" s="877">
        <f>'REF. DE PREÇOS n editavel'!J1035</f>
        <v>16.29</v>
      </c>
      <c r="K1035" s="878" t="s">
        <v>62</v>
      </c>
      <c r="L1035" s="1092"/>
      <c r="M1035" s="1093">
        <f t="shared" si="127"/>
        <v>0</v>
      </c>
      <c r="N1035" s="868">
        <f t="shared" si="126"/>
        <v>0</v>
      </c>
      <c r="O1035" s="880"/>
      <c r="Q1035" s="317" t="str">
        <f t="shared" si="123"/>
        <v/>
      </c>
      <c r="R1035" s="317" t="str">
        <f t="shared" si="124"/>
        <v/>
      </c>
      <c r="S1035" s="317" t="str">
        <f t="shared" si="125"/>
        <v/>
      </c>
      <c r="T1035" s="317" t="str">
        <f>'REF. DE PREÇOS n editavel'!S1035</f>
        <v/>
      </c>
      <c r="W1035" s="577">
        <v>0</v>
      </c>
      <c r="X1035" s="575"/>
      <c r="Y1035" s="578">
        <f>IF('REF. DE PREÇOS n editavel'!W1035=0,0,IF('REF. DE PREÇOS n editavel'!W1035&gt;0,"c","b"))</f>
        <v>0</v>
      </c>
    </row>
    <row r="1036" spans="1:25" ht="22.5">
      <c r="A1036" s="317">
        <v>91852</v>
      </c>
      <c r="B1036" s="870">
        <v>91852</v>
      </c>
      <c r="C1036" s="871" t="s">
        <v>590</v>
      </c>
      <c r="D1036" s="881" t="s">
        <v>950</v>
      </c>
      <c r="E1036" s="882">
        <f>'REF. DE PREÇOS n editavel'!E1036</f>
        <v>0</v>
      </c>
      <c r="F1036" s="883">
        <f>'REF. DE PREÇOS n editavel'!F1036</f>
        <v>0</v>
      </c>
      <c r="G1036" s="887">
        <f>'REF. DE PREÇOS n editavel'!G1036</f>
        <v>0</v>
      </c>
      <c r="H1036" s="876">
        <f>'REF. DE PREÇOS n editavel'!H1036</f>
        <v>11.16</v>
      </c>
      <c r="I1036" s="876">
        <f>'REF. DE PREÇOS n editavel'!I1036</f>
        <v>11.16</v>
      </c>
      <c r="J1036" s="877">
        <f>'REF. DE PREÇOS n editavel'!J1036</f>
        <v>13.64</v>
      </c>
      <c r="K1036" s="878" t="s">
        <v>62</v>
      </c>
      <c r="L1036" s="1092"/>
      <c r="M1036" s="1093">
        <f t="shared" si="127"/>
        <v>0</v>
      </c>
      <c r="N1036" s="868">
        <f t="shared" si="126"/>
        <v>0</v>
      </c>
      <c r="O1036" s="880"/>
      <c r="Q1036" s="317" t="str">
        <f t="shared" si="123"/>
        <v/>
      </c>
      <c r="R1036" s="317" t="str">
        <f t="shared" si="124"/>
        <v/>
      </c>
      <c r="S1036" s="317" t="str">
        <f t="shared" si="125"/>
        <v/>
      </c>
      <c r="T1036" s="317" t="str">
        <f>'REF. DE PREÇOS n editavel'!S1036</f>
        <v/>
      </c>
      <c r="W1036" s="577">
        <v>0</v>
      </c>
      <c r="X1036" s="575"/>
      <c r="Y1036" s="578">
        <f>IF('REF. DE PREÇOS n editavel'!W1036=0,0,IF('REF. DE PREÇOS n editavel'!W1036&gt;0,"c","b"))</f>
        <v>0</v>
      </c>
    </row>
    <row r="1037" spans="1:25" ht="22.5">
      <c r="A1037" s="317">
        <v>91854</v>
      </c>
      <c r="B1037" s="870">
        <v>91854</v>
      </c>
      <c r="C1037" s="871" t="s">
        <v>590</v>
      </c>
      <c r="D1037" s="881" t="s">
        <v>951</v>
      </c>
      <c r="E1037" s="882">
        <f>'REF. DE PREÇOS n editavel'!E1037</f>
        <v>0</v>
      </c>
      <c r="F1037" s="883">
        <f>'REF. DE PREÇOS n editavel'!F1037</f>
        <v>0</v>
      </c>
      <c r="G1037" s="887">
        <f>'REF. DE PREÇOS n editavel'!G1037</f>
        <v>0</v>
      </c>
      <c r="H1037" s="876">
        <f>'REF. DE PREÇOS n editavel'!H1037</f>
        <v>12.34</v>
      </c>
      <c r="I1037" s="876">
        <f>'REF. DE PREÇOS n editavel'!I1037</f>
        <v>12.34</v>
      </c>
      <c r="J1037" s="877">
        <f>'REF. DE PREÇOS n editavel'!J1037</f>
        <v>15.08</v>
      </c>
      <c r="K1037" s="878" t="s">
        <v>62</v>
      </c>
      <c r="L1037" s="1092"/>
      <c r="M1037" s="1093">
        <f t="shared" si="127"/>
        <v>0</v>
      </c>
      <c r="N1037" s="868">
        <f t="shared" si="126"/>
        <v>0</v>
      </c>
      <c r="O1037" s="880"/>
      <c r="Q1037" s="317" t="str">
        <f t="shared" si="123"/>
        <v/>
      </c>
      <c r="R1037" s="317" t="str">
        <f t="shared" si="124"/>
        <v/>
      </c>
      <c r="S1037" s="317" t="str">
        <f t="shared" si="125"/>
        <v/>
      </c>
      <c r="T1037" s="317" t="str">
        <f>'REF. DE PREÇOS n editavel'!S1037</f>
        <v/>
      </c>
      <c r="W1037" s="577">
        <v>0</v>
      </c>
      <c r="X1037" s="575"/>
      <c r="Y1037" s="578">
        <f>IF('REF. DE PREÇOS n editavel'!W1037=0,0,IF('REF. DE PREÇOS n editavel'!W1037&gt;0,"c","b"))</f>
        <v>0</v>
      </c>
    </row>
    <row r="1038" spans="1:25" ht="22.5">
      <c r="A1038" s="317">
        <v>91856</v>
      </c>
      <c r="B1038" s="870">
        <v>91856</v>
      </c>
      <c r="C1038" s="871" t="s">
        <v>590</v>
      </c>
      <c r="D1038" s="881" t="s">
        <v>952</v>
      </c>
      <c r="E1038" s="882">
        <f>'REF. DE PREÇOS n editavel'!E1038</f>
        <v>0</v>
      </c>
      <c r="F1038" s="883">
        <f>'REF. DE PREÇOS n editavel'!F1038</f>
        <v>0</v>
      </c>
      <c r="G1038" s="887">
        <f>'REF. DE PREÇOS n editavel'!G1038</f>
        <v>0</v>
      </c>
      <c r="H1038" s="876">
        <f>'REF. DE PREÇOS n editavel'!H1038</f>
        <v>16.18</v>
      </c>
      <c r="I1038" s="876">
        <f>'REF. DE PREÇOS n editavel'!I1038</f>
        <v>16.18</v>
      </c>
      <c r="J1038" s="877">
        <f>'REF. DE PREÇOS n editavel'!J1038</f>
        <v>19.78</v>
      </c>
      <c r="K1038" s="878" t="s">
        <v>62</v>
      </c>
      <c r="L1038" s="1092"/>
      <c r="M1038" s="1093">
        <f t="shared" si="127"/>
        <v>0</v>
      </c>
      <c r="N1038" s="868">
        <f t="shared" si="126"/>
        <v>0</v>
      </c>
      <c r="O1038" s="880"/>
      <c r="Q1038" s="317" t="str">
        <f t="shared" si="123"/>
        <v/>
      </c>
      <c r="R1038" s="317" t="str">
        <f t="shared" si="124"/>
        <v/>
      </c>
      <c r="S1038" s="317" t="str">
        <f t="shared" si="125"/>
        <v/>
      </c>
      <c r="T1038" s="317" t="str">
        <f>'REF. DE PREÇOS n editavel'!S1038</f>
        <v/>
      </c>
      <c r="W1038" s="577">
        <v>0</v>
      </c>
      <c r="X1038" s="575"/>
      <c r="Y1038" s="578">
        <f>IF('REF. DE PREÇOS n editavel'!W1038=0,0,IF('REF. DE PREÇOS n editavel'!W1038&gt;0,"c","b"))</f>
        <v>0</v>
      </c>
    </row>
    <row r="1039" spans="1:25" ht="33.75">
      <c r="A1039" s="317">
        <v>91833</v>
      </c>
      <c r="B1039" s="870">
        <v>91833</v>
      </c>
      <c r="C1039" s="871" t="s">
        <v>590</v>
      </c>
      <c r="D1039" s="881" t="s">
        <v>953</v>
      </c>
      <c r="E1039" s="882">
        <f>'REF. DE PREÇOS n editavel'!E1039</f>
        <v>0</v>
      </c>
      <c r="F1039" s="883">
        <f>'REF. DE PREÇOS n editavel'!F1039</f>
        <v>0</v>
      </c>
      <c r="G1039" s="887">
        <f>'REF. DE PREÇOS n editavel'!G1039</f>
        <v>0</v>
      </c>
      <c r="H1039" s="876">
        <f>'REF. DE PREÇOS n editavel'!H1039</f>
        <v>11.52</v>
      </c>
      <c r="I1039" s="876">
        <f>'REF. DE PREÇOS n editavel'!I1039</f>
        <v>11.52</v>
      </c>
      <c r="J1039" s="877">
        <f>'REF. DE PREÇOS n editavel'!J1039</f>
        <v>14.08</v>
      </c>
      <c r="K1039" s="878" t="s">
        <v>62</v>
      </c>
      <c r="L1039" s="1092"/>
      <c r="M1039" s="1093">
        <f t="shared" si="127"/>
        <v>0</v>
      </c>
      <c r="N1039" s="868">
        <f t="shared" si="126"/>
        <v>0</v>
      </c>
      <c r="O1039" s="880"/>
      <c r="Q1039" s="317" t="str">
        <f t="shared" si="123"/>
        <v/>
      </c>
      <c r="R1039" s="317" t="str">
        <f t="shared" si="124"/>
        <v/>
      </c>
      <c r="S1039" s="317" t="str">
        <f t="shared" si="125"/>
        <v/>
      </c>
      <c r="T1039" s="317" t="str">
        <f>'REF. DE PREÇOS n editavel'!S1039</f>
        <v/>
      </c>
      <c r="W1039" s="577">
        <v>0</v>
      </c>
      <c r="X1039" s="575"/>
      <c r="Y1039" s="578">
        <f>IF('REF. DE PREÇOS n editavel'!W1039=0,0,IF('REF. DE PREÇOS n editavel'!W1039&gt;0,"c","b"))</f>
        <v>0</v>
      </c>
    </row>
    <row r="1040" spans="1:25" ht="33.75">
      <c r="A1040" s="317">
        <v>91835</v>
      </c>
      <c r="B1040" s="870">
        <v>91835</v>
      </c>
      <c r="C1040" s="871" t="s">
        <v>590</v>
      </c>
      <c r="D1040" s="881" t="s">
        <v>954</v>
      </c>
      <c r="E1040" s="882">
        <f>'REF. DE PREÇOS n editavel'!E1040</f>
        <v>0</v>
      </c>
      <c r="F1040" s="883">
        <f>'REF. DE PREÇOS n editavel'!F1040</f>
        <v>0</v>
      </c>
      <c r="G1040" s="887">
        <f>'REF. DE PREÇOS n editavel'!G1040</f>
        <v>0</v>
      </c>
      <c r="H1040" s="876">
        <f>'REF. DE PREÇOS n editavel'!H1040</f>
        <v>14.01</v>
      </c>
      <c r="I1040" s="876">
        <f>'REF. DE PREÇOS n editavel'!I1040</f>
        <v>14.01</v>
      </c>
      <c r="J1040" s="877">
        <f>'REF. DE PREÇOS n editavel'!J1040</f>
        <v>17.12</v>
      </c>
      <c r="K1040" s="878" t="s">
        <v>62</v>
      </c>
      <c r="L1040" s="1092"/>
      <c r="M1040" s="1093">
        <f t="shared" si="127"/>
        <v>0</v>
      </c>
      <c r="N1040" s="868">
        <f t="shared" si="126"/>
        <v>0</v>
      </c>
      <c r="O1040" s="880"/>
      <c r="Q1040" s="317" t="str">
        <f t="shared" si="123"/>
        <v/>
      </c>
      <c r="R1040" s="317" t="str">
        <f t="shared" si="124"/>
        <v/>
      </c>
      <c r="S1040" s="317" t="str">
        <f t="shared" si="125"/>
        <v/>
      </c>
      <c r="T1040" s="317" t="str">
        <f>'REF. DE PREÇOS n editavel'!S1040</f>
        <v/>
      </c>
      <c r="W1040" s="577">
        <v>0</v>
      </c>
      <c r="X1040" s="575"/>
      <c r="Y1040" s="578">
        <f>IF('REF. DE PREÇOS n editavel'!W1040=0,0,IF('REF. DE PREÇOS n editavel'!W1040&gt;0,"c","b"))</f>
        <v>0</v>
      </c>
    </row>
    <row r="1041" spans="1:25" ht="33.75">
      <c r="A1041" s="317">
        <v>91837</v>
      </c>
      <c r="B1041" s="870">
        <v>91837</v>
      </c>
      <c r="C1041" s="871" t="s">
        <v>590</v>
      </c>
      <c r="D1041" s="881" t="s">
        <v>955</v>
      </c>
      <c r="E1041" s="882">
        <f>'REF. DE PREÇOS n editavel'!E1041</f>
        <v>0</v>
      </c>
      <c r="F1041" s="883">
        <f>'REF. DE PREÇOS n editavel'!F1041</f>
        <v>0</v>
      </c>
      <c r="G1041" s="887">
        <f>'REF. DE PREÇOS n editavel'!G1041</f>
        <v>0</v>
      </c>
      <c r="H1041" s="876">
        <f>'REF. DE PREÇOS n editavel'!H1041</f>
        <v>20.87</v>
      </c>
      <c r="I1041" s="876">
        <f>'REF. DE PREÇOS n editavel'!I1041</f>
        <v>20.87</v>
      </c>
      <c r="J1041" s="877">
        <f>'REF. DE PREÇOS n editavel'!J1041</f>
        <v>25.51</v>
      </c>
      <c r="K1041" s="878" t="s">
        <v>62</v>
      </c>
      <c r="L1041" s="1092"/>
      <c r="M1041" s="1093">
        <f t="shared" si="127"/>
        <v>0</v>
      </c>
      <c r="N1041" s="868">
        <f t="shared" si="126"/>
        <v>0</v>
      </c>
      <c r="O1041" s="880"/>
      <c r="Q1041" s="317" t="str">
        <f t="shared" ref="Q1041:Q1104" si="128">IF(P1041="X","x",IF(P1041="xx","x",IF(P1041="xy","x",IF(P1041="y","x",IF(OR(N1041&gt;0,N1041&gt;0),"x","")))))</f>
        <v/>
      </c>
      <c r="R1041" s="317" t="str">
        <f t="shared" si="124"/>
        <v/>
      </c>
      <c r="S1041" s="317" t="str">
        <f t="shared" si="125"/>
        <v/>
      </c>
      <c r="T1041" s="317" t="str">
        <f>'REF. DE PREÇOS n editavel'!S1041</f>
        <v/>
      </c>
      <c r="W1041" s="577">
        <v>0</v>
      </c>
      <c r="X1041" s="575"/>
      <c r="Y1041" s="578">
        <f>IF('REF. DE PREÇOS n editavel'!W1041=0,0,IF('REF. DE PREÇOS n editavel'!W1041&gt;0,"c","b"))</f>
        <v>0</v>
      </c>
    </row>
    <row r="1042" spans="1:25" ht="33.75">
      <c r="A1042" s="317">
        <v>91843</v>
      </c>
      <c r="B1042" s="870">
        <v>91843</v>
      </c>
      <c r="C1042" s="871" t="s">
        <v>590</v>
      </c>
      <c r="D1042" s="881" t="s">
        <v>956</v>
      </c>
      <c r="E1042" s="882">
        <f>'REF. DE PREÇOS n editavel'!E1042</f>
        <v>0</v>
      </c>
      <c r="F1042" s="883">
        <f>'REF. DE PREÇOS n editavel'!F1042</f>
        <v>0</v>
      </c>
      <c r="G1042" s="887">
        <f>'REF. DE PREÇOS n editavel'!G1042</f>
        <v>0</v>
      </c>
      <c r="H1042" s="876">
        <f>'REF. DE PREÇOS n editavel'!H1042</f>
        <v>8.8800000000000008</v>
      </c>
      <c r="I1042" s="876">
        <f>'REF. DE PREÇOS n editavel'!I1042</f>
        <v>8.8800000000000008</v>
      </c>
      <c r="J1042" s="877">
        <f>'REF. DE PREÇOS n editavel'!J1042</f>
        <v>10.85</v>
      </c>
      <c r="K1042" s="878" t="s">
        <v>62</v>
      </c>
      <c r="L1042" s="1092"/>
      <c r="M1042" s="1093">
        <f t="shared" si="127"/>
        <v>0</v>
      </c>
      <c r="N1042" s="868">
        <f t="shared" si="126"/>
        <v>0</v>
      </c>
      <c r="O1042" s="880"/>
      <c r="Q1042" s="317" t="str">
        <f t="shared" si="128"/>
        <v/>
      </c>
      <c r="R1042" s="317" t="str">
        <f t="shared" si="124"/>
        <v/>
      </c>
      <c r="S1042" s="317" t="str">
        <f t="shared" si="125"/>
        <v/>
      </c>
      <c r="T1042" s="317" t="str">
        <f>'REF. DE PREÇOS n editavel'!S1042</f>
        <v/>
      </c>
      <c r="W1042" s="577">
        <v>0</v>
      </c>
      <c r="X1042" s="575"/>
      <c r="Y1042" s="578">
        <f>IF('REF. DE PREÇOS n editavel'!W1042=0,0,IF('REF. DE PREÇOS n editavel'!W1042&gt;0,"c","b"))</f>
        <v>0</v>
      </c>
    </row>
    <row r="1043" spans="1:25" ht="33.75">
      <c r="A1043" s="317">
        <v>91845</v>
      </c>
      <c r="B1043" s="870">
        <v>91845</v>
      </c>
      <c r="C1043" s="871" t="s">
        <v>590</v>
      </c>
      <c r="D1043" s="881" t="s">
        <v>957</v>
      </c>
      <c r="E1043" s="882">
        <f>'REF. DE PREÇOS n editavel'!E1043</f>
        <v>0</v>
      </c>
      <c r="F1043" s="883">
        <f>'REF. DE PREÇOS n editavel'!F1043</f>
        <v>0</v>
      </c>
      <c r="G1043" s="887">
        <f>'REF. DE PREÇOS n editavel'!G1043</f>
        <v>0</v>
      </c>
      <c r="H1043" s="876">
        <f>'REF. DE PREÇOS n editavel'!H1043</f>
        <v>11.37</v>
      </c>
      <c r="I1043" s="876">
        <f>'REF. DE PREÇOS n editavel'!I1043</f>
        <v>11.37</v>
      </c>
      <c r="J1043" s="877">
        <f>'REF. DE PREÇOS n editavel'!J1043</f>
        <v>13.9</v>
      </c>
      <c r="K1043" s="878" t="s">
        <v>62</v>
      </c>
      <c r="L1043" s="1092"/>
      <c r="M1043" s="1093">
        <f t="shared" si="127"/>
        <v>0</v>
      </c>
      <c r="N1043" s="868">
        <f t="shared" si="126"/>
        <v>0</v>
      </c>
      <c r="O1043" s="880"/>
      <c r="Q1043" s="317" t="str">
        <f t="shared" si="128"/>
        <v/>
      </c>
      <c r="R1043" s="317" t="str">
        <f t="shared" ref="R1043:R1106" si="129">IF(P1043="X","x",IF(P1043="y","x",IF(P1043="xx","x",IF(N1043&gt;0,"x",""))))</f>
        <v/>
      </c>
      <c r="S1043" s="317" t="str">
        <f t="shared" ref="S1043:S1106" si="130">IF(P1043="X","x",IF(N1043&gt;0,"x",""))</f>
        <v/>
      </c>
      <c r="T1043" s="317" t="str">
        <f>'REF. DE PREÇOS n editavel'!S1043</f>
        <v/>
      </c>
      <c r="W1043" s="577">
        <v>0</v>
      </c>
      <c r="X1043" s="575"/>
      <c r="Y1043" s="578">
        <f>IF('REF. DE PREÇOS n editavel'!W1043=0,0,IF('REF. DE PREÇOS n editavel'!W1043&gt;0,"c","b"))</f>
        <v>0</v>
      </c>
    </row>
    <row r="1044" spans="1:25" ht="33.75">
      <c r="A1044" s="317">
        <v>91847</v>
      </c>
      <c r="B1044" s="870">
        <v>91847</v>
      </c>
      <c r="C1044" s="871" t="s">
        <v>590</v>
      </c>
      <c r="D1044" s="881" t="s">
        <v>958</v>
      </c>
      <c r="E1044" s="882">
        <f>'REF. DE PREÇOS n editavel'!E1044</f>
        <v>0</v>
      </c>
      <c r="F1044" s="883">
        <f>'REF. DE PREÇOS n editavel'!F1044</f>
        <v>0</v>
      </c>
      <c r="G1044" s="887">
        <f>'REF. DE PREÇOS n editavel'!G1044</f>
        <v>0</v>
      </c>
      <c r="H1044" s="876">
        <f>'REF. DE PREÇOS n editavel'!H1044</f>
        <v>18.239999999999998</v>
      </c>
      <c r="I1044" s="876">
        <f>'REF. DE PREÇOS n editavel'!I1044</f>
        <v>18.239999999999998</v>
      </c>
      <c r="J1044" s="877">
        <f>'REF. DE PREÇOS n editavel'!J1044</f>
        <v>22.29</v>
      </c>
      <c r="K1044" s="878" t="s">
        <v>62</v>
      </c>
      <c r="L1044" s="1092"/>
      <c r="M1044" s="1093">
        <f t="shared" si="127"/>
        <v>0</v>
      </c>
      <c r="N1044" s="868">
        <f t="shared" si="126"/>
        <v>0</v>
      </c>
      <c r="O1044" s="880"/>
      <c r="Q1044" s="317" t="str">
        <f t="shared" si="128"/>
        <v/>
      </c>
      <c r="R1044" s="317" t="str">
        <f t="shared" si="129"/>
        <v/>
      </c>
      <c r="S1044" s="317" t="str">
        <f t="shared" si="130"/>
        <v/>
      </c>
      <c r="T1044" s="317" t="str">
        <f>'REF. DE PREÇOS n editavel'!S1044</f>
        <v/>
      </c>
      <c r="W1044" s="577">
        <v>0</v>
      </c>
      <c r="X1044" s="575"/>
      <c r="Y1044" s="578">
        <f>IF('REF. DE PREÇOS n editavel'!W1044=0,0,IF('REF. DE PREÇOS n editavel'!W1044&gt;0,"c","b"))</f>
        <v>0</v>
      </c>
    </row>
    <row r="1045" spans="1:25" ht="33.75">
      <c r="A1045" s="317">
        <v>91853</v>
      </c>
      <c r="B1045" s="870">
        <v>91853</v>
      </c>
      <c r="C1045" s="871" t="s">
        <v>590</v>
      </c>
      <c r="D1045" s="881" t="s">
        <v>959</v>
      </c>
      <c r="E1045" s="882">
        <f>'REF. DE PREÇOS n editavel'!E1045</f>
        <v>0</v>
      </c>
      <c r="F1045" s="883">
        <f>'REF. DE PREÇOS n editavel'!F1045</f>
        <v>0</v>
      </c>
      <c r="G1045" s="887">
        <f>'REF. DE PREÇOS n editavel'!G1045</f>
        <v>0</v>
      </c>
      <c r="H1045" s="876">
        <f>'REF. DE PREÇOS n editavel'!H1045</f>
        <v>11.93</v>
      </c>
      <c r="I1045" s="876">
        <f>'REF. DE PREÇOS n editavel'!I1045</f>
        <v>11.93</v>
      </c>
      <c r="J1045" s="877">
        <f>'REF. DE PREÇOS n editavel'!J1045</f>
        <v>14.58</v>
      </c>
      <c r="K1045" s="878" t="s">
        <v>62</v>
      </c>
      <c r="L1045" s="1092"/>
      <c r="M1045" s="1093">
        <f t="shared" si="127"/>
        <v>0</v>
      </c>
      <c r="N1045" s="868">
        <f t="shared" si="126"/>
        <v>0</v>
      </c>
      <c r="O1045" s="880"/>
      <c r="Q1045" s="317" t="str">
        <f t="shared" si="128"/>
        <v/>
      </c>
      <c r="R1045" s="317" t="str">
        <f t="shared" si="129"/>
        <v/>
      </c>
      <c r="S1045" s="317" t="str">
        <f t="shared" si="130"/>
        <v/>
      </c>
      <c r="T1045" s="317" t="str">
        <f>'REF. DE PREÇOS n editavel'!S1045</f>
        <v/>
      </c>
      <c r="W1045" s="577">
        <v>0</v>
      </c>
      <c r="X1045" s="575"/>
      <c r="Y1045" s="578">
        <f>IF('REF. DE PREÇOS n editavel'!W1045=0,0,IF('REF. DE PREÇOS n editavel'!W1045&gt;0,"c","b"))</f>
        <v>0</v>
      </c>
    </row>
    <row r="1046" spans="1:25" ht="33.75">
      <c r="A1046" s="317">
        <v>91855</v>
      </c>
      <c r="B1046" s="870">
        <v>91855</v>
      </c>
      <c r="C1046" s="871" t="s">
        <v>590</v>
      </c>
      <c r="D1046" s="881" t="s">
        <v>960</v>
      </c>
      <c r="E1046" s="882">
        <f>'REF. DE PREÇOS n editavel'!E1046</f>
        <v>0</v>
      </c>
      <c r="F1046" s="883">
        <f>'REF. DE PREÇOS n editavel'!F1046</f>
        <v>0</v>
      </c>
      <c r="G1046" s="887">
        <f>'REF. DE PREÇOS n editavel'!G1046</f>
        <v>0</v>
      </c>
      <c r="H1046" s="876">
        <f>'REF. DE PREÇOS n editavel'!H1046</f>
        <v>14.29</v>
      </c>
      <c r="I1046" s="876">
        <f>'REF. DE PREÇOS n editavel'!I1046</f>
        <v>14.29</v>
      </c>
      <c r="J1046" s="877">
        <f>'REF. DE PREÇOS n editavel'!J1046</f>
        <v>17.47</v>
      </c>
      <c r="K1046" s="878" t="s">
        <v>62</v>
      </c>
      <c r="L1046" s="1092"/>
      <c r="M1046" s="1093">
        <f t="shared" si="127"/>
        <v>0</v>
      </c>
      <c r="N1046" s="868">
        <f t="shared" si="126"/>
        <v>0</v>
      </c>
      <c r="O1046" s="880"/>
      <c r="Q1046" s="317" t="str">
        <f t="shared" si="128"/>
        <v/>
      </c>
      <c r="R1046" s="317" t="str">
        <f t="shared" si="129"/>
        <v/>
      </c>
      <c r="S1046" s="317" t="str">
        <f t="shared" si="130"/>
        <v/>
      </c>
      <c r="T1046" s="317" t="str">
        <f>'REF. DE PREÇOS n editavel'!S1046</f>
        <v/>
      </c>
      <c r="W1046" s="577">
        <v>0</v>
      </c>
      <c r="X1046" s="575"/>
      <c r="Y1046" s="578">
        <f>IF('REF. DE PREÇOS n editavel'!W1046=0,0,IF('REF. DE PREÇOS n editavel'!W1046&gt;0,"c","b"))</f>
        <v>0</v>
      </c>
    </row>
    <row r="1047" spans="1:25" ht="33.75">
      <c r="A1047" s="317">
        <v>91857</v>
      </c>
      <c r="B1047" s="870">
        <v>91857</v>
      </c>
      <c r="C1047" s="871" t="s">
        <v>590</v>
      </c>
      <c r="D1047" s="881" t="s">
        <v>961</v>
      </c>
      <c r="E1047" s="882">
        <f>'REF. DE PREÇOS n editavel'!E1047</f>
        <v>0</v>
      </c>
      <c r="F1047" s="883">
        <f>'REF. DE PREÇOS n editavel'!F1047</f>
        <v>0</v>
      </c>
      <c r="G1047" s="887">
        <f>'REF. DE PREÇOS n editavel'!G1047</f>
        <v>0</v>
      </c>
      <c r="H1047" s="876">
        <f>'REF. DE PREÇOS n editavel'!H1047</f>
        <v>20.72</v>
      </c>
      <c r="I1047" s="876">
        <f>'REF. DE PREÇOS n editavel'!I1047</f>
        <v>20.72</v>
      </c>
      <c r="J1047" s="877">
        <f>'REF. DE PREÇOS n editavel'!J1047</f>
        <v>25.32</v>
      </c>
      <c r="K1047" s="878" t="s">
        <v>62</v>
      </c>
      <c r="L1047" s="1092"/>
      <c r="M1047" s="1093">
        <f t="shared" si="127"/>
        <v>0</v>
      </c>
      <c r="N1047" s="868">
        <f t="shared" ref="N1047:N1110" si="131">IF(ISBLANK(L1047),0,IF(W1047=0,ROUND(L1047*M1047,2),IF(W1047="b",ROUNDDOWN(L1047*M1047,2),ROUNDUP(L1047*M1047,2))))</f>
        <v>0</v>
      </c>
      <c r="O1047" s="880"/>
      <c r="Q1047" s="317" t="str">
        <f t="shared" si="128"/>
        <v/>
      </c>
      <c r="R1047" s="317" t="str">
        <f t="shared" si="129"/>
        <v/>
      </c>
      <c r="S1047" s="317" t="str">
        <f t="shared" si="130"/>
        <v/>
      </c>
      <c r="T1047" s="317" t="str">
        <f>'REF. DE PREÇOS n editavel'!S1047</f>
        <v/>
      </c>
      <c r="W1047" s="577">
        <v>0</v>
      </c>
      <c r="X1047" s="575"/>
      <c r="Y1047" s="578">
        <f>IF('REF. DE PREÇOS n editavel'!W1047=0,0,IF('REF. DE PREÇOS n editavel'!W1047&gt;0,"c","b"))</f>
        <v>0</v>
      </c>
    </row>
    <row r="1048" spans="1:25" ht="22.5">
      <c r="A1048" s="317">
        <v>91874</v>
      </c>
      <c r="B1048" s="870">
        <v>91874</v>
      </c>
      <c r="C1048" s="871" t="s">
        <v>590</v>
      </c>
      <c r="D1048" s="881" t="s">
        <v>962</v>
      </c>
      <c r="E1048" s="882">
        <f>'REF. DE PREÇOS n editavel'!E1048</f>
        <v>0</v>
      </c>
      <c r="F1048" s="883">
        <f>'REF. DE PREÇOS n editavel'!F1048</f>
        <v>0</v>
      </c>
      <c r="G1048" s="887">
        <f>'REF. DE PREÇOS n editavel'!G1048</f>
        <v>0</v>
      </c>
      <c r="H1048" s="876">
        <f>'REF. DE PREÇOS n editavel'!H1048</f>
        <v>6.07</v>
      </c>
      <c r="I1048" s="876">
        <f>'REF. DE PREÇOS n editavel'!I1048</f>
        <v>6.07</v>
      </c>
      <c r="J1048" s="877">
        <f>'REF. DE PREÇOS n editavel'!J1048</f>
        <v>7.42</v>
      </c>
      <c r="K1048" s="878" t="s">
        <v>1500</v>
      </c>
      <c r="L1048" s="1092"/>
      <c r="M1048" s="1093">
        <f t="shared" si="127"/>
        <v>0</v>
      </c>
      <c r="N1048" s="868">
        <f t="shared" si="131"/>
        <v>0</v>
      </c>
      <c r="O1048" s="880"/>
      <c r="Q1048" s="317" t="str">
        <f t="shared" si="128"/>
        <v/>
      </c>
      <c r="R1048" s="317" t="str">
        <f t="shared" si="129"/>
        <v/>
      </c>
      <c r="S1048" s="317" t="str">
        <f t="shared" si="130"/>
        <v/>
      </c>
      <c r="T1048" s="317" t="str">
        <f>'REF. DE PREÇOS n editavel'!S1048</f>
        <v/>
      </c>
      <c r="W1048" s="577">
        <v>0</v>
      </c>
      <c r="X1048" s="575"/>
      <c r="Y1048" s="578">
        <f>IF('REF. DE PREÇOS n editavel'!W1048=0,0,IF('REF. DE PREÇOS n editavel'!W1048&gt;0,"c","b"))</f>
        <v>0</v>
      </c>
    </row>
    <row r="1049" spans="1:25" ht="22.5">
      <c r="A1049" s="317">
        <v>91875</v>
      </c>
      <c r="B1049" s="870">
        <v>91875</v>
      </c>
      <c r="C1049" s="871" t="s">
        <v>590</v>
      </c>
      <c r="D1049" s="881" t="s">
        <v>963</v>
      </c>
      <c r="E1049" s="882">
        <f>'REF. DE PREÇOS n editavel'!E1049</f>
        <v>0</v>
      </c>
      <c r="F1049" s="883">
        <f>'REF. DE PREÇOS n editavel'!F1049</f>
        <v>0</v>
      </c>
      <c r="G1049" s="887">
        <f>'REF. DE PREÇOS n editavel'!G1049</f>
        <v>0</v>
      </c>
      <c r="H1049" s="876">
        <f>'REF. DE PREÇOS n editavel'!H1049</f>
        <v>8.0399999999999991</v>
      </c>
      <c r="I1049" s="876">
        <f>'REF. DE PREÇOS n editavel'!I1049</f>
        <v>8.0399999999999991</v>
      </c>
      <c r="J1049" s="877">
        <f>'REF. DE PREÇOS n editavel'!J1049</f>
        <v>9.83</v>
      </c>
      <c r="K1049" s="878" t="s">
        <v>1500</v>
      </c>
      <c r="L1049" s="1092"/>
      <c r="M1049" s="1093">
        <f t="shared" si="127"/>
        <v>0</v>
      </c>
      <c r="N1049" s="868">
        <f t="shared" si="131"/>
        <v>0</v>
      </c>
      <c r="O1049" s="880"/>
      <c r="Q1049" s="317" t="str">
        <f t="shared" si="128"/>
        <v/>
      </c>
      <c r="R1049" s="317" t="str">
        <f t="shared" si="129"/>
        <v/>
      </c>
      <c r="S1049" s="317" t="str">
        <f t="shared" si="130"/>
        <v/>
      </c>
      <c r="T1049" s="317" t="str">
        <f>'REF. DE PREÇOS n editavel'!S1049</f>
        <v/>
      </c>
      <c r="W1049" s="577">
        <v>0</v>
      </c>
      <c r="X1049" s="575"/>
      <c r="Y1049" s="578">
        <f>IF('REF. DE PREÇOS n editavel'!W1049=0,0,IF('REF. DE PREÇOS n editavel'!W1049&gt;0,"c","b"))</f>
        <v>0</v>
      </c>
    </row>
    <row r="1050" spans="1:25" ht="22.5">
      <c r="A1050" s="317">
        <v>91876</v>
      </c>
      <c r="B1050" s="870">
        <v>91876</v>
      </c>
      <c r="C1050" s="871" t="s">
        <v>590</v>
      </c>
      <c r="D1050" s="881" t="s">
        <v>964</v>
      </c>
      <c r="E1050" s="882">
        <f>'REF. DE PREÇOS n editavel'!E1050</f>
        <v>0</v>
      </c>
      <c r="F1050" s="883">
        <f>'REF. DE PREÇOS n editavel'!F1050</f>
        <v>0</v>
      </c>
      <c r="G1050" s="887">
        <f>'REF. DE PREÇOS n editavel'!G1050</f>
        <v>0</v>
      </c>
      <c r="H1050" s="876">
        <f>'REF. DE PREÇOS n editavel'!H1050</f>
        <v>10.61</v>
      </c>
      <c r="I1050" s="876">
        <f>'REF. DE PREÇOS n editavel'!I1050</f>
        <v>10.61</v>
      </c>
      <c r="J1050" s="877">
        <f>'REF. DE PREÇOS n editavel'!J1050</f>
        <v>12.97</v>
      </c>
      <c r="K1050" s="878" t="s">
        <v>1500</v>
      </c>
      <c r="L1050" s="1092"/>
      <c r="M1050" s="1093">
        <f t="shared" si="127"/>
        <v>0</v>
      </c>
      <c r="N1050" s="868">
        <f t="shared" si="131"/>
        <v>0</v>
      </c>
      <c r="O1050" s="880"/>
      <c r="Q1050" s="317" t="str">
        <f t="shared" si="128"/>
        <v/>
      </c>
      <c r="R1050" s="317" t="str">
        <f t="shared" si="129"/>
        <v/>
      </c>
      <c r="S1050" s="317" t="str">
        <f t="shared" si="130"/>
        <v/>
      </c>
      <c r="T1050" s="317" t="str">
        <f>'REF. DE PREÇOS n editavel'!S1050</f>
        <v/>
      </c>
      <c r="W1050" s="577">
        <v>0</v>
      </c>
      <c r="X1050" s="575"/>
      <c r="Y1050" s="578">
        <f>IF('REF. DE PREÇOS n editavel'!W1050=0,0,IF('REF. DE PREÇOS n editavel'!W1050&gt;0,"c","b"))</f>
        <v>0</v>
      </c>
    </row>
    <row r="1051" spans="1:25" ht="22.5">
      <c r="A1051" s="317">
        <v>91877</v>
      </c>
      <c r="B1051" s="870">
        <v>91877</v>
      </c>
      <c r="C1051" s="871" t="s">
        <v>590</v>
      </c>
      <c r="D1051" s="881" t="s">
        <v>965</v>
      </c>
      <c r="E1051" s="882">
        <f>'REF. DE PREÇOS n editavel'!E1051</f>
        <v>0</v>
      </c>
      <c r="F1051" s="883">
        <f>'REF. DE PREÇOS n editavel'!F1051</f>
        <v>0</v>
      </c>
      <c r="G1051" s="887">
        <f>'REF. DE PREÇOS n editavel'!G1051</f>
        <v>0</v>
      </c>
      <c r="H1051" s="876">
        <f>'REF. DE PREÇOS n editavel'!H1051</f>
        <v>14.08</v>
      </c>
      <c r="I1051" s="876">
        <f>'REF. DE PREÇOS n editavel'!I1051</f>
        <v>14.08</v>
      </c>
      <c r="J1051" s="877">
        <f>'REF. DE PREÇOS n editavel'!J1051</f>
        <v>17.21</v>
      </c>
      <c r="K1051" s="878" t="s">
        <v>1500</v>
      </c>
      <c r="L1051" s="1092"/>
      <c r="M1051" s="1093">
        <f t="shared" si="127"/>
        <v>0</v>
      </c>
      <c r="N1051" s="868">
        <f t="shared" si="131"/>
        <v>0</v>
      </c>
      <c r="O1051" s="880"/>
      <c r="Q1051" s="317" t="str">
        <f t="shared" si="128"/>
        <v/>
      </c>
      <c r="R1051" s="317" t="str">
        <f t="shared" si="129"/>
        <v/>
      </c>
      <c r="S1051" s="317" t="str">
        <f t="shared" si="130"/>
        <v/>
      </c>
      <c r="T1051" s="317" t="str">
        <f>'REF. DE PREÇOS n editavel'!S1051</f>
        <v/>
      </c>
      <c r="W1051" s="577">
        <v>0</v>
      </c>
      <c r="X1051" s="575"/>
      <c r="Y1051" s="578">
        <f>IF('REF. DE PREÇOS n editavel'!W1051=0,0,IF('REF. DE PREÇOS n editavel'!W1051&gt;0,"c","b"))</f>
        <v>0</v>
      </c>
    </row>
    <row r="1052" spans="1:25" ht="22.5">
      <c r="A1052" s="317">
        <v>91878</v>
      </c>
      <c r="B1052" s="870">
        <v>91878</v>
      </c>
      <c r="C1052" s="871" t="s">
        <v>590</v>
      </c>
      <c r="D1052" s="881" t="s">
        <v>966</v>
      </c>
      <c r="E1052" s="882">
        <f>'REF. DE PREÇOS n editavel'!E1052</f>
        <v>0</v>
      </c>
      <c r="F1052" s="883">
        <f>'REF. DE PREÇOS n editavel'!F1052</f>
        <v>0</v>
      </c>
      <c r="G1052" s="887">
        <f>'REF. DE PREÇOS n editavel'!G1052</f>
        <v>0</v>
      </c>
      <c r="H1052" s="876">
        <f>'REF. DE PREÇOS n editavel'!H1052</f>
        <v>7.82</v>
      </c>
      <c r="I1052" s="876">
        <f>'REF. DE PREÇOS n editavel'!I1052</f>
        <v>7.82</v>
      </c>
      <c r="J1052" s="877">
        <f>'REF. DE PREÇOS n editavel'!J1052</f>
        <v>9.56</v>
      </c>
      <c r="K1052" s="878" t="s">
        <v>1500</v>
      </c>
      <c r="L1052" s="1092"/>
      <c r="M1052" s="1093">
        <f t="shared" si="127"/>
        <v>0</v>
      </c>
      <c r="N1052" s="868">
        <f t="shared" si="131"/>
        <v>0</v>
      </c>
      <c r="O1052" s="880"/>
      <c r="Q1052" s="317" t="str">
        <f t="shared" si="128"/>
        <v/>
      </c>
      <c r="R1052" s="317" t="str">
        <f t="shared" si="129"/>
        <v/>
      </c>
      <c r="S1052" s="317" t="str">
        <f t="shared" si="130"/>
        <v/>
      </c>
      <c r="T1052" s="317" t="str">
        <f>'REF. DE PREÇOS n editavel'!S1052</f>
        <v/>
      </c>
      <c r="W1052" s="577">
        <v>0</v>
      </c>
      <c r="X1052" s="575"/>
      <c r="Y1052" s="578">
        <f>IF('REF. DE PREÇOS n editavel'!W1052=0,0,IF('REF. DE PREÇOS n editavel'!W1052&gt;0,"c","b"))</f>
        <v>0</v>
      </c>
    </row>
    <row r="1053" spans="1:25" ht="22.5">
      <c r="A1053" s="317">
        <v>91879</v>
      </c>
      <c r="B1053" s="870">
        <v>91879</v>
      </c>
      <c r="C1053" s="871" t="s">
        <v>590</v>
      </c>
      <c r="D1053" s="881" t="s">
        <v>967</v>
      </c>
      <c r="E1053" s="882">
        <f>'REF. DE PREÇOS n editavel'!E1053</f>
        <v>0</v>
      </c>
      <c r="F1053" s="883">
        <f>'REF. DE PREÇOS n editavel'!F1053</f>
        <v>0</v>
      </c>
      <c r="G1053" s="887">
        <f>'REF. DE PREÇOS n editavel'!G1053</f>
        <v>0</v>
      </c>
      <c r="H1053" s="876">
        <f>'REF. DE PREÇOS n editavel'!H1053</f>
        <v>9.7200000000000006</v>
      </c>
      <c r="I1053" s="876">
        <f>'REF. DE PREÇOS n editavel'!I1053</f>
        <v>9.7200000000000006</v>
      </c>
      <c r="J1053" s="877">
        <f>'REF. DE PREÇOS n editavel'!J1053</f>
        <v>11.88</v>
      </c>
      <c r="K1053" s="878" t="s">
        <v>1500</v>
      </c>
      <c r="L1053" s="1092"/>
      <c r="M1053" s="1093">
        <f t="shared" si="127"/>
        <v>0</v>
      </c>
      <c r="N1053" s="868">
        <f t="shared" si="131"/>
        <v>0</v>
      </c>
      <c r="O1053" s="880"/>
      <c r="Q1053" s="317" t="str">
        <f t="shared" si="128"/>
        <v/>
      </c>
      <c r="R1053" s="317" t="str">
        <f t="shared" si="129"/>
        <v/>
      </c>
      <c r="S1053" s="317" t="str">
        <f t="shared" si="130"/>
        <v/>
      </c>
      <c r="T1053" s="317" t="str">
        <f>'REF. DE PREÇOS n editavel'!S1053</f>
        <v/>
      </c>
      <c r="W1053" s="577">
        <v>0</v>
      </c>
      <c r="X1053" s="575"/>
      <c r="Y1053" s="578">
        <f>IF('REF. DE PREÇOS n editavel'!W1053=0,0,IF('REF. DE PREÇOS n editavel'!W1053&gt;0,"c","b"))</f>
        <v>0</v>
      </c>
    </row>
    <row r="1054" spans="1:25" ht="22.5">
      <c r="A1054" s="317">
        <v>91880</v>
      </c>
      <c r="B1054" s="870">
        <v>91880</v>
      </c>
      <c r="C1054" s="871" t="s">
        <v>590</v>
      </c>
      <c r="D1054" s="881" t="s">
        <v>968</v>
      </c>
      <c r="E1054" s="882">
        <f>'REF. DE PREÇOS n editavel'!E1054</f>
        <v>0</v>
      </c>
      <c r="F1054" s="883">
        <f>'REF. DE PREÇOS n editavel'!F1054</f>
        <v>0</v>
      </c>
      <c r="G1054" s="887">
        <f>'REF. DE PREÇOS n editavel'!G1054</f>
        <v>0</v>
      </c>
      <c r="H1054" s="876">
        <f>'REF. DE PREÇOS n editavel'!H1054</f>
        <v>12.34</v>
      </c>
      <c r="I1054" s="876">
        <f>'REF. DE PREÇOS n editavel'!I1054</f>
        <v>12.34</v>
      </c>
      <c r="J1054" s="877">
        <f>'REF. DE PREÇOS n editavel'!J1054</f>
        <v>15.08</v>
      </c>
      <c r="K1054" s="878" t="s">
        <v>1500</v>
      </c>
      <c r="L1054" s="1092"/>
      <c r="M1054" s="1093">
        <f t="shared" si="127"/>
        <v>0</v>
      </c>
      <c r="N1054" s="868">
        <f t="shared" si="131"/>
        <v>0</v>
      </c>
      <c r="O1054" s="880"/>
      <c r="Q1054" s="317" t="str">
        <f t="shared" si="128"/>
        <v/>
      </c>
      <c r="R1054" s="317" t="str">
        <f t="shared" si="129"/>
        <v/>
      </c>
      <c r="S1054" s="317" t="str">
        <f t="shared" si="130"/>
        <v/>
      </c>
      <c r="T1054" s="317" t="str">
        <f>'REF. DE PREÇOS n editavel'!S1054</f>
        <v/>
      </c>
      <c r="W1054" s="577">
        <v>0</v>
      </c>
      <c r="X1054" s="575"/>
      <c r="Y1054" s="578">
        <f>IF('REF. DE PREÇOS n editavel'!W1054=0,0,IF('REF. DE PREÇOS n editavel'!W1054&gt;0,"c","b"))</f>
        <v>0</v>
      </c>
    </row>
    <row r="1055" spans="1:25" ht="22.5">
      <c r="A1055" s="317">
        <v>91881</v>
      </c>
      <c r="B1055" s="870">
        <v>91881</v>
      </c>
      <c r="C1055" s="871" t="s">
        <v>590</v>
      </c>
      <c r="D1055" s="881" t="s">
        <v>969</v>
      </c>
      <c r="E1055" s="882">
        <f>'REF. DE PREÇOS n editavel'!E1055</f>
        <v>0</v>
      </c>
      <c r="F1055" s="883">
        <f>'REF. DE PREÇOS n editavel'!F1055</f>
        <v>0</v>
      </c>
      <c r="G1055" s="887">
        <f>'REF. DE PREÇOS n editavel'!G1055</f>
        <v>0</v>
      </c>
      <c r="H1055" s="876">
        <f>'REF. DE PREÇOS n editavel'!H1055</f>
        <v>15.82</v>
      </c>
      <c r="I1055" s="876">
        <f>'REF. DE PREÇOS n editavel'!I1055</f>
        <v>15.82</v>
      </c>
      <c r="J1055" s="877">
        <f>'REF. DE PREÇOS n editavel'!J1055</f>
        <v>19.34</v>
      </c>
      <c r="K1055" s="878" t="s">
        <v>1500</v>
      </c>
      <c r="L1055" s="1092"/>
      <c r="M1055" s="1093">
        <f t="shared" si="127"/>
        <v>0</v>
      </c>
      <c r="N1055" s="868">
        <f t="shared" si="131"/>
        <v>0</v>
      </c>
      <c r="O1055" s="880"/>
      <c r="Q1055" s="317" t="str">
        <f t="shared" si="128"/>
        <v/>
      </c>
      <c r="R1055" s="317" t="str">
        <f t="shared" si="129"/>
        <v/>
      </c>
      <c r="S1055" s="317" t="str">
        <f t="shared" si="130"/>
        <v/>
      </c>
      <c r="T1055" s="317" t="str">
        <f>'REF. DE PREÇOS n editavel'!S1055</f>
        <v/>
      </c>
      <c r="W1055" s="577">
        <v>0</v>
      </c>
      <c r="X1055" s="575"/>
      <c r="Y1055" s="578">
        <f>IF('REF. DE PREÇOS n editavel'!W1055=0,0,IF('REF. DE PREÇOS n editavel'!W1055&gt;0,"c","b"))</f>
        <v>0</v>
      </c>
    </row>
    <row r="1056" spans="1:25" ht="22.5">
      <c r="A1056" s="317">
        <v>91882</v>
      </c>
      <c r="B1056" s="870">
        <v>91882</v>
      </c>
      <c r="C1056" s="871" t="s">
        <v>590</v>
      </c>
      <c r="D1056" s="881" t="s">
        <v>970</v>
      </c>
      <c r="E1056" s="882">
        <f>'REF. DE PREÇOS n editavel'!E1056</f>
        <v>0</v>
      </c>
      <c r="F1056" s="883">
        <f>'REF. DE PREÇOS n editavel'!F1056</f>
        <v>0</v>
      </c>
      <c r="G1056" s="887">
        <f>'REF. DE PREÇOS n editavel'!G1056</f>
        <v>0</v>
      </c>
      <c r="H1056" s="876">
        <f>'REF. DE PREÇOS n editavel'!H1056</f>
        <v>9.67</v>
      </c>
      <c r="I1056" s="876">
        <f>'REF. DE PREÇOS n editavel'!I1056</f>
        <v>9.67</v>
      </c>
      <c r="J1056" s="877">
        <f>'REF. DE PREÇOS n editavel'!J1056</f>
        <v>11.82</v>
      </c>
      <c r="K1056" s="878" t="s">
        <v>1500</v>
      </c>
      <c r="L1056" s="1092"/>
      <c r="M1056" s="1093">
        <f t="shared" si="127"/>
        <v>0</v>
      </c>
      <c r="N1056" s="868">
        <f t="shared" si="131"/>
        <v>0</v>
      </c>
      <c r="O1056" s="880"/>
      <c r="Q1056" s="317" t="str">
        <f t="shared" si="128"/>
        <v/>
      </c>
      <c r="R1056" s="317" t="str">
        <f t="shared" si="129"/>
        <v/>
      </c>
      <c r="S1056" s="317" t="str">
        <f t="shared" si="130"/>
        <v/>
      </c>
      <c r="T1056" s="317" t="str">
        <f>'REF. DE PREÇOS n editavel'!S1056</f>
        <v/>
      </c>
      <c r="W1056" s="577">
        <v>0</v>
      </c>
      <c r="X1056" s="575"/>
      <c r="Y1056" s="578">
        <f>IF('REF. DE PREÇOS n editavel'!W1056=0,0,IF('REF. DE PREÇOS n editavel'!W1056&gt;0,"c","b"))</f>
        <v>0</v>
      </c>
    </row>
    <row r="1057" spans="1:25" ht="22.5">
      <c r="A1057" s="317">
        <v>91884</v>
      </c>
      <c r="B1057" s="870">
        <v>91884</v>
      </c>
      <c r="C1057" s="871" t="s">
        <v>590</v>
      </c>
      <c r="D1057" s="881" t="s">
        <v>971</v>
      </c>
      <c r="E1057" s="882">
        <f>'REF. DE PREÇOS n editavel'!E1057</f>
        <v>0</v>
      </c>
      <c r="F1057" s="883">
        <f>'REF. DE PREÇOS n editavel'!F1057</f>
        <v>0</v>
      </c>
      <c r="G1057" s="887">
        <f>'REF. DE PREÇOS n editavel'!G1057</f>
        <v>0</v>
      </c>
      <c r="H1057" s="876">
        <f>'REF. DE PREÇOS n editavel'!H1057</f>
        <v>11.16</v>
      </c>
      <c r="I1057" s="876">
        <f>'REF. DE PREÇOS n editavel'!I1057</f>
        <v>11.16</v>
      </c>
      <c r="J1057" s="877">
        <f>'REF. DE PREÇOS n editavel'!J1057</f>
        <v>13.64</v>
      </c>
      <c r="K1057" s="878" t="s">
        <v>1500</v>
      </c>
      <c r="L1057" s="1092"/>
      <c r="M1057" s="1093">
        <f t="shared" si="127"/>
        <v>0</v>
      </c>
      <c r="N1057" s="868">
        <f t="shared" si="131"/>
        <v>0</v>
      </c>
      <c r="O1057" s="880"/>
      <c r="Q1057" s="317" t="str">
        <f t="shared" si="128"/>
        <v/>
      </c>
      <c r="R1057" s="317" t="str">
        <f t="shared" si="129"/>
        <v/>
      </c>
      <c r="S1057" s="317" t="str">
        <f t="shared" si="130"/>
        <v/>
      </c>
      <c r="T1057" s="317" t="str">
        <f>'REF. DE PREÇOS n editavel'!S1057</f>
        <v/>
      </c>
      <c r="W1057" s="577">
        <v>0</v>
      </c>
      <c r="X1057" s="575"/>
      <c r="Y1057" s="578">
        <f>IF('REF. DE PREÇOS n editavel'!W1057=0,0,IF('REF. DE PREÇOS n editavel'!W1057&gt;0,"c","b"))</f>
        <v>0</v>
      </c>
    </row>
    <row r="1058" spans="1:25" ht="22.5">
      <c r="A1058" s="317">
        <v>91885</v>
      </c>
      <c r="B1058" s="870">
        <v>91885</v>
      </c>
      <c r="C1058" s="871" t="s">
        <v>590</v>
      </c>
      <c r="D1058" s="881" t="s">
        <v>972</v>
      </c>
      <c r="E1058" s="882">
        <f>'REF. DE PREÇOS n editavel'!E1058</f>
        <v>0</v>
      </c>
      <c r="F1058" s="883">
        <f>'REF. DE PREÇOS n editavel'!F1058</f>
        <v>0</v>
      </c>
      <c r="G1058" s="887">
        <f>'REF. DE PREÇOS n editavel'!G1058</f>
        <v>0</v>
      </c>
      <c r="H1058" s="876">
        <f>'REF. DE PREÇOS n editavel'!H1058</f>
        <v>13.18</v>
      </c>
      <c r="I1058" s="876">
        <f>'REF. DE PREÇOS n editavel'!I1058</f>
        <v>13.18</v>
      </c>
      <c r="J1058" s="877">
        <f>'REF. DE PREÇOS n editavel'!J1058</f>
        <v>16.11</v>
      </c>
      <c r="K1058" s="878" t="s">
        <v>1500</v>
      </c>
      <c r="L1058" s="1092"/>
      <c r="M1058" s="1093">
        <f t="shared" si="127"/>
        <v>0</v>
      </c>
      <c r="N1058" s="868">
        <f t="shared" si="131"/>
        <v>0</v>
      </c>
      <c r="O1058" s="880"/>
      <c r="Q1058" s="317" t="str">
        <f t="shared" si="128"/>
        <v/>
      </c>
      <c r="R1058" s="317" t="str">
        <f t="shared" si="129"/>
        <v/>
      </c>
      <c r="S1058" s="317" t="str">
        <f t="shared" si="130"/>
        <v/>
      </c>
      <c r="T1058" s="317" t="str">
        <f>'REF. DE PREÇOS n editavel'!S1058</f>
        <v/>
      </c>
      <c r="W1058" s="577">
        <v>0</v>
      </c>
      <c r="X1058" s="575"/>
      <c r="Y1058" s="578">
        <f>IF('REF. DE PREÇOS n editavel'!W1058=0,0,IF('REF. DE PREÇOS n editavel'!W1058&gt;0,"c","b"))</f>
        <v>0</v>
      </c>
    </row>
    <row r="1059" spans="1:25" ht="22.5">
      <c r="A1059" s="317">
        <v>91886</v>
      </c>
      <c r="B1059" s="870">
        <v>91886</v>
      </c>
      <c r="C1059" s="871" t="s">
        <v>590</v>
      </c>
      <c r="D1059" s="881" t="s">
        <v>973</v>
      </c>
      <c r="E1059" s="882">
        <f>'REF. DE PREÇOS n editavel'!E1059</f>
        <v>0</v>
      </c>
      <c r="F1059" s="883">
        <f>'REF. DE PREÇOS n editavel'!F1059</f>
        <v>0</v>
      </c>
      <c r="G1059" s="887">
        <f>'REF. DE PREÇOS n editavel'!G1059</f>
        <v>0</v>
      </c>
      <c r="H1059" s="876">
        <f>'REF. DE PREÇOS n editavel'!H1059</f>
        <v>16</v>
      </c>
      <c r="I1059" s="876">
        <f>'REF. DE PREÇOS n editavel'!I1059</f>
        <v>16</v>
      </c>
      <c r="J1059" s="877">
        <f>'REF. DE PREÇOS n editavel'!J1059</f>
        <v>19.559999999999999</v>
      </c>
      <c r="K1059" s="878" t="s">
        <v>1500</v>
      </c>
      <c r="L1059" s="1092"/>
      <c r="M1059" s="1093">
        <f t="shared" si="127"/>
        <v>0</v>
      </c>
      <c r="N1059" s="868">
        <f t="shared" si="131"/>
        <v>0</v>
      </c>
      <c r="O1059" s="880"/>
      <c r="Q1059" s="317" t="str">
        <f t="shared" si="128"/>
        <v/>
      </c>
      <c r="R1059" s="317" t="str">
        <f t="shared" si="129"/>
        <v/>
      </c>
      <c r="S1059" s="317" t="str">
        <f t="shared" si="130"/>
        <v/>
      </c>
      <c r="T1059" s="317" t="str">
        <f>'REF. DE PREÇOS n editavel'!S1059</f>
        <v/>
      </c>
      <c r="W1059" s="577">
        <v>0</v>
      </c>
      <c r="X1059" s="575"/>
      <c r="Y1059" s="578">
        <f>IF('REF. DE PREÇOS n editavel'!W1059=0,0,IF('REF. DE PREÇOS n editavel'!W1059&gt;0,"c","b"))</f>
        <v>0</v>
      </c>
    </row>
    <row r="1060" spans="1:25" ht="33.75">
      <c r="A1060" s="317">
        <v>91887</v>
      </c>
      <c r="B1060" s="870">
        <v>91887</v>
      </c>
      <c r="C1060" s="871" t="s">
        <v>590</v>
      </c>
      <c r="D1060" s="881" t="s">
        <v>974</v>
      </c>
      <c r="E1060" s="882">
        <f>'REF. DE PREÇOS n editavel'!E1060</f>
        <v>0</v>
      </c>
      <c r="F1060" s="883">
        <f>'REF. DE PREÇOS n editavel'!F1060</f>
        <v>0</v>
      </c>
      <c r="G1060" s="887">
        <f>'REF. DE PREÇOS n editavel'!G1060</f>
        <v>0</v>
      </c>
      <c r="H1060" s="876">
        <f>'REF. DE PREÇOS n editavel'!H1060</f>
        <v>11.2</v>
      </c>
      <c r="I1060" s="876">
        <f>'REF. DE PREÇOS n editavel'!I1060</f>
        <v>11.2</v>
      </c>
      <c r="J1060" s="877">
        <f>'REF. DE PREÇOS n editavel'!J1060</f>
        <v>13.69</v>
      </c>
      <c r="K1060" s="878" t="s">
        <v>1500</v>
      </c>
      <c r="L1060" s="1092"/>
      <c r="M1060" s="1093">
        <f t="shared" si="127"/>
        <v>0</v>
      </c>
      <c r="N1060" s="868">
        <f t="shared" si="131"/>
        <v>0</v>
      </c>
      <c r="O1060" s="880"/>
      <c r="Q1060" s="317" t="str">
        <f t="shared" si="128"/>
        <v/>
      </c>
      <c r="R1060" s="317" t="str">
        <f t="shared" si="129"/>
        <v/>
      </c>
      <c r="S1060" s="317" t="str">
        <f t="shared" si="130"/>
        <v/>
      </c>
      <c r="T1060" s="317" t="str">
        <f>'REF. DE PREÇOS n editavel'!S1060</f>
        <v/>
      </c>
      <c r="W1060" s="577">
        <v>0</v>
      </c>
      <c r="X1060" s="575"/>
      <c r="Y1060" s="578">
        <f>IF('REF. DE PREÇOS n editavel'!W1060=0,0,IF('REF. DE PREÇOS n editavel'!W1060&gt;0,"c","b"))</f>
        <v>0</v>
      </c>
    </row>
    <row r="1061" spans="1:25" ht="33.75">
      <c r="A1061" s="317">
        <v>91889</v>
      </c>
      <c r="B1061" s="870">
        <v>91889</v>
      </c>
      <c r="C1061" s="871" t="s">
        <v>590</v>
      </c>
      <c r="D1061" s="881" t="s">
        <v>975</v>
      </c>
      <c r="E1061" s="882">
        <f>'REF. DE PREÇOS n editavel'!E1061</f>
        <v>0</v>
      </c>
      <c r="F1061" s="883">
        <f>'REF. DE PREÇOS n editavel'!F1061</f>
        <v>0</v>
      </c>
      <c r="G1061" s="887">
        <f>'REF. DE PREÇOS n editavel'!G1061</f>
        <v>0</v>
      </c>
      <c r="H1061" s="876">
        <f>'REF. DE PREÇOS n editavel'!H1061</f>
        <v>10.8</v>
      </c>
      <c r="I1061" s="876">
        <f>'REF. DE PREÇOS n editavel'!I1061</f>
        <v>10.8</v>
      </c>
      <c r="J1061" s="877">
        <f>'REF. DE PREÇOS n editavel'!J1061</f>
        <v>13.2</v>
      </c>
      <c r="K1061" s="878" t="s">
        <v>1500</v>
      </c>
      <c r="L1061" s="1092"/>
      <c r="M1061" s="1093">
        <f t="shared" si="127"/>
        <v>0</v>
      </c>
      <c r="N1061" s="868">
        <f t="shared" si="131"/>
        <v>0</v>
      </c>
      <c r="O1061" s="880"/>
      <c r="Q1061" s="317" t="str">
        <f t="shared" si="128"/>
        <v/>
      </c>
      <c r="R1061" s="317" t="str">
        <f t="shared" si="129"/>
        <v/>
      </c>
      <c r="S1061" s="317" t="str">
        <f t="shared" si="130"/>
        <v/>
      </c>
      <c r="T1061" s="317" t="str">
        <f>'REF. DE PREÇOS n editavel'!S1061</f>
        <v/>
      </c>
      <c r="W1061" s="577">
        <v>0</v>
      </c>
      <c r="X1061" s="575"/>
      <c r="Y1061" s="578">
        <f>IF('REF. DE PREÇOS n editavel'!W1061=0,0,IF('REF. DE PREÇOS n editavel'!W1061&gt;0,"c","b"))</f>
        <v>0</v>
      </c>
    </row>
    <row r="1062" spans="1:25" ht="33.75">
      <c r="A1062" s="317">
        <v>91890</v>
      </c>
      <c r="B1062" s="870">
        <v>91890</v>
      </c>
      <c r="C1062" s="871" t="s">
        <v>590</v>
      </c>
      <c r="D1062" s="881" t="s">
        <v>976</v>
      </c>
      <c r="E1062" s="882">
        <f>'REF. DE PREÇOS n editavel'!E1062</f>
        <v>0</v>
      </c>
      <c r="F1062" s="883">
        <f>'REF. DE PREÇOS n editavel'!F1062</f>
        <v>0</v>
      </c>
      <c r="G1062" s="887">
        <f>'REF. DE PREÇOS n editavel'!G1062</f>
        <v>0</v>
      </c>
      <c r="H1062" s="876">
        <f>'REF. DE PREÇOS n editavel'!H1062</f>
        <v>13.35</v>
      </c>
      <c r="I1062" s="876">
        <f>'REF. DE PREÇOS n editavel'!I1062</f>
        <v>13.35</v>
      </c>
      <c r="J1062" s="877">
        <f>'REF. DE PREÇOS n editavel'!J1062</f>
        <v>16.32</v>
      </c>
      <c r="K1062" s="878" t="s">
        <v>1500</v>
      </c>
      <c r="L1062" s="1092"/>
      <c r="M1062" s="1093">
        <f t="shared" si="127"/>
        <v>0</v>
      </c>
      <c r="N1062" s="868">
        <f t="shared" si="131"/>
        <v>0</v>
      </c>
      <c r="O1062" s="880"/>
      <c r="Q1062" s="317" t="str">
        <f t="shared" si="128"/>
        <v/>
      </c>
      <c r="R1062" s="317" t="str">
        <f t="shared" si="129"/>
        <v/>
      </c>
      <c r="S1062" s="317" t="str">
        <f t="shared" si="130"/>
        <v/>
      </c>
      <c r="T1062" s="317" t="str">
        <f>'REF. DE PREÇOS n editavel'!S1062</f>
        <v/>
      </c>
      <c r="W1062" s="577">
        <v>0</v>
      </c>
      <c r="X1062" s="575"/>
      <c r="Y1062" s="578">
        <f>IF('REF. DE PREÇOS n editavel'!W1062=0,0,IF('REF. DE PREÇOS n editavel'!W1062&gt;0,"c","b"))</f>
        <v>0</v>
      </c>
    </row>
    <row r="1063" spans="1:25" ht="33.75">
      <c r="A1063" s="317">
        <v>91892</v>
      </c>
      <c r="B1063" s="870">
        <v>91892</v>
      </c>
      <c r="C1063" s="871" t="s">
        <v>590</v>
      </c>
      <c r="D1063" s="881" t="s">
        <v>977</v>
      </c>
      <c r="E1063" s="882">
        <f>'REF. DE PREÇOS n editavel'!E1063</f>
        <v>0</v>
      </c>
      <c r="F1063" s="883">
        <f>'REF. DE PREÇOS n editavel'!F1063</f>
        <v>0</v>
      </c>
      <c r="G1063" s="887">
        <f>'REF. DE PREÇOS n editavel'!G1063</f>
        <v>0</v>
      </c>
      <c r="H1063" s="876">
        <f>'REF. DE PREÇOS n editavel'!H1063</f>
        <v>16.04</v>
      </c>
      <c r="I1063" s="876">
        <f>'REF. DE PREÇOS n editavel'!I1063</f>
        <v>16.04</v>
      </c>
      <c r="J1063" s="877">
        <f>'REF. DE PREÇOS n editavel'!J1063</f>
        <v>19.600000000000001</v>
      </c>
      <c r="K1063" s="878" t="s">
        <v>1500</v>
      </c>
      <c r="L1063" s="1092"/>
      <c r="M1063" s="1093">
        <f t="shared" si="127"/>
        <v>0</v>
      </c>
      <c r="N1063" s="868">
        <f t="shared" si="131"/>
        <v>0</v>
      </c>
      <c r="O1063" s="880"/>
      <c r="Q1063" s="317" t="str">
        <f t="shared" si="128"/>
        <v/>
      </c>
      <c r="R1063" s="317" t="str">
        <f t="shared" si="129"/>
        <v/>
      </c>
      <c r="S1063" s="317" t="str">
        <f t="shared" si="130"/>
        <v/>
      </c>
      <c r="T1063" s="317" t="str">
        <f>'REF. DE PREÇOS n editavel'!S1063</f>
        <v/>
      </c>
      <c r="W1063" s="577">
        <v>0</v>
      </c>
      <c r="X1063" s="575"/>
      <c r="Y1063" s="578">
        <f>IF('REF. DE PREÇOS n editavel'!W1063=0,0,IF('REF. DE PREÇOS n editavel'!W1063&gt;0,"c","b"))</f>
        <v>0</v>
      </c>
    </row>
    <row r="1064" spans="1:25" ht="33.75">
      <c r="A1064" s="317">
        <v>91893</v>
      </c>
      <c r="B1064" s="870">
        <v>91893</v>
      </c>
      <c r="C1064" s="871" t="s">
        <v>590</v>
      </c>
      <c r="D1064" s="881" t="s">
        <v>978</v>
      </c>
      <c r="E1064" s="882">
        <f>'REF. DE PREÇOS n editavel'!E1064</f>
        <v>0</v>
      </c>
      <c r="F1064" s="883">
        <f>'REF. DE PREÇOS n editavel'!F1064</f>
        <v>0</v>
      </c>
      <c r="G1064" s="887">
        <f>'REF. DE PREÇOS n editavel'!G1064</f>
        <v>0</v>
      </c>
      <c r="H1064" s="876">
        <f>'REF. DE PREÇOS n editavel'!H1064</f>
        <v>18.22</v>
      </c>
      <c r="I1064" s="876">
        <f>'REF. DE PREÇOS n editavel'!I1064</f>
        <v>18.22</v>
      </c>
      <c r="J1064" s="877">
        <f>'REF. DE PREÇOS n editavel'!J1064</f>
        <v>22.27</v>
      </c>
      <c r="K1064" s="878" t="s">
        <v>1500</v>
      </c>
      <c r="L1064" s="1092"/>
      <c r="M1064" s="1093">
        <f t="shared" si="127"/>
        <v>0</v>
      </c>
      <c r="N1064" s="868">
        <f t="shared" si="131"/>
        <v>0</v>
      </c>
      <c r="O1064" s="880"/>
      <c r="Q1064" s="317" t="str">
        <f t="shared" si="128"/>
        <v/>
      </c>
      <c r="R1064" s="317" t="str">
        <f t="shared" si="129"/>
        <v/>
      </c>
      <c r="S1064" s="317" t="str">
        <f t="shared" si="130"/>
        <v/>
      </c>
      <c r="T1064" s="317" t="str">
        <f>'REF. DE PREÇOS n editavel'!S1064</f>
        <v/>
      </c>
      <c r="W1064" s="577">
        <v>0</v>
      </c>
      <c r="X1064" s="575"/>
      <c r="Y1064" s="578">
        <f>IF('REF. DE PREÇOS n editavel'!W1064=0,0,IF('REF. DE PREÇOS n editavel'!W1064&gt;0,"c","b"))</f>
        <v>0</v>
      </c>
    </row>
    <row r="1065" spans="1:25" ht="33.75">
      <c r="A1065" s="317">
        <v>91896</v>
      </c>
      <c r="B1065" s="870">
        <v>91896</v>
      </c>
      <c r="C1065" s="871" t="s">
        <v>590</v>
      </c>
      <c r="D1065" s="881" t="s">
        <v>979</v>
      </c>
      <c r="E1065" s="882">
        <f>'REF. DE PREÇOS n editavel'!E1065</f>
        <v>0</v>
      </c>
      <c r="F1065" s="883">
        <f>'REF. DE PREÇOS n editavel'!F1065</f>
        <v>0</v>
      </c>
      <c r="G1065" s="887">
        <f>'REF. DE PREÇOS n editavel'!G1065</f>
        <v>0</v>
      </c>
      <c r="H1065" s="876">
        <f>'REF. DE PREÇOS n editavel'!H1065</f>
        <v>22.26</v>
      </c>
      <c r="I1065" s="876">
        <f>'REF. DE PREÇOS n editavel'!I1065</f>
        <v>22.26</v>
      </c>
      <c r="J1065" s="877">
        <f>'REF. DE PREÇOS n editavel'!J1065</f>
        <v>27.21</v>
      </c>
      <c r="K1065" s="878" t="s">
        <v>1500</v>
      </c>
      <c r="L1065" s="1092"/>
      <c r="M1065" s="1093">
        <f t="shared" si="127"/>
        <v>0</v>
      </c>
      <c r="N1065" s="868">
        <f t="shared" si="131"/>
        <v>0</v>
      </c>
      <c r="O1065" s="880"/>
      <c r="Q1065" s="317" t="str">
        <f t="shared" si="128"/>
        <v/>
      </c>
      <c r="R1065" s="317" t="str">
        <f t="shared" si="129"/>
        <v/>
      </c>
      <c r="S1065" s="317" t="str">
        <f t="shared" si="130"/>
        <v/>
      </c>
      <c r="T1065" s="317" t="str">
        <f>'REF. DE PREÇOS n editavel'!S1065</f>
        <v/>
      </c>
      <c r="W1065" s="577">
        <v>0</v>
      </c>
      <c r="X1065" s="575"/>
      <c r="Y1065" s="578">
        <f>IF('REF. DE PREÇOS n editavel'!W1065=0,0,IF('REF. DE PREÇOS n editavel'!W1065&gt;0,"c","b"))</f>
        <v>0</v>
      </c>
    </row>
    <row r="1066" spans="1:25" ht="33.75">
      <c r="A1066" s="317">
        <v>91898</v>
      </c>
      <c r="B1066" s="870">
        <v>91898</v>
      </c>
      <c r="C1066" s="871" t="s">
        <v>590</v>
      </c>
      <c r="D1066" s="881" t="s">
        <v>980</v>
      </c>
      <c r="E1066" s="882">
        <f>'REF. DE PREÇOS n editavel'!E1066</f>
        <v>0</v>
      </c>
      <c r="F1066" s="883">
        <f>'REF. DE PREÇOS n editavel'!F1066</f>
        <v>0</v>
      </c>
      <c r="G1066" s="887">
        <f>'REF. DE PREÇOS n editavel'!G1066</f>
        <v>0</v>
      </c>
      <c r="H1066" s="876">
        <f>'REF. DE PREÇOS n editavel'!H1066</f>
        <v>25.18</v>
      </c>
      <c r="I1066" s="876">
        <f>'REF. DE PREÇOS n editavel'!I1066</f>
        <v>25.18</v>
      </c>
      <c r="J1066" s="877">
        <f>'REF. DE PREÇOS n editavel'!J1066</f>
        <v>30.77</v>
      </c>
      <c r="K1066" s="878" t="s">
        <v>1500</v>
      </c>
      <c r="L1066" s="1092"/>
      <c r="M1066" s="1093">
        <f t="shared" si="127"/>
        <v>0</v>
      </c>
      <c r="N1066" s="868">
        <f t="shared" si="131"/>
        <v>0</v>
      </c>
      <c r="O1066" s="880"/>
      <c r="Q1066" s="317" t="str">
        <f t="shared" si="128"/>
        <v/>
      </c>
      <c r="R1066" s="317" t="str">
        <f t="shared" si="129"/>
        <v/>
      </c>
      <c r="S1066" s="317" t="str">
        <f t="shared" si="130"/>
        <v/>
      </c>
      <c r="T1066" s="317" t="str">
        <f>'REF. DE PREÇOS n editavel'!S1066</f>
        <v/>
      </c>
      <c r="W1066" s="577">
        <v>0</v>
      </c>
      <c r="X1066" s="575"/>
      <c r="Y1066" s="578">
        <f>IF('REF. DE PREÇOS n editavel'!W1066=0,0,IF('REF. DE PREÇOS n editavel'!W1066&gt;0,"c","b"))</f>
        <v>0</v>
      </c>
    </row>
    <row r="1067" spans="1:25" ht="33.75">
      <c r="A1067" s="317">
        <v>91899</v>
      </c>
      <c r="B1067" s="870">
        <v>91899</v>
      </c>
      <c r="C1067" s="871" t="s">
        <v>590</v>
      </c>
      <c r="D1067" s="881" t="s">
        <v>981</v>
      </c>
      <c r="E1067" s="882">
        <f>'REF. DE PREÇOS n editavel'!E1067</f>
        <v>0</v>
      </c>
      <c r="F1067" s="883">
        <f>'REF. DE PREÇOS n editavel'!F1067</f>
        <v>0</v>
      </c>
      <c r="G1067" s="887">
        <f>'REF. DE PREÇOS n editavel'!G1067</f>
        <v>0</v>
      </c>
      <c r="H1067" s="876">
        <f>'REF. DE PREÇOS n editavel'!H1067</f>
        <v>13.72</v>
      </c>
      <c r="I1067" s="876">
        <f>'REF. DE PREÇOS n editavel'!I1067</f>
        <v>13.72</v>
      </c>
      <c r="J1067" s="877">
        <f>'REF. DE PREÇOS n editavel'!J1067</f>
        <v>16.77</v>
      </c>
      <c r="K1067" s="878" t="s">
        <v>1500</v>
      </c>
      <c r="L1067" s="1092"/>
      <c r="M1067" s="1093">
        <f t="shared" si="127"/>
        <v>0</v>
      </c>
      <c r="N1067" s="868">
        <f t="shared" si="131"/>
        <v>0</v>
      </c>
      <c r="O1067" s="880"/>
      <c r="Q1067" s="317" t="str">
        <f t="shared" si="128"/>
        <v/>
      </c>
      <c r="R1067" s="317" t="str">
        <f t="shared" si="129"/>
        <v/>
      </c>
      <c r="S1067" s="317" t="str">
        <f t="shared" si="130"/>
        <v/>
      </c>
      <c r="T1067" s="317" t="str">
        <f>'REF. DE PREÇOS n editavel'!S1067</f>
        <v/>
      </c>
      <c r="W1067" s="577">
        <v>0</v>
      </c>
      <c r="X1067" s="575"/>
      <c r="Y1067" s="578">
        <f>IF('REF. DE PREÇOS n editavel'!W1067=0,0,IF('REF. DE PREÇOS n editavel'!W1067&gt;0,"c","b"))</f>
        <v>0</v>
      </c>
    </row>
    <row r="1068" spans="1:25" ht="33.75">
      <c r="A1068" s="317">
        <v>91901</v>
      </c>
      <c r="B1068" s="870">
        <v>91901</v>
      </c>
      <c r="C1068" s="871" t="s">
        <v>590</v>
      </c>
      <c r="D1068" s="881" t="s">
        <v>982</v>
      </c>
      <c r="E1068" s="882">
        <f>'REF. DE PREÇOS n editavel'!E1068</f>
        <v>0</v>
      </c>
      <c r="F1068" s="883">
        <f>'REF. DE PREÇOS n editavel'!F1068</f>
        <v>0</v>
      </c>
      <c r="G1068" s="887">
        <f>'REF. DE PREÇOS n editavel'!G1068</f>
        <v>0</v>
      </c>
      <c r="H1068" s="876">
        <f>'REF. DE PREÇOS n editavel'!H1068</f>
        <v>13.32</v>
      </c>
      <c r="I1068" s="876">
        <f>'REF. DE PREÇOS n editavel'!I1068</f>
        <v>13.32</v>
      </c>
      <c r="J1068" s="877">
        <f>'REF. DE PREÇOS n editavel'!J1068</f>
        <v>16.28</v>
      </c>
      <c r="K1068" s="878" t="s">
        <v>1500</v>
      </c>
      <c r="L1068" s="1092"/>
      <c r="M1068" s="1093">
        <f t="shared" si="127"/>
        <v>0</v>
      </c>
      <c r="N1068" s="868">
        <f t="shared" si="131"/>
        <v>0</v>
      </c>
      <c r="O1068" s="880"/>
      <c r="Q1068" s="317" t="str">
        <f t="shared" si="128"/>
        <v/>
      </c>
      <c r="R1068" s="317" t="str">
        <f t="shared" si="129"/>
        <v/>
      </c>
      <c r="S1068" s="317" t="str">
        <f t="shared" si="130"/>
        <v/>
      </c>
      <c r="T1068" s="317" t="str">
        <f>'REF. DE PREÇOS n editavel'!S1068</f>
        <v/>
      </c>
      <c r="W1068" s="577">
        <v>0</v>
      </c>
      <c r="X1068" s="575"/>
      <c r="Y1068" s="578">
        <f>IF('REF. DE PREÇOS n editavel'!W1068=0,0,IF('REF. DE PREÇOS n editavel'!W1068&gt;0,"c","b"))</f>
        <v>0</v>
      </c>
    </row>
    <row r="1069" spans="1:25" ht="33.75">
      <c r="A1069" s="317">
        <v>91902</v>
      </c>
      <c r="B1069" s="870">
        <v>91902</v>
      </c>
      <c r="C1069" s="871" t="s">
        <v>590</v>
      </c>
      <c r="D1069" s="881" t="s">
        <v>983</v>
      </c>
      <c r="E1069" s="882">
        <f>'REF. DE PREÇOS n editavel'!E1069</f>
        <v>0</v>
      </c>
      <c r="F1069" s="883">
        <f>'REF. DE PREÇOS n editavel'!F1069</f>
        <v>0</v>
      </c>
      <c r="G1069" s="887">
        <f>'REF. DE PREÇOS n editavel'!G1069</f>
        <v>0</v>
      </c>
      <c r="H1069" s="876">
        <f>'REF. DE PREÇOS n editavel'!H1069</f>
        <v>15.87</v>
      </c>
      <c r="I1069" s="876">
        <f>'REF. DE PREÇOS n editavel'!I1069</f>
        <v>15.87</v>
      </c>
      <c r="J1069" s="877">
        <f>'REF. DE PREÇOS n editavel'!J1069</f>
        <v>19.399999999999999</v>
      </c>
      <c r="K1069" s="878" t="s">
        <v>1500</v>
      </c>
      <c r="L1069" s="1092"/>
      <c r="M1069" s="1093">
        <f t="shared" si="127"/>
        <v>0</v>
      </c>
      <c r="N1069" s="868">
        <f t="shared" si="131"/>
        <v>0</v>
      </c>
      <c r="O1069" s="880"/>
      <c r="Q1069" s="317" t="str">
        <f t="shared" si="128"/>
        <v/>
      </c>
      <c r="R1069" s="317" t="str">
        <f t="shared" si="129"/>
        <v/>
      </c>
      <c r="S1069" s="317" t="str">
        <f t="shared" si="130"/>
        <v/>
      </c>
      <c r="T1069" s="317" t="str">
        <f>'REF. DE PREÇOS n editavel'!S1069</f>
        <v/>
      </c>
      <c r="W1069" s="577">
        <v>0</v>
      </c>
      <c r="X1069" s="575"/>
      <c r="Y1069" s="578">
        <f>IF('REF. DE PREÇOS n editavel'!W1069=0,0,IF('REF. DE PREÇOS n editavel'!W1069&gt;0,"c","b"))</f>
        <v>0</v>
      </c>
    </row>
    <row r="1070" spans="1:25" ht="33.75">
      <c r="A1070" s="317">
        <v>91895</v>
      </c>
      <c r="B1070" s="870">
        <v>91895</v>
      </c>
      <c r="C1070" s="871" t="s">
        <v>590</v>
      </c>
      <c r="D1070" s="881" t="s">
        <v>984</v>
      </c>
      <c r="E1070" s="882">
        <f>'REF. DE PREÇOS n editavel'!E1070</f>
        <v>0</v>
      </c>
      <c r="F1070" s="883">
        <f>'REF. DE PREÇOS n editavel'!F1070</f>
        <v>0</v>
      </c>
      <c r="G1070" s="887">
        <f>'REF. DE PREÇOS n editavel'!G1070</f>
        <v>0</v>
      </c>
      <c r="H1070" s="876">
        <f>'REF. DE PREÇOS n editavel'!H1070</f>
        <v>20.96</v>
      </c>
      <c r="I1070" s="876">
        <f>'REF. DE PREÇOS n editavel'!I1070</f>
        <v>20.96</v>
      </c>
      <c r="J1070" s="877">
        <f>'REF. DE PREÇOS n editavel'!J1070</f>
        <v>25.62</v>
      </c>
      <c r="K1070" s="878" t="s">
        <v>1500</v>
      </c>
      <c r="L1070" s="1092"/>
      <c r="M1070" s="1093">
        <f t="shared" si="127"/>
        <v>0</v>
      </c>
      <c r="N1070" s="868">
        <f t="shared" si="131"/>
        <v>0</v>
      </c>
      <c r="O1070" s="880"/>
      <c r="Q1070" s="317" t="str">
        <f t="shared" si="128"/>
        <v/>
      </c>
      <c r="R1070" s="317" t="str">
        <f t="shared" si="129"/>
        <v/>
      </c>
      <c r="S1070" s="317" t="str">
        <f t="shared" si="130"/>
        <v/>
      </c>
      <c r="T1070" s="317" t="str">
        <f>'REF. DE PREÇOS n editavel'!S1070</f>
        <v/>
      </c>
      <c r="W1070" s="577">
        <v>0</v>
      </c>
      <c r="X1070" s="575"/>
      <c r="Y1070" s="578">
        <f>IF('REF. DE PREÇOS n editavel'!W1070=0,0,IF('REF. DE PREÇOS n editavel'!W1070&gt;0,"c","b"))</f>
        <v>0</v>
      </c>
    </row>
    <row r="1071" spans="1:25" ht="33.75">
      <c r="A1071" s="317">
        <v>91907</v>
      </c>
      <c r="B1071" s="870">
        <v>91907</v>
      </c>
      <c r="C1071" s="871" t="s">
        <v>590</v>
      </c>
      <c r="D1071" s="881" t="s">
        <v>985</v>
      </c>
      <c r="E1071" s="882">
        <f>'REF. DE PREÇOS n editavel'!E1071</f>
        <v>0</v>
      </c>
      <c r="F1071" s="883">
        <f>'REF. DE PREÇOS n editavel'!F1071</f>
        <v>0</v>
      </c>
      <c r="G1071" s="887">
        <f>'REF. DE PREÇOS n editavel'!G1071</f>
        <v>0</v>
      </c>
      <c r="H1071" s="876">
        <f>'REF. DE PREÇOS n editavel'!H1071</f>
        <v>23.49</v>
      </c>
      <c r="I1071" s="876">
        <f>'REF. DE PREÇOS n editavel'!I1071</f>
        <v>23.49</v>
      </c>
      <c r="J1071" s="877">
        <f>'REF. DE PREÇOS n editavel'!J1071</f>
        <v>28.71</v>
      </c>
      <c r="K1071" s="878" t="s">
        <v>1500</v>
      </c>
      <c r="L1071" s="1092"/>
      <c r="M1071" s="1093">
        <f t="shared" si="127"/>
        <v>0</v>
      </c>
      <c r="N1071" s="868">
        <f t="shared" si="131"/>
        <v>0</v>
      </c>
      <c r="O1071" s="880"/>
      <c r="Q1071" s="317" t="str">
        <f t="shared" si="128"/>
        <v/>
      </c>
      <c r="R1071" s="317" t="str">
        <f t="shared" si="129"/>
        <v/>
      </c>
      <c r="S1071" s="317" t="str">
        <f t="shared" si="130"/>
        <v/>
      </c>
      <c r="T1071" s="317" t="str">
        <f>'REF. DE PREÇOS n editavel'!S1071</f>
        <v/>
      </c>
      <c r="W1071" s="577">
        <v>0</v>
      </c>
      <c r="X1071" s="575"/>
      <c r="Y1071" s="578">
        <f>IF('REF. DE PREÇOS n editavel'!W1071=0,0,IF('REF. DE PREÇOS n editavel'!W1071&gt;0,"c","b"))</f>
        <v>0</v>
      </c>
    </row>
    <row r="1072" spans="1:25" ht="33.75">
      <c r="A1072" s="317">
        <v>91919</v>
      </c>
      <c r="B1072" s="870">
        <v>91919</v>
      </c>
      <c r="C1072" s="871" t="s">
        <v>590</v>
      </c>
      <c r="D1072" s="881" t="s">
        <v>986</v>
      </c>
      <c r="E1072" s="882">
        <f>'REF. DE PREÇOS n editavel'!E1072</f>
        <v>0</v>
      </c>
      <c r="F1072" s="883">
        <f>'REF. DE PREÇOS n editavel'!F1072</f>
        <v>0</v>
      </c>
      <c r="G1072" s="887">
        <f>'REF. DE PREÇOS n editavel'!G1072</f>
        <v>0</v>
      </c>
      <c r="H1072" s="876">
        <f>'REF. DE PREÇOS n editavel'!H1072</f>
        <v>24.8</v>
      </c>
      <c r="I1072" s="876">
        <f>'REF. DE PREÇOS n editavel'!I1072</f>
        <v>24.8</v>
      </c>
      <c r="J1072" s="877">
        <f>'REF. DE PREÇOS n editavel'!J1072</f>
        <v>30.31</v>
      </c>
      <c r="K1072" s="878" t="s">
        <v>1500</v>
      </c>
      <c r="L1072" s="1092"/>
      <c r="M1072" s="1093">
        <f t="shared" si="127"/>
        <v>0</v>
      </c>
      <c r="N1072" s="868">
        <f t="shared" si="131"/>
        <v>0</v>
      </c>
      <c r="O1072" s="880"/>
      <c r="Q1072" s="317" t="str">
        <f t="shared" si="128"/>
        <v/>
      </c>
      <c r="R1072" s="317" t="str">
        <f t="shared" si="129"/>
        <v/>
      </c>
      <c r="S1072" s="317" t="str">
        <f t="shared" si="130"/>
        <v/>
      </c>
      <c r="T1072" s="317" t="str">
        <f>'REF. DE PREÇOS n editavel'!S1072</f>
        <v/>
      </c>
      <c r="W1072" s="577">
        <v>0</v>
      </c>
      <c r="X1072" s="575"/>
      <c r="Y1072" s="578">
        <f>IF('REF. DE PREÇOS n editavel'!W1072=0,0,IF('REF. DE PREÇOS n editavel'!W1072&gt;0,"c","b"))</f>
        <v>0</v>
      </c>
    </row>
    <row r="1073" spans="1:25" ht="33.75">
      <c r="A1073" s="317">
        <v>91904</v>
      </c>
      <c r="B1073" s="870">
        <v>91904</v>
      </c>
      <c r="C1073" s="871" t="s">
        <v>590</v>
      </c>
      <c r="D1073" s="881" t="s">
        <v>987</v>
      </c>
      <c r="E1073" s="882">
        <f>'REF. DE PREÇOS n editavel'!E1073</f>
        <v>0</v>
      </c>
      <c r="F1073" s="883">
        <f>'REF. DE PREÇOS n editavel'!F1073</f>
        <v>0</v>
      </c>
      <c r="G1073" s="887">
        <f>'REF. DE PREÇOS n editavel'!G1073</f>
        <v>0</v>
      </c>
      <c r="H1073" s="876">
        <f>'REF. DE PREÇOS n editavel'!H1073</f>
        <v>18.559999999999999</v>
      </c>
      <c r="I1073" s="876">
        <f>'REF. DE PREÇOS n editavel'!I1073</f>
        <v>18.559999999999999</v>
      </c>
      <c r="J1073" s="877">
        <f>'REF. DE PREÇOS n editavel'!J1073</f>
        <v>22.68</v>
      </c>
      <c r="K1073" s="878" t="s">
        <v>1500</v>
      </c>
      <c r="L1073" s="1092"/>
      <c r="M1073" s="1093">
        <f t="shared" si="127"/>
        <v>0</v>
      </c>
      <c r="N1073" s="868">
        <f t="shared" si="131"/>
        <v>0</v>
      </c>
      <c r="O1073" s="880"/>
      <c r="Q1073" s="317" t="str">
        <f t="shared" si="128"/>
        <v/>
      </c>
      <c r="R1073" s="317" t="str">
        <f t="shared" si="129"/>
        <v/>
      </c>
      <c r="S1073" s="317" t="str">
        <f t="shared" si="130"/>
        <v/>
      </c>
      <c r="T1073" s="317" t="str">
        <f>'REF. DE PREÇOS n editavel'!S1073</f>
        <v/>
      </c>
      <c r="W1073" s="577">
        <v>0</v>
      </c>
      <c r="X1073" s="575"/>
      <c r="Y1073" s="578">
        <f>IF('REF. DE PREÇOS n editavel'!W1073=0,0,IF('REF. DE PREÇOS n editavel'!W1073&gt;0,"c","b"))</f>
        <v>0</v>
      </c>
    </row>
    <row r="1074" spans="1:25" ht="33.75">
      <c r="A1074" s="317">
        <v>91905</v>
      </c>
      <c r="B1074" s="870">
        <v>91905</v>
      </c>
      <c r="C1074" s="871" t="s">
        <v>590</v>
      </c>
      <c r="D1074" s="881" t="s">
        <v>988</v>
      </c>
      <c r="E1074" s="882">
        <f>'REF. DE PREÇOS n editavel'!E1074</f>
        <v>0</v>
      </c>
      <c r="F1074" s="883">
        <f>'REF. DE PREÇOS n editavel'!F1074</f>
        <v>0</v>
      </c>
      <c r="G1074" s="887">
        <f>'REF. DE PREÇOS n editavel'!G1074</f>
        <v>0</v>
      </c>
      <c r="H1074" s="876">
        <f>'REF. DE PREÇOS n editavel'!H1074</f>
        <v>20.75</v>
      </c>
      <c r="I1074" s="876">
        <f>'REF. DE PREÇOS n editavel'!I1074</f>
        <v>20.75</v>
      </c>
      <c r="J1074" s="877">
        <f>'REF. DE PREÇOS n editavel'!J1074</f>
        <v>25.36</v>
      </c>
      <c r="K1074" s="878" t="s">
        <v>1500</v>
      </c>
      <c r="L1074" s="1092"/>
      <c r="M1074" s="1093">
        <f t="shared" si="127"/>
        <v>0</v>
      </c>
      <c r="N1074" s="868">
        <f t="shared" si="131"/>
        <v>0</v>
      </c>
      <c r="O1074" s="880"/>
      <c r="Q1074" s="317" t="str">
        <f t="shared" si="128"/>
        <v/>
      </c>
      <c r="R1074" s="317" t="str">
        <f t="shared" si="129"/>
        <v/>
      </c>
      <c r="S1074" s="317" t="str">
        <f t="shared" si="130"/>
        <v/>
      </c>
      <c r="T1074" s="317" t="str">
        <f>'REF. DE PREÇOS n editavel'!S1074</f>
        <v/>
      </c>
      <c r="W1074" s="577">
        <v>0</v>
      </c>
      <c r="X1074" s="575"/>
      <c r="Y1074" s="578">
        <f>IF('REF. DE PREÇOS n editavel'!W1074=0,0,IF('REF. DE PREÇOS n editavel'!W1074&gt;0,"c","b"))</f>
        <v>0</v>
      </c>
    </row>
    <row r="1075" spans="1:25" ht="33.75">
      <c r="A1075" s="317">
        <v>91908</v>
      </c>
      <c r="B1075" s="870">
        <v>91908</v>
      </c>
      <c r="C1075" s="871" t="s">
        <v>590</v>
      </c>
      <c r="D1075" s="881" t="s">
        <v>989</v>
      </c>
      <c r="E1075" s="882">
        <f>'REF. DE PREÇOS n editavel'!E1075</f>
        <v>0</v>
      </c>
      <c r="F1075" s="883">
        <f>'REF. DE PREÇOS n editavel'!F1075</f>
        <v>0</v>
      </c>
      <c r="G1075" s="887">
        <f>'REF. DE PREÇOS n editavel'!G1075</f>
        <v>0</v>
      </c>
      <c r="H1075" s="876">
        <f>'REF. DE PREÇOS n editavel'!H1075</f>
        <v>24.84</v>
      </c>
      <c r="I1075" s="876">
        <f>'REF. DE PREÇOS n editavel'!I1075</f>
        <v>24.84</v>
      </c>
      <c r="J1075" s="877">
        <f>'REF. DE PREÇOS n editavel'!J1075</f>
        <v>30.36</v>
      </c>
      <c r="K1075" s="878" t="s">
        <v>1500</v>
      </c>
      <c r="L1075" s="1092"/>
      <c r="M1075" s="1093">
        <f t="shared" si="127"/>
        <v>0</v>
      </c>
      <c r="N1075" s="868">
        <f t="shared" si="131"/>
        <v>0</v>
      </c>
      <c r="O1075" s="880"/>
      <c r="Q1075" s="317" t="str">
        <f t="shared" si="128"/>
        <v/>
      </c>
      <c r="R1075" s="317" t="str">
        <f t="shared" si="129"/>
        <v/>
      </c>
      <c r="S1075" s="317" t="str">
        <f t="shared" si="130"/>
        <v/>
      </c>
      <c r="T1075" s="317" t="str">
        <f>'REF. DE PREÇOS n editavel'!S1075</f>
        <v/>
      </c>
      <c r="W1075" s="577">
        <v>0</v>
      </c>
      <c r="X1075" s="575"/>
      <c r="Y1075" s="578">
        <f>IF('REF. DE PREÇOS n editavel'!W1075=0,0,IF('REF. DE PREÇOS n editavel'!W1075&gt;0,"c","b"))</f>
        <v>0</v>
      </c>
    </row>
    <row r="1076" spans="1:25" ht="33.75">
      <c r="A1076" s="317">
        <v>91910</v>
      </c>
      <c r="B1076" s="870">
        <v>91910</v>
      </c>
      <c r="C1076" s="871" t="s">
        <v>590</v>
      </c>
      <c r="D1076" s="881" t="s">
        <v>990</v>
      </c>
      <c r="E1076" s="882">
        <f>'REF. DE PREÇOS n editavel'!E1076</f>
        <v>0</v>
      </c>
      <c r="F1076" s="883">
        <f>'REF. DE PREÇOS n editavel'!F1076</f>
        <v>0</v>
      </c>
      <c r="G1076" s="887">
        <f>'REF. DE PREÇOS n editavel'!G1076</f>
        <v>0</v>
      </c>
      <c r="H1076" s="876">
        <f>'REF. DE PREÇOS n editavel'!H1076</f>
        <v>27.76</v>
      </c>
      <c r="I1076" s="876">
        <f>'REF. DE PREÇOS n editavel'!I1076</f>
        <v>27.76</v>
      </c>
      <c r="J1076" s="877">
        <f>'REF. DE PREÇOS n editavel'!J1076</f>
        <v>33.93</v>
      </c>
      <c r="K1076" s="878" t="s">
        <v>1500</v>
      </c>
      <c r="L1076" s="1092"/>
      <c r="M1076" s="1093">
        <f t="shared" si="127"/>
        <v>0</v>
      </c>
      <c r="N1076" s="868">
        <f t="shared" si="131"/>
        <v>0</v>
      </c>
      <c r="O1076" s="880"/>
      <c r="Q1076" s="317" t="str">
        <f t="shared" si="128"/>
        <v/>
      </c>
      <c r="R1076" s="317" t="str">
        <f t="shared" si="129"/>
        <v/>
      </c>
      <c r="S1076" s="317" t="str">
        <f t="shared" si="130"/>
        <v/>
      </c>
      <c r="T1076" s="317" t="str">
        <f>'REF. DE PREÇOS n editavel'!S1076</f>
        <v/>
      </c>
      <c r="W1076" s="577">
        <v>0</v>
      </c>
      <c r="X1076" s="575"/>
      <c r="Y1076" s="578">
        <f>IF('REF. DE PREÇOS n editavel'!W1076=0,0,IF('REF. DE PREÇOS n editavel'!W1076&gt;0,"c","b"))</f>
        <v>0</v>
      </c>
    </row>
    <row r="1077" spans="1:25" ht="33.75">
      <c r="A1077" s="317">
        <v>91911</v>
      </c>
      <c r="B1077" s="870">
        <v>91911</v>
      </c>
      <c r="C1077" s="871" t="s">
        <v>590</v>
      </c>
      <c r="D1077" s="881" t="s">
        <v>991</v>
      </c>
      <c r="E1077" s="882">
        <f>'REF. DE PREÇOS n editavel'!E1077</f>
        <v>0</v>
      </c>
      <c r="F1077" s="883">
        <f>'REF. DE PREÇOS n editavel'!F1077</f>
        <v>0</v>
      </c>
      <c r="G1077" s="887">
        <f>'REF. DE PREÇOS n editavel'!G1077</f>
        <v>0</v>
      </c>
      <c r="H1077" s="876">
        <f>'REF. DE PREÇOS n editavel'!H1077</f>
        <v>16.600000000000001</v>
      </c>
      <c r="I1077" s="876">
        <f>'REF. DE PREÇOS n editavel'!I1077</f>
        <v>16.600000000000001</v>
      </c>
      <c r="J1077" s="877">
        <f>'REF. DE PREÇOS n editavel'!J1077</f>
        <v>20.29</v>
      </c>
      <c r="K1077" s="878" t="s">
        <v>1500</v>
      </c>
      <c r="L1077" s="1092"/>
      <c r="M1077" s="1093">
        <f t="shared" si="127"/>
        <v>0</v>
      </c>
      <c r="N1077" s="868">
        <f t="shared" si="131"/>
        <v>0</v>
      </c>
      <c r="O1077" s="880"/>
      <c r="Q1077" s="317" t="str">
        <f t="shared" si="128"/>
        <v/>
      </c>
      <c r="R1077" s="317" t="str">
        <f t="shared" si="129"/>
        <v/>
      </c>
      <c r="S1077" s="317" t="str">
        <f t="shared" si="130"/>
        <v/>
      </c>
      <c r="T1077" s="317" t="str">
        <f>'REF. DE PREÇOS n editavel'!S1077</f>
        <v/>
      </c>
      <c r="W1077" s="577">
        <v>0</v>
      </c>
      <c r="X1077" s="575"/>
      <c r="Y1077" s="578">
        <f>IF('REF. DE PREÇOS n editavel'!W1077=0,0,IF('REF. DE PREÇOS n editavel'!W1077&gt;0,"c","b"))</f>
        <v>0</v>
      </c>
    </row>
    <row r="1078" spans="1:25" ht="33.75">
      <c r="A1078" s="317">
        <v>91913</v>
      </c>
      <c r="B1078" s="870">
        <v>91913</v>
      </c>
      <c r="C1078" s="871" t="s">
        <v>590</v>
      </c>
      <c r="D1078" s="881" t="s">
        <v>992</v>
      </c>
      <c r="E1078" s="882">
        <f>'REF. DE PREÇOS n editavel'!E1078</f>
        <v>0</v>
      </c>
      <c r="F1078" s="883">
        <f>'REF. DE PREÇOS n editavel'!F1078</f>
        <v>0</v>
      </c>
      <c r="G1078" s="887">
        <f>'REF. DE PREÇOS n editavel'!G1078</f>
        <v>0</v>
      </c>
      <c r="H1078" s="876">
        <f>'REF. DE PREÇOS n editavel'!H1078</f>
        <v>16.2</v>
      </c>
      <c r="I1078" s="876">
        <f>'REF. DE PREÇOS n editavel'!I1078</f>
        <v>16.2</v>
      </c>
      <c r="J1078" s="877">
        <f>'REF. DE PREÇOS n editavel'!J1078</f>
        <v>19.8</v>
      </c>
      <c r="K1078" s="878" t="s">
        <v>1500</v>
      </c>
      <c r="L1078" s="1092"/>
      <c r="M1078" s="1093">
        <f t="shared" si="127"/>
        <v>0</v>
      </c>
      <c r="N1078" s="868">
        <f t="shared" si="131"/>
        <v>0</v>
      </c>
      <c r="O1078" s="880"/>
      <c r="Q1078" s="317" t="str">
        <f t="shared" si="128"/>
        <v/>
      </c>
      <c r="R1078" s="317" t="str">
        <f t="shared" si="129"/>
        <v/>
      </c>
      <c r="S1078" s="317" t="str">
        <f t="shared" si="130"/>
        <v/>
      </c>
      <c r="T1078" s="317" t="str">
        <f>'REF. DE PREÇOS n editavel'!S1078</f>
        <v/>
      </c>
      <c r="W1078" s="577">
        <v>0</v>
      </c>
      <c r="X1078" s="575"/>
      <c r="Y1078" s="578">
        <f>IF('REF. DE PREÇOS n editavel'!W1078=0,0,IF('REF. DE PREÇOS n editavel'!W1078&gt;0,"c","b"))</f>
        <v>0</v>
      </c>
    </row>
    <row r="1079" spans="1:25" ht="33.75">
      <c r="A1079" s="317">
        <v>91914</v>
      </c>
      <c r="B1079" s="870">
        <v>91914</v>
      </c>
      <c r="C1079" s="871" t="s">
        <v>590</v>
      </c>
      <c r="D1079" s="881" t="s">
        <v>993</v>
      </c>
      <c r="E1079" s="882">
        <f>'REF. DE PREÇOS n editavel'!E1079</f>
        <v>0</v>
      </c>
      <c r="F1079" s="883">
        <f>'REF. DE PREÇOS n editavel'!F1079</f>
        <v>0</v>
      </c>
      <c r="G1079" s="887">
        <f>'REF. DE PREÇOS n editavel'!G1079</f>
        <v>0</v>
      </c>
      <c r="H1079" s="876">
        <f>'REF. DE PREÇOS n editavel'!H1079</f>
        <v>18.09</v>
      </c>
      <c r="I1079" s="876">
        <f>'REF. DE PREÇOS n editavel'!I1079</f>
        <v>18.09</v>
      </c>
      <c r="J1079" s="877">
        <f>'REF. DE PREÇOS n editavel'!J1079</f>
        <v>22.11</v>
      </c>
      <c r="K1079" s="878" t="s">
        <v>1500</v>
      </c>
      <c r="L1079" s="1092"/>
      <c r="M1079" s="1093">
        <f t="shared" si="127"/>
        <v>0</v>
      </c>
      <c r="N1079" s="868">
        <f t="shared" si="131"/>
        <v>0</v>
      </c>
      <c r="O1079" s="880"/>
      <c r="Q1079" s="317" t="str">
        <f t="shared" si="128"/>
        <v/>
      </c>
      <c r="R1079" s="317" t="str">
        <f t="shared" si="129"/>
        <v/>
      </c>
      <c r="S1079" s="317" t="str">
        <f t="shared" si="130"/>
        <v/>
      </c>
      <c r="T1079" s="317" t="str">
        <f>'REF. DE PREÇOS n editavel'!S1079</f>
        <v/>
      </c>
      <c r="W1079" s="577">
        <v>0</v>
      </c>
      <c r="X1079" s="575"/>
      <c r="Y1079" s="578">
        <f>IF('REF. DE PREÇOS n editavel'!W1079=0,0,IF('REF. DE PREÇOS n editavel'!W1079&gt;0,"c","b"))</f>
        <v>0</v>
      </c>
    </row>
    <row r="1080" spans="1:25" ht="33.75">
      <c r="A1080" s="317">
        <v>91916</v>
      </c>
      <c r="B1080" s="870">
        <v>91916</v>
      </c>
      <c r="C1080" s="871" t="s">
        <v>590</v>
      </c>
      <c r="D1080" s="881" t="s">
        <v>994</v>
      </c>
      <c r="E1080" s="882">
        <f>'REF. DE PREÇOS n editavel'!E1080</f>
        <v>0</v>
      </c>
      <c r="F1080" s="883">
        <f>'REF. DE PREÇOS n editavel'!F1080</f>
        <v>0</v>
      </c>
      <c r="G1080" s="887">
        <f>'REF. DE PREÇOS n editavel'!G1080</f>
        <v>0</v>
      </c>
      <c r="H1080" s="876">
        <f>'REF. DE PREÇOS n editavel'!H1080</f>
        <v>20.78</v>
      </c>
      <c r="I1080" s="876">
        <f>'REF. DE PREÇOS n editavel'!I1080</f>
        <v>20.78</v>
      </c>
      <c r="J1080" s="877">
        <f>'REF. DE PREÇOS n editavel'!J1080</f>
        <v>25.4</v>
      </c>
      <c r="K1080" s="878" t="s">
        <v>1500</v>
      </c>
      <c r="L1080" s="1092"/>
      <c r="M1080" s="1093">
        <f t="shared" si="127"/>
        <v>0</v>
      </c>
      <c r="N1080" s="868">
        <f t="shared" si="131"/>
        <v>0</v>
      </c>
      <c r="O1080" s="880"/>
      <c r="Q1080" s="317" t="str">
        <f t="shared" si="128"/>
        <v/>
      </c>
      <c r="R1080" s="317" t="str">
        <f t="shared" si="129"/>
        <v/>
      </c>
      <c r="S1080" s="317" t="str">
        <f t="shared" si="130"/>
        <v/>
      </c>
      <c r="T1080" s="317" t="str">
        <f>'REF. DE PREÇOS n editavel'!S1080</f>
        <v/>
      </c>
      <c r="W1080" s="577">
        <v>0</v>
      </c>
      <c r="X1080" s="575"/>
      <c r="Y1080" s="578">
        <f>IF('REF. DE PREÇOS n editavel'!W1080=0,0,IF('REF. DE PREÇOS n editavel'!W1080&gt;0,"c","b"))</f>
        <v>0</v>
      </c>
    </row>
    <row r="1081" spans="1:25" ht="33.75">
      <c r="A1081" s="317">
        <v>91917</v>
      </c>
      <c r="B1081" s="870">
        <v>91917</v>
      </c>
      <c r="C1081" s="871" t="s">
        <v>590</v>
      </c>
      <c r="D1081" s="881" t="s">
        <v>995</v>
      </c>
      <c r="E1081" s="882">
        <f>'REF. DE PREÇOS n editavel'!E1081</f>
        <v>0</v>
      </c>
      <c r="F1081" s="883">
        <f>'REF. DE PREÇOS n editavel'!F1081</f>
        <v>0</v>
      </c>
      <c r="G1081" s="887">
        <f>'REF. DE PREÇOS n editavel'!G1081</f>
        <v>0</v>
      </c>
      <c r="H1081" s="876">
        <f>'REF. DE PREÇOS n editavel'!H1081</f>
        <v>22.06</v>
      </c>
      <c r="I1081" s="876">
        <f>'REF. DE PREÇOS n editavel'!I1081</f>
        <v>22.06</v>
      </c>
      <c r="J1081" s="877">
        <f>'REF. DE PREÇOS n editavel'!J1081</f>
        <v>26.96</v>
      </c>
      <c r="K1081" s="878" t="s">
        <v>1500</v>
      </c>
      <c r="L1081" s="1092"/>
      <c r="M1081" s="1093">
        <f t="shared" si="127"/>
        <v>0</v>
      </c>
      <c r="N1081" s="868">
        <f t="shared" si="131"/>
        <v>0</v>
      </c>
      <c r="O1081" s="880"/>
      <c r="Q1081" s="317" t="str">
        <f t="shared" si="128"/>
        <v/>
      </c>
      <c r="R1081" s="317" t="str">
        <f t="shared" si="129"/>
        <v/>
      </c>
      <c r="S1081" s="317" t="str">
        <f t="shared" si="130"/>
        <v/>
      </c>
      <c r="T1081" s="317" t="str">
        <f>'REF. DE PREÇOS n editavel'!S1081</f>
        <v/>
      </c>
      <c r="W1081" s="577">
        <v>0</v>
      </c>
      <c r="X1081" s="575"/>
      <c r="Y1081" s="578">
        <f>IF('REF. DE PREÇOS n editavel'!W1081=0,0,IF('REF. DE PREÇOS n editavel'!W1081&gt;0,"c","b"))</f>
        <v>0</v>
      </c>
    </row>
    <row r="1082" spans="1:25" ht="33.75">
      <c r="A1082" s="317">
        <v>91920</v>
      </c>
      <c r="B1082" s="870">
        <v>91920</v>
      </c>
      <c r="C1082" s="871" t="s">
        <v>590</v>
      </c>
      <c r="D1082" s="881" t="s">
        <v>996</v>
      </c>
      <c r="E1082" s="882">
        <f>'REF. DE PREÇOS n editavel'!E1082</f>
        <v>0</v>
      </c>
      <c r="F1082" s="883">
        <f>'REF. DE PREÇOS n editavel'!F1082</f>
        <v>0</v>
      </c>
      <c r="G1082" s="887">
        <f>'REF. DE PREÇOS n editavel'!G1082</f>
        <v>0</v>
      </c>
      <c r="H1082" s="876">
        <f>'REF. DE PREÇOS n editavel'!H1082</f>
        <v>25.15</v>
      </c>
      <c r="I1082" s="876">
        <f>'REF. DE PREÇOS n editavel'!I1082</f>
        <v>25.15</v>
      </c>
      <c r="J1082" s="877">
        <f>'REF. DE PREÇOS n editavel'!J1082</f>
        <v>30.74</v>
      </c>
      <c r="K1082" s="878" t="s">
        <v>1500</v>
      </c>
      <c r="L1082" s="1092"/>
      <c r="M1082" s="1093">
        <f t="shared" si="127"/>
        <v>0</v>
      </c>
      <c r="N1082" s="868">
        <f t="shared" si="131"/>
        <v>0</v>
      </c>
      <c r="O1082" s="880"/>
      <c r="Q1082" s="317" t="str">
        <f t="shared" si="128"/>
        <v/>
      </c>
      <c r="R1082" s="317" t="str">
        <f t="shared" si="129"/>
        <v/>
      </c>
      <c r="S1082" s="317" t="str">
        <f t="shared" si="130"/>
        <v/>
      </c>
      <c r="T1082" s="317" t="str">
        <f>'REF. DE PREÇOS n editavel'!S1082</f>
        <v/>
      </c>
      <c r="W1082" s="577">
        <v>0</v>
      </c>
      <c r="X1082" s="575"/>
      <c r="Y1082" s="578">
        <f>IF('REF. DE PREÇOS n editavel'!W1082=0,0,IF('REF. DE PREÇOS n editavel'!W1082&gt;0,"c","b"))</f>
        <v>0</v>
      </c>
    </row>
    <row r="1083" spans="1:25" ht="33.75">
      <c r="A1083" s="317">
        <v>91922</v>
      </c>
      <c r="B1083" s="870">
        <v>91922</v>
      </c>
      <c r="C1083" s="871" t="s">
        <v>590</v>
      </c>
      <c r="D1083" s="881" t="s">
        <v>997</v>
      </c>
      <c r="E1083" s="882">
        <f>'REF. DE PREÇOS n editavel'!E1083</f>
        <v>0</v>
      </c>
      <c r="F1083" s="883">
        <f>'REF. DE PREÇOS n editavel'!F1083</f>
        <v>0</v>
      </c>
      <c r="G1083" s="887">
        <f>'REF. DE PREÇOS n editavel'!G1083</f>
        <v>0</v>
      </c>
      <c r="H1083" s="876">
        <f>'REF. DE PREÇOS n editavel'!H1083</f>
        <v>28.07</v>
      </c>
      <c r="I1083" s="876">
        <f>'REF. DE PREÇOS n editavel'!I1083</f>
        <v>28.07</v>
      </c>
      <c r="J1083" s="877">
        <f>'REF. DE PREÇOS n editavel'!J1083</f>
        <v>34.31</v>
      </c>
      <c r="K1083" s="878" t="s">
        <v>1500</v>
      </c>
      <c r="L1083" s="1092"/>
      <c r="M1083" s="1093">
        <f t="shared" si="127"/>
        <v>0</v>
      </c>
      <c r="N1083" s="868">
        <f t="shared" si="131"/>
        <v>0</v>
      </c>
      <c r="O1083" s="880"/>
      <c r="Q1083" s="317" t="str">
        <f t="shared" si="128"/>
        <v/>
      </c>
      <c r="R1083" s="317" t="str">
        <f t="shared" si="129"/>
        <v/>
      </c>
      <c r="S1083" s="317" t="str">
        <f t="shared" si="130"/>
        <v/>
      </c>
      <c r="T1083" s="317" t="str">
        <f>'REF. DE PREÇOS n editavel'!S1083</f>
        <v/>
      </c>
      <c r="W1083" s="577">
        <v>0</v>
      </c>
      <c r="X1083" s="575"/>
      <c r="Y1083" s="578">
        <f>IF('REF. DE PREÇOS n editavel'!W1083=0,0,IF('REF. DE PREÇOS n editavel'!W1083&gt;0,"c","b"))</f>
        <v>0</v>
      </c>
    </row>
    <row r="1084" spans="1:25" ht="22.5">
      <c r="A1084" s="317">
        <v>93013</v>
      </c>
      <c r="B1084" s="870">
        <v>93013</v>
      </c>
      <c r="C1084" s="871" t="s">
        <v>590</v>
      </c>
      <c r="D1084" s="881" t="s">
        <v>998</v>
      </c>
      <c r="E1084" s="882">
        <f>'REF. DE PREÇOS n editavel'!E1084</f>
        <v>0</v>
      </c>
      <c r="F1084" s="883">
        <f>'REF. DE PREÇOS n editavel'!F1084</f>
        <v>0</v>
      </c>
      <c r="G1084" s="887">
        <f>'REF. DE PREÇOS n editavel'!G1084</f>
        <v>0</v>
      </c>
      <c r="H1084" s="876">
        <f>'REF. DE PREÇOS n editavel'!H1084</f>
        <v>18.309999999999999</v>
      </c>
      <c r="I1084" s="876">
        <f>'REF. DE PREÇOS n editavel'!I1084</f>
        <v>18.309999999999999</v>
      </c>
      <c r="J1084" s="877">
        <f>'REF. DE PREÇOS n editavel'!J1084</f>
        <v>22.38</v>
      </c>
      <c r="K1084" s="878" t="s">
        <v>1500</v>
      </c>
      <c r="L1084" s="1092"/>
      <c r="M1084" s="1093">
        <f t="shared" si="127"/>
        <v>0</v>
      </c>
      <c r="N1084" s="868">
        <f t="shared" si="131"/>
        <v>0</v>
      </c>
      <c r="O1084" s="880"/>
      <c r="Q1084" s="317" t="str">
        <f t="shared" si="128"/>
        <v/>
      </c>
      <c r="R1084" s="317" t="str">
        <f t="shared" si="129"/>
        <v/>
      </c>
      <c r="S1084" s="317" t="str">
        <f t="shared" si="130"/>
        <v/>
      </c>
      <c r="T1084" s="317" t="str">
        <f>'REF. DE PREÇOS n editavel'!S1084</f>
        <v/>
      </c>
      <c r="W1084" s="577">
        <v>0</v>
      </c>
      <c r="X1084" s="575"/>
      <c r="Y1084" s="578">
        <f>IF('REF. DE PREÇOS n editavel'!W1084=0,0,IF('REF. DE PREÇOS n editavel'!W1084&gt;0,"c","b"))</f>
        <v>0</v>
      </c>
    </row>
    <row r="1085" spans="1:25" ht="22.5">
      <c r="A1085" s="317">
        <v>93014</v>
      </c>
      <c r="B1085" s="870">
        <v>93014</v>
      </c>
      <c r="C1085" s="871" t="s">
        <v>590</v>
      </c>
      <c r="D1085" s="881" t="s">
        <v>999</v>
      </c>
      <c r="E1085" s="882">
        <f>'REF. DE PREÇOS n editavel'!E1085</f>
        <v>0</v>
      </c>
      <c r="F1085" s="883">
        <f>'REF. DE PREÇOS n editavel'!F1085</f>
        <v>0</v>
      </c>
      <c r="G1085" s="887">
        <f>'REF. DE PREÇOS n editavel'!G1085</f>
        <v>0</v>
      </c>
      <c r="H1085" s="876">
        <f>'REF. DE PREÇOS n editavel'!H1085</f>
        <v>22.49</v>
      </c>
      <c r="I1085" s="876">
        <f>'REF. DE PREÇOS n editavel'!I1085</f>
        <v>22.49</v>
      </c>
      <c r="J1085" s="877">
        <f>'REF. DE PREÇOS n editavel'!J1085</f>
        <v>27.49</v>
      </c>
      <c r="K1085" s="878" t="s">
        <v>1500</v>
      </c>
      <c r="L1085" s="1092"/>
      <c r="M1085" s="1093">
        <f t="shared" si="127"/>
        <v>0</v>
      </c>
      <c r="N1085" s="868">
        <f t="shared" si="131"/>
        <v>0</v>
      </c>
      <c r="O1085" s="880"/>
      <c r="Q1085" s="317" t="str">
        <f t="shared" si="128"/>
        <v/>
      </c>
      <c r="R1085" s="317" t="str">
        <f t="shared" si="129"/>
        <v/>
      </c>
      <c r="S1085" s="317" t="str">
        <f t="shared" si="130"/>
        <v/>
      </c>
      <c r="T1085" s="317" t="str">
        <f>'REF. DE PREÇOS n editavel'!S1085</f>
        <v/>
      </c>
      <c r="W1085" s="577">
        <v>0</v>
      </c>
      <c r="X1085" s="575"/>
      <c r="Y1085" s="578">
        <f>IF('REF. DE PREÇOS n editavel'!W1085=0,0,IF('REF. DE PREÇOS n editavel'!W1085&gt;0,"c","b"))</f>
        <v>0</v>
      </c>
    </row>
    <row r="1086" spans="1:25" ht="22.5">
      <c r="A1086" s="317">
        <v>93015</v>
      </c>
      <c r="B1086" s="870">
        <v>93015</v>
      </c>
      <c r="C1086" s="871" t="s">
        <v>590</v>
      </c>
      <c r="D1086" s="881" t="s">
        <v>1000</v>
      </c>
      <c r="E1086" s="882">
        <f>'REF. DE PREÇOS n editavel'!E1086</f>
        <v>0</v>
      </c>
      <c r="F1086" s="883">
        <f>'REF. DE PREÇOS n editavel'!F1086</f>
        <v>0</v>
      </c>
      <c r="G1086" s="887">
        <f>'REF. DE PREÇOS n editavel'!G1086</f>
        <v>0</v>
      </c>
      <c r="H1086" s="876">
        <f>'REF. DE PREÇOS n editavel'!H1086</f>
        <v>34.130000000000003</v>
      </c>
      <c r="I1086" s="876">
        <f>'REF. DE PREÇOS n editavel'!I1086</f>
        <v>34.130000000000003</v>
      </c>
      <c r="J1086" s="877">
        <f>'REF. DE PREÇOS n editavel'!J1086</f>
        <v>41.71</v>
      </c>
      <c r="K1086" s="878" t="s">
        <v>1500</v>
      </c>
      <c r="L1086" s="1092"/>
      <c r="M1086" s="1093">
        <f t="shared" si="127"/>
        <v>0</v>
      </c>
      <c r="N1086" s="868">
        <f t="shared" si="131"/>
        <v>0</v>
      </c>
      <c r="O1086" s="880"/>
      <c r="Q1086" s="317" t="str">
        <f t="shared" si="128"/>
        <v/>
      </c>
      <c r="R1086" s="317" t="str">
        <f t="shared" si="129"/>
        <v/>
      </c>
      <c r="S1086" s="317" t="str">
        <f t="shared" si="130"/>
        <v/>
      </c>
      <c r="T1086" s="317" t="str">
        <f>'REF. DE PREÇOS n editavel'!S1086</f>
        <v/>
      </c>
      <c r="W1086" s="577">
        <v>0</v>
      </c>
      <c r="X1086" s="575"/>
      <c r="Y1086" s="578">
        <f>IF('REF. DE PREÇOS n editavel'!W1086=0,0,IF('REF. DE PREÇOS n editavel'!W1086&gt;0,"c","b"))</f>
        <v>0</v>
      </c>
    </row>
    <row r="1087" spans="1:25" ht="22.5">
      <c r="A1087" s="317">
        <v>93016</v>
      </c>
      <c r="B1087" s="870">
        <v>93016</v>
      </c>
      <c r="C1087" s="871" t="s">
        <v>590</v>
      </c>
      <c r="D1087" s="881" t="s">
        <v>1001</v>
      </c>
      <c r="E1087" s="882">
        <f>'REF. DE PREÇOS n editavel'!E1087</f>
        <v>0</v>
      </c>
      <c r="F1087" s="883">
        <f>'REF. DE PREÇOS n editavel'!F1087</f>
        <v>0</v>
      </c>
      <c r="G1087" s="887">
        <f>'REF. DE PREÇOS n editavel'!G1087</f>
        <v>0</v>
      </c>
      <c r="H1087" s="876">
        <f>'REF. DE PREÇOS n editavel'!H1087</f>
        <v>41.5</v>
      </c>
      <c r="I1087" s="876">
        <f>'REF. DE PREÇOS n editavel'!I1087</f>
        <v>41.5</v>
      </c>
      <c r="J1087" s="877">
        <f>'REF. DE PREÇOS n editavel'!J1087</f>
        <v>50.72</v>
      </c>
      <c r="K1087" s="878" t="s">
        <v>1500</v>
      </c>
      <c r="L1087" s="1092"/>
      <c r="M1087" s="1093">
        <f t="shared" si="127"/>
        <v>0</v>
      </c>
      <c r="N1087" s="868">
        <f t="shared" si="131"/>
        <v>0</v>
      </c>
      <c r="O1087" s="880"/>
      <c r="Q1087" s="317" t="str">
        <f t="shared" si="128"/>
        <v/>
      </c>
      <c r="R1087" s="317" t="str">
        <f t="shared" si="129"/>
        <v/>
      </c>
      <c r="S1087" s="317" t="str">
        <f t="shared" si="130"/>
        <v/>
      </c>
      <c r="T1087" s="317" t="str">
        <f>'REF. DE PREÇOS n editavel'!S1087</f>
        <v/>
      </c>
      <c r="W1087" s="577">
        <v>0</v>
      </c>
      <c r="X1087" s="575"/>
      <c r="Y1087" s="578">
        <f>IF('REF. DE PREÇOS n editavel'!W1087=0,0,IF('REF. DE PREÇOS n editavel'!W1087&gt;0,"c","b"))</f>
        <v>0</v>
      </c>
    </row>
    <row r="1088" spans="1:25" ht="22.5">
      <c r="A1088" s="317">
        <v>93017</v>
      </c>
      <c r="B1088" s="870">
        <v>93017</v>
      </c>
      <c r="C1088" s="871" t="s">
        <v>590</v>
      </c>
      <c r="D1088" s="881" t="s">
        <v>1002</v>
      </c>
      <c r="E1088" s="882">
        <f>'REF. DE PREÇOS n editavel'!E1088</f>
        <v>0</v>
      </c>
      <c r="F1088" s="883">
        <f>'REF. DE PREÇOS n editavel'!F1088</f>
        <v>0</v>
      </c>
      <c r="G1088" s="887">
        <f>'REF. DE PREÇOS n editavel'!G1088</f>
        <v>0</v>
      </c>
      <c r="H1088" s="876">
        <f>'REF. DE PREÇOS n editavel'!H1088</f>
        <v>62.43</v>
      </c>
      <c r="I1088" s="876">
        <f>'REF. DE PREÇOS n editavel'!I1088</f>
        <v>62.43</v>
      </c>
      <c r="J1088" s="877">
        <f>'REF. DE PREÇOS n editavel'!J1088</f>
        <v>76.3</v>
      </c>
      <c r="K1088" s="878" t="s">
        <v>1500</v>
      </c>
      <c r="L1088" s="1092"/>
      <c r="M1088" s="1093">
        <f t="shared" si="127"/>
        <v>0</v>
      </c>
      <c r="N1088" s="868">
        <f t="shared" si="131"/>
        <v>0</v>
      </c>
      <c r="O1088" s="880"/>
      <c r="Q1088" s="317" t="str">
        <f t="shared" si="128"/>
        <v/>
      </c>
      <c r="R1088" s="317" t="str">
        <f t="shared" si="129"/>
        <v/>
      </c>
      <c r="S1088" s="317" t="str">
        <f t="shared" si="130"/>
        <v/>
      </c>
      <c r="T1088" s="317" t="str">
        <f>'REF. DE PREÇOS n editavel'!S1088</f>
        <v/>
      </c>
      <c r="W1088" s="577">
        <v>0</v>
      </c>
      <c r="X1088" s="575"/>
      <c r="Y1088" s="578">
        <f>IF('REF. DE PREÇOS n editavel'!W1088=0,0,IF('REF. DE PREÇOS n editavel'!W1088&gt;0,"c","b"))</f>
        <v>0</v>
      </c>
    </row>
    <row r="1089" spans="1:25" ht="22.5">
      <c r="A1089" s="317">
        <v>93018</v>
      </c>
      <c r="B1089" s="870">
        <v>93018</v>
      </c>
      <c r="C1089" s="871" t="s">
        <v>590</v>
      </c>
      <c r="D1089" s="881" t="s">
        <v>1003</v>
      </c>
      <c r="E1089" s="882">
        <f>'REF. DE PREÇOS n editavel'!E1089</f>
        <v>0</v>
      </c>
      <c r="F1089" s="883">
        <f>'REF. DE PREÇOS n editavel'!F1089</f>
        <v>0</v>
      </c>
      <c r="G1089" s="887">
        <f>'REF. DE PREÇOS n editavel'!G1089</f>
        <v>0</v>
      </c>
      <c r="H1089" s="876">
        <f>'REF. DE PREÇOS n editavel'!H1089</f>
        <v>27.96</v>
      </c>
      <c r="I1089" s="876">
        <f>'REF. DE PREÇOS n editavel'!I1089</f>
        <v>27.96</v>
      </c>
      <c r="J1089" s="877">
        <f>'REF. DE PREÇOS n editavel'!J1089</f>
        <v>34.17</v>
      </c>
      <c r="K1089" s="878" t="s">
        <v>1500</v>
      </c>
      <c r="L1089" s="1092"/>
      <c r="M1089" s="1093">
        <f t="shared" si="127"/>
        <v>0</v>
      </c>
      <c r="N1089" s="868">
        <f t="shared" si="131"/>
        <v>0</v>
      </c>
      <c r="O1089" s="880"/>
      <c r="Q1089" s="317" t="str">
        <f t="shared" si="128"/>
        <v/>
      </c>
      <c r="R1089" s="317" t="str">
        <f t="shared" si="129"/>
        <v/>
      </c>
      <c r="S1089" s="317" t="str">
        <f t="shared" si="130"/>
        <v/>
      </c>
      <c r="T1089" s="317" t="str">
        <f>'REF. DE PREÇOS n editavel'!S1089</f>
        <v/>
      </c>
      <c r="W1089" s="577">
        <v>0</v>
      </c>
      <c r="X1089" s="575"/>
      <c r="Y1089" s="578">
        <f>IF('REF. DE PREÇOS n editavel'!W1089=0,0,IF('REF. DE PREÇOS n editavel'!W1089&gt;0,"c","b"))</f>
        <v>0</v>
      </c>
    </row>
    <row r="1090" spans="1:25" ht="22.5">
      <c r="A1090" s="317">
        <v>93020</v>
      </c>
      <c r="B1090" s="870">
        <v>93020</v>
      </c>
      <c r="C1090" s="871" t="s">
        <v>590</v>
      </c>
      <c r="D1090" s="881" t="s">
        <v>1004</v>
      </c>
      <c r="E1090" s="882">
        <f>'REF. DE PREÇOS n editavel'!E1090</f>
        <v>0</v>
      </c>
      <c r="F1090" s="883">
        <f>'REF. DE PREÇOS n editavel'!F1090</f>
        <v>0</v>
      </c>
      <c r="G1090" s="887">
        <f>'REF. DE PREÇOS n editavel'!G1090</f>
        <v>0</v>
      </c>
      <c r="H1090" s="876">
        <f>'REF. DE PREÇOS n editavel'!H1090</f>
        <v>35.840000000000003</v>
      </c>
      <c r="I1090" s="876">
        <f>'REF. DE PREÇOS n editavel'!I1090</f>
        <v>35.840000000000003</v>
      </c>
      <c r="J1090" s="877">
        <f>'REF. DE PREÇOS n editavel'!J1090</f>
        <v>43.8</v>
      </c>
      <c r="K1090" s="878" t="s">
        <v>1500</v>
      </c>
      <c r="L1090" s="1092"/>
      <c r="M1090" s="1093">
        <f t="shared" si="127"/>
        <v>0</v>
      </c>
      <c r="N1090" s="868">
        <f t="shared" si="131"/>
        <v>0</v>
      </c>
      <c r="O1090" s="880"/>
      <c r="Q1090" s="317" t="str">
        <f t="shared" si="128"/>
        <v/>
      </c>
      <c r="R1090" s="317" t="str">
        <f t="shared" si="129"/>
        <v/>
      </c>
      <c r="S1090" s="317" t="str">
        <f t="shared" si="130"/>
        <v/>
      </c>
      <c r="T1090" s="317" t="str">
        <f>'REF. DE PREÇOS n editavel'!S1090</f>
        <v/>
      </c>
      <c r="W1090" s="577">
        <v>0</v>
      </c>
      <c r="X1090" s="575"/>
      <c r="Y1090" s="578">
        <f>IF('REF. DE PREÇOS n editavel'!W1090=0,0,IF('REF. DE PREÇOS n editavel'!W1090&gt;0,"c","b"))</f>
        <v>0</v>
      </c>
    </row>
    <row r="1091" spans="1:25" ht="22.5">
      <c r="A1091" s="317">
        <v>93022</v>
      </c>
      <c r="B1091" s="870">
        <v>93022</v>
      </c>
      <c r="C1091" s="871" t="s">
        <v>590</v>
      </c>
      <c r="D1091" s="881" t="s">
        <v>1005</v>
      </c>
      <c r="E1091" s="882">
        <f>'REF. DE PREÇOS n editavel'!E1091</f>
        <v>0</v>
      </c>
      <c r="F1091" s="883">
        <f>'REF. DE PREÇOS n editavel'!F1091</f>
        <v>0</v>
      </c>
      <c r="G1091" s="887">
        <f>'REF. DE PREÇOS n editavel'!G1091</f>
        <v>0</v>
      </c>
      <c r="H1091" s="876">
        <f>'REF. DE PREÇOS n editavel'!H1091</f>
        <v>60</v>
      </c>
      <c r="I1091" s="876">
        <f>'REF. DE PREÇOS n editavel'!I1091</f>
        <v>60</v>
      </c>
      <c r="J1091" s="877">
        <f>'REF. DE PREÇOS n editavel'!J1091</f>
        <v>73.33</v>
      </c>
      <c r="K1091" s="878" t="s">
        <v>1500</v>
      </c>
      <c r="L1091" s="1092"/>
      <c r="M1091" s="1093">
        <f t="shared" si="127"/>
        <v>0</v>
      </c>
      <c r="N1091" s="868">
        <f t="shared" si="131"/>
        <v>0</v>
      </c>
      <c r="O1091" s="880"/>
      <c r="Q1091" s="317" t="str">
        <f t="shared" si="128"/>
        <v/>
      </c>
      <c r="R1091" s="317" t="str">
        <f t="shared" si="129"/>
        <v/>
      </c>
      <c r="S1091" s="317" t="str">
        <f t="shared" si="130"/>
        <v/>
      </c>
      <c r="T1091" s="317" t="str">
        <f>'REF. DE PREÇOS n editavel'!S1091</f>
        <v/>
      </c>
      <c r="W1091" s="577">
        <v>0</v>
      </c>
      <c r="X1091" s="575"/>
      <c r="Y1091" s="578">
        <f>IF('REF. DE PREÇOS n editavel'!W1091=0,0,IF('REF. DE PREÇOS n editavel'!W1091&gt;0,"c","b"))</f>
        <v>0</v>
      </c>
    </row>
    <row r="1092" spans="1:25" ht="22.5">
      <c r="A1092" s="317">
        <v>93024</v>
      </c>
      <c r="B1092" s="870">
        <v>93024</v>
      </c>
      <c r="C1092" s="871" t="s">
        <v>590</v>
      </c>
      <c r="D1092" s="881" t="s">
        <v>1006</v>
      </c>
      <c r="E1092" s="882">
        <f>'REF. DE PREÇOS n editavel'!E1092</f>
        <v>0</v>
      </c>
      <c r="F1092" s="883">
        <f>'REF. DE PREÇOS n editavel'!F1092</f>
        <v>0</v>
      </c>
      <c r="G1092" s="887">
        <f>'REF. DE PREÇOS n editavel'!G1092</f>
        <v>0</v>
      </c>
      <c r="H1092" s="876">
        <f>'REF. DE PREÇOS n editavel'!H1092</f>
        <v>63.08</v>
      </c>
      <c r="I1092" s="876">
        <f>'REF. DE PREÇOS n editavel'!I1092</f>
        <v>63.08</v>
      </c>
      <c r="J1092" s="877">
        <f>'REF. DE PREÇOS n editavel'!J1092</f>
        <v>77.099999999999994</v>
      </c>
      <c r="K1092" s="878" t="s">
        <v>1500</v>
      </c>
      <c r="L1092" s="1092"/>
      <c r="M1092" s="1093">
        <f t="shared" si="127"/>
        <v>0</v>
      </c>
      <c r="N1092" s="868">
        <f t="shared" si="131"/>
        <v>0</v>
      </c>
      <c r="O1092" s="880"/>
      <c r="Q1092" s="317" t="str">
        <f t="shared" si="128"/>
        <v/>
      </c>
      <c r="R1092" s="317" t="str">
        <f t="shared" si="129"/>
        <v/>
      </c>
      <c r="S1092" s="317" t="str">
        <f t="shared" si="130"/>
        <v/>
      </c>
      <c r="T1092" s="317" t="str">
        <f>'REF. DE PREÇOS n editavel'!S1092</f>
        <v/>
      </c>
      <c r="W1092" s="577">
        <v>0</v>
      </c>
      <c r="X1092" s="575"/>
      <c r="Y1092" s="578">
        <f>IF('REF. DE PREÇOS n editavel'!W1092=0,0,IF('REF. DE PREÇOS n editavel'!W1092&gt;0,"c","b"))</f>
        <v>0</v>
      </c>
    </row>
    <row r="1093" spans="1:25" ht="22.5">
      <c r="A1093" s="317">
        <v>93026</v>
      </c>
      <c r="B1093" s="870">
        <v>93026</v>
      </c>
      <c r="C1093" s="871" t="s">
        <v>590</v>
      </c>
      <c r="D1093" s="881" t="s">
        <v>1007</v>
      </c>
      <c r="E1093" s="882">
        <f>'REF. DE PREÇOS n editavel'!E1093</f>
        <v>0</v>
      </c>
      <c r="F1093" s="883">
        <f>'REF. DE PREÇOS n editavel'!F1093</f>
        <v>0</v>
      </c>
      <c r="G1093" s="887">
        <f>'REF. DE PREÇOS n editavel'!G1093</f>
        <v>0</v>
      </c>
      <c r="H1093" s="876">
        <f>'REF. DE PREÇOS n editavel'!H1093</f>
        <v>103.23</v>
      </c>
      <c r="I1093" s="876">
        <f>'REF. DE PREÇOS n editavel'!I1093</f>
        <v>103.23</v>
      </c>
      <c r="J1093" s="877">
        <f>'REF. DE PREÇOS n editavel'!J1093</f>
        <v>126.17</v>
      </c>
      <c r="K1093" s="878" t="s">
        <v>1500</v>
      </c>
      <c r="L1093" s="1092"/>
      <c r="M1093" s="1093">
        <f t="shared" si="127"/>
        <v>0</v>
      </c>
      <c r="N1093" s="868">
        <f t="shared" si="131"/>
        <v>0</v>
      </c>
      <c r="O1093" s="880"/>
      <c r="Q1093" s="317" t="str">
        <f t="shared" si="128"/>
        <v/>
      </c>
      <c r="R1093" s="317" t="str">
        <f t="shared" si="129"/>
        <v/>
      </c>
      <c r="S1093" s="317" t="str">
        <f t="shared" si="130"/>
        <v/>
      </c>
      <c r="T1093" s="317" t="str">
        <f>'REF. DE PREÇOS n editavel'!S1093</f>
        <v/>
      </c>
      <c r="W1093" s="577">
        <v>0</v>
      </c>
      <c r="X1093" s="575"/>
      <c r="Y1093" s="578">
        <f>IF('REF. DE PREÇOS n editavel'!W1093=0,0,IF('REF. DE PREÇOS n editavel'!W1093&gt;0,"c","b"))</f>
        <v>0</v>
      </c>
    </row>
    <row r="1094" spans="1:25" ht="33.75">
      <c r="A1094" s="317">
        <v>97559</v>
      </c>
      <c r="B1094" s="870">
        <v>97559</v>
      </c>
      <c r="C1094" s="871" t="s">
        <v>590</v>
      </c>
      <c r="D1094" s="881" t="s">
        <v>1008</v>
      </c>
      <c r="E1094" s="882">
        <f>'REF. DE PREÇOS n editavel'!E1094</f>
        <v>0</v>
      </c>
      <c r="F1094" s="883">
        <f>'REF. DE PREÇOS n editavel'!F1094</f>
        <v>0</v>
      </c>
      <c r="G1094" s="887">
        <f>'REF. DE PREÇOS n editavel'!G1094</f>
        <v>0</v>
      </c>
      <c r="H1094" s="876">
        <f>'REF. DE PREÇOS n editavel'!H1094</f>
        <v>13.05</v>
      </c>
      <c r="I1094" s="876">
        <f>'REF. DE PREÇOS n editavel'!I1094</f>
        <v>13.05</v>
      </c>
      <c r="J1094" s="877">
        <f>'REF. DE PREÇOS n editavel'!J1094</f>
        <v>15.95</v>
      </c>
      <c r="K1094" s="878" t="s">
        <v>1500</v>
      </c>
      <c r="L1094" s="1092"/>
      <c r="M1094" s="1093">
        <f t="shared" ref="M1094:M1157" si="132">IF(L1094=0,0,ROUND(J1094,2))</f>
        <v>0</v>
      </c>
      <c r="N1094" s="868">
        <f t="shared" si="131"/>
        <v>0</v>
      </c>
      <c r="O1094" s="880"/>
      <c r="Q1094" s="317" t="str">
        <f t="shared" si="128"/>
        <v/>
      </c>
      <c r="R1094" s="317" t="str">
        <f t="shared" si="129"/>
        <v/>
      </c>
      <c r="S1094" s="317" t="str">
        <f t="shared" si="130"/>
        <v/>
      </c>
      <c r="T1094" s="317" t="str">
        <f>'REF. DE PREÇOS n editavel'!S1094</f>
        <v/>
      </c>
      <c r="W1094" s="577">
        <v>0</v>
      </c>
      <c r="X1094" s="575"/>
      <c r="Y1094" s="578">
        <f>IF('REF. DE PREÇOS n editavel'!W1094=0,0,IF('REF. DE PREÇOS n editavel'!W1094&gt;0,"c","b"))</f>
        <v>0</v>
      </c>
    </row>
    <row r="1095" spans="1:25" ht="33.75">
      <c r="A1095" s="317">
        <v>97562</v>
      </c>
      <c r="B1095" s="870">
        <v>97562</v>
      </c>
      <c r="C1095" s="871" t="s">
        <v>590</v>
      </c>
      <c r="D1095" s="881" t="s">
        <v>1009</v>
      </c>
      <c r="E1095" s="882">
        <f>'REF. DE PREÇOS n editavel'!E1095</f>
        <v>0</v>
      </c>
      <c r="F1095" s="883">
        <f>'REF. DE PREÇOS n editavel'!F1095</f>
        <v>0</v>
      </c>
      <c r="G1095" s="887">
        <f>'REF. DE PREÇOS n editavel'!G1095</f>
        <v>0</v>
      </c>
      <c r="H1095" s="876">
        <f>'REF. DE PREÇOS n editavel'!H1095</f>
        <v>15.57</v>
      </c>
      <c r="I1095" s="876">
        <f>'REF. DE PREÇOS n editavel'!I1095</f>
        <v>15.57</v>
      </c>
      <c r="J1095" s="877">
        <f>'REF. DE PREÇOS n editavel'!J1095</f>
        <v>19.03</v>
      </c>
      <c r="K1095" s="878" t="s">
        <v>1500</v>
      </c>
      <c r="L1095" s="1092"/>
      <c r="M1095" s="1093">
        <f t="shared" si="132"/>
        <v>0</v>
      </c>
      <c r="N1095" s="868">
        <f t="shared" si="131"/>
        <v>0</v>
      </c>
      <c r="O1095" s="880"/>
      <c r="Q1095" s="317" t="str">
        <f t="shared" si="128"/>
        <v/>
      </c>
      <c r="R1095" s="317" t="str">
        <f t="shared" si="129"/>
        <v/>
      </c>
      <c r="S1095" s="317" t="str">
        <f t="shared" si="130"/>
        <v/>
      </c>
      <c r="T1095" s="317" t="str">
        <f>'REF. DE PREÇOS n editavel'!S1095</f>
        <v/>
      </c>
      <c r="W1095" s="577">
        <v>0</v>
      </c>
      <c r="X1095" s="575"/>
      <c r="Y1095" s="578">
        <f>IF('REF. DE PREÇOS n editavel'!W1095=0,0,IF('REF. DE PREÇOS n editavel'!W1095&gt;0,"c","b"))</f>
        <v>0</v>
      </c>
    </row>
    <row r="1096" spans="1:25" ht="33.75">
      <c r="A1096" s="317">
        <v>97564</v>
      </c>
      <c r="B1096" s="870">
        <v>97564</v>
      </c>
      <c r="C1096" s="871" t="s">
        <v>590</v>
      </c>
      <c r="D1096" s="881" t="s">
        <v>1010</v>
      </c>
      <c r="E1096" s="882">
        <f>'REF. DE PREÇOS n editavel'!E1096</f>
        <v>0</v>
      </c>
      <c r="F1096" s="883">
        <f>'REF. DE PREÇOS n editavel'!F1096</f>
        <v>0</v>
      </c>
      <c r="G1096" s="887">
        <f>'REF. DE PREÇOS n editavel'!G1096</f>
        <v>0</v>
      </c>
      <c r="H1096" s="876">
        <f>'REF. DE PREÇOS n editavel'!H1096</f>
        <v>17.79</v>
      </c>
      <c r="I1096" s="876">
        <f>'REF. DE PREÇOS n editavel'!I1096</f>
        <v>17.79</v>
      </c>
      <c r="J1096" s="877">
        <f>'REF. DE PREÇOS n editavel'!J1096</f>
        <v>21.74</v>
      </c>
      <c r="K1096" s="878" t="s">
        <v>1500</v>
      </c>
      <c r="L1096" s="1092"/>
      <c r="M1096" s="1093">
        <f t="shared" si="132"/>
        <v>0</v>
      </c>
      <c r="N1096" s="868">
        <f t="shared" si="131"/>
        <v>0</v>
      </c>
      <c r="O1096" s="880"/>
      <c r="Q1096" s="317" t="str">
        <f t="shared" si="128"/>
        <v/>
      </c>
      <c r="R1096" s="317" t="str">
        <f t="shared" si="129"/>
        <v/>
      </c>
      <c r="S1096" s="317" t="str">
        <f t="shared" si="130"/>
        <v/>
      </c>
      <c r="T1096" s="317" t="str">
        <f>'REF. DE PREÇOS n editavel'!S1096</f>
        <v/>
      </c>
      <c r="W1096" s="577">
        <v>0</v>
      </c>
      <c r="X1096" s="575"/>
      <c r="Y1096" s="578">
        <f>IF('REF. DE PREÇOS n editavel'!W1096=0,0,IF('REF. DE PREÇOS n editavel'!W1096&gt;0,"c","b"))</f>
        <v>0</v>
      </c>
    </row>
    <row r="1097" spans="1:25" ht="22.5">
      <c r="A1097" s="317">
        <v>91862</v>
      </c>
      <c r="B1097" s="870">
        <v>91862</v>
      </c>
      <c r="C1097" s="871" t="s">
        <v>590</v>
      </c>
      <c r="D1097" s="881" t="s">
        <v>1011</v>
      </c>
      <c r="E1097" s="882">
        <f>'REF. DE PREÇOS n editavel'!E1097</f>
        <v>0</v>
      </c>
      <c r="F1097" s="883">
        <f>'REF. DE PREÇOS n editavel'!F1097</f>
        <v>0</v>
      </c>
      <c r="G1097" s="887">
        <f>'REF. DE PREÇOS n editavel'!G1097</f>
        <v>0</v>
      </c>
      <c r="H1097" s="876">
        <f>'REF. DE PREÇOS n editavel'!H1097</f>
        <v>13.26</v>
      </c>
      <c r="I1097" s="876">
        <f>'REF. DE PREÇOS n editavel'!I1097</f>
        <v>13.26</v>
      </c>
      <c r="J1097" s="877">
        <f>'REF. DE PREÇOS n editavel'!J1097</f>
        <v>16.21</v>
      </c>
      <c r="K1097" s="878" t="s">
        <v>62</v>
      </c>
      <c r="L1097" s="1092"/>
      <c r="M1097" s="1093">
        <f t="shared" si="132"/>
        <v>0</v>
      </c>
      <c r="N1097" s="868">
        <f t="shared" si="131"/>
        <v>0</v>
      </c>
      <c r="O1097" s="880"/>
      <c r="Q1097" s="317" t="str">
        <f t="shared" si="128"/>
        <v/>
      </c>
      <c r="R1097" s="317" t="str">
        <f t="shared" si="129"/>
        <v/>
      </c>
      <c r="S1097" s="317" t="str">
        <f t="shared" si="130"/>
        <v/>
      </c>
      <c r="T1097" s="317" t="str">
        <f>'REF. DE PREÇOS n editavel'!S1097</f>
        <v/>
      </c>
      <c r="W1097" s="577">
        <v>0</v>
      </c>
      <c r="X1097" s="575"/>
      <c r="Y1097" s="578">
        <f>IF('REF. DE PREÇOS n editavel'!W1097=0,0,IF('REF. DE PREÇOS n editavel'!W1097&gt;0,"c","b"))</f>
        <v>0</v>
      </c>
    </row>
    <row r="1098" spans="1:25" ht="22.5">
      <c r="A1098" s="317">
        <v>91863</v>
      </c>
      <c r="B1098" s="870">
        <v>91863</v>
      </c>
      <c r="C1098" s="871" t="s">
        <v>590</v>
      </c>
      <c r="D1098" s="881" t="s">
        <v>1012</v>
      </c>
      <c r="E1098" s="882">
        <f>'REF. DE PREÇOS n editavel'!E1098</f>
        <v>0</v>
      </c>
      <c r="F1098" s="883">
        <f>'REF. DE PREÇOS n editavel'!F1098</f>
        <v>0</v>
      </c>
      <c r="G1098" s="887">
        <f>'REF. DE PREÇOS n editavel'!G1098</f>
        <v>0</v>
      </c>
      <c r="H1098" s="876">
        <f>'REF. DE PREÇOS n editavel'!H1098</f>
        <v>15.67</v>
      </c>
      <c r="I1098" s="876">
        <f>'REF. DE PREÇOS n editavel'!I1098</f>
        <v>15.67</v>
      </c>
      <c r="J1098" s="877">
        <f>'REF. DE PREÇOS n editavel'!J1098</f>
        <v>19.149999999999999</v>
      </c>
      <c r="K1098" s="878" t="s">
        <v>62</v>
      </c>
      <c r="L1098" s="1092"/>
      <c r="M1098" s="1093">
        <f t="shared" si="132"/>
        <v>0</v>
      </c>
      <c r="N1098" s="868">
        <f t="shared" si="131"/>
        <v>0</v>
      </c>
      <c r="O1098" s="880"/>
      <c r="Q1098" s="317" t="str">
        <f t="shared" si="128"/>
        <v/>
      </c>
      <c r="R1098" s="317" t="str">
        <f t="shared" si="129"/>
        <v/>
      </c>
      <c r="S1098" s="317" t="str">
        <f t="shared" si="130"/>
        <v/>
      </c>
      <c r="T1098" s="317" t="str">
        <f>'REF. DE PREÇOS n editavel'!S1098</f>
        <v/>
      </c>
      <c r="W1098" s="577">
        <v>0</v>
      </c>
      <c r="X1098" s="575"/>
      <c r="Y1098" s="578">
        <f>IF('REF. DE PREÇOS n editavel'!W1098=0,0,IF('REF. DE PREÇOS n editavel'!W1098&gt;0,"c","b"))</f>
        <v>0</v>
      </c>
    </row>
    <row r="1099" spans="1:25" ht="22.5">
      <c r="A1099" s="317">
        <v>91864</v>
      </c>
      <c r="B1099" s="870">
        <v>91864</v>
      </c>
      <c r="C1099" s="871" t="s">
        <v>590</v>
      </c>
      <c r="D1099" s="881" t="s">
        <v>1013</v>
      </c>
      <c r="E1099" s="882">
        <f>'REF. DE PREÇOS n editavel'!E1099</f>
        <v>0</v>
      </c>
      <c r="F1099" s="883">
        <f>'REF. DE PREÇOS n editavel'!F1099</f>
        <v>0</v>
      </c>
      <c r="G1099" s="887">
        <f>'REF. DE PREÇOS n editavel'!G1099</f>
        <v>0</v>
      </c>
      <c r="H1099" s="876">
        <f>'REF. DE PREÇOS n editavel'!H1099</f>
        <v>21.09</v>
      </c>
      <c r="I1099" s="876">
        <f>'REF. DE PREÇOS n editavel'!I1099</f>
        <v>21.09</v>
      </c>
      <c r="J1099" s="877">
        <f>'REF. DE PREÇOS n editavel'!J1099</f>
        <v>25.78</v>
      </c>
      <c r="K1099" s="878" t="s">
        <v>62</v>
      </c>
      <c r="L1099" s="1092"/>
      <c r="M1099" s="1093">
        <f t="shared" si="132"/>
        <v>0</v>
      </c>
      <c r="N1099" s="868">
        <f t="shared" si="131"/>
        <v>0</v>
      </c>
      <c r="O1099" s="880"/>
      <c r="Q1099" s="317" t="str">
        <f t="shared" si="128"/>
        <v/>
      </c>
      <c r="R1099" s="317" t="str">
        <f t="shared" si="129"/>
        <v/>
      </c>
      <c r="S1099" s="317" t="str">
        <f t="shared" si="130"/>
        <v/>
      </c>
      <c r="T1099" s="317" t="str">
        <f>'REF. DE PREÇOS n editavel'!S1099</f>
        <v/>
      </c>
      <c r="W1099" s="577">
        <v>0</v>
      </c>
      <c r="X1099" s="575"/>
      <c r="Y1099" s="578">
        <f>IF('REF. DE PREÇOS n editavel'!W1099=0,0,IF('REF. DE PREÇOS n editavel'!W1099&gt;0,"c","b"))</f>
        <v>0</v>
      </c>
    </row>
    <row r="1100" spans="1:25" ht="22.5">
      <c r="A1100" s="317">
        <v>91865</v>
      </c>
      <c r="B1100" s="870">
        <v>91865</v>
      </c>
      <c r="C1100" s="871" t="s">
        <v>590</v>
      </c>
      <c r="D1100" s="881" t="s">
        <v>1014</v>
      </c>
      <c r="E1100" s="882">
        <f>'REF. DE PREÇOS n editavel'!E1100</f>
        <v>0</v>
      </c>
      <c r="F1100" s="883">
        <f>'REF. DE PREÇOS n editavel'!F1100</f>
        <v>0</v>
      </c>
      <c r="G1100" s="887">
        <f>'REF. DE PREÇOS n editavel'!G1100</f>
        <v>0</v>
      </c>
      <c r="H1100" s="876">
        <f>'REF. DE PREÇOS n editavel'!H1100</f>
        <v>26.43</v>
      </c>
      <c r="I1100" s="876">
        <f>'REF. DE PREÇOS n editavel'!I1100</f>
        <v>26.43</v>
      </c>
      <c r="J1100" s="877">
        <f>'REF. DE PREÇOS n editavel'!J1100</f>
        <v>32.299999999999997</v>
      </c>
      <c r="K1100" s="878" t="s">
        <v>62</v>
      </c>
      <c r="L1100" s="1092"/>
      <c r="M1100" s="1093">
        <f t="shared" si="132"/>
        <v>0</v>
      </c>
      <c r="N1100" s="868">
        <f t="shared" si="131"/>
        <v>0</v>
      </c>
      <c r="O1100" s="880"/>
      <c r="Q1100" s="317" t="str">
        <f t="shared" si="128"/>
        <v/>
      </c>
      <c r="R1100" s="317" t="str">
        <f t="shared" si="129"/>
        <v/>
      </c>
      <c r="S1100" s="317" t="str">
        <f t="shared" si="130"/>
        <v/>
      </c>
      <c r="T1100" s="317" t="str">
        <f>'REF. DE PREÇOS n editavel'!S1100</f>
        <v/>
      </c>
      <c r="W1100" s="577">
        <v>0</v>
      </c>
      <c r="X1100" s="575"/>
      <c r="Y1100" s="578">
        <f>IF('REF. DE PREÇOS n editavel'!W1100=0,0,IF('REF. DE PREÇOS n editavel'!W1100&gt;0,"c","b"))</f>
        <v>0</v>
      </c>
    </row>
    <row r="1101" spans="1:25" ht="22.5">
      <c r="A1101" s="317">
        <v>91866</v>
      </c>
      <c r="B1101" s="870">
        <v>91866</v>
      </c>
      <c r="C1101" s="871" t="s">
        <v>590</v>
      </c>
      <c r="D1101" s="881" t="s">
        <v>1015</v>
      </c>
      <c r="E1101" s="882">
        <f>'REF. DE PREÇOS n editavel'!E1101</f>
        <v>0</v>
      </c>
      <c r="F1101" s="883">
        <f>'REF. DE PREÇOS n editavel'!F1101</f>
        <v>0</v>
      </c>
      <c r="G1101" s="887">
        <f>'REF. DE PREÇOS n editavel'!G1101</f>
        <v>0</v>
      </c>
      <c r="H1101" s="876">
        <f>'REF. DE PREÇOS n editavel'!H1101</f>
        <v>10.81</v>
      </c>
      <c r="I1101" s="876">
        <f>'REF. DE PREÇOS n editavel'!I1101</f>
        <v>10.81</v>
      </c>
      <c r="J1101" s="877">
        <f>'REF. DE PREÇOS n editavel'!J1101</f>
        <v>13.21</v>
      </c>
      <c r="K1101" s="878" t="s">
        <v>62</v>
      </c>
      <c r="L1101" s="1092"/>
      <c r="M1101" s="1093">
        <f t="shared" si="132"/>
        <v>0</v>
      </c>
      <c r="N1101" s="868">
        <f t="shared" si="131"/>
        <v>0</v>
      </c>
      <c r="O1101" s="880"/>
      <c r="Q1101" s="317" t="str">
        <f t="shared" si="128"/>
        <v/>
      </c>
      <c r="R1101" s="317" t="str">
        <f t="shared" si="129"/>
        <v/>
      </c>
      <c r="S1101" s="317" t="str">
        <f t="shared" si="130"/>
        <v/>
      </c>
      <c r="T1101" s="317" t="str">
        <f>'REF. DE PREÇOS n editavel'!S1101</f>
        <v/>
      </c>
      <c r="W1101" s="577">
        <v>0</v>
      </c>
      <c r="X1101" s="575"/>
      <c r="Y1101" s="578">
        <f>IF('REF. DE PREÇOS n editavel'!W1101=0,0,IF('REF. DE PREÇOS n editavel'!W1101&gt;0,"c","b"))</f>
        <v>0</v>
      </c>
    </row>
    <row r="1102" spans="1:25" ht="22.5">
      <c r="A1102" s="317">
        <v>91867</v>
      </c>
      <c r="B1102" s="870">
        <v>91867</v>
      </c>
      <c r="C1102" s="871" t="s">
        <v>590</v>
      </c>
      <c r="D1102" s="881" t="s">
        <v>1016</v>
      </c>
      <c r="E1102" s="882">
        <f>'REF. DE PREÇOS n editavel'!E1102</f>
        <v>0</v>
      </c>
      <c r="F1102" s="883">
        <f>'REF. DE PREÇOS n editavel'!F1102</f>
        <v>0</v>
      </c>
      <c r="G1102" s="887">
        <f>'REF. DE PREÇOS n editavel'!G1102</f>
        <v>0</v>
      </c>
      <c r="H1102" s="876">
        <f>'REF. DE PREÇOS n editavel'!H1102</f>
        <v>13.22</v>
      </c>
      <c r="I1102" s="876">
        <f>'REF. DE PREÇOS n editavel'!I1102</f>
        <v>13.22</v>
      </c>
      <c r="J1102" s="877">
        <f>'REF. DE PREÇOS n editavel'!J1102</f>
        <v>16.16</v>
      </c>
      <c r="K1102" s="878" t="s">
        <v>62</v>
      </c>
      <c r="L1102" s="1092"/>
      <c r="M1102" s="1093">
        <f t="shared" si="132"/>
        <v>0</v>
      </c>
      <c r="N1102" s="868">
        <f t="shared" si="131"/>
        <v>0</v>
      </c>
      <c r="O1102" s="880"/>
      <c r="Q1102" s="317" t="str">
        <f t="shared" si="128"/>
        <v/>
      </c>
      <c r="R1102" s="317" t="str">
        <f t="shared" si="129"/>
        <v/>
      </c>
      <c r="S1102" s="317" t="str">
        <f t="shared" si="130"/>
        <v/>
      </c>
      <c r="T1102" s="317" t="str">
        <f>'REF. DE PREÇOS n editavel'!S1102</f>
        <v/>
      </c>
      <c r="W1102" s="577">
        <v>0</v>
      </c>
      <c r="X1102" s="575"/>
      <c r="Y1102" s="578">
        <f>IF('REF. DE PREÇOS n editavel'!W1102=0,0,IF('REF. DE PREÇOS n editavel'!W1102&gt;0,"c","b"))</f>
        <v>0</v>
      </c>
    </row>
    <row r="1103" spans="1:25" ht="22.5">
      <c r="A1103" s="317">
        <v>91868</v>
      </c>
      <c r="B1103" s="870">
        <v>91868</v>
      </c>
      <c r="C1103" s="871" t="s">
        <v>590</v>
      </c>
      <c r="D1103" s="881" t="s">
        <v>1017</v>
      </c>
      <c r="E1103" s="882">
        <f>'REF. DE PREÇOS n editavel'!E1103</f>
        <v>0</v>
      </c>
      <c r="F1103" s="883">
        <f>'REF. DE PREÇOS n editavel'!F1103</f>
        <v>0</v>
      </c>
      <c r="G1103" s="887">
        <f>'REF. DE PREÇOS n editavel'!G1103</f>
        <v>0</v>
      </c>
      <c r="H1103" s="876">
        <f>'REF. DE PREÇOS n editavel'!H1103</f>
        <v>18.64</v>
      </c>
      <c r="I1103" s="876">
        <f>'REF. DE PREÇOS n editavel'!I1103</f>
        <v>18.64</v>
      </c>
      <c r="J1103" s="877">
        <f>'REF. DE PREÇOS n editavel'!J1103</f>
        <v>22.78</v>
      </c>
      <c r="K1103" s="878" t="s">
        <v>62</v>
      </c>
      <c r="L1103" s="1092"/>
      <c r="M1103" s="1093">
        <f t="shared" si="132"/>
        <v>0</v>
      </c>
      <c r="N1103" s="868">
        <f t="shared" si="131"/>
        <v>0</v>
      </c>
      <c r="O1103" s="880"/>
      <c r="Q1103" s="317" t="str">
        <f t="shared" si="128"/>
        <v/>
      </c>
      <c r="R1103" s="317" t="str">
        <f t="shared" si="129"/>
        <v/>
      </c>
      <c r="S1103" s="317" t="str">
        <f t="shared" si="130"/>
        <v/>
      </c>
      <c r="T1103" s="317" t="str">
        <f>'REF. DE PREÇOS n editavel'!S1103</f>
        <v/>
      </c>
      <c r="W1103" s="577">
        <v>0</v>
      </c>
      <c r="X1103" s="575"/>
      <c r="Y1103" s="578">
        <f>IF('REF. DE PREÇOS n editavel'!W1103=0,0,IF('REF. DE PREÇOS n editavel'!W1103&gt;0,"c","b"))</f>
        <v>0</v>
      </c>
    </row>
    <row r="1104" spans="1:25" ht="22.5">
      <c r="A1104" s="317">
        <v>91869</v>
      </c>
      <c r="B1104" s="870">
        <v>91869</v>
      </c>
      <c r="C1104" s="871" t="s">
        <v>590</v>
      </c>
      <c r="D1104" s="881" t="s">
        <v>1018</v>
      </c>
      <c r="E1104" s="882">
        <f>'REF. DE PREÇOS n editavel'!E1104</f>
        <v>0</v>
      </c>
      <c r="F1104" s="883">
        <f>'REF. DE PREÇOS n editavel'!F1104</f>
        <v>0</v>
      </c>
      <c r="G1104" s="887">
        <f>'REF. DE PREÇOS n editavel'!G1104</f>
        <v>0</v>
      </c>
      <c r="H1104" s="876">
        <f>'REF. DE PREÇOS n editavel'!H1104</f>
        <v>23.99</v>
      </c>
      <c r="I1104" s="876">
        <f>'REF. DE PREÇOS n editavel'!I1104</f>
        <v>23.99</v>
      </c>
      <c r="J1104" s="877">
        <f>'REF. DE PREÇOS n editavel'!J1104</f>
        <v>29.32</v>
      </c>
      <c r="K1104" s="878" t="s">
        <v>62</v>
      </c>
      <c r="L1104" s="1092"/>
      <c r="M1104" s="1093">
        <f t="shared" si="132"/>
        <v>0</v>
      </c>
      <c r="N1104" s="868">
        <f t="shared" si="131"/>
        <v>0</v>
      </c>
      <c r="O1104" s="880"/>
      <c r="Q1104" s="317" t="str">
        <f t="shared" si="128"/>
        <v/>
      </c>
      <c r="R1104" s="317" t="str">
        <f t="shared" si="129"/>
        <v/>
      </c>
      <c r="S1104" s="317" t="str">
        <f t="shared" si="130"/>
        <v/>
      </c>
      <c r="T1104" s="317" t="str">
        <f>'REF. DE PREÇOS n editavel'!S1104</f>
        <v/>
      </c>
      <c r="W1104" s="577">
        <v>0</v>
      </c>
      <c r="X1104" s="575"/>
      <c r="Y1104" s="578">
        <f>IF('REF. DE PREÇOS n editavel'!W1104=0,0,IF('REF. DE PREÇOS n editavel'!W1104&gt;0,"c","b"))</f>
        <v>0</v>
      </c>
    </row>
    <row r="1105" spans="1:25" ht="22.5">
      <c r="A1105" s="317">
        <v>91870</v>
      </c>
      <c r="B1105" s="870">
        <v>91870</v>
      </c>
      <c r="C1105" s="871" t="s">
        <v>590</v>
      </c>
      <c r="D1105" s="881" t="s">
        <v>1019</v>
      </c>
      <c r="E1105" s="882">
        <f>'REF. DE PREÇOS n editavel'!E1105</f>
        <v>0</v>
      </c>
      <c r="F1105" s="883">
        <f>'REF. DE PREÇOS n editavel'!F1105</f>
        <v>0</v>
      </c>
      <c r="G1105" s="887">
        <f>'REF. DE PREÇOS n editavel'!G1105</f>
        <v>0</v>
      </c>
      <c r="H1105" s="876">
        <f>'REF. DE PREÇOS n editavel'!H1105</f>
        <v>14.78</v>
      </c>
      <c r="I1105" s="876">
        <f>'REF. DE PREÇOS n editavel'!I1105</f>
        <v>14.78</v>
      </c>
      <c r="J1105" s="877">
        <f>'REF. DE PREÇOS n editavel'!J1105</f>
        <v>18.059999999999999</v>
      </c>
      <c r="K1105" s="878" t="s">
        <v>62</v>
      </c>
      <c r="L1105" s="1092"/>
      <c r="M1105" s="1093">
        <f t="shared" si="132"/>
        <v>0</v>
      </c>
      <c r="N1105" s="868">
        <f t="shared" si="131"/>
        <v>0</v>
      </c>
      <c r="O1105" s="880"/>
      <c r="Q1105" s="317" t="str">
        <f t="shared" ref="Q1105:Q1168" si="133">IF(P1105="X","x",IF(P1105="xx","x",IF(P1105="xy","x",IF(P1105="y","x",IF(OR(N1105&gt;0,N1105&gt;0),"x","")))))</f>
        <v/>
      </c>
      <c r="R1105" s="317" t="str">
        <f t="shared" si="129"/>
        <v/>
      </c>
      <c r="S1105" s="317" t="str">
        <f t="shared" si="130"/>
        <v/>
      </c>
      <c r="T1105" s="317" t="str">
        <f>'REF. DE PREÇOS n editavel'!S1105</f>
        <v/>
      </c>
      <c r="W1105" s="577">
        <v>0</v>
      </c>
      <c r="X1105" s="575"/>
      <c r="Y1105" s="578">
        <f>IF('REF. DE PREÇOS n editavel'!W1105=0,0,IF('REF. DE PREÇOS n editavel'!W1105&gt;0,"c","b"))</f>
        <v>0</v>
      </c>
    </row>
    <row r="1106" spans="1:25" ht="22.5">
      <c r="A1106" s="317">
        <v>91871</v>
      </c>
      <c r="B1106" s="870">
        <v>91871</v>
      </c>
      <c r="C1106" s="871" t="s">
        <v>590</v>
      </c>
      <c r="D1106" s="881" t="s">
        <v>1020</v>
      </c>
      <c r="E1106" s="882">
        <f>'REF. DE PREÇOS n editavel'!E1106</f>
        <v>0</v>
      </c>
      <c r="F1106" s="883">
        <f>'REF. DE PREÇOS n editavel'!F1106</f>
        <v>0</v>
      </c>
      <c r="G1106" s="887">
        <f>'REF. DE PREÇOS n editavel'!G1106</f>
        <v>0</v>
      </c>
      <c r="H1106" s="876">
        <f>'REF. DE PREÇOS n editavel'!H1106</f>
        <v>17.260000000000002</v>
      </c>
      <c r="I1106" s="876">
        <f>'REF. DE PREÇOS n editavel'!I1106</f>
        <v>17.260000000000002</v>
      </c>
      <c r="J1106" s="877">
        <f>'REF. DE PREÇOS n editavel'!J1106</f>
        <v>21.1</v>
      </c>
      <c r="K1106" s="878" t="s">
        <v>62</v>
      </c>
      <c r="L1106" s="1092"/>
      <c r="M1106" s="1093">
        <f t="shared" si="132"/>
        <v>0</v>
      </c>
      <c r="N1106" s="868">
        <f t="shared" si="131"/>
        <v>0</v>
      </c>
      <c r="O1106" s="880"/>
      <c r="Q1106" s="317" t="str">
        <f t="shared" si="133"/>
        <v/>
      </c>
      <c r="R1106" s="317" t="str">
        <f t="shared" si="129"/>
        <v/>
      </c>
      <c r="S1106" s="317" t="str">
        <f t="shared" si="130"/>
        <v/>
      </c>
      <c r="T1106" s="317" t="str">
        <f>'REF. DE PREÇOS n editavel'!S1106</f>
        <v/>
      </c>
      <c r="W1106" s="577">
        <v>0</v>
      </c>
      <c r="X1106" s="575"/>
      <c r="Y1106" s="578">
        <f>IF('REF. DE PREÇOS n editavel'!W1106=0,0,IF('REF. DE PREÇOS n editavel'!W1106&gt;0,"c","b"))</f>
        <v>0</v>
      </c>
    </row>
    <row r="1107" spans="1:25" ht="22.5">
      <c r="A1107" s="317">
        <v>91872</v>
      </c>
      <c r="B1107" s="870">
        <v>91872</v>
      </c>
      <c r="C1107" s="871" t="s">
        <v>590</v>
      </c>
      <c r="D1107" s="881" t="s">
        <v>1021</v>
      </c>
      <c r="E1107" s="882">
        <f>'REF. DE PREÇOS n editavel'!E1107</f>
        <v>0</v>
      </c>
      <c r="F1107" s="883">
        <f>'REF. DE PREÇOS n editavel'!F1107</f>
        <v>0</v>
      </c>
      <c r="G1107" s="887">
        <f>'REF. DE PREÇOS n editavel'!G1107</f>
        <v>0</v>
      </c>
      <c r="H1107" s="876">
        <f>'REF. DE PREÇOS n editavel'!H1107</f>
        <v>22.67</v>
      </c>
      <c r="I1107" s="876">
        <f>'REF. DE PREÇOS n editavel'!I1107</f>
        <v>22.67</v>
      </c>
      <c r="J1107" s="877">
        <f>'REF. DE PREÇOS n editavel'!J1107</f>
        <v>27.71</v>
      </c>
      <c r="K1107" s="878" t="s">
        <v>62</v>
      </c>
      <c r="L1107" s="1092"/>
      <c r="M1107" s="1093">
        <f t="shared" si="132"/>
        <v>0</v>
      </c>
      <c r="N1107" s="868">
        <f t="shared" si="131"/>
        <v>0</v>
      </c>
      <c r="O1107" s="880"/>
      <c r="Q1107" s="317" t="str">
        <f t="shared" si="133"/>
        <v/>
      </c>
      <c r="R1107" s="317" t="str">
        <f t="shared" ref="R1107:R1170" si="134">IF(P1107="X","x",IF(P1107="y","x",IF(P1107="xx","x",IF(N1107&gt;0,"x",""))))</f>
        <v/>
      </c>
      <c r="S1107" s="317" t="str">
        <f t="shared" ref="S1107:S1170" si="135">IF(P1107="X","x",IF(N1107&gt;0,"x",""))</f>
        <v/>
      </c>
      <c r="T1107" s="317" t="str">
        <f>'REF. DE PREÇOS n editavel'!S1107</f>
        <v/>
      </c>
      <c r="W1107" s="577">
        <v>0</v>
      </c>
      <c r="X1107" s="575"/>
      <c r="Y1107" s="578">
        <f>IF('REF. DE PREÇOS n editavel'!W1107=0,0,IF('REF. DE PREÇOS n editavel'!W1107&gt;0,"c","b"))</f>
        <v>0</v>
      </c>
    </row>
    <row r="1108" spans="1:25" ht="22.5">
      <c r="A1108" s="317">
        <v>91873</v>
      </c>
      <c r="B1108" s="870">
        <v>91873</v>
      </c>
      <c r="C1108" s="871" t="s">
        <v>590</v>
      </c>
      <c r="D1108" s="881" t="s">
        <v>1022</v>
      </c>
      <c r="E1108" s="882">
        <f>'REF. DE PREÇOS n editavel'!E1108</f>
        <v>0</v>
      </c>
      <c r="F1108" s="883">
        <f>'REF. DE PREÇOS n editavel'!F1108</f>
        <v>0</v>
      </c>
      <c r="G1108" s="887">
        <f>'REF. DE PREÇOS n editavel'!G1108</f>
        <v>0</v>
      </c>
      <c r="H1108" s="876">
        <f>'REF. DE PREÇOS n editavel'!H1108</f>
        <v>27.96</v>
      </c>
      <c r="I1108" s="876">
        <f>'REF. DE PREÇOS n editavel'!I1108</f>
        <v>27.96</v>
      </c>
      <c r="J1108" s="877">
        <f>'REF. DE PREÇOS n editavel'!J1108</f>
        <v>34.17</v>
      </c>
      <c r="K1108" s="878" t="s">
        <v>62</v>
      </c>
      <c r="L1108" s="1092"/>
      <c r="M1108" s="1093">
        <f t="shared" si="132"/>
        <v>0</v>
      </c>
      <c r="N1108" s="868">
        <f t="shared" si="131"/>
        <v>0</v>
      </c>
      <c r="O1108" s="880"/>
      <c r="Q1108" s="317" t="str">
        <f t="shared" si="133"/>
        <v/>
      </c>
      <c r="R1108" s="317" t="str">
        <f t="shared" si="134"/>
        <v/>
      </c>
      <c r="S1108" s="317" t="str">
        <f t="shared" si="135"/>
        <v/>
      </c>
      <c r="T1108" s="317" t="str">
        <f>'REF. DE PREÇOS n editavel'!S1108</f>
        <v/>
      </c>
      <c r="W1108" s="577">
        <v>0</v>
      </c>
      <c r="X1108" s="575"/>
      <c r="Y1108" s="578">
        <f>IF('REF. DE PREÇOS n editavel'!W1108=0,0,IF('REF. DE PREÇOS n editavel'!W1108&gt;0,"c","b"))</f>
        <v>0</v>
      </c>
    </row>
    <row r="1109" spans="1:25" ht="22.5">
      <c r="A1109" s="317">
        <v>93008</v>
      </c>
      <c r="B1109" s="870">
        <v>93008</v>
      </c>
      <c r="C1109" s="871" t="s">
        <v>590</v>
      </c>
      <c r="D1109" s="881" t="s">
        <v>1023</v>
      </c>
      <c r="E1109" s="882">
        <f>'REF. DE PREÇOS n editavel'!E1109</f>
        <v>0</v>
      </c>
      <c r="F1109" s="883">
        <f>'REF. DE PREÇOS n editavel'!F1109</f>
        <v>0</v>
      </c>
      <c r="G1109" s="887">
        <f>'REF. DE PREÇOS n editavel'!G1109</f>
        <v>0</v>
      </c>
      <c r="H1109" s="876">
        <f>'REF. DE PREÇOS n editavel'!H1109</f>
        <v>24.19</v>
      </c>
      <c r="I1109" s="876">
        <f>'REF. DE PREÇOS n editavel'!I1109</f>
        <v>24.19</v>
      </c>
      <c r="J1109" s="877">
        <f>'REF. DE PREÇOS n editavel'!J1109</f>
        <v>29.57</v>
      </c>
      <c r="K1109" s="878" t="s">
        <v>62</v>
      </c>
      <c r="L1109" s="1092"/>
      <c r="M1109" s="1093">
        <f t="shared" si="132"/>
        <v>0</v>
      </c>
      <c r="N1109" s="868">
        <f t="shared" si="131"/>
        <v>0</v>
      </c>
      <c r="O1109" s="880"/>
      <c r="Q1109" s="317" t="str">
        <f t="shared" si="133"/>
        <v/>
      </c>
      <c r="R1109" s="317" t="str">
        <f t="shared" si="134"/>
        <v/>
      </c>
      <c r="S1109" s="317" t="str">
        <f t="shared" si="135"/>
        <v/>
      </c>
      <c r="T1109" s="317" t="str">
        <f>'REF. DE PREÇOS n editavel'!S1109</f>
        <v/>
      </c>
      <c r="W1109" s="577">
        <v>0</v>
      </c>
      <c r="X1109" s="575"/>
      <c r="Y1109" s="578">
        <f>IF('REF. DE PREÇOS n editavel'!W1109=0,0,IF('REF. DE PREÇOS n editavel'!W1109&gt;0,"c","b"))</f>
        <v>0</v>
      </c>
    </row>
    <row r="1110" spans="1:25" ht="22.5">
      <c r="A1110" s="317">
        <v>93009</v>
      </c>
      <c r="B1110" s="870">
        <v>93009</v>
      </c>
      <c r="C1110" s="871" t="s">
        <v>590</v>
      </c>
      <c r="D1110" s="881" t="s">
        <v>1024</v>
      </c>
      <c r="E1110" s="882">
        <f>'REF. DE PREÇOS n editavel'!E1110</f>
        <v>0</v>
      </c>
      <c r="F1110" s="883">
        <f>'REF. DE PREÇOS n editavel'!F1110</f>
        <v>0</v>
      </c>
      <c r="G1110" s="887">
        <f>'REF. DE PREÇOS n editavel'!G1110</f>
        <v>0</v>
      </c>
      <c r="H1110" s="876">
        <f>'REF. DE PREÇOS n editavel'!H1110</f>
        <v>36.299999999999997</v>
      </c>
      <c r="I1110" s="876">
        <f>'REF. DE PREÇOS n editavel'!I1110</f>
        <v>36.299999999999997</v>
      </c>
      <c r="J1110" s="877">
        <f>'REF. DE PREÇOS n editavel'!J1110</f>
        <v>44.37</v>
      </c>
      <c r="K1110" s="878" t="s">
        <v>62</v>
      </c>
      <c r="L1110" s="1092"/>
      <c r="M1110" s="1093">
        <f t="shared" si="132"/>
        <v>0</v>
      </c>
      <c r="N1110" s="868">
        <f t="shared" si="131"/>
        <v>0</v>
      </c>
      <c r="O1110" s="880"/>
      <c r="Q1110" s="317" t="str">
        <f t="shared" si="133"/>
        <v/>
      </c>
      <c r="R1110" s="317" t="str">
        <f t="shared" si="134"/>
        <v/>
      </c>
      <c r="S1110" s="317" t="str">
        <f t="shared" si="135"/>
        <v/>
      </c>
      <c r="T1110" s="317" t="str">
        <f>'REF. DE PREÇOS n editavel'!S1110</f>
        <v/>
      </c>
      <c r="W1110" s="577">
        <v>0</v>
      </c>
      <c r="X1110" s="575"/>
      <c r="Y1110" s="578">
        <f>IF('REF. DE PREÇOS n editavel'!W1110=0,0,IF('REF. DE PREÇOS n editavel'!W1110&gt;0,"c","b"))</f>
        <v>0</v>
      </c>
    </row>
    <row r="1111" spans="1:25" ht="22.5">
      <c r="A1111" s="317">
        <v>93010</v>
      </c>
      <c r="B1111" s="870">
        <v>93010</v>
      </c>
      <c r="C1111" s="871" t="s">
        <v>590</v>
      </c>
      <c r="D1111" s="881" t="s">
        <v>1025</v>
      </c>
      <c r="E1111" s="882">
        <f>'REF. DE PREÇOS n editavel'!E1111</f>
        <v>0</v>
      </c>
      <c r="F1111" s="883">
        <f>'REF. DE PREÇOS n editavel'!F1111</f>
        <v>0</v>
      </c>
      <c r="G1111" s="887">
        <f>'REF. DE PREÇOS n editavel'!G1111</f>
        <v>0</v>
      </c>
      <c r="H1111" s="876">
        <f>'REF. DE PREÇOS n editavel'!H1111</f>
        <v>50.91</v>
      </c>
      <c r="I1111" s="876">
        <f>'REF. DE PREÇOS n editavel'!I1111</f>
        <v>50.91</v>
      </c>
      <c r="J1111" s="877">
        <f>'REF. DE PREÇOS n editavel'!J1111</f>
        <v>62.22</v>
      </c>
      <c r="K1111" s="878" t="s">
        <v>62</v>
      </c>
      <c r="L1111" s="1092"/>
      <c r="M1111" s="1093">
        <f t="shared" si="132"/>
        <v>0</v>
      </c>
      <c r="N1111" s="868">
        <f t="shared" ref="N1111:N1174" si="136">IF(ISBLANK(L1111),0,IF(W1111=0,ROUND(L1111*M1111,2),IF(W1111="b",ROUNDDOWN(L1111*M1111,2),ROUNDUP(L1111*M1111,2))))</f>
        <v>0</v>
      </c>
      <c r="O1111" s="880"/>
      <c r="Q1111" s="317" t="str">
        <f t="shared" si="133"/>
        <v/>
      </c>
      <c r="R1111" s="317" t="str">
        <f t="shared" si="134"/>
        <v/>
      </c>
      <c r="S1111" s="317" t="str">
        <f t="shared" si="135"/>
        <v/>
      </c>
      <c r="T1111" s="317" t="str">
        <f>'REF. DE PREÇOS n editavel'!S1111</f>
        <v/>
      </c>
      <c r="W1111" s="577">
        <v>0</v>
      </c>
      <c r="X1111" s="575"/>
      <c r="Y1111" s="578">
        <f>IF('REF. DE PREÇOS n editavel'!W1111=0,0,IF('REF. DE PREÇOS n editavel'!W1111&gt;0,"c","b"))</f>
        <v>0</v>
      </c>
    </row>
    <row r="1112" spans="1:25" ht="22.5">
      <c r="A1112" s="317">
        <v>93011</v>
      </c>
      <c r="B1112" s="870">
        <v>93011</v>
      </c>
      <c r="C1112" s="871" t="s">
        <v>590</v>
      </c>
      <c r="D1112" s="881" t="s">
        <v>1026</v>
      </c>
      <c r="E1112" s="882">
        <f>'REF. DE PREÇOS n editavel'!E1112</f>
        <v>0</v>
      </c>
      <c r="F1112" s="883">
        <f>'REF. DE PREÇOS n editavel'!F1112</f>
        <v>0</v>
      </c>
      <c r="G1112" s="887">
        <f>'REF. DE PREÇOS n editavel'!G1112</f>
        <v>0</v>
      </c>
      <c r="H1112" s="876">
        <f>'REF. DE PREÇOS n editavel'!H1112</f>
        <v>62.51</v>
      </c>
      <c r="I1112" s="876">
        <f>'REF. DE PREÇOS n editavel'!I1112</f>
        <v>62.51</v>
      </c>
      <c r="J1112" s="877">
        <f>'REF. DE PREÇOS n editavel'!J1112</f>
        <v>76.400000000000006</v>
      </c>
      <c r="K1112" s="878" t="s">
        <v>62</v>
      </c>
      <c r="L1112" s="1092"/>
      <c r="M1112" s="1093">
        <f t="shared" si="132"/>
        <v>0</v>
      </c>
      <c r="N1112" s="868">
        <f t="shared" si="136"/>
        <v>0</v>
      </c>
      <c r="O1112" s="880"/>
      <c r="Q1112" s="317" t="str">
        <f t="shared" si="133"/>
        <v/>
      </c>
      <c r="R1112" s="317" t="str">
        <f t="shared" si="134"/>
        <v/>
      </c>
      <c r="S1112" s="317" t="str">
        <f t="shared" si="135"/>
        <v/>
      </c>
      <c r="T1112" s="317" t="str">
        <f>'REF. DE PREÇOS n editavel'!S1112</f>
        <v/>
      </c>
      <c r="W1112" s="577">
        <v>0</v>
      </c>
      <c r="X1112" s="575"/>
      <c r="Y1112" s="578">
        <f>IF('REF. DE PREÇOS n editavel'!W1112=0,0,IF('REF. DE PREÇOS n editavel'!W1112&gt;0,"c","b"))</f>
        <v>0</v>
      </c>
    </row>
    <row r="1113" spans="1:25" ht="22.5">
      <c r="A1113" s="317">
        <v>93012</v>
      </c>
      <c r="B1113" s="870">
        <v>93012</v>
      </c>
      <c r="C1113" s="871" t="s">
        <v>590</v>
      </c>
      <c r="D1113" s="881" t="s">
        <v>1027</v>
      </c>
      <c r="E1113" s="882">
        <f>'REF. DE PREÇOS n editavel'!E1113</f>
        <v>0</v>
      </c>
      <c r="F1113" s="883">
        <f>'REF. DE PREÇOS n editavel'!F1113</f>
        <v>0</v>
      </c>
      <c r="G1113" s="887">
        <f>'REF. DE PREÇOS n editavel'!G1113</f>
        <v>0</v>
      </c>
      <c r="H1113" s="876">
        <f>'REF. DE PREÇOS n editavel'!H1113</f>
        <v>95.11</v>
      </c>
      <c r="I1113" s="876">
        <f>'REF. DE PREÇOS n editavel'!I1113</f>
        <v>95.11</v>
      </c>
      <c r="J1113" s="877">
        <f>'REF. DE PREÇOS n editavel'!J1113</f>
        <v>116.24</v>
      </c>
      <c r="K1113" s="878" t="s">
        <v>62</v>
      </c>
      <c r="L1113" s="1092"/>
      <c r="M1113" s="1093">
        <f t="shared" si="132"/>
        <v>0</v>
      </c>
      <c r="N1113" s="868">
        <f t="shared" si="136"/>
        <v>0</v>
      </c>
      <c r="O1113" s="880"/>
      <c r="Q1113" s="317" t="str">
        <f t="shared" si="133"/>
        <v/>
      </c>
      <c r="R1113" s="317" t="str">
        <f t="shared" si="134"/>
        <v/>
      </c>
      <c r="S1113" s="317" t="str">
        <f t="shared" si="135"/>
        <v/>
      </c>
      <c r="T1113" s="317" t="str">
        <f>'REF. DE PREÇOS n editavel'!S1113</f>
        <v/>
      </c>
      <c r="W1113" s="577">
        <v>0</v>
      </c>
      <c r="X1113" s="575"/>
      <c r="Y1113" s="578">
        <f>IF('REF. DE PREÇOS n editavel'!W1113=0,0,IF('REF. DE PREÇOS n editavel'!W1113&gt;0,"c","b"))</f>
        <v>0</v>
      </c>
    </row>
    <row r="1114" spans="1:25" ht="22.5">
      <c r="A1114" s="317">
        <v>95726</v>
      </c>
      <c r="B1114" s="870">
        <v>95726</v>
      </c>
      <c r="C1114" s="871" t="s">
        <v>590</v>
      </c>
      <c r="D1114" s="881" t="s">
        <v>1028</v>
      </c>
      <c r="E1114" s="882">
        <f>'REF. DE PREÇOS n editavel'!E1114</f>
        <v>0</v>
      </c>
      <c r="F1114" s="883">
        <f>'REF. DE PREÇOS n editavel'!F1114</f>
        <v>0</v>
      </c>
      <c r="G1114" s="887">
        <f>'REF. DE PREÇOS n editavel'!G1114</f>
        <v>0</v>
      </c>
      <c r="H1114" s="876">
        <f>'REF. DE PREÇOS n editavel'!H1114</f>
        <v>10.94</v>
      </c>
      <c r="I1114" s="876">
        <f>'REF. DE PREÇOS n editavel'!I1114</f>
        <v>10.94</v>
      </c>
      <c r="J1114" s="877">
        <f>'REF. DE PREÇOS n editavel'!J1114</f>
        <v>13.37</v>
      </c>
      <c r="K1114" s="878" t="s">
        <v>62</v>
      </c>
      <c r="L1114" s="1092"/>
      <c r="M1114" s="1093">
        <f t="shared" si="132"/>
        <v>0</v>
      </c>
      <c r="N1114" s="868">
        <f t="shared" si="136"/>
        <v>0</v>
      </c>
      <c r="O1114" s="880"/>
      <c r="Q1114" s="317" t="str">
        <f t="shared" si="133"/>
        <v/>
      </c>
      <c r="R1114" s="317" t="str">
        <f t="shared" si="134"/>
        <v/>
      </c>
      <c r="S1114" s="317" t="str">
        <f t="shared" si="135"/>
        <v/>
      </c>
      <c r="T1114" s="317" t="str">
        <f>'REF. DE PREÇOS n editavel'!S1114</f>
        <v/>
      </c>
      <c r="W1114" s="577">
        <v>0</v>
      </c>
      <c r="X1114" s="575"/>
      <c r="Y1114" s="578">
        <f>IF('REF. DE PREÇOS n editavel'!W1114=0,0,IF('REF. DE PREÇOS n editavel'!W1114&gt;0,"c","b"))</f>
        <v>0</v>
      </c>
    </row>
    <row r="1115" spans="1:25" ht="22.5">
      <c r="A1115" s="317">
        <v>95727</v>
      </c>
      <c r="B1115" s="870">
        <v>95727</v>
      </c>
      <c r="C1115" s="871" t="s">
        <v>590</v>
      </c>
      <c r="D1115" s="881" t="s">
        <v>1029</v>
      </c>
      <c r="E1115" s="882">
        <f>'REF. DE PREÇOS n editavel'!E1115</f>
        <v>0</v>
      </c>
      <c r="F1115" s="883">
        <f>'REF. DE PREÇOS n editavel'!F1115</f>
        <v>0</v>
      </c>
      <c r="G1115" s="887">
        <f>'REF. DE PREÇOS n editavel'!G1115</f>
        <v>0</v>
      </c>
      <c r="H1115" s="876">
        <f>'REF. DE PREÇOS n editavel'!H1115</f>
        <v>15.28</v>
      </c>
      <c r="I1115" s="876">
        <f>'REF. DE PREÇOS n editavel'!I1115</f>
        <v>15.28</v>
      </c>
      <c r="J1115" s="877">
        <f>'REF. DE PREÇOS n editavel'!J1115</f>
        <v>18.68</v>
      </c>
      <c r="K1115" s="878" t="s">
        <v>62</v>
      </c>
      <c r="L1115" s="1092"/>
      <c r="M1115" s="1093">
        <f t="shared" si="132"/>
        <v>0</v>
      </c>
      <c r="N1115" s="868">
        <f t="shared" si="136"/>
        <v>0</v>
      </c>
      <c r="O1115" s="880"/>
      <c r="Q1115" s="317" t="str">
        <f t="shared" si="133"/>
        <v/>
      </c>
      <c r="R1115" s="317" t="str">
        <f t="shared" si="134"/>
        <v/>
      </c>
      <c r="S1115" s="317" t="str">
        <f t="shared" si="135"/>
        <v/>
      </c>
      <c r="T1115" s="317" t="str">
        <f>'REF. DE PREÇOS n editavel'!S1115</f>
        <v/>
      </c>
      <c r="W1115" s="577">
        <v>0</v>
      </c>
      <c r="X1115" s="575"/>
      <c r="Y1115" s="578">
        <f>IF('REF. DE PREÇOS n editavel'!W1115=0,0,IF('REF. DE PREÇOS n editavel'!W1115&gt;0,"c","b"))</f>
        <v>0</v>
      </c>
    </row>
    <row r="1116" spans="1:25" ht="22.5">
      <c r="A1116" s="317">
        <v>95728</v>
      </c>
      <c r="B1116" s="870">
        <v>95728</v>
      </c>
      <c r="C1116" s="871" t="s">
        <v>590</v>
      </c>
      <c r="D1116" s="881" t="s">
        <v>1030</v>
      </c>
      <c r="E1116" s="882">
        <f>'REF. DE PREÇOS n editavel'!E1116</f>
        <v>0</v>
      </c>
      <c r="F1116" s="883">
        <f>'REF. DE PREÇOS n editavel'!F1116</f>
        <v>0</v>
      </c>
      <c r="G1116" s="887">
        <f>'REF. DE PREÇOS n editavel'!G1116</f>
        <v>0</v>
      </c>
      <c r="H1116" s="876">
        <f>'REF. DE PREÇOS n editavel'!H1116</f>
        <v>22.47</v>
      </c>
      <c r="I1116" s="876">
        <f>'REF. DE PREÇOS n editavel'!I1116</f>
        <v>22.47</v>
      </c>
      <c r="J1116" s="877">
        <f>'REF. DE PREÇOS n editavel'!J1116</f>
        <v>27.46</v>
      </c>
      <c r="K1116" s="878" t="s">
        <v>62</v>
      </c>
      <c r="L1116" s="1092"/>
      <c r="M1116" s="1093">
        <f t="shared" si="132"/>
        <v>0</v>
      </c>
      <c r="N1116" s="868">
        <f t="shared" si="136"/>
        <v>0</v>
      </c>
      <c r="O1116" s="880"/>
      <c r="Q1116" s="317" t="str">
        <f t="shared" si="133"/>
        <v/>
      </c>
      <c r="R1116" s="317" t="str">
        <f t="shared" si="134"/>
        <v/>
      </c>
      <c r="S1116" s="317" t="str">
        <f t="shared" si="135"/>
        <v/>
      </c>
      <c r="T1116" s="317" t="str">
        <f>'REF. DE PREÇOS n editavel'!S1116</f>
        <v/>
      </c>
      <c r="W1116" s="577">
        <v>0</v>
      </c>
      <c r="X1116" s="575"/>
      <c r="Y1116" s="578">
        <f>IF('REF. DE PREÇOS n editavel'!W1116=0,0,IF('REF. DE PREÇOS n editavel'!W1116&gt;0,"c","b"))</f>
        <v>0</v>
      </c>
    </row>
    <row r="1117" spans="1:25" ht="22.5">
      <c r="A1117" s="317">
        <v>95729</v>
      </c>
      <c r="B1117" s="870">
        <v>95729</v>
      </c>
      <c r="C1117" s="871" t="s">
        <v>590</v>
      </c>
      <c r="D1117" s="881" t="s">
        <v>1031</v>
      </c>
      <c r="E1117" s="882">
        <f>'REF. DE PREÇOS n editavel'!E1117</f>
        <v>0</v>
      </c>
      <c r="F1117" s="883">
        <f>'REF. DE PREÇOS n editavel'!F1117</f>
        <v>0</v>
      </c>
      <c r="G1117" s="887">
        <f>'REF. DE PREÇOS n editavel'!G1117</f>
        <v>0</v>
      </c>
      <c r="H1117" s="876">
        <f>'REF. DE PREÇOS n editavel'!H1117</f>
        <v>10.130000000000001</v>
      </c>
      <c r="I1117" s="876">
        <f>'REF. DE PREÇOS n editavel'!I1117</f>
        <v>10.130000000000001</v>
      </c>
      <c r="J1117" s="877">
        <f>'REF. DE PREÇOS n editavel'!J1117</f>
        <v>12.38</v>
      </c>
      <c r="K1117" s="878" t="s">
        <v>62</v>
      </c>
      <c r="L1117" s="1092"/>
      <c r="M1117" s="1093">
        <f t="shared" si="132"/>
        <v>0</v>
      </c>
      <c r="N1117" s="868">
        <f t="shared" si="136"/>
        <v>0</v>
      </c>
      <c r="O1117" s="880"/>
      <c r="Q1117" s="317" t="str">
        <f t="shared" si="133"/>
        <v/>
      </c>
      <c r="R1117" s="317" t="str">
        <f t="shared" si="134"/>
        <v/>
      </c>
      <c r="S1117" s="317" t="str">
        <f t="shared" si="135"/>
        <v/>
      </c>
      <c r="T1117" s="317" t="str">
        <f>'REF. DE PREÇOS n editavel'!S1117</f>
        <v/>
      </c>
      <c r="W1117" s="577">
        <v>0</v>
      </c>
      <c r="X1117" s="575"/>
      <c r="Y1117" s="578">
        <f>IF('REF. DE PREÇOS n editavel'!W1117=0,0,IF('REF. DE PREÇOS n editavel'!W1117&gt;0,"c","b"))</f>
        <v>0</v>
      </c>
    </row>
    <row r="1118" spans="1:25" ht="22.5">
      <c r="A1118" s="317">
        <v>95730</v>
      </c>
      <c r="B1118" s="870">
        <v>95730</v>
      </c>
      <c r="C1118" s="871" t="s">
        <v>590</v>
      </c>
      <c r="D1118" s="881" t="s">
        <v>1032</v>
      </c>
      <c r="E1118" s="882">
        <f>'REF. DE PREÇOS n editavel'!E1118</f>
        <v>0</v>
      </c>
      <c r="F1118" s="883">
        <f>'REF. DE PREÇOS n editavel'!F1118</f>
        <v>0</v>
      </c>
      <c r="G1118" s="887">
        <f>'REF. DE PREÇOS n editavel'!G1118</f>
        <v>0</v>
      </c>
      <c r="H1118" s="876">
        <f>'REF. DE PREÇOS n editavel'!H1118</f>
        <v>11.31</v>
      </c>
      <c r="I1118" s="876">
        <f>'REF. DE PREÇOS n editavel'!I1118</f>
        <v>11.31</v>
      </c>
      <c r="J1118" s="877">
        <f>'REF. DE PREÇOS n editavel'!J1118</f>
        <v>13.82</v>
      </c>
      <c r="K1118" s="878" t="s">
        <v>62</v>
      </c>
      <c r="L1118" s="1092"/>
      <c r="M1118" s="1093">
        <f t="shared" si="132"/>
        <v>0</v>
      </c>
      <c r="N1118" s="868">
        <f t="shared" si="136"/>
        <v>0</v>
      </c>
      <c r="O1118" s="880"/>
      <c r="Q1118" s="317" t="str">
        <f t="shared" si="133"/>
        <v/>
      </c>
      <c r="R1118" s="317" t="str">
        <f t="shared" si="134"/>
        <v/>
      </c>
      <c r="S1118" s="317" t="str">
        <f t="shared" si="135"/>
        <v/>
      </c>
      <c r="T1118" s="317" t="str">
        <f>'REF. DE PREÇOS n editavel'!S1118</f>
        <v/>
      </c>
      <c r="W1118" s="577">
        <v>0</v>
      </c>
      <c r="X1118" s="575"/>
      <c r="Y1118" s="578">
        <f>IF('REF. DE PREÇOS n editavel'!W1118=0,0,IF('REF. DE PREÇOS n editavel'!W1118&gt;0,"c","b"))</f>
        <v>0</v>
      </c>
    </row>
    <row r="1119" spans="1:25" ht="22.5">
      <c r="A1119" s="317">
        <v>95731</v>
      </c>
      <c r="B1119" s="870">
        <v>95731</v>
      </c>
      <c r="C1119" s="871" t="s">
        <v>590</v>
      </c>
      <c r="D1119" s="881" t="s">
        <v>1033</v>
      </c>
      <c r="E1119" s="882">
        <f>'REF. DE PREÇOS n editavel'!E1119</f>
        <v>0</v>
      </c>
      <c r="F1119" s="883">
        <f>'REF. DE PREÇOS n editavel'!F1119</f>
        <v>0</v>
      </c>
      <c r="G1119" s="887">
        <f>'REF. DE PREÇOS n editavel'!G1119</f>
        <v>0</v>
      </c>
      <c r="H1119" s="876">
        <f>'REF. DE PREÇOS n editavel'!H1119</f>
        <v>13.96</v>
      </c>
      <c r="I1119" s="876">
        <f>'REF. DE PREÇOS n editavel'!I1119</f>
        <v>13.96</v>
      </c>
      <c r="J1119" s="877">
        <f>'REF. DE PREÇOS n editavel'!J1119</f>
        <v>17.059999999999999</v>
      </c>
      <c r="K1119" s="878" t="s">
        <v>62</v>
      </c>
      <c r="L1119" s="1092"/>
      <c r="M1119" s="1093">
        <f t="shared" si="132"/>
        <v>0</v>
      </c>
      <c r="N1119" s="868">
        <f t="shared" si="136"/>
        <v>0</v>
      </c>
      <c r="O1119" s="880"/>
      <c r="Q1119" s="317" t="str">
        <f t="shared" si="133"/>
        <v/>
      </c>
      <c r="R1119" s="317" t="str">
        <f t="shared" si="134"/>
        <v/>
      </c>
      <c r="S1119" s="317" t="str">
        <f t="shared" si="135"/>
        <v/>
      </c>
      <c r="T1119" s="317" t="str">
        <f>'REF. DE PREÇOS n editavel'!S1119</f>
        <v/>
      </c>
      <c r="W1119" s="577">
        <v>0</v>
      </c>
      <c r="X1119" s="575"/>
      <c r="Y1119" s="578">
        <f>IF('REF. DE PREÇOS n editavel'!W1119=0,0,IF('REF. DE PREÇOS n editavel'!W1119&gt;0,"c","b"))</f>
        <v>0</v>
      </c>
    </row>
    <row r="1120" spans="1:25" ht="22.5">
      <c r="A1120" s="317">
        <v>95733</v>
      </c>
      <c r="B1120" s="870">
        <v>95733</v>
      </c>
      <c r="C1120" s="871" t="s">
        <v>590</v>
      </c>
      <c r="D1120" s="881" t="s">
        <v>1034</v>
      </c>
      <c r="E1120" s="882">
        <f>'REF. DE PREÇOS n editavel'!E1120</f>
        <v>0</v>
      </c>
      <c r="F1120" s="883">
        <f>'REF. DE PREÇOS n editavel'!F1120</f>
        <v>0</v>
      </c>
      <c r="G1120" s="887">
        <f>'REF. DE PREÇOS n editavel'!G1120</f>
        <v>0</v>
      </c>
      <c r="H1120" s="876">
        <f>'REF. DE PREÇOS n editavel'!H1120</f>
        <v>6.78</v>
      </c>
      <c r="I1120" s="876">
        <f>'REF. DE PREÇOS n editavel'!I1120</f>
        <v>6.78</v>
      </c>
      <c r="J1120" s="877">
        <f>'REF. DE PREÇOS n editavel'!J1120</f>
        <v>8.2899999999999991</v>
      </c>
      <c r="K1120" s="878" t="s">
        <v>1500</v>
      </c>
      <c r="L1120" s="1092"/>
      <c r="M1120" s="1093">
        <f t="shared" si="132"/>
        <v>0</v>
      </c>
      <c r="N1120" s="868">
        <f t="shared" si="136"/>
        <v>0</v>
      </c>
      <c r="O1120" s="880"/>
      <c r="Q1120" s="317" t="str">
        <f t="shared" si="133"/>
        <v/>
      </c>
      <c r="R1120" s="317" t="str">
        <f t="shared" si="134"/>
        <v/>
      </c>
      <c r="S1120" s="317" t="str">
        <f t="shared" si="135"/>
        <v/>
      </c>
      <c r="T1120" s="317" t="str">
        <f>'REF. DE PREÇOS n editavel'!S1120</f>
        <v/>
      </c>
      <c r="W1120" s="577">
        <v>0</v>
      </c>
      <c r="X1120" s="575"/>
      <c r="Y1120" s="578">
        <f>IF('REF. DE PREÇOS n editavel'!W1120=0,0,IF('REF. DE PREÇOS n editavel'!W1120&gt;0,"c","b"))</f>
        <v>0</v>
      </c>
    </row>
    <row r="1121" spans="1:25" ht="22.5">
      <c r="A1121" s="317">
        <v>95734</v>
      </c>
      <c r="B1121" s="870">
        <v>95734</v>
      </c>
      <c r="C1121" s="871" t="s">
        <v>590</v>
      </c>
      <c r="D1121" s="881" t="s">
        <v>1035</v>
      </c>
      <c r="E1121" s="882">
        <f>'REF. DE PREÇOS n editavel'!E1121</f>
        <v>0</v>
      </c>
      <c r="F1121" s="883">
        <f>'REF. DE PREÇOS n editavel'!F1121</f>
        <v>0</v>
      </c>
      <c r="G1121" s="887">
        <f>'REF. DE PREÇOS n editavel'!G1121</f>
        <v>0</v>
      </c>
      <c r="H1121" s="876">
        <f>'REF. DE PREÇOS n editavel'!H1121</f>
        <v>9.0299999999999994</v>
      </c>
      <c r="I1121" s="876">
        <f>'REF. DE PREÇOS n editavel'!I1121</f>
        <v>9.0299999999999994</v>
      </c>
      <c r="J1121" s="877">
        <f>'REF. DE PREÇOS n editavel'!J1121</f>
        <v>11.04</v>
      </c>
      <c r="K1121" s="878" t="s">
        <v>1500</v>
      </c>
      <c r="L1121" s="1092"/>
      <c r="M1121" s="1093">
        <f t="shared" si="132"/>
        <v>0</v>
      </c>
      <c r="N1121" s="868">
        <f t="shared" si="136"/>
        <v>0</v>
      </c>
      <c r="O1121" s="880"/>
      <c r="Q1121" s="317" t="str">
        <f t="shared" si="133"/>
        <v/>
      </c>
      <c r="R1121" s="317" t="str">
        <f t="shared" si="134"/>
        <v/>
      </c>
      <c r="S1121" s="317" t="str">
        <f t="shared" si="135"/>
        <v/>
      </c>
      <c r="T1121" s="317" t="str">
        <f>'REF. DE PREÇOS n editavel'!S1121</f>
        <v/>
      </c>
      <c r="W1121" s="577">
        <v>0</v>
      </c>
      <c r="X1121" s="575"/>
      <c r="Y1121" s="578">
        <f>IF('REF. DE PREÇOS n editavel'!W1121=0,0,IF('REF. DE PREÇOS n editavel'!W1121&gt;0,"c","b"))</f>
        <v>0</v>
      </c>
    </row>
    <row r="1122" spans="1:25" ht="22.5">
      <c r="A1122" s="317">
        <v>95735</v>
      </c>
      <c r="B1122" s="870">
        <v>95735</v>
      </c>
      <c r="C1122" s="871" t="s">
        <v>590</v>
      </c>
      <c r="D1122" s="881" t="s">
        <v>1036</v>
      </c>
      <c r="E1122" s="882">
        <f>'REF. DE PREÇOS n editavel'!E1122</f>
        <v>0</v>
      </c>
      <c r="F1122" s="883">
        <f>'REF. DE PREÇOS n editavel'!F1122</f>
        <v>0</v>
      </c>
      <c r="G1122" s="887">
        <f>'REF. DE PREÇOS n editavel'!G1122</f>
        <v>0</v>
      </c>
      <c r="H1122" s="876">
        <f>'REF. DE PREÇOS n editavel'!H1122</f>
        <v>7.48</v>
      </c>
      <c r="I1122" s="876">
        <f>'REF. DE PREÇOS n editavel'!I1122</f>
        <v>7.48</v>
      </c>
      <c r="J1122" s="877">
        <f>'REF. DE PREÇOS n editavel'!J1122</f>
        <v>9.14</v>
      </c>
      <c r="K1122" s="878" t="s">
        <v>1500</v>
      </c>
      <c r="L1122" s="1092"/>
      <c r="M1122" s="1093">
        <f t="shared" si="132"/>
        <v>0</v>
      </c>
      <c r="N1122" s="868">
        <f t="shared" si="136"/>
        <v>0</v>
      </c>
      <c r="O1122" s="880"/>
      <c r="Q1122" s="317" t="str">
        <f t="shared" si="133"/>
        <v/>
      </c>
      <c r="R1122" s="317" t="str">
        <f t="shared" si="134"/>
        <v/>
      </c>
      <c r="S1122" s="317" t="str">
        <f t="shared" si="135"/>
        <v/>
      </c>
      <c r="T1122" s="317" t="str">
        <f>'REF. DE PREÇOS n editavel'!S1122</f>
        <v/>
      </c>
      <c r="W1122" s="577">
        <v>0</v>
      </c>
      <c r="X1122" s="575"/>
      <c r="Y1122" s="578">
        <f>IF('REF. DE PREÇOS n editavel'!W1122=0,0,IF('REF. DE PREÇOS n editavel'!W1122&gt;0,"c","b"))</f>
        <v>0</v>
      </c>
    </row>
    <row r="1123" spans="1:25" ht="22.5">
      <c r="A1123" s="317">
        <v>95736</v>
      </c>
      <c r="B1123" s="870">
        <v>95736</v>
      </c>
      <c r="C1123" s="871" t="s">
        <v>590</v>
      </c>
      <c r="D1123" s="881" t="s">
        <v>1037</v>
      </c>
      <c r="E1123" s="882">
        <f>'REF. DE PREÇOS n editavel'!E1123</f>
        <v>0</v>
      </c>
      <c r="F1123" s="883">
        <f>'REF. DE PREÇOS n editavel'!F1123</f>
        <v>0</v>
      </c>
      <c r="G1123" s="887">
        <f>'REF. DE PREÇOS n editavel'!G1123</f>
        <v>0</v>
      </c>
      <c r="H1123" s="876">
        <f>'REF. DE PREÇOS n editavel'!H1123</f>
        <v>8.85</v>
      </c>
      <c r="I1123" s="876">
        <f>'REF. DE PREÇOS n editavel'!I1123</f>
        <v>8.85</v>
      </c>
      <c r="J1123" s="877">
        <f>'REF. DE PREÇOS n editavel'!J1123</f>
        <v>10.82</v>
      </c>
      <c r="K1123" s="878" t="s">
        <v>1500</v>
      </c>
      <c r="L1123" s="1092"/>
      <c r="M1123" s="1093">
        <f t="shared" si="132"/>
        <v>0</v>
      </c>
      <c r="N1123" s="868">
        <f t="shared" si="136"/>
        <v>0</v>
      </c>
      <c r="O1123" s="880"/>
      <c r="Q1123" s="317" t="str">
        <f t="shared" si="133"/>
        <v/>
      </c>
      <c r="R1123" s="317" t="str">
        <f t="shared" si="134"/>
        <v/>
      </c>
      <c r="S1123" s="317" t="str">
        <f t="shared" si="135"/>
        <v/>
      </c>
      <c r="T1123" s="317" t="str">
        <f>'REF. DE PREÇOS n editavel'!S1123</f>
        <v/>
      </c>
      <c r="W1123" s="577">
        <v>0</v>
      </c>
      <c r="X1123" s="575"/>
      <c r="Y1123" s="578">
        <f>IF('REF. DE PREÇOS n editavel'!W1123=0,0,IF('REF. DE PREÇOS n editavel'!W1123&gt;0,"c","b"))</f>
        <v>0</v>
      </c>
    </row>
    <row r="1124" spans="1:25" ht="22.5">
      <c r="A1124" s="317">
        <v>95738</v>
      </c>
      <c r="B1124" s="870">
        <v>95738</v>
      </c>
      <c r="C1124" s="871" t="s">
        <v>590</v>
      </c>
      <c r="D1124" s="881" t="s">
        <v>1038</v>
      </c>
      <c r="E1124" s="882">
        <f>'REF. DE PREÇOS n editavel'!E1124</f>
        <v>0</v>
      </c>
      <c r="F1124" s="883">
        <f>'REF. DE PREÇOS n editavel'!F1124</f>
        <v>0</v>
      </c>
      <c r="G1124" s="887">
        <f>'REF. DE PREÇOS n editavel'!G1124</f>
        <v>0</v>
      </c>
      <c r="H1124" s="876">
        <f>'REF. DE PREÇOS n editavel'!H1124</f>
        <v>10.71</v>
      </c>
      <c r="I1124" s="876">
        <f>'REF. DE PREÇOS n editavel'!I1124</f>
        <v>10.71</v>
      </c>
      <c r="J1124" s="877">
        <f>'REF. DE PREÇOS n editavel'!J1124</f>
        <v>13.09</v>
      </c>
      <c r="K1124" s="878" t="s">
        <v>1500</v>
      </c>
      <c r="L1124" s="1092"/>
      <c r="M1124" s="1093">
        <f t="shared" si="132"/>
        <v>0</v>
      </c>
      <c r="N1124" s="868">
        <f t="shared" si="136"/>
        <v>0</v>
      </c>
      <c r="O1124" s="880"/>
      <c r="Q1124" s="317" t="str">
        <f t="shared" si="133"/>
        <v/>
      </c>
      <c r="R1124" s="317" t="str">
        <f t="shared" si="134"/>
        <v/>
      </c>
      <c r="S1124" s="317" t="str">
        <f t="shared" si="135"/>
        <v/>
      </c>
      <c r="T1124" s="317" t="str">
        <f>'REF. DE PREÇOS n editavel'!S1124</f>
        <v/>
      </c>
      <c r="W1124" s="577">
        <v>0</v>
      </c>
      <c r="X1124" s="575"/>
      <c r="Y1124" s="578">
        <f>IF('REF. DE PREÇOS n editavel'!W1124=0,0,IF('REF. DE PREÇOS n editavel'!W1124&gt;0,"c","b"))</f>
        <v>0</v>
      </c>
    </row>
    <row r="1125" spans="1:25" ht="22.5">
      <c r="A1125" s="317">
        <v>95732</v>
      </c>
      <c r="B1125" s="870">
        <v>95732</v>
      </c>
      <c r="C1125" s="871" t="s">
        <v>590</v>
      </c>
      <c r="D1125" s="881" t="s">
        <v>1039</v>
      </c>
      <c r="E1125" s="882">
        <f>'REF. DE PREÇOS n editavel'!E1125</f>
        <v>0</v>
      </c>
      <c r="F1125" s="883">
        <f>'REF. DE PREÇOS n editavel'!F1125</f>
        <v>0</v>
      </c>
      <c r="G1125" s="887">
        <f>'REF. DE PREÇOS n editavel'!G1125</f>
        <v>0</v>
      </c>
      <c r="H1125" s="876">
        <f>'REF. DE PREÇOS n editavel'!H1125</f>
        <v>5.14</v>
      </c>
      <c r="I1125" s="876">
        <f>'REF. DE PREÇOS n editavel'!I1125</f>
        <v>5.14</v>
      </c>
      <c r="J1125" s="877">
        <f>'REF. DE PREÇOS n editavel'!J1125</f>
        <v>6.28</v>
      </c>
      <c r="K1125" s="878" t="s">
        <v>1500</v>
      </c>
      <c r="L1125" s="1092"/>
      <c r="M1125" s="1093">
        <f t="shared" si="132"/>
        <v>0</v>
      </c>
      <c r="N1125" s="868">
        <f t="shared" si="136"/>
        <v>0</v>
      </c>
      <c r="O1125" s="880"/>
      <c r="Q1125" s="317" t="str">
        <f t="shared" si="133"/>
        <v/>
      </c>
      <c r="R1125" s="317" t="str">
        <f t="shared" si="134"/>
        <v/>
      </c>
      <c r="S1125" s="317" t="str">
        <f t="shared" si="135"/>
        <v/>
      </c>
      <c r="T1125" s="317" t="str">
        <f>'REF. DE PREÇOS n editavel'!S1125</f>
        <v/>
      </c>
      <c r="W1125" s="577">
        <v>0</v>
      </c>
      <c r="X1125" s="575"/>
      <c r="Y1125" s="578">
        <f>IF('REF. DE PREÇOS n editavel'!W1125=0,0,IF('REF. DE PREÇOS n editavel'!W1125&gt;0,"c","b"))</f>
        <v>0</v>
      </c>
    </row>
    <row r="1126" spans="1:25" ht="22.5">
      <c r="A1126" s="317">
        <v>95745</v>
      </c>
      <c r="B1126" s="870">
        <v>95745</v>
      </c>
      <c r="C1126" s="871" t="s">
        <v>590</v>
      </c>
      <c r="D1126" s="881" t="s">
        <v>1040</v>
      </c>
      <c r="E1126" s="882">
        <f>'REF. DE PREÇOS n editavel'!E1126</f>
        <v>0</v>
      </c>
      <c r="F1126" s="883">
        <f>'REF. DE PREÇOS n editavel'!F1126</f>
        <v>0</v>
      </c>
      <c r="G1126" s="887">
        <f>'REF. DE PREÇOS n editavel'!G1126</f>
        <v>0</v>
      </c>
      <c r="H1126" s="876">
        <f>'REF. DE PREÇOS n editavel'!H1126</f>
        <v>23.89</v>
      </c>
      <c r="I1126" s="876">
        <f>'REF. DE PREÇOS n editavel'!I1126</f>
        <v>23.89</v>
      </c>
      <c r="J1126" s="877">
        <f>'REF. DE PREÇOS n editavel'!J1126</f>
        <v>29.2</v>
      </c>
      <c r="K1126" s="878" t="s">
        <v>62</v>
      </c>
      <c r="L1126" s="1092"/>
      <c r="M1126" s="1093">
        <f t="shared" si="132"/>
        <v>0</v>
      </c>
      <c r="N1126" s="868">
        <f t="shared" si="136"/>
        <v>0</v>
      </c>
      <c r="O1126" s="880"/>
      <c r="Q1126" s="317" t="str">
        <f t="shared" si="133"/>
        <v/>
      </c>
      <c r="R1126" s="317" t="str">
        <f t="shared" si="134"/>
        <v/>
      </c>
      <c r="S1126" s="317" t="str">
        <f t="shared" si="135"/>
        <v/>
      </c>
      <c r="T1126" s="317" t="str">
        <f>'REF. DE PREÇOS n editavel'!S1126</f>
        <v/>
      </c>
      <c r="W1126" s="577">
        <v>0</v>
      </c>
      <c r="X1126" s="575"/>
      <c r="Y1126" s="578">
        <f>IF('REF. DE PREÇOS n editavel'!W1126=0,0,IF('REF. DE PREÇOS n editavel'!W1126&gt;0,"c","b"))</f>
        <v>0</v>
      </c>
    </row>
    <row r="1127" spans="1:25" ht="22.5">
      <c r="A1127" s="317">
        <v>95746</v>
      </c>
      <c r="B1127" s="870">
        <v>95746</v>
      </c>
      <c r="C1127" s="871" t="s">
        <v>590</v>
      </c>
      <c r="D1127" s="881" t="s">
        <v>1041</v>
      </c>
      <c r="E1127" s="882">
        <f>'REF. DE PREÇOS n editavel'!E1127</f>
        <v>0</v>
      </c>
      <c r="F1127" s="883">
        <f>'REF. DE PREÇOS n editavel'!F1127</f>
        <v>0</v>
      </c>
      <c r="G1127" s="887">
        <f>'REF. DE PREÇOS n editavel'!G1127</f>
        <v>0</v>
      </c>
      <c r="H1127" s="876">
        <f>'REF. DE PREÇOS n editavel'!H1127</f>
        <v>29.71</v>
      </c>
      <c r="I1127" s="876">
        <f>'REF. DE PREÇOS n editavel'!I1127</f>
        <v>29.71</v>
      </c>
      <c r="J1127" s="877">
        <f>'REF. DE PREÇOS n editavel'!J1127</f>
        <v>36.31</v>
      </c>
      <c r="K1127" s="878" t="s">
        <v>62</v>
      </c>
      <c r="L1127" s="1092"/>
      <c r="M1127" s="1093">
        <f t="shared" si="132"/>
        <v>0</v>
      </c>
      <c r="N1127" s="868">
        <f t="shared" si="136"/>
        <v>0</v>
      </c>
      <c r="O1127" s="880"/>
      <c r="Q1127" s="317" t="str">
        <f t="shared" si="133"/>
        <v/>
      </c>
      <c r="R1127" s="317" t="str">
        <f t="shared" si="134"/>
        <v/>
      </c>
      <c r="S1127" s="317" t="str">
        <f t="shared" si="135"/>
        <v/>
      </c>
      <c r="T1127" s="317" t="str">
        <f>'REF. DE PREÇOS n editavel'!S1127</f>
        <v/>
      </c>
      <c r="W1127" s="577">
        <v>0</v>
      </c>
      <c r="X1127" s="575"/>
      <c r="Y1127" s="578">
        <f>IF('REF. DE PREÇOS n editavel'!W1127=0,0,IF('REF. DE PREÇOS n editavel'!W1127&gt;0,"c","b"))</f>
        <v>0</v>
      </c>
    </row>
    <row r="1128" spans="1:25" ht="22.5">
      <c r="A1128" s="317">
        <v>95747</v>
      </c>
      <c r="B1128" s="870">
        <v>95747</v>
      </c>
      <c r="C1128" s="871" t="s">
        <v>590</v>
      </c>
      <c r="D1128" s="881" t="s">
        <v>1042</v>
      </c>
      <c r="E1128" s="882">
        <f>'REF. DE PREÇOS n editavel'!E1128</f>
        <v>0</v>
      </c>
      <c r="F1128" s="883">
        <f>'REF. DE PREÇOS n editavel'!F1128</f>
        <v>0</v>
      </c>
      <c r="G1128" s="887">
        <f>'REF. DE PREÇOS n editavel'!G1128</f>
        <v>0</v>
      </c>
      <c r="H1128" s="876">
        <f>'REF. DE PREÇOS n editavel'!H1128</f>
        <v>49.07</v>
      </c>
      <c r="I1128" s="876">
        <f>'REF. DE PREÇOS n editavel'!I1128</f>
        <v>49.07</v>
      </c>
      <c r="J1128" s="877">
        <f>'REF. DE PREÇOS n editavel'!J1128</f>
        <v>59.97</v>
      </c>
      <c r="K1128" s="878" t="s">
        <v>62</v>
      </c>
      <c r="L1128" s="1092"/>
      <c r="M1128" s="1093">
        <f t="shared" si="132"/>
        <v>0</v>
      </c>
      <c r="N1128" s="868">
        <f t="shared" si="136"/>
        <v>0</v>
      </c>
      <c r="O1128" s="880"/>
      <c r="Q1128" s="317" t="str">
        <f t="shared" si="133"/>
        <v/>
      </c>
      <c r="R1128" s="317" t="str">
        <f t="shared" si="134"/>
        <v/>
      </c>
      <c r="S1128" s="317" t="str">
        <f t="shared" si="135"/>
        <v/>
      </c>
      <c r="T1128" s="317" t="str">
        <f>'REF. DE PREÇOS n editavel'!S1128</f>
        <v/>
      </c>
      <c r="W1128" s="577">
        <v>0</v>
      </c>
      <c r="X1128" s="575"/>
      <c r="Y1128" s="578">
        <f>IF('REF. DE PREÇOS n editavel'!W1128=0,0,IF('REF. DE PREÇOS n editavel'!W1128&gt;0,"c","b"))</f>
        <v>0</v>
      </c>
    </row>
    <row r="1129" spans="1:25" ht="22.5">
      <c r="A1129" s="317">
        <v>95748</v>
      </c>
      <c r="B1129" s="870">
        <v>95748</v>
      </c>
      <c r="C1129" s="871" t="s">
        <v>590</v>
      </c>
      <c r="D1129" s="881" t="s">
        <v>1043</v>
      </c>
      <c r="E1129" s="882">
        <f>'REF. DE PREÇOS n editavel'!E1129</f>
        <v>0</v>
      </c>
      <c r="F1129" s="883">
        <f>'REF. DE PREÇOS n editavel'!F1129</f>
        <v>0</v>
      </c>
      <c r="G1129" s="887">
        <f>'REF. DE PREÇOS n editavel'!G1129</f>
        <v>0</v>
      </c>
      <c r="H1129" s="876">
        <f>'REF. DE PREÇOS n editavel'!H1129</f>
        <v>53.05</v>
      </c>
      <c r="I1129" s="876">
        <f>'REF. DE PREÇOS n editavel'!I1129</f>
        <v>53.05</v>
      </c>
      <c r="J1129" s="877">
        <f>'REF. DE PREÇOS n editavel'!J1129</f>
        <v>64.84</v>
      </c>
      <c r="K1129" s="878" t="s">
        <v>62</v>
      </c>
      <c r="L1129" s="1092"/>
      <c r="M1129" s="1093">
        <f t="shared" si="132"/>
        <v>0</v>
      </c>
      <c r="N1129" s="868">
        <f t="shared" si="136"/>
        <v>0</v>
      </c>
      <c r="O1129" s="880"/>
      <c r="Q1129" s="317" t="str">
        <f t="shared" si="133"/>
        <v/>
      </c>
      <c r="R1129" s="317" t="str">
        <f t="shared" si="134"/>
        <v/>
      </c>
      <c r="S1129" s="317" t="str">
        <f t="shared" si="135"/>
        <v/>
      </c>
      <c r="T1129" s="317" t="str">
        <f>'REF. DE PREÇOS n editavel'!S1129</f>
        <v/>
      </c>
      <c r="W1129" s="577">
        <v>0</v>
      </c>
      <c r="X1129" s="575"/>
      <c r="Y1129" s="578">
        <f>IF('REF. DE PREÇOS n editavel'!W1129=0,0,IF('REF. DE PREÇOS n editavel'!W1129&gt;0,"c","b"))</f>
        <v>0</v>
      </c>
    </row>
    <row r="1130" spans="1:25" ht="22.5">
      <c r="A1130" s="317">
        <v>95749</v>
      </c>
      <c r="B1130" s="870">
        <v>95749</v>
      </c>
      <c r="C1130" s="871" t="s">
        <v>590</v>
      </c>
      <c r="D1130" s="881" t="s">
        <v>1044</v>
      </c>
      <c r="E1130" s="882">
        <f>'REF. DE PREÇOS n editavel'!E1130</f>
        <v>0</v>
      </c>
      <c r="F1130" s="883">
        <f>'REF. DE PREÇOS n editavel'!F1130</f>
        <v>0</v>
      </c>
      <c r="G1130" s="887">
        <f>'REF. DE PREÇOS n editavel'!G1130</f>
        <v>0</v>
      </c>
      <c r="H1130" s="876">
        <f>'REF. DE PREÇOS n editavel'!H1130</f>
        <v>31.18</v>
      </c>
      <c r="I1130" s="876">
        <f>'REF. DE PREÇOS n editavel'!I1130</f>
        <v>31.18</v>
      </c>
      <c r="J1130" s="877">
        <f>'REF. DE PREÇOS n editavel'!J1130</f>
        <v>38.11</v>
      </c>
      <c r="K1130" s="878" t="s">
        <v>62</v>
      </c>
      <c r="L1130" s="1092"/>
      <c r="M1130" s="1093">
        <f t="shared" si="132"/>
        <v>0</v>
      </c>
      <c r="N1130" s="868">
        <f t="shared" si="136"/>
        <v>0</v>
      </c>
      <c r="O1130" s="880"/>
      <c r="Q1130" s="317" t="str">
        <f t="shared" si="133"/>
        <v/>
      </c>
      <c r="R1130" s="317" t="str">
        <f t="shared" si="134"/>
        <v/>
      </c>
      <c r="S1130" s="317" t="str">
        <f t="shared" si="135"/>
        <v/>
      </c>
      <c r="T1130" s="317" t="str">
        <f>'REF. DE PREÇOS n editavel'!S1130</f>
        <v/>
      </c>
      <c r="W1130" s="577">
        <v>0</v>
      </c>
      <c r="X1130" s="575"/>
      <c r="Y1130" s="578">
        <f>IF('REF. DE PREÇOS n editavel'!W1130=0,0,IF('REF. DE PREÇOS n editavel'!W1130&gt;0,"c","b"))</f>
        <v>0</v>
      </c>
    </row>
    <row r="1131" spans="1:25" ht="22.5">
      <c r="A1131" s="317">
        <v>95750</v>
      </c>
      <c r="B1131" s="870">
        <v>95750</v>
      </c>
      <c r="C1131" s="871" t="s">
        <v>590</v>
      </c>
      <c r="D1131" s="881" t="s">
        <v>1045</v>
      </c>
      <c r="E1131" s="882">
        <f>'REF. DE PREÇOS n editavel'!E1131</f>
        <v>0</v>
      </c>
      <c r="F1131" s="883">
        <f>'REF. DE PREÇOS n editavel'!F1131</f>
        <v>0</v>
      </c>
      <c r="G1131" s="887">
        <f>'REF. DE PREÇOS n editavel'!G1131</f>
        <v>0</v>
      </c>
      <c r="H1131" s="876">
        <f>'REF. DE PREÇOS n editavel'!H1131</f>
        <v>36.840000000000003</v>
      </c>
      <c r="I1131" s="876">
        <f>'REF. DE PREÇOS n editavel'!I1131</f>
        <v>36.840000000000003</v>
      </c>
      <c r="J1131" s="877">
        <f>'REF. DE PREÇOS n editavel'!J1131</f>
        <v>45.03</v>
      </c>
      <c r="K1131" s="878" t="s">
        <v>62</v>
      </c>
      <c r="L1131" s="1092"/>
      <c r="M1131" s="1093">
        <f t="shared" si="132"/>
        <v>0</v>
      </c>
      <c r="N1131" s="868">
        <f t="shared" si="136"/>
        <v>0</v>
      </c>
      <c r="O1131" s="880"/>
      <c r="Q1131" s="317" t="str">
        <f t="shared" si="133"/>
        <v/>
      </c>
      <c r="R1131" s="317" t="str">
        <f t="shared" si="134"/>
        <v/>
      </c>
      <c r="S1131" s="317" t="str">
        <f t="shared" si="135"/>
        <v/>
      </c>
      <c r="T1131" s="317" t="str">
        <f>'REF. DE PREÇOS n editavel'!S1131</f>
        <v/>
      </c>
      <c r="W1131" s="577">
        <v>0</v>
      </c>
      <c r="X1131" s="575"/>
      <c r="Y1131" s="578">
        <f>IF('REF. DE PREÇOS n editavel'!W1131=0,0,IF('REF. DE PREÇOS n editavel'!W1131&gt;0,"c","b"))</f>
        <v>0</v>
      </c>
    </row>
    <row r="1132" spans="1:25" ht="22.5">
      <c r="A1132" s="317">
        <v>95751</v>
      </c>
      <c r="B1132" s="870">
        <v>95751</v>
      </c>
      <c r="C1132" s="871" t="s">
        <v>590</v>
      </c>
      <c r="D1132" s="881" t="s">
        <v>1046</v>
      </c>
      <c r="E1132" s="882">
        <f>'REF. DE PREÇOS n editavel'!E1132</f>
        <v>0</v>
      </c>
      <c r="F1132" s="883">
        <f>'REF. DE PREÇOS n editavel'!F1132</f>
        <v>0</v>
      </c>
      <c r="G1132" s="887">
        <f>'REF. DE PREÇOS n editavel'!G1132</f>
        <v>0</v>
      </c>
      <c r="H1132" s="876">
        <f>'REF. DE PREÇOS n editavel'!H1132</f>
        <v>55.99</v>
      </c>
      <c r="I1132" s="876">
        <f>'REF. DE PREÇOS n editavel'!I1132</f>
        <v>55.99</v>
      </c>
      <c r="J1132" s="877">
        <f>'REF. DE PREÇOS n editavel'!J1132</f>
        <v>68.430000000000007</v>
      </c>
      <c r="K1132" s="878" t="s">
        <v>62</v>
      </c>
      <c r="L1132" s="1092"/>
      <c r="M1132" s="1093">
        <f t="shared" si="132"/>
        <v>0</v>
      </c>
      <c r="N1132" s="868">
        <f t="shared" si="136"/>
        <v>0</v>
      </c>
      <c r="O1132" s="880"/>
      <c r="Q1132" s="317" t="str">
        <f t="shared" si="133"/>
        <v/>
      </c>
      <c r="R1132" s="317" t="str">
        <f t="shared" si="134"/>
        <v/>
      </c>
      <c r="S1132" s="317" t="str">
        <f t="shared" si="135"/>
        <v/>
      </c>
      <c r="T1132" s="317" t="str">
        <f>'REF. DE PREÇOS n editavel'!S1132</f>
        <v/>
      </c>
      <c r="W1132" s="577">
        <v>0</v>
      </c>
      <c r="X1132" s="575"/>
      <c r="Y1132" s="578">
        <f>IF('REF. DE PREÇOS n editavel'!W1132=0,0,IF('REF. DE PREÇOS n editavel'!W1132&gt;0,"c","b"))</f>
        <v>0</v>
      </c>
    </row>
    <row r="1133" spans="1:25" ht="22.5">
      <c r="A1133" s="317">
        <v>95752</v>
      </c>
      <c r="B1133" s="870">
        <v>95752</v>
      </c>
      <c r="C1133" s="871" t="s">
        <v>590</v>
      </c>
      <c r="D1133" s="881" t="s">
        <v>1047</v>
      </c>
      <c r="E1133" s="882">
        <f>'REF. DE PREÇOS n editavel'!E1133</f>
        <v>0</v>
      </c>
      <c r="F1133" s="883">
        <f>'REF. DE PREÇOS n editavel'!F1133</f>
        <v>0</v>
      </c>
      <c r="G1133" s="887">
        <f>'REF. DE PREÇOS n editavel'!G1133</f>
        <v>0</v>
      </c>
      <c r="H1133" s="876">
        <f>'REF. DE PREÇOS n editavel'!H1133</f>
        <v>59.7</v>
      </c>
      <c r="I1133" s="876">
        <f>'REF. DE PREÇOS n editavel'!I1133</f>
        <v>59.7</v>
      </c>
      <c r="J1133" s="877">
        <f>'REF. DE PREÇOS n editavel'!J1133</f>
        <v>72.97</v>
      </c>
      <c r="K1133" s="878" t="s">
        <v>62</v>
      </c>
      <c r="L1133" s="1092"/>
      <c r="M1133" s="1093">
        <f t="shared" si="132"/>
        <v>0</v>
      </c>
      <c r="N1133" s="868">
        <f t="shared" si="136"/>
        <v>0</v>
      </c>
      <c r="O1133" s="880"/>
      <c r="Q1133" s="317" t="str">
        <f t="shared" si="133"/>
        <v/>
      </c>
      <c r="R1133" s="317" t="str">
        <f t="shared" si="134"/>
        <v/>
      </c>
      <c r="S1133" s="317" t="str">
        <f t="shared" si="135"/>
        <v/>
      </c>
      <c r="T1133" s="317" t="str">
        <f>'REF. DE PREÇOS n editavel'!S1133</f>
        <v/>
      </c>
      <c r="W1133" s="577">
        <v>0</v>
      </c>
      <c r="X1133" s="575"/>
      <c r="Y1133" s="578">
        <f>IF('REF. DE PREÇOS n editavel'!W1133=0,0,IF('REF. DE PREÇOS n editavel'!W1133&gt;0,"c","b"))</f>
        <v>0</v>
      </c>
    </row>
    <row r="1134" spans="1:25" ht="22.5">
      <c r="A1134" s="317">
        <v>95753</v>
      </c>
      <c r="B1134" s="870">
        <v>95753</v>
      </c>
      <c r="C1134" s="871" t="s">
        <v>590</v>
      </c>
      <c r="D1134" s="881" t="s">
        <v>1048</v>
      </c>
      <c r="E1134" s="882">
        <f>'REF. DE PREÇOS n editavel'!E1134</f>
        <v>0</v>
      </c>
      <c r="F1134" s="883">
        <f>'REF. DE PREÇOS n editavel'!F1134</f>
        <v>0</v>
      </c>
      <c r="G1134" s="887">
        <f>'REF. DE PREÇOS n editavel'!G1134</f>
        <v>0</v>
      </c>
      <c r="H1134" s="876">
        <f>'REF. DE PREÇOS n editavel'!H1134</f>
        <v>7.96</v>
      </c>
      <c r="I1134" s="876">
        <f>'REF. DE PREÇOS n editavel'!I1134</f>
        <v>7.96</v>
      </c>
      <c r="J1134" s="877">
        <f>'REF. DE PREÇOS n editavel'!J1134</f>
        <v>9.73</v>
      </c>
      <c r="K1134" s="878" t="s">
        <v>1500</v>
      </c>
      <c r="L1134" s="1092"/>
      <c r="M1134" s="1093">
        <f t="shared" si="132"/>
        <v>0</v>
      </c>
      <c r="N1134" s="868">
        <f t="shared" si="136"/>
        <v>0</v>
      </c>
      <c r="O1134" s="880"/>
      <c r="Q1134" s="317" t="str">
        <f t="shared" si="133"/>
        <v/>
      </c>
      <c r="R1134" s="317" t="str">
        <f t="shared" si="134"/>
        <v/>
      </c>
      <c r="S1134" s="317" t="str">
        <f t="shared" si="135"/>
        <v/>
      </c>
      <c r="T1134" s="317" t="str">
        <f>'REF. DE PREÇOS n editavel'!S1134</f>
        <v/>
      </c>
      <c r="W1134" s="577">
        <v>0</v>
      </c>
      <c r="X1134" s="575"/>
      <c r="Y1134" s="578">
        <f>IF('REF. DE PREÇOS n editavel'!W1134=0,0,IF('REF. DE PREÇOS n editavel'!W1134&gt;0,"c","b"))</f>
        <v>0</v>
      </c>
    </row>
    <row r="1135" spans="1:25" ht="22.5">
      <c r="A1135" s="317">
        <v>95754</v>
      </c>
      <c r="B1135" s="870">
        <v>95754</v>
      </c>
      <c r="C1135" s="871" t="s">
        <v>590</v>
      </c>
      <c r="D1135" s="881" t="s">
        <v>1049</v>
      </c>
      <c r="E1135" s="882">
        <f>'REF. DE PREÇOS n editavel'!E1135</f>
        <v>0</v>
      </c>
      <c r="F1135" s="883">
        <f>'REF. DE PREÇOS n editavel'!F1135</f>
        <v>0</v>
      </c>
      <c r="G1135" s="887">
        <f>'REF. DE PREÇOS n editavel'!G1135</f>
        <v>0</v>
      </c>
      <c r="H1135" s="876">
        <f>'REF. DE PREÇOS n editavel'!H1135</f>
        <v>9.91</v>
      </c>
      <c r="I1135" s="876">
        <f>'REF. DE PREÇOS n editavel'!I1135</f>
        <v>9.91</v>
      </c>
      <c r="J1135" s="877">
        <f>'REF. DE PREÇOS n editavel'!J1135</f>
        <v>12.11</v>
      </c>
      <c r="K1135" s="878" t="s">
        <v>1500</v>
      </c>
      <c r="L1135" s="1092"/>
      <c r="M1135" s="1093">
        <f t="shared" si="132"/>
        <v>0</v>
      </c>
      <c r="N1135" s="868">
        <f t="shared" si="136"/>
        <v>0</v>
      </c>
      <c r="O1135" s="880"/>
      <c r="Q1135" s="317" t="str">
        <f t="shared" si="133"/>
        <v/>
      </c>
      <c r="R1135" s="317" t="str">
        <f t="shared" si="134"/>
        <v/>
      </c>
      <c r="S1135" s="317" t="str">
        <f t="shared" si="135"/>
        <v/>
      </c>
      <c r="T1135" s="317" t="str">
        <f>'REF. DE PREÇOS n editavel'!S1135</f>
        <v/>
      </c>
      <c r="W1135" s="577">
        <v>0</v>
      </c>
      <c r="X1135" s="575"/>
      <c r="Y1135" s="578">
        <f>IF('REF. DE PREÇOS n editavel'!W1135=0,0,IF('REF. DE PREÇOS n editavel'!W1135&gt;0,"c","b"))</f>
        <v>0</v>
      </c>
    </row>
    <row r="1136" spans="1:25" ht="22.5">
      <c r="A1136" s="317">
        <v>95755</v>
      </c>
      <c r="B1136" s="870">
        <v>95755</v>
      </c>
      <c r="C1136" s="871" t="s">
        <v>590</v>
      </c>
      <c r="D1136" s="881" t="s">
        <v>1050</v>
      </c>
      <c r="E1136" s="882">
        <f>'REF. DE PREÇOS n editavel'!E1136</f>
        <v>0</v>
      </c>
      <c r="F1136" s="883">
        <f>'REF. DE PREÇOS n editavel'!F1136</f>
        <v>0</v>
      </c>
      <c r="G1136" s="887">
        <f>'REF. DE PREÇOS n editavel'!G1136</f>
        <v>0</v>
      </c>
      <c r="H1136" s="876">
        <f>'REF. DE PREÇOS n editavel'!H1136</f>
        <v>14.25</v>
      </c>
      <c r="I1136" s="876">
        <f>'REF. DE PREÇOS n editavel'!I1136</f>
        <v>14.25</v>
      </c>
      <c r="J1136" s="877">
        <f>'REF. DE PREÇOS n editavel'!J1136</f>
        <v>17.420000000000002</v>
      </c>
      <c r="K1136" s="878" t="s">
        <v>1500</v>
      </c>
      <c r="L1136" s="1092"/>
      <c r="M1136" s="1093">
        <f t="shared" si="132"/>
        <v>0</v>
      </c>
      <c r="N1136" s="868">
        <f t="shared" si="136"/>
        <v>0</v>
      </c>
      <c r="O1136" s="880"/>
      <c r="Q1136" s="317" t="str">
        <f t="shared" si="133"/>
        <v/>
      </c>
      <c r="R1136" s="317" t="str">
        <f t="shared" si="134"/>
        <v/>
      </c>
      <c r="S1136" s="317" t="str">
        <f t="shared" si="135"/>
        <v/>
      </c>
      <c r="T1136" s="317" t="str">
        <f>'REF. DE PREÇOS n editavel'!S1136</f>
        <v/>
      </c>
      <c r="W1136" s="577">
        <v>0</v>
      </c>
      <c r="X1136" s="575"/>
      <c r="Y1136" s="578">
        <f>IF('REF. DE PREÇOS n editavel'!W1136=0,0,IF('REF. DE PREÇOS n editavel'!W1136&gt;0,"c","b"))</f>
        <v>0</v>
      </c>
    </row>
    <row r="1137" spans="1:25" ht="22.5">
      <c r="A1137" s="317">
        <v>95756</v>
      </c>
      <c r="B1137" s="870">
        <v>95756</v>
      </c>
      <c r="C1137" s="871" t="s">
        <v>590</v>
      </c>
      <c r="D1137" s="881" t="s">
        <v>1051</v>
      </c>
      <c r="E1137" s="882">
        <f>'REF. DE PREÇOS n editavel'!E1137</f>
        <v>0</v>
      </c>
      <c r="F1137" s="883">
        <f>'REF. DE PREÇOS n editavel'!F1137</f>
        <v>0</v>
      </c>
      <c r="G1137" s="887">
        <f>'REF. DE PREÇOS n editavel'!G1137</f>
        <v>0</v>
      </c>
      <c r="H1137" s="876">
        <f>'REF. DE PREÇOS n editavel'!H1137</f>
        <v>18.989999999999998</v>
      </c>
      <c r="I1137" s="876">
        <f>'REF. DE PREÇOS n editavel'!I1137</f>
        <v>18.989999999999998</v>
      </c>
      <c r="J1137" s="877">
        <f>'REF. DE PREÇOS n editavel'!J1137</f>
        <v>23.21</v>
      </c>
      <c r="K1137" s="878" t="s">
        <v>1500</v>
      </c>
      <c r="L1137" s="1092"/>
      <c r="M1137" s="1093">
        <f t="shared" si="132"/>
        <v>0</v>
      </c>
      <c r="N1137" s="868">
        <f t="shared" si="136"/>
        <v>0</v>
      </c>
      <c r="O1137" s="880"/>
      <c r="Q1137" s="317" t="str">
        <f t="shared" si="133"/>
        <v/>
      </c>
      <c r="R1137" s="317" t="str">
        <f t="shared" si="134"/>
        <v/>
      </c>
      <c r="S1137" s="317" t="str">
        <f t="shared" si="135"/>
        <v/>
      </c>
      <c r="T1137" s="317" t="str">
        <f>'REF. DE PREÇOS n editavel'!S1137</f>
        <v/>
      </c>
      <c r="W1137" s="577">
        <v>0</v>
      </c>
      <c r="X1137" s="575"/>
      <c r="Y1137" s="578">
        <f>IF('REF. DE PREÇOS n editavel'!W1137=0,0,IF('REF. DE PREÇOS n editavel'!W1137&gt;0,"c","b"))</f>
        <v>0</v>
      </c>
    </row>
    <row r="1138" spans="1:25" ht="22.5">
      <c r="A1138" s="317">
        <v>95757</v>
      </c>
      <c r="B1138" s="870">
        <v>95757</v>
      </c>
      <c r="C1138" s="871" t="s">
        <v>590</v>
      </c>
      <c r="D1138" s="881" t="s">
        <v>1052</v>
      </c>
      <c r="E1138" s="882">
        <f>'REF. DE PREÇOS n editavel'!E1138</f>
        <v>0</v>
      </c>
      <c r="F1138" s="883">
        <f>'REF. DE PREÇOS n editavel'!F1138</f>
        <v>0</v>
      </c>
      <c r="G1138" s="887">
        <f>'REF. DE PREÇOS n editavel'!G1138</f>
        <v>0</v>
      </c>
      <c r="H1138" s="876">
        <f>'REF. DE PREÇOS n editavel'!H1138</f>
        <v>12.01</v>
      </c>
      <c r="I1138" s="876">
        <f>'REF. DE PREÇOS n editavel'!I1138</f>
        <v>12.01</v>
      </c>
      <c r="J1138" s="877">
        <f>'REF. DE PREÇOS n editavel'!J1138</f>
        <v>14.68</v>
      </c>
      <c r="K1138" s="878" t="s">
        <v>1500</v>
      </c>
      <c r="L1138" s="1092"/>
      <c r="M1138" s="1093">
        <f t="shared" si="132"/>
        <v>0</v>
      </c>
      <c r="N1138" s="868">
        <f t="shared" si="136"/>
        <v>0</v>
      </c>
      <c r="O1138" s="880"/>
      <c r="Q1138" s="317" t="str">
        <f t="shared" si="133"/>
        <v/>
      </c>
      <c r="R1138" s="317" t="str">
        <f t="shared" si="134"/>
        <v/>
      </c>
      <c r="S1138" s="317" t="str">
        <f t="shared" si="135"/>
        <v/>
      </c>
      <c r="T1138" s="317" t="str">
        <f>'REF. DE PREÇOS n editavel'!S1138</f>
        <v/>
      </c>
      <c r="W1138" s="577">
        <v>0</v>
      </c>
      <c r="X1138" s="575"/>
      <c r="Y1138" s="578">
        <f>IF('REF. DE PREÇOS n editavel'!W1138=0,0,IF('REF. DE PREÇOS n editavel'!W1138&gt;0,"c","b"))</f>
        <v>0</v>
      </c>
    </row>
    <row r="1139" spans="1:25" ht="22.5">
      <c r="A1139" s="317">
        <v>95758</v>
      </c>
      <c r="B1139" s="870">
        <v>95758</v>
      </c>
      <c r="C1139" s="871" t="s">
        <v>590</v>
      </c>
      <c r="D1139" s="881" t="s">
        <v>1053</v>
      </c>
      <c r="E1139" s="882">
        <f>'REF. DE PREÇOS n editavel'!E1139</f>
        <v>0</v>
      </c>
      <c r="F1139" s="883">
        <f>'REF. DE PREÇOS n editavel'!F1139</f>
        <v>0</v>
      </c>
      <c r="G1139" s="887">
        <f>'REF. DE PREÇOS n editavel'!G1139</f>
        <v>0</v>
      </c>
      <c r="H1139" s="876">
        <f>'REF. DE PREÇOS n editavel'!H1139</f>
        <v>13.5</v>
      </c>
      <c r="I1139" s="876">
        <f>'REF. DE PREÇOS n editavel'!I1139</f>
        <v>13.5</v>
      </c>
      <c r="J1139" s="877">
        <f>'REF. DE PREÇOS n editavel'!J1139</f>
        <v>16.5</v>
      </c>
      <c r="K1139" s="878" t="s">
        <v>1500</v>
      </c>
      <c r="L1139" s="1092"/>
      <c r="M1139" s="1093">
        <f t="shared" si="132"/>
        <v>0</v>
      </c>
      <c r="N1139" s="868">
        <f t="shared" si="136"/>
        <v>0</v>
      </c>
      <c r="O1139" s="880"/>
      <c r="Q1139" s="317" t="str">
        <f t="shared" si="133"/>
        <v/>
      </c>
      <c r="R1139" s="317" t="str">
        <f t="shared" si="134"/>
        <v/>
      </c>
      <c r="S1139" s="317" t="str">
        <f t="shared" si="135"/>
        <v/>
      </c>
      <c r="T1139" s="317" t="str">
        <f>'REF. DE PREÇOS n editavel'!S1139</f>
        <v/>
      </c>
      <c r="W1139" s="577">
        <v>0</v>
      </c>
      <c r="X1139" s="575"/>
      <c r="Y1139" s="578">
        <f>IF('REF. DE PREÇOS n editavel'!W1139=0,0,IF('REF. DE PREÇOS n editavel'!W1139&gt;0,"c","b"))</f>
        <v>0</v>
      </c>
    </row>
    <row r="1140" spans="1:25" ht="22.5">
      <c r="A1140" s="317">
        <v>95759</v>
      </c>
      <c r="B1140" s="870">
        <v>95759</v>
      </c>
      <c r="C1140" s="871" t="s">
        <v>590</v>
      </c>
      <c r="D1140" s="881" t="s">
        <v>1054</v>
      </c>
      <c r="E1140" s="882">
        <f>'REF. DE PREÇOS n editavel'!E1140</f>
        <v>0</v>
      </c>
      <c r="F1140" s="883">
        <f>'REF. DE PREÇOS n editavel'!F1140</f>
        <v>0</v>
      </c>
      <c r="G1140" s="887">
        <f>'REF. DE PREÇOS n editavel'!G1140</f>
        <v>0</v>
      </c>
      <c r="H1140" s="876">
        <f>'REF. DE PREÇOS n editavel'!H1140</f>
        <v>17.16</v>
      </c>
      <c r="I1140" s="876">
        <f>'REF. DE PREÇOS n editavel'!I1140</f>
        <v>17.16</v>
      </c>
      <c r="J1140" s="877">
        <f>'REF. DE PREÇOS n editavel'!J1140</f>
        <v>20.97</v>
      </c>
      <c r="K1140" s="878" t="s">
        <v>1500</v>
      </c>
      <c r="L1140" s="1092"/>
      <c r="M1140" s="1093">
        <f t="shared" si="132"/>
        <v>0</v>
      </c>
      <c r="N1140" s="868">
        <f t="shared" si="136"/>
        <v>0</v>
      </c>
      <c r="O1140" s="880"/>
      <c r="Q1140" s="317" t="str">
        <f t="shared" si="133"/>
        <v/>
      </c>
      <c r="R1140" s="317" t="str">
        <f t="shared" si="134"/>
        <v/>
      </c>
      <c r="S1140" s="317" t="str">
        <f t="shared" si="135"/>
        <v/>
      </c>
      <c r="T1140" s="317" t="str">
        <f>'REF. DE PREÇOS n editavel'!S1140</f>
        <v/>
      </c>
      <c r="W1140" s="577">
        <v>0</v>
      </c>
      <c r="X1140" s="575"/>
      <c r="Y1140" s="578">
        <f>IF('REF. DE PREÇOS n editavel'!W1140=0,0,IF('REF. DE PREÇOS n editavel'!W1140&gt;0,"c","b"))</f>
        <v>0</v>
      </c>
    </row>
    <row r="1141" spans="1:25" ht="22.5">
      <c r="A1141" s="317">
        <v>95760</v>
      </c>
      <c r="B1141" s="870">
        <v>95760</v>
      </c>
      <c r="C1141" s="871" t="s">
        <v>590</v>
      </c>
      <c r="D1141" s="881" t="s">
        <v>1055</v>
      </c>
      <c r="E1141" s="882">
        <f>'REF. DE PREÇOS n editavel'!E1141</f>
        <v>0</v>
      </c>
      <c r="F1141" s="883">
        <f>'REF. DE PREÇOS n editavel'!F1141</f>
        <v>0</v>
      </c>
      <c r="G1141" s="887">
        <f>'REF. DE PREÇOS n editavel'!G1141</f>
        <v>0</v>
      </c>
      <c r="H1141" s="876">
        <f>'REF. DE PREÇOS n editavel'!H1141</f>
        <v>21.11</v>
      </c>
      <c r="I1141" s="876">
        <f>'REF. DE PREÇOS n editavel'!I1141</f>
        <v>21.11</v>
      </c>
      <c r="J1141" s="877">
        <f>'REF. DE PREÇOS n editavel'!J1141</f>
        <v>25.8</v>
      </c>
      <c r="K1141" s="878" t="s">
        <v>1500</v>
      </c>
      <c r="L1141" s="1092"/>
      <c r="M1141" s="1093">
        <f t="shared" si="132"/>
        <v>0</v>
      </c>
      <c r="N1141" s="868">
        <f t="shared" si="136"/>
        <v>0</v>
      </c>
      <c r="O1141" s="880"/>
      <c r="Q1141" s="317" t="str">
        <f t="shared" si="133"/>
        <v/>
      </c>
      <c r="R1141" s="317" t="str">
        <f t="shared" si="134"/>
        <v/>
      </c>
      <c r="S1141" s="317" t="str">
        <f t="shared" si="135"/>
        <v/>
      </c>
      <c r="T1141" s="317" t="str">
        <f>'REF. DE PREÇOS n editavel'!S1141</f>
        <v/>
      </c>
      <c r="W1141" s="577">
        <v>0</v>
      </c>
      <c r="X1141" s="575"/>
      <c r="Y1141" s="578">
        <f>IF('REF. DE PREÇOS n editavel'!W1141=0,0,IF('REF. DE PREÇOS n editavel'!W1141&gt;0,"c","b"))</f>
        <v>0</v>
      </c>
    </row>
    <row r="1142" spans="1:25" ht="22.5">
      <c r="A1142" s="317">
        <v>91839</v>
      </c>
      <c r="B1142" s="870">
        <v>91839</v>
      </c>
      <c r="C1142" s="871" t="s">
        <v>590</v>
      </c>
      <c r="D1142" s="881" t="s">
        <v>1056</v>
      </c>
      <c r="E1142" s="882">
        <f>'REF. DE PREÇOS n editavel'!E1142</f>
        <v>0</v>
      </c>
      <c r="F1142" s="883">
        <f>'REF. DE PREÇOS n editavel'!F1142</f>
        <v>0</v>
      </c>
      <c r="G1142" s="887">
        <f>'REF. DE PREÇOS n editavel'!G1142</f>
        <v>0</v>
      </c>
      <c r="H1142" s="876">
        <f>'REF. DE PREÇOS n editavel'!H1142</f>
        <v>12.12</v>
      </c>
      <c r="I1142" s="876">
        <f>'REF. DE PREÇOS n editavel'!I1142</f>
        <v>12.12</v>
      </c>
      <c r="J1142" s="877">
        <f>'REF. DE PREÇOS n editavel'!J1142</f>
        <v>14.81</v>
      </c>
      <c r="K1142" s="878" t="s">
        <v>62</v>
      </c>
      <c r="L1142" s="1092"/>
      <c r="M1142" s="1093">
        <f t="shared" si="132"/>
        <v>0</v>
      </c>
      <c r="N1142" s="868">
        <f t="shared" si="136"/>
        <v>0</v>
      </c>
      <c r="O1142" s="880"/>
      <c r="Q1142" s="317" t="str">
        <f t="shared" si="133"/>
        <v/>
      </c>
      <c r="R1142" s="317" t="str">
        <f t="shared" si="134"/>
        <v/>
      </c>
      <c r="S1142" s="317" t="str">
        <f t="shared" si="135"/>
        <v/>
      </c>
      <c r="T1142" s="317" t="str">
        <f>'REF. DE PREÇOS n editavel'!S1142</f>
        <v/>
      </c>
      <c r="W1142" s="577">
        <v>0</v>
      </c>
      <c r="X1142" s="575"/>
      <c r="Y1142" s="578">
        <f>IF('REF. DE PREÇOS n editavel'!W1142=0,0,IF('REF. DE PREÇOS n editavel'!W1142&gt;0,"c","b"))</f>
        <v>0</v>
      </c>
    </row>
    <row r="1143" spans="1:25" ht="22.5">
      <c r="A1143" s="317">
        <v>91840</v>
      </c>
      <c r="B1143" s="870">
        <v>91840</v>
      </c>
      <c r="C1143" s="871" t="s">
        <v>590</v>
      </c>
      <c r="D1143" s="881" t="s">
        <v>1057</v>
      </c>
      <c r="E1143" s="882">
        <f>'REF. DE PREÇOS n editavel'!E1143</f>
        <v>0</v>
      </c>
      <c r="F1143" s="883">
        <f>'REF. DE PREÇOS n editavel'!F1143</f>
        <v>0</v>
      </c>
      <c r="G1143" s="887">
        <f>'REF. DE PREÇOS n editavel'!G1143</f>
        <v>0</v>
      </c>
      <c r="H1143" s="876">
        <f>'REF. DE PREÇOS n editavel'!H1143</f>
        <v>15.07</v>
      </c>
      <c r="I1143" s="876">
        <f>'REF. DE PREÇOS n editavel'!I1143</f>
        <v>15.07</v>
      </c>
      <c r="J1143" s="877">
        <f>'REF. DE PREÇOS n editavel'!J1143</f>
        <v>18.420000000000002</v>
      </c>
      <c r="K1143" s="878" t="s">
        <v>62</v>
      </c>
      <c r="L1143" s="1092"/>
      <c r="M1143" s="1093">
        <f t="shared" si="132"/>
        <v>0</v>
      </c>
      <c r="N1143" s="868">
        <f t="shared" si="136"/>
        <v>0</v>
      </c>
      <c r="O1143" s="880"/>
      <c r="Q1143" s="317" t="str">
        <f t="shared" si="133"/>
        <v/>
      </c>
      <c r="R1143" s="317" t="str">
        <f t="shared" si="134"/>
        <v/>
      </c>
      <c r="S1143" s="317" t="str">
        <f t="shared" si="135"/>
        <v/>
      </c>
      <c r="T1143" s="317" t="str">
        <f>'REF. DE PREÇOS n editavel'!S1143</f>
        <v/>
      </c>
      <c r="W1143" s="577">
        <v>0</v>
      </c>
      <c r="X1143" s="575"/>
      <c r="Y1143" s="578">
        <f>IF('REF. DE PREÇOS n editavel'!W1143=0,0,IF('REF. DE PREÇOS n editavel'!W1143&gt;0,"c","b"))</f>
        <v>0</v>
      </c>
    </row>
    <row r="1144" spans="1:25" ht="22.5">
      <c r="A1144" s="317">
        <v>91841</v>
      </c>
      <c r="B1144" s="870">
        <v>91841</v>
      </c>
      <c r="C1144" s="871" t="s">
        <v>590</v>
      </c>
      <c r="D1144" s="881" t="s">
        <v>1058</v>
      </c>
      <c r="E1144" s="882">
        <f>'REF. DE PREÇOS n editavel'!E1144</f>
        <v>0</v>
      </c>
      <c r="F1144" s="883">
        <f>'REF. DE PREÇOS n editavel'!F1144</f>
        <v>0</v>
      </c>
      <c r="G1144" s="887">
        <f>'REF. DE PREÇOS n editavel'!G1144</f>
        <v>0</v>
      </c>
      <c r="H1144" s="876">
        <f>'REF. DE PREÇOS n editavel'!H1144</f>
        <v>14.37</v>
      </c>
      <c r="I1144" s="876">
        <f>'REF. DE PREÇOS n editavel'!I1144</f>
        <v>14.37</v>
      </c>
      <c r="J1144" s="877">
        <f>'REF. DE PREÇOS n editavel'!J1144</f>
        <v>17.559999999999999</v>
      </c>
      <c r="K1144" s="878" t="s">
        <v>62</v>
      </c>
      <c r="L1144" s="1092"/>
      <c r="M1144" s="1093">
        <f t="shared" si="132"/>
        <v>0</v>
      </c>
      <c r="N1144" s="868">
        <f t="shared" si="136"/>
        <v>0</v>
      </c>
      <c r="O1144" s="880"/>
      <c r="Q1144" s="317" t="str">
        <f t="shared" si="133"/>
        <v/>
      </c>
      <c r="R1144" s="317" t="str">
        <f t="shared" si="134"/>
        <v/>
      </c>
      <c r="S1144" s="317" t="str">
        <f t="shared" si="135"/>
        <v/>
      </c>
      <c r="T1144" s="317" t="str">
        <f>'REF. DE PREÇOS n editavel'!S1144</f>
        <v/>
      </c>
      <c r="W1144" s="577">
        <v>0</v>
      </c>
      <c r="X1144" s="575"/>
      <c r="Y1144" s="578">
        <f>IF('REF. DE PREÇOS n editavel'!W1144=0,0,IF('REF. DE PREÇOS n editavel'!W1144&gt;0,"c","b"))</f>
        <v>0</v>
      </c>
    </row>
    <row r="1145" spans="1:25" ht="22.5">
      <c r="A1145" s="317">
        <v>91849</v>
      </c>
      <c r="B1145" s="870">
        <v>91849</v>
      </c>
      <c r="C1145" s="871" t="s">
        <v>590</v>
      </c>
      <c r="D1145" s="881" t="s">
        <v>1059</v>
      </c>
      <c r="E1145" s="882">
        <f>'REF. DE PREÇOS n editavel'!E1145</f>
        <v>0</v>
      </c>
      <c r="F1145" s="883">
        <f>'REF. DE PREÇOS n editavel'!F1145</f>
        <v>0</v>
      </c>
      <c r="G1145" s="887">
        <f>'REF. DE PREÇOS n editavel'!G1145</f>
        <v>0</v>
      </c>
      <c r="H1145" s="876">
        <f>'REF. DE PREÇOS n editavel'!H1145</f>
        <v>9.49</v>
      </c>
      <c r="I1145" s="876">
        <f>'REF. DE PREÇOS n editavel'!I1145</f>
        <v>9.49</v>
      </c>
      <c r="J1145" s="877">
        <f>'REF. DE PREÇOS n editavel'!J1145</f>
        <v>11.6</v>
      </c>
      <c r="K1145" s="878" t="s">
        <v>62</v>
      </c>
      <c r="L1145" s="1092"/>
      <c r="M1145" s="1093">
        <f t="shared" si="132"/>
        <v>0</v>
      </c>
      <c r="N1145" s="868">
        <f t="shared" si="136"/>
        <v>0</v>
      </c>
      <c r="O1145" s="880"/>
      <c r="Q1145" s="317" t="str">
        <f t="shared" si="133"/>
        <v/>
      </c>
      <c r="R1145" s="317" t="str">
        <f t="shared" si="134"/>
        <v/>
      </c>
      <c r="S1145" s="317" t="str">
        <f t="shared" si="135"/>
        <v/>
      </c>
      <c r="T1145" s="317" t="str">
        <f>'REF. DE PREÇOS n editavel'!S1145</f>
        <v/>
      </c>
      <c r="W1145" s="577">
        <v>0</v>
      </c>
      <c r="X1145" s="575"/>
      <c r="Y1145" s="578">
        <f>IF('REF. DE PREÇOS n editavel'!W1145=0,0,IF('REF. DE PREÇOS n editavel'!W1145&gt;0,"c","b"))</f>
        <v>0</v>
      </c>
    </row>
    <row r="1146" spans="1:25" ht="22.5">
      <c r="A1146" s="317">
        <v>91850</v>
      </c>
      <c r="B1146" s="870">
        <v>91850</v>
      </c>
      <c r="C1146" s="871" t="s">
        <v>590</v>
      </c>
      <c r="D1146" s="881" t="s">
        <v>1060</v>
      </c>
      <c r="E1146" s="882">
        <f>'REF. DE PREÇOS n editavel'!E1146</f>
        <v>0</v>
      </c>
      <c r="F1146" s="883">
        <f>'REF. DE PREÇOS n editavel'!F1146</f>
        <v>0</v>
      </c>
      <c r="G1146" s="887">
        <f>'REF. DE PREÇOS n editavel'!G1146</f>
        <v>0</v>
      </c>
      <c r="H1146" s="876">
        <f>'REF. DE PREÇOS n editavel'!H1146</f>
        <v>12.51</v>
      </c>
      <c r="I1146" s="876">
        <f>'REF. DE PREÇOS n editavel'!I1146</f>
        <v>12.51</v>
      </c>
      <c r="J1146" s="877">
        <f>'REF. DE PREÇOS n editavel'!J1146</f>
        <v>15.29</v>
      </c>
      <c r="K1146" s="878" t="s">
        <v>62</v>
      </c>
      <c r="L1146" s="1092"/>
      <c r="M1146" s="1093">
        <f t="shared" si="132"/>
        <v>0</v>
      </c>
      <c r="N1146" s="868">
        <f t="shared" si="136"/>
        <v>0</v>
      </c>
      <c r="O1146" s="880"/>
      <c r="Q1146" s="317" t="str">
        <f t="shared" si="133"/>
        <v/>
      </c>
      <c r="R1146" s="317" t="str">
        <f t="shared" si="134"/>
        <v/>
      </c>
      <c r="S1146" s="317" t="str">
        <f t="shared" si="135"/>
        <v/>
      </c>
      <c r="T1146" s="317" t="str">
        <f>'REF. DE PREÇOS n editavel'!S1146</f>
        <v/>
      </c>
      <c r="W1146" s="577">
        <v>0</v>
      </c>
      <c r="X1146" s="575"/>
      <c r="Y1146" s="578">
        <f>IF('REF. DE PREÇOS n editavel'!W1146=0,0,IF('REF. DE PREÇOS n editavel'!W1146&gt;0,"c","b"))</f>
        <v>0</v>
      </c>
    </row>
    <row r="1147" spans="1:25" ht="22.5">
      <c r="A1147" s="317">
        <v>91851</v>
      </c>
      <c r="B1147" s="870">
        <v>91851</v>
      </c>
      <c r="C1147" s="871" t="s">
        <v>590</v>
      </c>
      <c r="D1147" s="881" t="s">
        <v>1061</v>
      </c>
      <c r="E1147" s="882">
        <f>'REF. DE PREÇOS n editavel'!E1147</f>
        <v>0</v>
      </c>
      <c r="F1147" s="883">
        <f>'REF. DE PREÇOS n editavel'!F1147</f>
        <v>0</v>
      </c>
      <c r="G1147" s="887">
        <f>'REF. DE PREÇOS n editavel'!G1147</f>
        <v>0</v>
      </c>
      <c r="H1147" s="876">
        <f>'REF. DE PREÇOS n editavel'!H1147</f>
        <v>11.81</v>
      </c>
      <c r="I1147" s="876">
        <f>'REF. DE PREÇOS n editavel'!I1147</f>
        <v>11.81</v>
      </c>
      <c r="J1147" s="877">
        <f>'REF. DE PREÇOS n editavel'!J1147</f>
        <v>14.43</v>
      </c>
      <c r="K1147" s="878" t="s">
        <v>62</v>
      </c>
      <c r="L1147" s="1092"/>
      <c r="M1147" s="1093">
        <f t="shared" si="132"/>
        <v>0</v>
      </c>
      <c r="N1147" s="868">
        <f t="shared" si="136"/>
        <v>0</v>
      </c>
      <c r="O1147" s="880"/>
      <c r="Q1147" s="317" t="str">
        <f t="shared" si="133"/>
        <v/>
      </c>
      <c r="R1147" s="317" t="str">
        <f t="shared" si="134"/>
        <v/>
      </c>
      <c r="S1147" s="317" t="str">
        <f t="shared" si="135"/>
        <v/>
      </c>
      <c r="T1147" s="317" t="str">
        <f>'REF. DE PREÇOS n editavel'!S1147</f>
        <v/>
      </c>
      <c r="W1147" s="577">
        <v>0</v>
      </c>
      <c r="X1147" s="575"/>
      <c r="Y1147" s="578">
        <f>IF('REF. DE PREÇOS n editavel'!W1147=0,0,IF('REF. DE PREÇOS n editavel'!W1147&gt;0,"c","b"))</f>
        <v>0</v>
      </c>
    </row>
    <row r="1148" spans="1:25" ht="22.5">
      <c r="A1148" s="317">
        <v>91859</v>
      </c>
      <c r="B1148" s="870">
        <v>91859</v>
      </c>
      <c r="C1148" s="871" t="s">
        <v>590</v>
      </c>
      <c r="D1148" s="881" t="s">
        <v>1062</v>
      </c>
      <c r="E1148" s="882">
        <f>'REF. DE PREÇOS n editavel'!E1148</f>
        <v>0</v>
      </c>
      <c r="F1148" s="883">
        <f>'REF. DE PREÇOS n editavel'!F1148</f>
        <v>0</v>
      </c>
      <c r="G1148" s="887">
        <f>'REF. DE PREÇOS n editavel'!G1148</f>
        <v>0</v>
      </c>
      <c r="H1148" s="876">
        <f>'REF. DE PREÇOS n editavel'!H1148</f>
        <v>12.63</v>
      </c>
      <c r="I1148" s="876">
        <f>'REF. DE PREÇOS n editavel'!I1148</f>
        <v>12.63</v>
      </c>
      <c r="J1148" s="877">
        <f>'REF. DE PREÇOS n editavel'!J1148</f>
        <v>15.44</v>
      </c>
      <c r="K1148" s="878" t="s">
        <v>62</v>
      </c>
      <c r="L1148" s="1092"/>
      <c r="M1148" s="1093">
        <f t="shared" si="132"/>
        <v>0</v>
      </c>
      <c r="N1148" s="868">
        <f t="shared" si="136"/>
        <v>0</v>
      </c>
      <c r="O1148" s="880"/>
      <c r="Q1148" s="317" t="str">
        <f t="shared" si="133"/>
        <v/>
      </c>
      <c r="R1148" s="317" t="str">
        <f t="shared" si="134"/>
        <v/>
      </c>
      <c r="S1148" s="317" t="str">
        <f t="shared" si="135"/>
        <v/>
      </c>
      <c r="T1148" s="317" t="str">
        <f>'REF. DE PREÇOS n editavel'!S1148</f>
        <v/>
      </c>
      <c r="W1148" s="577">
        <v>0</v>
      </c>
      <c r="X1148" s="575"/>
      <c r="Y1148" s="578">
        <f>IF('REF. DE PREÇOS n editavel'!W1148=0,0,IF('REF. DE PREÇOS n editavel'!W1148&gt;0,"c","b"))</f>
        <v>0</v>
      </c>
    </row>
    <row r="1149" spans="1:25" ht="22.5">
      <c r="A1149" s="317">
        <v>91860</v>
      </c>
      <c r="B1149" s="870">
        <v>91860</v>
      </c>
      <c r="C1149" s="871" t="s">
        <v>590</v>
      </c>
      <c r="D1149" s="881" t="s">
        <v>1063</v>
      </c>
      <c r="E1149" s="882">
        <f>'REF. DE PREÇOS n editavel'!E1149</f>
        <v>0</v>
      </c>
      <c r="F1149" s="883">
        <f>'REF. DE PREÇOS n editavel'!F1149</f>
        <v>0</v>
      </c>
      <c r="G1149" s="887">
        <f>'REF. DE PREÇOS n editavel'!G1149</f>
        <v>0</v>
      </c>
      <c r="H1149" s="876">
        <f>'REF. DE PREÇOS n editavel'!H1149</f>
        <v>15.53</v>
      </c>
      <c r="I1149" s="876">
        <f>'REF. DE PREÇOS n editavel'!I1149</f>
        <v>15.53</v>
      </c>
      <c r="J1149" s="877">
        <f>'REF. DE PREÇOS n editavel'!J1149</f>
        <v>18.98</v>
      </c>
      <c r="K1149" s="878" t="s">
        <v>62</v>
      </c>
      <c r="L1149" s="1092"/>
      <c r="M1149" s="1093">
        <f t="shared" si="132"/>
        <v>0</v>
      </c>
      <c r="N1149" s="868">
        <f t="shared" si="136"/>
        <v>0</v>
      </c>
      <c r="O1149" s="880"/>
      <c r="Q1149" s="317" t="str">
        <f t="shared" si="133"/>
        <v/>
      </c>
      <c r="R1149" s="317" t="str">
        <f t="shared" si="134"/>
        <v/>
      </c>
      <c r="S1149" s="317" t="str">
        <f t="shared" si="135"/>
        <v/>
      </c>
      <c r="T1149" s="317" t="str">
        <f>'REF. DE PREÇOS n editavel'!S1149</f>
        <v/>
      </c>
      <c r="W1149" s="577">
        <v>0</v>
      </c>
      <c r="X1149" s="575"/>
      <c r="Y1149" s="578">
        <f>IF('REF. DE PREÇOS n editavel'!W1149=0,0,IF('REF. DE PREÇOS n editavel'!W1149&gt;0,"c","b"))</f>
        <v>0</v>
      </c>
    </row>
    <row r="1150" spans="1:25" ht="22.5">
      <c r="A1150" s="317">
        <v>91861</v>
      </c>
      <c r="B1150" s="870">
        <v>91861</v>
      </c>
      <c r="C1150" s="871" t="s">
        <v>590</v>
      </c>
      <c r="D1150" s="881" t="s">
        <v>1064</v>
      </c>
      <c r="E1150" s="882">
        <f>'REF. DE PREÇOS n editavel'!E1150</f>
        <v>0</v>
      </c>
      <c r="F1150" s="883">
        <f>'REF. DE PREÇOS n editavel'!F1150</f>
        <v>0</v>
      </c>
      <c r="G1150" s="887">
        <f>'REF. DE PREÇOS n editavel'!G1150</f>
        <v>0</v>
      </c>
      <c r="H1150" s="876">
        <f>'REF. DE PREÇOS n editavel'!H1150</f>
        <v>14.88</v>
      </c>
      <c r="I1150" s="876">
        <f>'REF. DE PREÇOS n editavel'!I1150</f>
        <v>14.88</v>
      </c>
      <c r="J1150" s="877">
        <f>'REF. DE PREÇOS n editavel'!J1150</f>
        <v>18.190000000000001</v>
      </c>
      <c r="K1150" s="878" t="s">
        <v>62</v>
      </c>
      <c r="L1150" s="1092"/>
      <c r="M1150" s="1093">
        <f t="shared" si="132"/>
        <v>0</v>
      </c>
      <c r="N1150" s="868">
        <f t="shared" si="136"/>
        <v>0</v>
      </c>
      <c r="O1150" s="880"/>
      <c r="Q1150" s="317" t="str">
        <f t="shared" si="133"/>
        <v/>
      </c>
      <c r="R1150" s="317" t="str">
        <f t="shared" si="134"/>
        <v/>
      </c>
      <c r="S1150" s="317" t="str">
        <f t="shared" si="135"/>
        <v/>
      </c>
      <c r="T1150" s="317" t="str">
        <f>'REF. DE PREÇOS n editavel'!S1150</f>
        <v/>
      </c>
      <c r="W1150" s="577">
        <v>0</v>
      </c>
      <c r="X1150" s="575"/>
      <c r="Y1150" s="578">
        <f>IF('REF. DE PREÇOS n editavel'!W1150=0,0,IF('REF. DE PREÇOS n editavel'!W1150&gt;0,"c","b"))</f>
        <v>0</v>
      </c>
    </row>
    <row r="1151" spans="1:25" ht="22.5">
      <c r="A1151" s="317">
        <v>97667</v>
      </c>
      <c r="B1151" s="870">
        <v>97667</v>
      </c>
      <c r="C1151" s="871" t="s">
        <v>590</v>
      </c>
      <c r="D1151" s="881" t="s">
        <v>1065</v>
      </c>
      <c r="E1151" s="882">
        <f>'REF. DE PREÇOS n editavel'!E1151</f>
        <v>0</v>
      </c>
      <c r="F1151" s="883">
        <f>'REF. DE PREÇOS n editavel'!F1151</f>
        <v>0</v>
      </c>
      <c r="G1151" s="887">
        <f>'REF. DE PREÇOS n editavel'!G1151</f>
        <v>0</v>
      </c>
      <c r="H1151" s="876">
        <f>'REF. DE PREÇOS n editavel'!H1151</f>
        <v>9.3000000000000007</v>
      </c>
      <c r="I1151" s="876">
        <f>'REF. DE PREÇOS n editavel'!I1151</f>
        <v>9.3000000000000007</v>
      </c>
      <c r="J1151" s="877">
        <f>'REF. DE PREÇOS n editavel'!J1151</f>
        <v>11.37</v>
      </c>
      <c r="K1151" s="878" t="s">
        <v>62</v>
      </c>
      <c r="L1151" s="1092"/>
      <c r="M1151" s="1093">
        <f t="shared" si="132"/>
        <v>0</v>
      </c>
      <c r="N1151" s="868">
        <f t="shared" si="136"/>
        <v>0</v>
      </c>
      <c r="O1151" s="880"/>
      <c r="Q1151" s="317" t="str">
        <f t="shared" si="133"/>
        <v/>
      </c>
      <c r="R1151" s="317" t="str">
        <f t="shared" si="134"/>
        <v/>
      </c>
      <c r="S1151" s="317" t="str">
        <f t="shared" si="135"/>
        <v/>
      </c>
      <c r="T1151" s="317" t="str">
        <f>'REF. DE PREÇOS n editavel'!S1151</f>
        <v/>
      </c>
      <c r="W1151" s="577">
        <v>0</v>
      </c>
      <c r="X1151" s="575"/>
      <c r="Y1151" s="578">
        <f>IF('REF. DE PREÇOS n editavel'!W1151=0,0,IF('REF. DE PREÇOS n editavel'!W1151&gt;0,"c","b"))</f>
        <v>0</v>
      </c>
    </row>
    <row r="1152" spans="1:25" ht="22.5">
      <c r="A1152" s="317">
        <v>97668</v>
      </c>
      <c r="B1152" s="870">
        <v>97668</v>
      </c>
      <c r="C1152" s="871" t="s">
        <v>590</v>
      </c>
      <c r="D1152" s="881" t="s">
        <v>1066</v>
      </c>
      <c r="E1152" s="882">
        <f>'REF. DE PREÇOS n editavel'!E1152</f>
        <v>0</v>
      </c>
      <c r="F1152" s="883">
        <f>'REF. DE PREÇOS n editavel'!F1152</f>
        <v>0</v>
      </c>
      <c r="G1152" s="887">
        <f>'REF. DE PREÇOS n editavel'!G1152</f>
        <v>0</v>
      </c>
      <c r="H1152" s="876">
        <f>'REF. DE PREÇOS n editavel'!H1152</f>
        <v>13.25</v>
      </c>
      <c r="I1152" s="876">
        <f>'REF. DE PREÇOS n editavel'!I1152</f>
        <v>13.25</v>
      </c>
      <c r="J1152" s="877">
        <f>'REF. DE PREÇOS n editavel'!J1152</f>
        <v>16.190000000000001</v>
      </c>
      <c r="K1152" s="878" t="s">
        <v>62</v>
      </c>
      <c r="L1152" s="1092"/>
      <c r="M1152" s="1093">
        <f t="shared" si="132"/>
        <v>0</v>
      </c>
      <c r="N1152" s="868">
        <f t="shared" si="136"/>
        <v>0</v>
      </c>
      <c r="O1152" s="880"/>
      <c r="Q1152" s="317" t="str">
        <f t="shared" si="133"/>
        <v/>
      </c>
      <c r="R1152" s="317" t="str">
        <f t="shared" si="134"/>
        <v/>
      </c>
      <c r="S1152" s="317" t="str">
        <f t="shared" si="135"/>
        <v/>
      </c>
      <c r="T1152" s="317" t="str">
        <f>'REF. DE PREÇOS n editavel'!S1152</f>
        <v/>
      </c>
      <c r="W1152" s="577">
        <v>0</v>
      </c>
      <c r="X1152" s="575"/>
      <c r="Y1152" s="578">
        <f>IF('REF. DE PREÇOS n editavel'!W1152=0,0,IF('REF. DE PREÇOS n editavel'!W1152&gt;0,"c","b"))</f>
        <v>0</v>
      </c>
    </row>
    <row r="1153" spans="1:25" ht="22.5">
      <c r="A1153" s="317">
        <v>97669</v>
      </c>
      <c r="B1153" s="870">
        <v>97669</v>
      </c>
      <c r="C1153" s="871" t="s">
        <v>590</v>
      </c>
      <c r="D1153" s="881" t="s">
        <v>1067</v>
      </c>
      <c r="E1153" s="882">
        <f>'REF. DE PREÇOS n editavel'!E1153</f>
        <v>0</v>
      </c>
      <c r="F1153" s="883">
        <f>'REF. DE PREÇOS n editavel'!F1153</f>
        <v>0</v>
      </c>
      <c r="G1153" s="887">
        <f>'REF. DE PREÇOS n editavel'!G1153</f>
        <v>0</v>
      </c>
      <c r="H1153" s="876">
        <f>'REF. DE PREÇOS n editavel'!H1153</f>
        <v>19.670000000000002</v>
      </c>
      <c r="I1153" s="876">
        <f>'REF. DE PREÇOS n editavel'!I1153</f>
        <v>19.670000000000002</v>
      </c>
      <c r="J1153" s="877">
        <f>'REF. DE PREÇOS n editavel'!J1153</f>
        <v>24.04</v>
      </c>
      <c r="K1153" s="878" t="s">
        <v>62</v>
      </c>
      <c r="L1153" s="1092"/>
      <c r="M1153" s="1093">
        <f t="shared" si="132"/>
        <v>0</v>
      </c>
      <c r="N1153" s="868">
        <f t="shared" si="136"/>
        <v>0</v>
      </c>
      <c r="O1153" s="880"/>
      <c r="Q1153" s="317" t="str">
        <f t="shared" si="133"/>
        <v/>
      </c>
      <c r="R1153" s="317" t="str">
        <f t="shared" si="134"/>
        <v/>
      </c>
      <c r="S1153" s="317" t="str">
        <f t="shared" si="135"/>
        <v/>
      </c>
      <c r="T1153" s="317" t="str">
        <f>'REF. DE PREÇOS n editavel'!S1153</f>
        <v/>
      </c>
      <c r="W1153" s="577">
        <v>0</v>
      </c>
      <c r="X1153" s="575"/>
      <c r="Y1153" s="578">
        <f>IF('REF. DE PREÇOS n editavel'!W1153=0,0,IF('REF. DE PREÇOS n editavel'!W1153&gt;0,"c","b"))</f>
        <v>0</v>
      </c>
    </row>
    <row r="1154" spans="1:25" ht="22.5">
      <c r="A1154" s="317">
        <v>97670</v>
      </c>
      <c r="B1154" s="870">
        <v>97670</v>
      </c>
      <c r="C1154" s="871" t="s">
        <v>590</v>
      </c>
      <c r="D1154" s="881" t="s">
        <v>1068</v>
      </c>
      <c r="E1154" s="882">
        <f>'REF. DE PREÇOS n editavel'!E1154</f>
        <v>0</v>
      </c>
      <c r="F1154" s="883">
        <f>'REF. DE PREÇOS n editavel'!F1154</f>
        <v>0</v>
      </c>
      <c r="G1154" s="887">
        <f>'REF. DE PREÇOS n editavel'!G1154</f>
        <v>0</v>
      </c>
      <c r="H1154" s="876">
        <f>'REF. DE PREÇOS n editavel'!H1154</f>
        <v>25.13</v>
      </c>
      <c r="I1154" s="876">
        <f>'REF. DE PREÇOS n editavel'!I1154</f>
        <v>25.13</v>
      </c>
      <c r="J1154" s="877">
        <f>'REF. DE PREÇOS n editavel'!J1154</f>
        <v>30.71</v>
      </c>
      <c r="K1154" s="878" t="s">
        <v>62</v>
      </c>
      <c r="L1154" s="1092"/>
      <c r="M1154" s="1093">
        <f t="shared" si="132"/>
        <v>0</v>
      </c>
      <c r="N1154" s="868">
        <f t="shared" si="136"/>
        <v>0</v>
      </c>
      <c r="O1154" s="880"/>
      <c r="Q1154" s="317" t="str">
        <f t="shared" si="133"/>
        <v/>
      </c>
      <c r="R1154" s="317" t="str">
        <f t="shared" si="134"/>
        <v/>
      </c>
      <c r="S1154" s="317" t="str">
        <f t="shared" si="135"/>
        <v/>
      </c>
      <c r="T1154" s="317" t="str">
        <f>'REF. DE PREÇOS n editavel'!S1154</f>
        <v/>
      </c>
      <c r="W1154" s="577">
        <v>0</v>
      </c>
      <c r="X1154" s="575"/>
      <c r="Y1154" s="578">
        <f>IF('REF. DE PREÇOS n editavel'!W1154=0,0,IF('REF. DE PREÇOS n editavel'!W1154&gt;0,"c","b"))</f>
        <v>0</v>
      </c>
    </row>
    <row r="1155" spans="1:25" ht="22.5">
      <c r="A1155" s="317">
        <v>91924</v>
      </c>
      <c r="B1155" s="870">
        <v>91924</v>
      </c>
      <c r="C1155" s="871" t="s">
        <v>590</v>
      </c>
      <c r="D1155" s="881" t="s">
        <v>1069</v>
      </c>
      <c r="E1155" s="882">
        <f>'REF. DE PREÇOS n editavel'!E1155</f>
        <v>0</v>
      </c>
      <c r="F1155" s="883">
        <f>'REF. DE PREÇOS n editavel'!F1155</f>
        <v>0</v>
      </c>
      <c r="G1155" s="887">
        <f>'REF. DE PREÇOS n editavel'!G1155</f>
        <v>0</v>
      </c>
      <c r="H1155" s="876">
        <f>'REF. DE PREÇOS n editavel'!H1155</f>
        <v>3.11</v>
      </c>
      <c r="I1155" s="876">
        <f>'REF. DE PREÇOS n editavel'!I1155</f>
        <v>3.11</v>
      </c>
      <c r="J1155" s="877">
        <f>'REF. DE PREÇOS n editavel'!J1155</f>
        <v>3.8</v>
      </c>
      <c r="K1155" s="878" t="s">
        <v>62</v>
      </c>
      <c r="L1155" s="1092"/>
      <c r="M1155" s="1093">
        <f t="shared" si="132"/>
        <v>0</v>
      </c>
      <c r="N1155" s="868">
        <f t="shared" si="136"/>
        <v>0</v>
      </c>
      <c r="O1155" s="880"/>
      <c r="Q1155" s="317" t="str">
        <f t="shared" si="133"/>
        <v/>
      </c>
      <c r="R1155" s="317" t="str">
        <f t="shared" si="134"/>
        <v/>
      </c>
      <c r="S1155" s="317" t="str">
        <f t="shared" si="135"/>
        <v/>
      </c>
      <c r="T1155" s="317" t="str">
        <f>'REF. DE PREÇOS n editavel'!S1155</f>
        <v/>
      </c>
      <c r="W1155" s="577">
        <v>0</v>
      </c>
      <c r="X1155" s="575"/>
      <c r="Y1155" s="578">
        <f>IF('REF. DE PREÇOS n editavel'!W1155=0,0,IF('REF. DE PREÇOS n editavel'!W1155&gt;0,"c","b"))</f>
        <v>0</v>
      </c>
    </row>
    <row r="1156" spans="1:25" ht="22.5">
      <c r="A1156" s="317">
        <v>91926</v>
      </c>
      <c r="B1156" s="870">
        <v>91926</v>
      </c>
      <c r="C1156" s="871" t="s">
        <v>590</v>
      </c>
      <c r="D1156" s="881" t="s">
        <v>1070</v>
      </c>
      <c r="E1156" s="882">
        <f>'REF. DE PREÇOS n editavel'!E1156</f>
        <v>0</v>
      </c>
      <c r="F1156" s="883">
        <f>'REF. DE PREÇOS n editavel'!F1156</f>
        <v>0</v>
      </c>
      <c r="G1156" s="887">
        <f>'REF. DE PREÇOS n editavel'!G1156</f>
        <v>0</v>
      </c>
      <c r="H1156" s="876">
        <f>'REF. DE PREÇOS n editavel'!H1156</f>
        <v>4.42</v>
      </c>
      <c r="I1156" s="876">
        <f>'REF. DE PREÇOS n editavel'!I1156</f>
        <v>4.42</v>
      </c>
      <c r="J1156" s="877">
        <f>'REF. DE PREÇOS n editavel'!J1156</f>
        <v>5.4</v>
      </c>
      <c r="K1156" s="878" t="s">
        <v>62</v>
      </c>
      <c r="L1156" s="1092"/>
      <c r="M1156" s="1093">
        <f t="shared" si="132"/>
        <v>0</v>
      </c>
      <c r="N1156" s="868">
        <f t="shared" si="136"/>
        <v>0</v>
      </c>
      <c r="O1156" s="880"/>
      <c r="Q1156" s="317" t="str">
        <f t="shared" si="133"/>
        <v/>
      </c>
      <c r="R1156" s="317" t="str">
        <f t="shared" si="134"/>
        <v/>
      </c>
      <c r="S1156" s="317" t="str">
        <f t="shared" si="135"/>
        <v/>
      </c>
      <c r="T1156" s="317" t="str">
        <f>'REF. DE PREÇOS n editavel'!S1156</f>
        <v/>
      </c>
      <c r="W1156" s="577">
        <v>0</v>
      </c>
      <c r="X1156" s="575"/>
      <c r="Y1156" s="578">
        <f>IF('REF. DE PREÇOS n editavel'!W1156=0,0,IF('REF. DE PREÇOS n editavel'!W1156&gt;0,"c","b"))</f>
        <v>0</v>
      </c>
    </row>
    <row r="1157" spans="1:25" ht="22.5">
      <c r="A1157" s="317">
        <v>91928</v>
      </c>
      <c r="B1157" s="870">
        <v>91928</v>
      </c>
      <c r="C1157" s="871" t="s">
        <v>590</v>
      </c>
      <c r="D1157" s="881" t="s">
        <v>1071</v>
      </c>
      <c r="E1157" s="882">
        <f>'REF. DE PREÇOS n editavel'!E1157</f>
        <v>0</v>
      </c>
      <c r="F1157" s="883">
        <f>'REF. DE PREÇOS n editavel'!F1157</f>
        <v>0</v>
      </c>
      <c r="G1157" s="887">
        <f>'REF. DE PREÇOS n editavel'!G1157</f>
        <v>0</v>
      </c>
      <c r="H1157" s="876">
        <f>'REF. DE PREÇOS n editavel'!H1157</f>
        <v>6.72</v>
      </c>
      <c r="I1157" s="876">
        <f>'REF. DE PREÇOS n editavel'!I1157</f>
        <v>6.72</v>
      </c>
      <c r="J1157" s="877">
        <f>'REF. DE PREÇOS n editavel'!J1157</f>
        <v>8.2100000000000009</v>
      </c>
      <c r="K1157" s="878" t="s">
        <v>62</v>
      </c>
      <c r="L1157" s="1092"/>
      <c r="M1157" s="1093">
        <f t="shared" si="132"/>
        <v>0</v>
      </c>
      <c r="N1157" s="868">
        <f t="shared" si="136"/>
        <v>0</v>
      </c>
      <c r="O1157" s="880"/>
      <c r="Q1157" s="317" t="str">
        <f t="shared" si="133"/>
        <v/>
      </c>
      <c r="R1157" s="317" t="str">
        <f t="shared" si="134"/>
        <v/>
      </c>
      <c r="S1157" s="317" t="str">
        <f t="shared" si="135"/>
        <v/>
      </c>
      <c r="T1157" s="317" t="str">
        <f>'REF. DE PREÇOS n editavel'!S1157</f>
        <v/>
      </c>
      <c r="W1157" s="577">
        <v>0</v>
      </c>
      <c r="X1157" s="575"/>
      <c r="Y1157" s="578">
        <f>IF('REF. DE PREÇOS n editavel'!W1157=0,0,IF('REF. DE PREÇOS n editavel'!W1157&gt;0,"c","b"))</f>
        <v>0</v>
      </c>
    </row>
    <row r="1158" spans="1:25" ht="22.5">
      <c r="A1158" s="317">
        <v>91930</v>
      </c>
      <c r="B1158" s="870">
        <v>91930</v>
      </c>
      <c r="C1158" s="871" t="s">
        <v>590</v>
      </c>
      <c r="D1158" s="881" t="s">
        <v>1072</v>
      </c>
      <c r="E1158" s="882">
        <f>'REF. DE PREÇOS n editavel'!E1158</f>
        <v>0</v>
      </c>
      <c r="F1158" s="883">
        <f>'REF. DE PREÇOS n editavel'!F1158</f>
        <v>0</v>
      </c>
      <c r="G1158" s="887">
        <f>'REF. DE PREÇOS n editavel'!G1158</f>
        <v>0</v>
      </c>
      <c r="H1158" s="876">
        <f>'REF. DE PREÇOS n editavel'!H1158</f>
        <v>9.31</v>
      </c>
      <c r="I1158" s="876">
        <f>'REF. DE PREÇOS n editavel'!I1158</f>
        <v>9.31</v>
      </c>
      <c r="J1158" s="877">
        <f>'REF. DE PREÇOS n editavel'!J1158</f>
        <v>11.38</v>
      </c>
      <c r="K1158" s="878" t="s">
        <v>62</v>
      </c>
      <c r="L1158" s="1092"/>
      <c r="M1158" s="1093">
        <f t="shared" ref="M1158:M1221" si="137">IF(L1158=0,0,ROUND(J1158,2))</f>
        <v>0</v>
      </c>
      <c r="N1158" s="868">
        <f t="shared" si="136"/>
        <v>0</v>
      </c>
      <c r="O1158" s="880"/>
      <c r="Q1158" s="317" t="str">
        <f t="shared" si="133"/>
        <v/>
      </c>
      <c r="R1158" s="317" t="str">
        <f t="shared" si="134"/>
        <v/>
      </c>
      <c r="S1158" s="317" t="str">
        <f t="shared" si="135"/>
        <v/>
      </c>
      <c r="T1158" s="317" t="str">
        <f>'REF. DE PREÇOS n editavel'!S1158</f>
        <v/>
      </c>
      <c r="W1158" s="577">
        <v>0</v>
      </c>
      <c r="X1158" s="575"/>
      <c r="Y1158" s="578">
        <f>IF('REF. DE PREÇOS n editavel'!W1158=0,0,IF('REF. DE PREÇOS n editavel'!W1158&gt;0,"c","b"))</f>
        <v>0</v>
      </c>
    </row>
    <row r="1159" spans="1:25" ht="22.5">
      <c r="A1159" s="317">
        <v>91932</v>
      </c>
      <c r="B1159" s="870">
        <v>91932</v>
      </c>
      <c r="C1159" s="871" t="s">
        <v>590</v>
      </c>
      <c r="D1159" s="881" t="s">
        <v>1073</v>
      </c>
      <c r="E1159" s="882">
        <f>'REF. DE PREÇOS n editavel'!E1159</f>
        <v>0</v>
      </c>
      <c r="F1159" s="883">
        <f>'REF. DE PREÇOS n editavel'!F1159</f>
        <v>0</v>
      </c>
      <c r="G1159" s="887">
        <f>'REF. DE PREÇOS n editavel'!G1159</f>
        <v>0</v>
      </c>
      <c r="H1159" s="876">
        <f>'REF. DE PREÇOS n editavel'!H1159</f>
        <v>16.420000000000002</v>
      </c>
      <c r="I1159" s="876">
        <f>'REF. DE PREÇOS n editavel'!I1159</f>
        <v>16.420000000000002</v>
      </c>
      <c r="J1159" s="877">
        <f>'REF. DE PREÇOS n editavel'!J1159</f>
        <v>20.07</v>
      </c>
      <c r="K1159" s="878" t="s">
        <v>62</v>
      </c>
      <c r="L1159" s="1092"/>
      <c r="M1159" s="1093">
        <f t="shared" si="137"/>
        <v>0</v>
      </c>
      <c r="N1159" s="868">
        <f t="shared" si="136"/>
        <v>0</v>
      </c>
      <c r="O1159" s="880"/>
      <c r="Q1159" s="317" t="str">
        <f t="shared" si="133"/>
        <v/>
      </c>
      <c r="R1159" s="317" t="str">
        <f t="shared" si="134"/>
        <v/>
      </c>
      <c r="S1159" s="317" t="str">
        <f t="shared" si="135"/>
        <v/>
      </c>
      <c r="T1159" s="317" t="str">
        <f>'REF. DE PREÇOS n editavel'!S1159</f>
        <v/>
      </c>
      <c r="W1159" s="577">
        <v>0</v>
      </c>
      <c r="X1159" s="575"/>
      <c r="Y1159" s="578">
        <f>IF('REF. DE PREÇOS n editavel'!W1159=0,0,IF('REF. DE PREÇOS n editavel'!W1159&gt;0,"c","b"))</f>
        <v>0</v>
      </c>
    </row>
    <row r="1160" spans="1:25" ht="22.5">
      <c r="A1160" s="317">
        <v>91934</v>
      </c>
      <c r="B1160" s="870">
        <v>91934</v>
      </c>
      <c r="C1160" s="871" t="s">
        <v>590</v>
      </c>
      <c r="D1160" s="881" t="s">
        <v>1074</v>
      </c>
      <c r="E1160" s="882">
        <f>'REF. DE PREÇOS n editavel'!E1160</f>
        <v>0</v>
      </c>
      <c r="F1160" s="883">
        <f>'REF. DE PREÇOS n editavel'!F1160</f>
        <v>0</v>
      </c>
      <c r="G1160" s="887">
        <f>'REF. DE PREÇOS n editavel'!G1160</f>
        <v>0</v>
      </c>
      <c r="H1160" s="876">
        <f>'REF. DE PREÇOS n editavel'!H1160</f>
        <v>23.75</v>
      </c>
      <c r="I1160" s="876">
        <f>'REF. DE PREÇOS n editavel'!I1160</f>
        <v>23.75</v>
      </c>
      <c r="J1160" s="877">
        <f>'REF. DE PREÇOS n editavel'!J1160</f>
        <v>29.03</v>
      </c>
      <c r="K1160" s="878" t="s">
        <v>62</v>
      </c>
      <c r="L1160" s="1092"/>
      <c r="M1160" s="1093">
        <f t="shared" si="137"/>
        <v>0</v>
      </c>
      <c r="N1160" s="868">
        <f t="shared" si="136"/>
        <v>0</v>
      </c>
      <c r="O1160" s="880"/>
      <c r="Q1160" s="317" t="str">
        <f t="shared" si="133"/>
        <v/>
      </c>
      <c r="R1160" s="317" t="str">
        <f t="shared" si="134"/>
        <v/>
      </c>
      <c r="S1160" s="317" t="str">
        <f t="shared" si="135"/>
        <v/>
      </c>
      <c r="T1160" s="317" t="str">
        <f>'REF. DE PREÇOS n editavel'!S1160</f>
        <v/>
      </c>
      <c r="W1160" s="577">
        <v>0</v>
      </c>
      <c r="X1160" s="575"/>
      <c r="Y1160" s="578">
        <f>IF('REF. DE PREÇOS n editavel'!W1160=0,0,IF('REF. DE PREÇOS n editavel'!W1160&gt;0,"c","b"))</f>
        <v>0</v>
      </c>
    </row>
    <row r="1161" spans="1:25" ht="22.5">
      <c r="A1161" s="317">
        <v>92979</v>
      </c>
      <c r="B1161" s="870">
        <v>92979</v>
      </c>
      <c r="C1161" s="871" t="s">
        <v>590</v>
      </c>
      <c r="D1161" s="881" t="s">
        <v>1075</v>
      </c>
      <c r="E1161" s="882">
        <f>'REF. DE PREÇOS n editavel'!E1161</f>
        <v>0</v>
      </c>
      <c r="F1161" s="883">
        <f>'REF. DE PREÇOS n editavel'!F1161</f>
        <v>0</v>
      </c>
      <c r="G1161" s="887">
        <f>'REF. DE PREÇOS n editavel'!G1161</f>
        <v>0</v>
      </c>
      <c r="H1161" s="876">
        <f>'REF. DE PREÇOS n editavel'!H1161</f>
        <v>10.73</v>
      </c>
      <c r="I1161" s="876">
        <f>'REF. DE PREÇOS n editavel'!I1161</f>
        <v>10.73</v>
      </c>
      <c r="J1161" s="877">
        <f>'REF. DE PREÇOS n editavel'!J1161</f>
        <v>13.11</v>
      </c>
      <c r="K1161" s="878" t="s">
        <v>62</v>
      </c>
      <c r="L1161" s="1092"/>
      <c r="M1161" s="1093">
        <f t="shared" si="137"/>
        <v>0</v>
      </c>
      <c r="N1161" s="868">
        <f t="shared" si="136"/>
        <v>0</v>
      </c>
      <c r="O1161" s="880"/>
      <c r="Q1161" s="317" t="str">
        <f t="shared" si="133"/>
        <v/>
      </c>
      <c r="R1161" s="317" t="str">
        <f t="shared" si="134"/>
        <v/>
      </c>
      <c r="S1161" s="317" t="str">
        <f t="shared" si="135"/>
        <v/>
      </c>
      <c r="T1161" s="317" t="str">
        <f>'REF. DE PREÇOS n editavel'!S1161</f>
        <v/>
      </c>
      <c r="W1161" s="577">
        <v>0</v>
      </c>
      <c r="X1161" s="575"/>
      <c r="Y1161" s="578">
        <f>IF('REF. DE PREÇOS n editavel'!W1161=0,0,IF('REF. DE PREÇOS n editavel'!W1161&gt;0,"c","b"))</f>
        <v>0</v>
      </c>
    </row>
    <row r="1162" spans="1:25" ht="22.5">
      <c r="A1162" s="317">
        <v>92981</v>
      </c>
      <c r="B1162" s="870">
        <v>92981</v>
      </c>
      <c r="C1162" s="871" t="s">
        <v>590</v>
      </c>
      <c r="D1162" s="881" t="s">
        <v>1076</v>
      </c>
      <c r="E1162" s="882">
        <f>'REF. DE PREÇOS n editavel'!E1162</f>
        <v>0</v>
      </c>
      <c r="F1162" s="883">
        <f>'REF. DE PREÇOS n editavel'!F1162</f>
        <v>0</v>
      </c>
      <c r="G1162" s="887">
        <f>'REF. DE PREÇOS n editavel'!G1162</f>
        <v>0</v>
      </c>
      <c r="H1162" s="876">
        <f>'REF. DE PREÇOS n editavel'!H1162</f>
        <v>15.33</v>
      </c>
      <c r="I1162" s="876">
        <f>'REF. DE PREÇOS n editavel'!I1162</f>
        <v>15.33</v>
      </c>
      <c r="J1162" s="877">
        <f>'REF. DE PREÇOS n editavel'!J1162</f>
        <v>18.739999999999998</v>
      </c>
      <c r="K1162" s="878" t="s">
        <v>62</v>
      </c>
      <c r="L1162" s="1092"/>
      <c r="M1162" s="1093">
        <f t="shared" si="137"/>
        <v>0</v>
      </c>
      <c r="N1162" s="868">
        <f t="shared" si="136"/>
        <v>0</v>
      </c>
      <c r="O1162" s="880"/>
      <c r="Q1162" s="317" t="str">
        <f t="shared" si="133"/>
        <v/>
      </c>
      <c r="R1162" s="317" t="str">
        <f t="shared" si="134"/>
        <v/>
      </c>
      <c r="S1162" s="317" t="str">
        <f t="shared" si="135"/>
        <v/>
      </c>
      <c r="T1162" s="317" t="str">
        <f>'REF. DE PREÇOS n editavel'!S1162</f>
        <v/>
      </c>
      <c r="W1162" s="577">
        <v>0</v>
      </c>
      <c r="X1162" s="575"/>
      <c r="Y1162" s="578">
        <f>IF('REF. DE PREÇOS n editavel'!W1162=0,0,IF('REF. DE PREÇOS n editavel'!W1162&gt;0,"c","b"))</f>
        <v>0</v>
      </c>
    </row>
    <row r="1163" spans="1:25" ht="22.5">
      <c r="A1163" s="317">
        <v>91925</v>
      </c>
      <c r="B1163" s="870">
        <v>91925</v>
      </c>
      <c r="C1163" s="871" t="s">
        <v>590</v>
      </c>
      <c r="D1163" s="881" t="s">
        <v>1077</v>
      </c>
      <c r="E1163" s="882">
        <f>'REF. DE PREÇOS n editavel'!E1163</f>
        <v>0</v>
      </c>
      <c r="F1163" s="883">
        <f>'REF. DE PREÇOS n editavel'!F1163</f>
        <v>0</v>
      </c>
      <c r="G1163" s="887">
        <f>'REF. DE PREÇOS n editavel'!G1163</f>
        <v>0</v>
      </c>
      <c r="H1163" s="876">
        <f>'REF. DE PREÇOS n editavel'!H1163</f>
        <v>3.68</v>
      </c>
      <c r="I1163" s="876">
        <f>'REF. DE PREÇOS n editavel'!I1163</f>
        <v>3.68</v>
      </c>
      <c r="J1163" s="877">
        <f>'REF. DE PREÇOS n editavel'!J1163</f>
        <v>4.5</v>
      </c>
      <c r="K1163" s="878" t="s">
        <v>62</v>
      </c>
      <c r="L1163" s="1092"/>
      <c r="M1163" s="1093">
        <f t="shared" si="137"/>
        <v>0</v>
      </c>
      <c r="N1163" s="868">
        <f t="shared" si="136"/>
        <v>0</v>
      </c>
      <c r="O1163" s="880"/>
      <c r="Q1163" s="317" t="str">
        <f t="shared" si="133"/>
        <v/>
      </c>
      <c r="R1163" s="317" t="str">
        <f t="shared" si="134"/>
        <v/>
      </c>
      <c r="S1163" s="317" t="str">
        <f t="shared" si="135"/>
        <v/>
      </c>
      <c r="T1163" s="317" t="str">
        <f>'REF. DE PREÇOS n editavel'!S1163</f>
        <v/>
      </c>
      <c r="W1163" s="577">
        <v>0</v>
      </c>
      <c r="X1163" s="575"/>
      <c r="Y1163" s="578">
        <f>IF('REF. DE PREÇOS n editavel'!W1163=0,0,IF('REF. DE PREÇOS n editavel'!W1163&gt;0,"c","b"))</f>
        <v>0</v>
      </c>
    </row>
    <row r="1164" spans="1:25" ht="22.5">
      <c r="A1164" s="317">
        <v>91927</v>
      </c>
      <c r="B1164" s="870">
        <v>91927</v>
      </c>
      <c r="C1164" s="871" t="s">
        <v>590</v>
      </c>
      <c r="D1164" s="881" t="s">
        <v>1078</v>
      </c>
      <c r="E1164" s="882">
        <f>'REF. DE PREÇOS n editavel'!E1164</f>
        <v>0</v>
      </c>
      <c r="F1164" s="883">
        <f>'REF. DE PREÇOS n editavel'!F1164</f>
        <v>0</v>
      </c>
      <c r="G1164" s="887">
        <f>'REF. DE PREÇOS n editavel'!G1164</f>
        <v>0</v>
      </c>
      <c r="H1164" s="876">
        <f>'REF. DE PREÇOS n editavel'!H1164</f>
        <v>4.91</v>
      </c>
      <c r="I1164" s="876">
        <f>'REF. DE PREÇOS n editavel'!I1164</f>
        <v>4.91</v>
      </c>
      <c r="J1164" s="877">
        <f>'REF. DE PREÇOS n editavel'!J1164</f>
        <v>6</v>
      </c>
      <c r="K1164" s="878" t="s">
        <v>62</v>
      </c>
      <c r="L1164" s="1092"/>
      <c r="M1164" s="1093">
        <f t="shared" si="137"/>
        <v>0</v>
      </c>
      <c r="N1164" s="868">
        <f t="shared" si="136"/>
        <v>0</v>
      </c>
      <c r="O1164" s="880"/>
      <c r="Q1164" s="317" t="str">
        <f t="shared" si="133"/>
        <v/>
      </c>
      <c r="R1164" s="317" t="str">
        <f t="shared" si="134"/>
        <v/>
      </c>
      <c r="S1164" s="317" t="str">
        <f t="shared" si="135"/>
        <v/>
      </c>
      <c r="T1164" s="317" t="str">
        <f>'REF. DE PREÇOS n editavel'!S1164</f>
        <v/>
      </c>
      <c r="W1164" s="577">
        <v>0</v>
      </c>
      <c r="X1164" s="575"/>
      <c r="Y1164" s="578">
        <f>IF('REF. DE PREÇOS n editavel'!W1164=0,0,IF('REF. DE PREÇOS n editavel'!W1164&gt;0,"c","b"))</f>
        <v>0</v>
      </c>
    </row>
    <row r="1165" spans="1:25" ht="22.5">
      <c r="A1165" s="317">
        <v>91929</v>
      </c>
      <c r="B1165" s="870">
        <v>91929</v>
      </c>
      <c r="C1165" s="871" t="s">
        <v>590</v>
      </c>
      <c r="D1165" s="881" t="s">
        <v>1079</v>
      </c>
      <c r="E1165" s="882">
        <f>'REF. DE PREÇOS n editavel'!E1165</f>
        <v>0</v>
      </c>
      <c r="F1165" s="883">
        <f>'REF. DE PREÇOS n editavel'!F1165</f>
        <v>0</v>
      </c>
      <c r="G1165" s="887">
        <f>'REF. DE PREÇOS n editavel'!G1165</f>
        <v>0</v>
      </c>
      <c r="H1165" s="876">
        <f>'REF. DE PREÇOS n editavel'!H1165</f>
        <v>7.14</v>
      </c>
      <c r="I1165" s="876">
        <f>'REF. DE PREÇOS n editavel'!I1165</f>
        <v>7.14</v>
      </c>
      <c r="J1165" s="877">
        <f>'REF. DE PREÇOS n editavel'!J1165</f>
        <v>8.73</v>
      </c>
      <c r="K1165" s="878" t="s">
        <v>62</v>
      </c>
      <c r="L1165" s="1092"/>
      <c r="M1165" s="1093">
        <f t="shared" si="137"/>
        <v>0</v>
      </c>
      <c r="N1165" s="868">
        <f t="shared" si="136"/>
        <v>0</v>
      </c>
      <c r="O1165" s="880"/>
      <c r="Q1165" s="317" t="str">
        <f t="shared" si="133"/>
        <v/>
      </c>
      <c r="R1165" s="317" t="str">
        <f t="shared" si="134"/>
        <v/>
      </c>
      <c r="S1165" s="317" t="str">
        <f t="shared" si="135"/>
        <v/>
      </c>
      <c r="T1165" s="317" t="str">
        <f>'REF. DE PREÇOS n editavel'!S1165</f>
        <v/>
      </c>
      <c r="W1165" s="577">
        <v>0</v>
      </c>
      <c r="X1165" s="575"/>
      <c r="Y1165" s="578">
        <f>IF('REF. DE PREÇOS n editavel'!W1165=0,0,IF('REF. DE PREÇOS n editavel'!W1165&gt;0,"c","b"))</f>
        <v>0</v>
      </c>
    </row>
    <row r="1166" spans="1:25" ht="22.5">
      <c r="A1166" s="317">
        <v>91931</v>
      </c>
      <c r="B1166" s="870">
        <v>91931</v>
      </c>
      <c r="C1166" s="871" t="s">
        <v>590</v>
      </c>
      <c r="D1166" s="881" t="s">
        <v>1080</v>
      </c>
      <c r="E1166" s="882">
        <f>'REF. DE PREÇOS n editavel'!E1166</f>
        <v>0</v>
      </c>
      <c r="F1166" s="883">
        <f>'REF. DE PREÇOS n editavel'!F1166</f>
        <v>0</v>
      </c>
      <c r="G1166" s="887">
        <f>'REF. DE PREÇOS n editavel'!G1166</f>
        <v>0</v>
      </c>
      <c r="H1166" s="876">
        <f>'REF. DE PREÇOS n editavel'!H1166</f>
        <v>10</v>
      </c>
      <c r="I1166" s="876">
        <f>'REF. DE PREÇOS n editavel'!I1166</f>
        <v>10</v>
      </c>
      <c r="J1166" s="877">
        <f>'REF. DE PREÇOS n editavel'!J1166</f>
        <v>12.22</v>
      </c>
      <c r="K1166" s="878" t="s">
        <v>62</v>
      </c>
      <c r="L1166" s="1092"/>
      <c r="M1166" s="1093">
        <f t="shared" si="137"/>
        <v>0</v>
      </c>
      <c r="N1166" s="868">
        <f t="shared" si="136"/>
        <v>0</v>
      </c>
      <c r="O1166" s="880"/>
      <c r="Q1166" s="317" t="str">
        <f t="shared" si="133"/>
        <v/>
      </c>
      <c r="R1166" s="317" t="str">
        <f t="shared" si="134"/>
        <v/>
      </c>
      <c r="S1166" s="317" t="str">
        <f t="shared" si="135"/>
        <v/>
      </c>
      <c r="T1166" s="317" t="str">
        <f>'REF. DE PREÇOS n editavel'!S1166</f>
        <v/>
      </c>
      <c r="W1166" s="577">
        <v>0</v>
      </c>
      <c r="X1166" s="575"/>
      <c r="Y1166" s="578">
        <f>IF('REF. DE PREÇOS n editavel'!W1166=0,0,IF('REF. DE PREÇOS n editavel'!W1166&gt;0,"c","b"))</f>
        <v>0</v>
      </c>
    </row>
    <row r="1167" spans="1:25" ht="22.5">
      <c r="A1167" s="317">
        <v>91933</v>
      </c>
      <c r="B1167" s="870">
        <v>91933</v>
      </c>
      <c r="C1167" s="871" t="s">
        <v>590</v>
      </c>
      <c r="D1167" s="881" t="s">
        <v>1081</v>
      </c>
      <c r="E1167" s="882">
        <f>'REF. DE PREÇOS n editavel'!E1167</f>
        <v>0</v>
      </c>
      <c r="F1167" s="883">
        <f>'REF. DE PREÇOS n editavel'!F1167</f>
        <v>0</v>
      </c>
      <c r="G1167" s="887">
        <f>'REF. DE PREÇOS n editavel'!G1167</f>
        <v>0</v>
      </c>
      <c r="H1167" s="876">
        <f>'REF. DE PREÇOS n editavel'!H1167</f>
        <v>15.88</v>
      </c>
      <c r="I1167" s="876">
        <f>'REF. DE PREÇOS n editavel'!I1167</f>
        <v>15.88</v>
      </c>
      <c r="J1167" s="877">
        <f>'REF. DE PREÇOS n editavel'!J1167</f>
        <v>19.41</v>
      </c>
      <c r="K1167" s="878" t="s">
        <v>62</v>
      </c>
      <c r="L1167" s="1092"/>
      <c r="M1167" s="1093">
        <f t="shared" si="137"/>
        <v>0</v>
      </c>
      <c r="N1167" s="868">
        <f t="shared" si="136"/>
        <v>0</v>
      </c>
      <c r="O1167" s="880"/>
      <c r="Q1167" s="317" t="str">
        <f t="shared" si="133"/>
        <v/>
      </c>
      <c r="R1167" s="317" t="str">
        <f t="shared" si="134"/>
        <v/>
      </c>
      <c r="S1167" s="317" t="str">
        <f t="shared" si="135"/>
        <v/>
      </c>
      <c r="T1167" s="317" t="str">
        <f>'REF. DE PREÇOS n editavel'!S1167</f>
        <v/>
      </c>
      <c r="W1167" s="577">
        <v>0</v>
      </c>
      <c r="X1167" s="575"/>
      <c r="Y1167" s="578">
        <f>IF('REF. DE PREÇOS n editavel'!W1167=0,0,IF('REF. DE PREÇOS n editavel'!W1167&gt;0,"c","b"))</f>
        <v>0</v>
      </c>
    </row>
    <row r="1168" spans="1:25" ht="22.5">
      <c r="A1168" s="317">
        <v>91935</v>
      </c>
      <c r="B1168" s="870">
        <v>91935</v>
      </c>
      <c r="C1168" s="871" t="s">
        <v>590</v>
      </c>
      <c r="D1168" s="881" t="s">
        <v>1082</v>
      </c>
      <c r="E1168" s="882">
        <f>'REF. DE PREÇOS n editavel'!E1168</f>
        <v>0</v>
      </c>
      <c r="F1168" s="883">
        <f>'REF. DE PREÇOS n editavel'!F1168</f>
        <v>0</v>
      </c>
      <c r="G1168" s="887">
        <f>'REF. DE PREÇOS n editavel'!G1168</f>
        <v>0</v>
      </c>
      <c r="H1168" s="876">
        <f>'REF. DE PREÇOS n editavel'!H1168</f>
        <v>24.8</v>
      </c>
      <c r="I1168" s="876">
        <f>'REF. DE PREÇOS n editavel'!I1168</f>
        <v>24.8</v>
      </c>
      <c r="J1168" s="877">
        <f>'REF. DE PREÇOS n editavel'!J1168</f>
        <v>30.31</v>
      </c>
      <c r="K1168" s="878" t="s">
        <v>62</v>
      </c>
      <c r="L1168" s="1092"/>
      <c r="M1168" s="1093">
        <f t="shared" si="137"/>
        <v>0</v>
      </c>
      <c r="N1168" s="868">
        <f t="shared" si="136"/>
        <v>0</v>
      </c>
      <c r="O1168" s="880"/>
      <c r="Q1168" s="317" t="str">
        <f t="shared" si="133"/>
        <v/>
      </c>
      <c r="R1168" s="317" t="str">
        <f t="shared" si="134"/>
        <v/>
      </c>
      <c r="S1168" s="317" t="str">
        <f t="shared" si="135"/>
        <v/>
      </c>
      <c r="T1168" s="317" t="str">
        <f>'REF. DE PREÇOS n editavel'!S1168</f>
        <v/>
      </c>
      <c r="W1168" s="577">
        <v>0</v>
      </c>
      <c r="X1168" s="575"/>
      <c r="Y1168" s="578">
        <f>IF('REF. DE PREÇOS n editavel'!W1168=0,0,IF('REF. DE PREÇOS n editavel'!W1168&gt;0,"c","b"))</f>
        <v>0</v>
      </c>
    </row>
    <row r="1169" spans="1:25" ht="22.5">
      <c r="A1169" s="317">
        <v>92980</v>
      </c>
      <c r="B1169" s="870">
        <v>92980</v>
      </c>
      <c r="C1169" s="871" t="s">
        <v>590</v>
      </c>
      <c r="D1169" s="881" t="s">
        <v>1083</v>
      </c>
      <c r="E1169" s="882">
        <f>'REF. DE PREÇOS n editavel'!E1169</f>
        <v>0</v>
      </c>
      <c r="F1169" s="883">
        <f>'REF. DE PREÇOS n editavel'!F1169</f>
        <v>0</v>
      </c>
      <c r="G1169" s="887">
        <f>'REF. DE PREÇOS n editavel'!G1169</f>
        <v>0</v>
      </c>
      <c r="H1169" s="876">
        <f>'REF. DE PREÇOS n editavel'!H1169</f>
        <v>10.26</v>
      </c>
      <c r="I1169" s="876">
        <f>'REF. DE PREÇOS n editavel'!I1169</f>
        <v>10.26</v>
      </c>
      <c r="J1169" s="877">
        <f>'REF. DE PREÇOS n editavel'!J1169</f>
        <v>12.54</v>
      </c>
      <c r="K1169" s="878" t="s">
        <v>62</v>
      </c>
      <c r="L1169" s="1092"/>
      <c r="M1169" s="1093">
        <f t="shared" si="137"/>
        <v>0</v>
      </c>
      <c r="N1169" s="868">
        <f t="shared" si="136"/>
        <v>0</v>
      </c>
      <c r="O1169" s="880"/>
      <c r="Q1169" s="317" t="str">
        <f t="shared" ref="Q1169:Q1232" si="138">IF(P1169="X","x",IF(P1169="xx","x",IF(P1169="xy","x",IF(P1169="y","x",IF(OR(N1169&gt;0,N1169&gt;0),"x","")))))</f>
        <v/>
      </c>
      <c r="R1169" s="317" t="str">
        <f t="shared" si="134"/>
        <v/>
      </c>
      <c r="S1169" s="317" t="str">
        <f t="shared" si="135"/>
        <v/>
      </c>
      <c r="T1169" s="317" t="str">
        <f>'REF. DE PREÇOS n editavel'!S1169</f>
        <v/>
      </c>
      <c r="W1169" s="577">
        <v>0</v>
      </c>
      <c r="X1169" s="575"/>
      <c r="Y1169" s="578">
        <f>IF('REF. DE PREÇOS n editavel'!W1169=0,0,IF('REF. DE PREÇOS n editavel'!W1169&gt;0,"c","b"))</f>
        <v>0</v>
      </c>
    </row>
    <row r="1170" spans="1:25" ht="22.5">
      <c r="A1170" s="317">
        <v>92982</v>
      </c>
      <c r="B1170" s="870">
        <v>92982</v>
      </c>
      <c r="C1170" s="871" t="s">
        <v>590</v>
      </c>
      <c r="D1170" s="881" t="s">
        <v>1084</v>
      </c>
      <c r="E1170" s="882">
        <f>'REF. DE PREÇOS n editavel'!E1170</f>
        <v>0</v>
      </c>
      <c r="F1170" s="883">
        <f>'REF. DE PREÇOS n editavel'!F1170</f>
        <v>0</v>
      </c>
      <c r="G1170" s="887">
        <f>'REF. DE PREÇOS n editavel'!G1170</f>
        <v>0</v>
      </c>
      <c r="H1170" s="876">
        <f>'REF. DE PREÇOS n editavel'!H1170</f>
        <v>16.23</v>
      </c>
      <c r="I1170" s="876">
        <f>'REF. DE PREÇOS n editavel'!I1170</f>
        <v>16.23</v>
      </c>
      <c r="J1170" s="877">
        <f>'REF. DE PREÇOS n editavel'!J1170</f>
        <v>19.84</v>
      </c>
      <c r="K1170" s="878" t="s">
        <v>62</v>
      </c>
      <c r="L1170" s="1092"/>
      <c r="M1170" s="1093">
        <f t="shared" si="137"/>
        <v>0</v>
      </c>
      <c r="N1170" s="868">
        <f t="shared" si="136"/>
        <v>0</v>
      </c>
      <c r="O1170" s="880"/>
      <c r="Q1170" s="317" t="str">
        <f t="shared" si="138"/>
        <v/>
      </c>
      <c r="R1170" s="317" t="str">
        <f t="shared" si="134"/>
        <v/>
      </c>
      <c r="S1170" s="317" t="str">
        <f t="shared" si="135"/>
        <v/>
      </c>
      <c r="T1170" s="317" t="str">
        <f>'REF. DE PREÇOS n editavel'!S1170</f>
        <v/>
      </c>
      <c r="W1170" s="577">
        <v>0</v>
      </c>
      <c r="X1170" s="575"/>
      <c r="Y1170" s="578">
        <f>IF('REF. DE PREÇOS n editavel'!W1170=0,0,IF('REF. DE PREÇOS n editavel'!W1170&gt;0,"c","b"))</f>
        <v>0</v>
      </c>
    </row>
    <row r="1171" spans="1:25" ht="22.5">
      <c r="A1171" s="317">
        <v>92984</v>
      </c>
      <c r="B1171" s="870">
        <v>92984</v>
      </c>
      <c r="C1171" s="871" t="s">
        <v>590</v>
      </c>
      <c r="D1171" s="881" t="s">
        <v>1085</v>
      </c>
      <c r="E1171" s="882">
        <f>'REF. DE PREÇOS n editavel'!E1171</f>
        <v>0</v>
      </c>
      <c r="F1171" s="883">
        <f>'REF. DE PREÇOS n editavel'!F1171</f>
        <v>0</v>
      </c>
      <c r="G1171" s="887">
        <f>'REF. DE PREÇOS n editavel'!G1171</f>
        <v>0</v>
      </c>
      <c r="H1171" s="876">
        <f>'REF. DE PREÇOS n editavel'!H1171</f>
        <v>27.31</v>
      </c>
      <c r="I1171" s="876">
        <f>'REF. DE PREÇOS n editavel'!I1171</f>
        <v>27.31</v>
      </c>
      <c r="J1171" s="877">
        <f>'REF. DE PREÇOS n editavel'!J1171</f>
        <v>33.380000000000003</v>
      </c>
      <c r="K1171" s="878" t="s">
        <v>62</v>
      </c>
      <c r="L1171" s="1092"/>
      <c r="M1171" s="1093">
        <f t="shared" si="137"/>
        <v>0</v>
      </c>
      <c r="N1171" s="868">
        <f t="shared" si="136"/>
        <v>0</v>
      </c>
      <c r="O1171" s="880"/>
      <c r="Q1171" s="317" t="str">
        <f t="shared" si="138"/>
        <v/>
      </c>
      <c r="R1171" s="317" t="str">
        <f t="shared" ref="R1171:R1234" si="139">IF(P1171="X","x",IF(P1171="y","x",IF(P1171="xx","x",IF(N1171&gt;0,"x",""))))</f>
        <v/>
      </c>
      <c r="S1171" s="317" t="str">
        <f t="shared" ref="S1171:S1234" si="140">IF(P1171="X","x",IF(N1171&gt;0,"x",""))</f>
        <v/>
      </c>
      <c r="T1171" s="317" t="str">
        <f>'REF. DE PREÇOS n editavel'!S1171</f>
        <v/>
      </c>
      <c r="W1171" s="577">
        <v>0</v>
      </c>
      <c r="X1171" s="575"/>
      <c r="Y1171" s="578">
        <f>IF('REF. DE PREÇOS n editavel'!W1171=0,0,IF('REF. DE PREÇOS n editavel'!W1171&gt;0,"c","b"))</f>
        <v>0</v>
      </c>
    </row>
    <row r="1172" spans="1:25" ht="22.5">
      <c r="A1172" s="317">
        <v>92986</v>
      </c>
      <c r="B1172" s="870">
        <v>92986</v>
      </c>
      <c r="C1172" s="871" t="s">
        <v>590</v>
      </c>
      <c r="D1172" s="881" t="s">
        <v>1086</v>
      </c>
      <c r="E1172" s="882">
        <f>'REF. DE PREÇOS n editavel'!E1172</f>
        <v>0</v>
      </c>
      <c r="F1172" s="883">
        <f>'REF. DE PREÇOS n editavel'!F1172</f>
        <v>0</v>
      </c>
      <c r="G1172" s="887">
        <f>'REF. DE PREÇOS n editavel'!G1172</f>
        <v>0</v>
      </c>
      <c r="H1172" s="876">
        <f>'REF. DE PREÇOS n editavel'!H1172</f>
        <v>37.61</v>
      </c>
      <c r="I1172" s="876">
        <f>'REF. DE PREÇOS n editavel'!I1172</f>
        <v>37.61</v>
      </c>
      <c r="J1172" s="877">
        <f>'REF. DE PREÇOS n editavel'!J1172</f>
        <v>45.97</v>
      </c>
      <c r="K1172" s="878" t="s">
        <v>62</v>
      </c>
      <c r="L1172" s="1092"/>
      <c r="M1172" s="1093">
        <f t="shared" si="137"/>
        <v>0</v>
      </c>
      <c r="N1172" s="868">
        <f t="shared" si="136"/>
        <v>0</v>
      </c>
      <c r="O1172" s="880"/>
      <c r="Q1172" s="317" t="str">
        <f t="shared" si="138"/>
        <v/>
      </c>
      <c r="R1172" s="317" t="str">
        <f t="shared" si="139"/>
        <v/>
      </c>
      <c r="S1172" s="317" t="str">
        <f t="shared" si="140"/>
        <v/>
      </c>
      <c r="T1172" s="317" t="str">
        <f>'REF. DE PREÇOS n editavel'!S1172</f>
        <v/>
      </c>
      <c r="W1172" s="577">
        <v>0</v>
      </c>
      <c r="X1172" s="575"/>
      <c r="Y1172" s="578">
        <f>IF('REF. DE PREÇOS n editavel'!W1172=0,0,IF('REF. DE PREÇOS n editavel'!W1172&gt;0,"c","b"))</f>
        <v>0</v>
      </c>
    </row>
    <row r="1173" spans="1:25" ht="22.5">
      <c r="A1173" s="317">
        <v>92988</v>
      </c>
      <c r="B1173" s="870">
        <v>92988</v>
      </c>
      <c r="C1173" s="871" t="s">
        <v>590</v>
      </c>
      <c r="D1173" s="881" t="s">
        <v>1087</v>
      </c>
      <c r="E1173" s="882">
        <f>'REF. DE PREÇOS n editavel'!E1173</f>
        <v>0</v>
      </c>
      <c r="F1173" s="883">
        <f>'REF. DE PREÇOS n editavel'!F1173</f>
        <v>0</v>
      </c>
      <c r="G1173" s="887">
        <f>'REF. DE PREÇOS n editavel'!G1173</f>
        <v>0</v>
      </c>
      <c r="H1173" s="876">
        <f>'REF. DE PREÇOS n editavel'!H1173</f>
        <v>54.4</v>
      </c>
      <c r="I1173" s="876">
        <f>'REF. DE PREÇOS n editavel'!I1173</f>
        <v>54.4</v>
      </c>
      <c r="J1173" s="877">
        <f>'REF. DE PREÇOS n editavel'!J1173</f>
        <v>66.489999999999995</v>
      </c>
      <c r="K1173" s="878" t="s">
        <v>62</v>
      </c>
      <c r="L1173" s="1092"/>
      <c r="M1173" s="1093">
        <f t="shared" si="137"/>
        <v>0</v>
      </c>
      <c r="N1173" s="868">
        <f t="shared" si="136"/>
        <v>0</v>
      </c>
      <c r="O1173" s="880"/>
      <c r="Q1173" s="317" t="str">
        <f t="shared" si="138"/>
        <v/>
      </c>
      <c r="R1173" s="317" t="str">
        <f t="shared" si="139"/>
        <v/>
      </c>
      <c r="S1173" s="317" t="str">
        <f t="shared" si="140"/>
        <v/>
      </c>
      <c r="T1173" s="317" t="str">
        <f>'REF. DE PREÇOS n editavel'!S1173</f>
        <v/>
      </c>
      <c r="W1173" s="577">
        <v>0</v>
      </c>
      <c r="X1173" s="575"/>
      <c r="Y1173" s="578">
        <f>IF('REF. DE PREÇOS n editavel'!W1173=0,0,IF('REF. DE PREÇOS n editavel'!W1173&gt;0,"c","b"))</f>
        <v>0</v>
      </c>
    </row>
    <row r="1174" spans="1:25" ht="22.5">
      <c r="A1174" s="317">
        <v>92990</v>
      </c>
      <c r="B1174" s="870">
        <v>92990</v>
      </c>
      <c r="C1174" s="871" t="s">
        <v>590</v>
      </c>
      <c r="D1174" s="881" t="s">
        <v>1088</v>
      </c>
      <c r="E1174" s="882">
        <f>'REF. DE PREÇOS n editavel'!E1174</f>
        <v>0</v>
      </c>
      <c r="F1174" s="883">
        <f>'REF. DE PREÇOS n editavel'!F1174</f>
        <v>0</v>
      </c>
      <c r="G1174" s="887">
        <f>'REF. DE PREÇOS n editavel'!G1174</f>
        <v>0</v>
      </c>
      <c r="H1174" s="876">
        <f>'REF. DE PREÇOS n editavel'!H1174</f>
        <v>75.17</v>
      </c>
      <c r="I1174" s="876">
        <f>'REF. DE PREÇOS n editavel'!I1174</f>
        <v>75.17</v>
      </c>
      <c r="J1174" s="877">
        <f>'REF. DE PREÇOS n editavel'!J1174</f>
        <v>91.87</v>
      </c>
      <c r="K1174" s="878" t="s">
        <v>62</v>
      </c>
      <c r="L1174" s="1092"/>
      <c r="M1174" s="1093">
        <f t="shared" si="137"/>
        <v>0</v>
      </c>
      <c r="N1174" s="868">
        <f t="shared" si="136"/>
        <v>0</v>
      </c>
      <c r="O1174" s="880"/>
      <c r="Q1174" s="317" t="str">
        <f t="shared" si="138"/>
        <v/>
      </c>
      <c r="R1174" s="317" t="str">
        <f t="shared" si="139"/>
        <v/>
      </c>
      <c r="S1174" s="317" t="str">
        <f t="shared" si="140"/>
        <v/>
      </c>
      <c r="T1174" s="317" t="str">
        <f>'REF. DE PREÇOS n editavel'!S1174</f>
        <v/>
      </c>
      <c r="W1174" s="577">
        <v>0</v>
      </c>
      <c r="X1174" s="575"/>
      <c r="Y1174" s="578">
        <f>IF('REF. DE PREÇOS n editavel'!W1174=0,0,IF('REF. DE PREÇOS n editavel'!W1174&gt;0,"c","b"))</f>
        <v>0</v>
      </c>
    </row>
    <row r="1175" spans="1:25" ht="22.5">
      <c r="A1175" s="317">
        <v>92992</v>
      </c>
      <c r="B1175" s="870">
        <v>92992</v>
      </c>
      <c r="C1175" s="871" t="s">
        <v>590</v>
      </c>
      <c r="D1175" s="881" t="s">
        <v>1089</v>
      </c>
      <c r="E1175" s="882">
        <f>'REF. DE PREÇOS n editavel'!E1175</f>
        <v>0</v>
      </c>
      <c r="F1175" s="883">
        <f>'REF. DE PREÇOS n editavel'!F1175</f>
        <v>0</v>
      </c>
      <c r="G1175" s="887">
        <f>'REF. DE PREÇOS n editavel'!G1175</f>
        <v>0</v>
      </c>
      <c r="H1175" s="876">
        <f>'REF. DE PREÇOS n editavel'!H1175</f>
        <v>97.11</v>
      </c>
      <c r="I1175" s="876">
        <f>'REF. DE PREÇOS n editavel'!I1175</f>
        <v>97.11</v>
      </c>
      <c r="J1175" s="877">
        <f>'REF. DE PREÇOS n editavel'!J1175</f>
        <v>118.69</v>
      </c>
      <c r="K1175" s="878" t="s">
        <v>62</v>
      </c>
      <c r="L1175" s="1092"/>
      <c r="M1175" s="1093">
        <f t="shared" si="137"/>
        <v>0</v>
      </c>
      <c r="N1175" s="868">
        <f t="shared" ref="N1175:N1238" si="141">IF(ISBLANK(L1175),0,IF(W1175=0,ROUND(L1175*M1175,2),IF(W1175="b",ROUNDDOWN(L1175*M1175,2),ROUNDUP(L1175*M1175,2))))</f>
        <v>0</v>
      </c>
      <c r="O1175" s="880"/>
      <c r="Q1175" s="317" t="str">
        <f t="shared" si="138"/>
        <v/>
      </c>
      <c r="R1175" s="317" t="str">
        <f t="shared" si="139"/>
        <v/>
      </c>
      <c r="S1175" s="317" t="str">
        <f t="shared" si="140"/>
        <v/>
      </c>
      <c r="T1175" s="317" t="str">
        <f>'REF. DE PREÇOS n editavel'!S1175</f>
        <v/>
      </c>
      <c r="W1175" s="577">
        <v>0</v>
      </c>
      <c r="X1175" s="575"/>
      <c r="Y1175" s="578">
        <f>IF('REF. DE PREÇOS n editavel'!W1175=0,0,IF('REF. DE PREÇOS n editavel'!W1175&gt;0,"c","b"))</f>
        <v>0</v>
      </c>
    </row>
    <row r="1176" spans="1:25" ht="22.5">
      <c r="A1176" s="317">
        <v>92994</v>
      </c>
      <c r="B1176" s="870">
        <v>92994</v>
      </c>
      <c r="C1176" s="871" t="s">
        <v>590</v>
      </c>
      <c r="D1176" s="881" t="s">
        <v>1090</v>
      </c>
      <c r="E1176" s="882">
        <f>'REF. DE PREÇOS n editavel'!E1176</f>
        <v>0</v>
      </c>
      <c r="F1176" s="883">
        <f>'REF. DE PREÇOS n editavel'!F1176</f>
        <v>0</v>
      </c>
      <c r="G1176" s="887">
        <f>'REF. DE PREÇOS n editavel'!G1176</f>
        <v>0</v>
      </c>
      <c r="H1176" s="876">
        <f>'REF. DE PREÇOS n editavel'!H1176</f>
        <v>126.04</v>
      </c>
      <c r="I1176" s="876">
        <f>'REF. DE PREÇOS n editavel'!I1176</f>
        <v>126.04</v>
      </c>
      <c r="J1176" s="877">
        <f>'REF. DE PREÇOS n editavel'!J1176</f>
        <v>154.05000000000001</v>
      </c>
      <c r="K1176" s="878" t="s">
        <v>62</v>
      </c>
      <c r="L1176" s="1092"/>
      <c r="M1176" s="1093">
        <f t="shared" si="137"/>
        <v>0</v>
      </c>
      <c r="N1176" s="868">
        <f t="shared" si="141"/>
        <v>0</v>
      </c>
      <c r="O1176" s="880"/>
      <c r="Q1176" s="317" t="str">
        <f t="shared" si="138"/>
        <v/>
      </c>
      <c r="R1176" s="317" t="str">
        <f t="shared" si="139"/>
        <v/>
      </c>
      <c r="S1176" s="317" t="str">
        <f t="shared" si="140"/>
        <v/>
      </c>
      <c r="T1176" s="317" t="str">
        <f>'REF. DE PREÇOS n editavel'!S1176</f>
        <v/>
      </c>
      <c r="W1176" s="577">
        <v>0</v>
      </c>
      <c r="X1176" s="575"/>
      <c r="Y1176" s="578">
        <f>IF('REF. DE PREÇOS n editavel'!W1176=0,0,IF('REF. DE PREÇOS n editavel'!W1176&gt;0,"c","b"))</f>
        <v>0</v>
      </c>
    </row>
    <row r="1177" spans="1:25" ht="22.5">
      <c r="A1177" s="317">
        <v>92996</v>
      </c>
      <c r="B1177" s="870">
        <v>92996</v>
      </c>
      <c r="C1177" s="871" t="s">
        <v>590</v>
      </c>
      <c r="D1177" s="881" t="s">
        <v>1091</v>
      </c>
      <c r="E1177" s="882">
        <f>'REF. DE PREÇOS n editavel'!E1177</f>
        <v>0</v>
      </c>
      <c r="F1177" s="883">
        <f>'REF. DE PREÇOS n editavel'!F1177</f>
        <v>0</v>
      </c>
      <c r="G1177" s="887">
        <f>'REF. DE PREÇOS n editavel'!G1177</f>
        <v>0</v>
      </c>
      <c r="H1177" s="876">
        <f>'REF. DE PREÇOS n editavel'!H1177</f>
        <v>152.46</v>
      </c>
      <c r="I1177" s="876">
        <f>'REF. DE PREÇOS n editavel'!I1177</f>
        <v>152.46</v>
      </c>
      <c r="J1177" s="877">
        <f>'REF. DE PREÇOS n editavel'!J1177</f>
        <v>186.34</v>
      </c>
      <c r="K1177" s="878" t="s">
        <v>62</v>
      </c>
      <c r="L1177" s="1092"/>
      <c r="M1177" s="1093">
        <f t="shared" si="137"/>
        <v>0</v>
      </c>
      <c r="N1177" s="868">
        <f t="shared" si="141"/>
        <v>0</v>
      </c>
      <c r="O1177" s="880"/>
      <c r="Q1177" s="317" t="str">
        <f t="shared" si="138"/>
        <v/>
      </c>
      <c r="R1177" s="317" t="str">
        <f t="shared" si="139"/>
        <v/>
      </c>
      <c r="S1177" s="317" t="str">
        <f t="shared" si="140"/>
        <v/>
      </c>
      <c r="T1177" s="317" t="str">
        <f>'REF. DE PREÇOS n editavel'!S1177</f>
        <v/>
      </c>
      <c r="W1177" s="577">
        <v>0</v>
      </c>
      <c r="X1177" s="575"/>
      <c r="Y1177" s="578">
        <f>IF('REF. DE PREÇOS n editavel'!W1177=0,0,IF('REF. DE PREÇOS n editavel'!W1177&gt;0,"c","b"))</f>
        <v>0</v>
      </c>
    </row>
    <row r="1178" spans="1:25" ht="22.5">
      <c r="A1178" s="317">
        <v>92998</v>
      </c>
      <c r="B1178" s="870">
        <v>92998</v>
      </c>
      <c r="C1178" s="871" t="s">
        <v>590</v>
      </c>
      <c r="D1178" s="881" t="s">
        <v>1092</v>
      </c>
      <c r="E1178" s="882">
        <f>'REF. DE PREÇOS n editavel'!E1178</f>
        <v>0</v>
      </c>
      <c r="F1178" s="883">
        <f>'REF. DE PREÇOS n editavel'!F1178</f>
        <v>0</v>
      </c>
      <c r="G1178" s="887">
        <f>'REF. DE PREÇOS n editavel'!G1178</f>
        <v>0</v>
      </c>
      <c r="H1178" s="876">
        <f>'REF. DE PREÇOS n editavel'!H1178</f>
        <v>186.74</v>
      </c>
      <c r="I1178" s="876">
        <f>'REF. DE PREÇOS n editavel'!I1178</f>
        <v>186.74</v>
      </c>
      <c r="J1178" s="877">
        <f>'REF. DE PREÇOS n editavel'!J1178</f>
        <v>228.23</v>
      </c>
      <c r="K1178" s="878" t="s">
        <v>62</v>
      </c>
      <c r="L1178" s="1092"/>
      <c r="M1178" s="1093">
        <f t="shared" si="137"/>
        <v>0</v>
      </c>
      <c r="N1178" s="868">
        <f t="shared" si="141"/>
        <v>0</v>
      </c>
      <c r="O1178" s="880"/>
      <c r="Q1178" s="317" t="str">
        <f t="shared" si="138"/>
        <v/>
      </c>
      <c r="R1178" s="317" t="str">
        <f t="shared" si="139"/>
        <v/>
      </c>
      <c r="S1178" s="317" t="str">
        <f t="shared" si="140"/>
        <v/>
      </c>
      <c r="T1178" s="317" t="str">
        <f>'REF. DE PREÇOS n editavel'!S1178</f>
        <v/>
      </c>
      <c r="W1178" s="577">
        <v>0</v>
      </c>
      <c r="X1178" s="575"/>
      <c r="Y1178" s="578">
        <f>IF('REF. DE PREÇOS n editavel'!W1178=0,0,IF('REF. DE PREÇOS n editavel'!W1178&gt;0,"c","b"))</f>
        <v>0</v>
      </c>
    </row>
    <row r="1179" spans="1:25" ht="22.5">
      <c r="A1179" s="317">
        <v>93000</v>
      </c>
      <c r="B1179" s="870">
        <v>93000</v>
      </c>
      <c r="C1179" s="871" t="s">
        <v>590</v>
      </c>
      <c r="D1179" s="881" t="s">
        <v>1093</v>
      </c>
      <c r="E1179" s="882">
        <f>'REF. DE PREÇOS n editavel'!E1179</f>
        <v>0</v>
      </c>
      <c r="F1179" s="883">
        <f>'REF. DE PREÇOS n editavel'!F1179</f>
        <v>0</v>
      </c>
      <c r="G1179" s="887">
        <f>'REF. DE PREÇOS n editavel'!G1179</f>
        <v>0</v>
      </c>
      <c r="H1179" s="876">
        <f>'REF. DE PREÇOS n editavel'!H1179</f>
        <v>247.07</v>
      </c>
      <c r="I1179" s="876">
        <f>'REF. DE PREÇOS n editavel'!I1179</f>
        <v>247.07</v>
      </c>
      <c r="J1179" s="877">
        <f>'REF. DE PREÇOS n editavel'!J1179</f>
        <v>301.97000000000003</v>
      </c>
      <c r="K1179" s="878" t="s">
        <v>62</v>
      </c>
      <c r="L1179" s="1092"/>
      <c r="M1179" s="1093">
        <f t="shared" si="137"/>
        <v>0</v>
      </c>
      <c r="N1179" s="868">
        <f t="shared" si="141"/>
        <v>0</v>
      </c>
      <c r="O1179" s="880"/>
      <c r="Q1179" s="317" t="str">
        <f t="shared" si="138"/>
        <v/>
      </c>
      <c r="R1179" s="317" t="str">
        <f t="shared" si="139"/>
        <v/>
      </c>
      <c r="S1179" s="317" t="str">
        <f t="shared" si="140"/>
        <v/>
      </c>
      <c r="T1179" s="317" t="str">
        <f>'REF. DE PREÇOS n editavel'!S1179</f>
        <v/>
      </c>
      <c r="W1179" s="577">
        <v>0</v>
      </c>
      <c r="X1179" s="575"/>
      <c r="Y1179" s="578">
        <f>IF('REF. DE PREÇOS n editavel'!W1179=0,0,IF('REF. DE PREÇOS n editavel'!W1179&gt;0,"c","b"))</f>
        <v>0</v>
      </c>
    </row>
    <row r="1180" spans="1:25" ht="22.5">
      <c r="A1180" s="317">
        <v>93002</v>
      </c>
      <c r="B1180" s="870">
        <v>93002</v>
      </c>
      <c r="C1180" s="871" t="s">
        <v>590</v>
      </c>
      <c r="D1180" s="881" t="s">
        <v>1094</v>
      </c>
      <c r="E1180" s="882">
        <f>'REF. DE PREÇOS n editavel'!E1180</f>
        <v>0</v>
      </c>
      <c r="F1180" s="883">
        <f>'REF. DE PREÇOS n editavel'!F1180</f>
        <v>0</v>
      </c>
      <c r="G1180" s="887">
        <f>'REF. DE PREÇOS n editavel'!G1180</f>
        <v>0</v>
      </c>
      <c r="H1180" s="876">
        <f>'REF. DE PREÇOS n editavel'!H1180</f>
        <v>319.27</v>
      </c>
      <c r="I1180" s="876">
        <f>'REF. DE PREÇOS n editavel'!I1180</f>
        <v>319.27</v>
      </c>
      <c r="J1180" s="877">
        <f>'REF. DE PREÇOS n editavel'!J1180</f>
        <v>390.21</v>
      </c>
      <c r="K1180" s="878" t="s">
        <v>62</v>
      </c>
      <c r="L1180" s="1092"/>
      <c r="M1180" s="1093">
        <f t="shared" si="137"/>
        <v>0</v>
      </c>
      <c r="N1180" s="868">
        <f t="shared" si="141"/>
        <v>0</v>
      </c>
      <c r="O1180" s="880"/>
      <c r="Q1180" s="317" t="str">
        <f t="shared" si="138"/>
        <v/>
      </c>
      <c r="R1180" s="317" t="str">
        <f t="shared" si="139"/>
        <v/>
      </c>
      <c r="S1180" s="317" t="str">
        <f t="shared" si="140"/>
        <v/>
      </c>
      <c r="T1180" s="317" t="str">
        <f>'REF. DE PREÇOS n editavel'!S1180</f>
        <v/>
      </c>
      <c r="W1180" s="577">
        <v>0</v>
      </c>
      <c r="X1180" s="575"/>
      <c r="Y1180" s="578">
        <f>IF('REF. DE PREÇOS n editavel'!W1180=0,0,IF('REF. DE PREÇOS n editavel'!W1180&gt;0,"c","b"))</f>
        <v>0</v>
      </c>
    </row>
    <row r="1181" spans="1:25" ht="22.5">
      <c r="A1181" s="317">
        <v>101884</v>
      </c>
      <c r="B1181" s="870">
        <v>101884</v>
      </c>
      <c r="C1181" s="871" t="s">
        <v>590</v>
      </c>
      <c r="D1181" s="881" t="s">
        <v>1095</v>
      </c>
      <c r="E1181" s="882">
        <f>'REF. DE PREÇOS n editavel'!E1181</f>
        <v>0</v>
      </c>
      <c r="F1181" s="883">
        <f>'REF. DE PREÇOS n editavel'!F1181</f>
        <v>0</v>
      </c>
      <c r="G1181" s="887">
        <f>'REF. DE PREÇOS n editavel'!G1181</f>
        <v>0</v>
      </c>
      <c r="H1181" s="876">
        <f>'REF. DE PREÇOS n editavel'!H1181</f>
        <v>10.42</v>
      </c>
      <c r="I1181" s="876">
        <f>'REF. DE PREÇOS n editavel'!I1181</f>
        <v>10.42</v>
      </c>
      <c r="J1181" s="877">
        <f>'REF. DE PREÇOS n editavel'!J1181</f>
        <v>12.74</v>
      </c>
      <c r="K1181" s="878" t="s">
        <v>62</v>
      </c>
      <c r="L1181" s="1092"/>
      <c r="M1181" s="1093">
        <f t="shared" si="137"/>
        <v>0</v>
      </c>
      <c r="N1181" s="868">
        <f t="shared" si="141"/>
        <v>0</v>
      </c>
      <c r="O1181" s="880"/>
      <c r="Q1181" s="317" t="str">
        <f t="shared" si="138"/>
        <v/>
      </c>
      <c r="R1181" s="317" t="str">
        <f t="shared" si="139"/>
        <v/>
      </c>
      <c r="S1181" s="317" t="str">
        <f t="shared" si="140"/>
        <v/>
      </c>
      <c r="T1181" s="317" t="str">
        <f>'REF. DE PREÇOS n editavel'!S1181</f>
        <v/>
      </c>
      <c r="W1181" s="577">
        <v>0</v>
      </c>
      <c r="X1181" s="575"/>
      <c r="Y1181" s="578">
        <f>IF('REF. DE PREÇOS n editavel'!W1181=0,0,IF('REF. DE PREÇOS n editavel'!W1181&gt;0,"c","b"))</f>
        <v>0</v>
      </c>
    </row>
    <row r="1182" spans="1:25" ht="22.5">
      <c r="A1182" s="317">
        <v>101885</v>
      </c>
      <c r="B1182" s="870">
        <v>101885</v>
      </c>
      <c r="C1182" s="871" t="s">
        <v>590</v>
      </c>
      <c r="D1182" s="881" t="s">
        <v>1096</v>
      </c>
      <c r="E1182" s="882">
        <f>'REF. DE PREÇOS n editavel'!E1182</f>
        <v>0</v>
      </c>
      <c r="F1182" s="883">
        <f>'REF. DE PREÇOS n editavel'!F1182</f>
        <v>0</v>
      </c>
      <c r="G1182" s="887">
        <f>'REF. DE PREÇOS n editavel'!G1182</f>
        <v>0</v>
      </c>
      <c r="H1182" s="876">
        <f>'REF. DE PREÇOS n editavel'!H1182</f>
        <v>9.9499999999999993</v>
      </c>
      <c r="I1182" s="876">
        <f>'REF. DE PREÇOS n editavel'!I1182</f>
        <v>9.9499999999999993</v>
      </c>
      <c r="J1182" s="877">
        <f>'REF. DE PREÇOS n editavel'!J1182</f>
        <v>12.16</v>
      </c>
      <c r="K1182" s="878" t="s">
        <v>62</v>
      </c>
      <c r="L1182" s="1092"/>
      <c r="M1182" s="1093">
        <f t="shared" si="137"/>
        <v>0</v>
      </c>
      <c r="N1182" s="868">
        <f t="shared" si="141"/>
        <v>0</v>
      </c>
      <c r="O1182" s="880"/>
      <c r="Q1182" s="317" t="str">
        <f t="shared" si="138"/>
        <v/>
      </c>
      <c r="R1182" s="317" t="str">
        <f t="shared" si="139"/>
        <v/>
      </c>
      <c r="S1182" s="317" t="str">
        <f t="shared" si="140"/>
        <v/>
      </c>
      <c r="T1182" s="317" t="str">
        <f>'REF. DE PREÇOS n editavel'!S1182</f>
        <v/>
      </c>
      <c r="W1182" s="577">
        <v>0</v>
      </c>
      <c r="X1182" s="575"/>
      <c r="Y1182" s="578">
        <f>IF('REF. DE PREÇOS n editavel'!W1182=0,0,IF('REF. DE PREÇOS n editavel'!W1182&gt;0,"c","b"))</f>
        <v>0</v>
      </c>
    </row>
    <row r="1183" spans="1:25" ht="22.5">
      <c r="A1183" s="317">
        <v>101886</v>
      </c>
      <c r="B1183" s="870">
        <v>101886</v>
      </c>
      <c r="C1183" s="871" t="s">
        <v>590</v>
      </c>
      <c r="D1183" s="881" t="s">
        <v>1097</v>
      </c>
      <c r="E1183" s="882">
        <f>'REF. DE PREÇOS n editavel'!E1183</f>
        <v>0</v>
      </c>
      <c r="F1183" s="883">
        <f>'REF. DE PREÇOS n editavel'!F1183</f>
        <v>0</v>
      </c>
      <c r="G1183" s="887">
        <f>'REF. DE PREÇOS n editavel'!G1183</f>
        <v>0</v>
      </c>
      <c r="H1183" s="876">
        <f>'REF. DE PREÇOS n editavel'!H1183</f>
        <v>14.98</v>
      </c>
      <c r="I1183" s="876">
        <f>'REF. DE PREÇOS n editavel'!I1183</f>
        <v>14.98</v>
      </c>
      <c r="J1183" s="877">
        <f>'REF. DE PREÇOS n editavel'!J1183</f>
        <v>18.309999999999999</v>
      </c>
      <c r="K1183" s="878" t="s">
        <v>62</v>
      </c>
      <c r="L1183" s="1092"/>
      <c r="M1183" s="1093">
        <f t="shared" si="137"/>
        <v>0</v>
      </c>
      <c r="N1183" s="868">
        <f t="shared" si="141"/>
        <v>0</v>
      </c>
      <c r="O1183" s="880"/>
      <c r="Q1183" s="317" t="str">
        <f t="shared" si="138"/>
        <v/>
      </c>
      <c r="R1183" s="317" t="str">
        <f t="shared" si="139"/>
        <v/>
      </c>
      <c r="S1183" s="317" t="str">
        <f t="shared" si="140"/>
        <v/>
      </c>
      <c r="T1183" s="317" t="str">
        <f>'REF. DE PREÇOS n editavel'!S1183</f>
        <v/>
      </c>
      <c r="W1183" s="577">
        <v>0</v>
      </c>
      <c r="X1183" s="575"/>
      <c r="Y1183" s="578">
        <f>IF('REF. DE PREÇOS n editavel'!W1183=0,0,IF('REF. DE PREÇOS n editavel'!W1183&gt;0,"c","b"))</f>
        <v>0</v>
      </c>
    </row>
    <row r="1184" spans="1:25" ht="22.5">
      <c r="A1184" s="317">
        <v>101887</v>
      </c>
      <c r="B1184" s="870">
        <v>101887</v>
      </c>
      <c r="C1184" s="871" t="s">
        <v>590</v>
      </c>
      <c r="D1184" s="881" t="s">
        <v>1098</v>
      </c>
      <c r="E1184" s="882">
        <f>'REF. DE PREÇOS n editavel'!E1184</f>
        <v>0</v>
      </c>
      <c r="F1184" s="883">
        <f>'REF. DE PREÇOS n editavel'!F1184</f>
        <v>0</v>
      </c>
      <c r="G1184" s="887">
        <f>'REF. DE PREÇOS n editavel'!G1184</f>
        <v>0</v>
      </c>
      <c r="H1184" s="876">
        <f>'REF. DE PREÇOS n editavel'!H1184</f>
        <v>15.88</v>
      </c>
      <c r="I1184" s="876">
        <f>'REF. DE PREÇOS n editavel'!I1184</f>
        <v>15.88</v>
      </c>
      <c r="J1184" s="877">
        <f>'REF. DE PREÇOS n editavel'!J1184</f>
        <v>19.41</v>
      </c>
      <c r="K1184" s="878" t="s">
        <v>62</v>
      </c>
      <c r="L1184" s="1092"/>
      <c r="M1184" s="1093">
        <f t="shared" si="137"/>
        <v>0</v>
      </c>
      <c r="N1184" s="868">
        <f t="shared" si="141"/>
        <v>0</v>
      </c>
      <c r="O1184" s="880"/>
      <c r="Q1184" s="317" t="str">
        <f t="shared" si="138"/>
        <v/>
      </c>
      <c r="R1184" s="317" t="str">
        <f t="shared" si="139"/>
        <v/>
      </c>
      <c r="S1184" s="317" t="str">
        <f t="shared" si="140"/>
        <v/>
      </c>
      <c r="T1184" s="317" t="str">
        <f>'REF. DE PREÇOS n editavel'!S1184</f>
        <v/>
      </c>
      <c r="W1184" s="577">
        <v>0</v>
      </c>
      <c r="X1184" s="575"/>
      <c r="Y1184" s="578">
        <f>IF('REF. DE PREÇOS n editavel'!W1184=0,0,IF('REF. DE PREÇOS n editavel'!W1184&gt;0,"c","b"))</f>
        <v>0</v>
      </c>
    </row>
    <row r="1185" spans="1:25" ht="22.5">
      <c r="A1185" s="317">
        <v>101888</v>
      </c>
      <c r="B1185" s="870">
        <v>101888</v>
      </c>
      <c r="C1185" s="871" t="s">
        <v>590</v>
      </c>
      <c r="D1185" s="881" t="s">
        <v>1099</v>
      </c>
      <c r="E1185" s="882">
        <f>'REF. DE PREÇOS n editavel'!E1185</f>
        <v>0</v>
      </c>
      <c r="F1185" s="883">
        <f>'REF. DE PREÇOS n editavel'!F1185</f>
        <v>0</v>
      </c>
      <c r="G1185" s="887">
        <f>'REF. DE PREÇOS n editavel'!G1185</f>
        <v>0</v>
      </c>
      <c r="H1185" s="876">
        <f>'REF. DE PREÇOS n editavel'!H1185</f>
        <v>23.48</v>
      </c>
      <c r="I1185" s="876">
        <f>'REF. DE PREÇOS n editavel'!I1185</f>
        <v>23.48</v>
      </c>
      <c r="J1185" s="877">
        <f>'REF. DE PREÇOS n editavel'!J1185</f>
        <v>28.7</v>
      </c>
      <c r="K1185" s="878" t="s">
        <v>62</v>
      </c>
      <c r="L1185" s="1092"/>
      <c r="M1185" s="1093">
        <f t="shared" si="137"/>
        <v>0</v>
      </c>
      <c r="N1185" s="868">
        <f t="shared" si="141"/>
        <v>0</v>
      </c>
      <c r="O1185" s="880"/>
      <c r="Q1185" s="317" t="str">
        <f t="shared" si="138"/>
        <v/>
      </c>
      <c r="R1185" s="317" t="str">
        <f t="shared" si="139"/>
        <v/>
      </c>
      <c r="S1185" s="317" t="str">
        <f t="shared" si="140"/>
        <v/>
      </c>
      <c r="T1185" s="317" t="str">
        <f>'REF. DE PREÇOS n editavel'!S1185</f>
        <v/>
      </c>
      <c r="W1185" s="577">
        <v>0</v>
      </c>
      <c r="X1185" s="575"/>
      <c r="Y1185" s="578">
        <f>IF('REF. DE PREÇOS n editavel'!W1185=0,0,IF('REF. DE PREÇOS n editavel'!W1185&gt;0,"c","b"))</f>
        <v>0</v>
      </c>
    </row>
    <row r="1186" spans="1:25" ht="22.5">
      <c r="A1186" s="317">
        <v>101889</v>
      </c>
      <c r="B1186" s="870">
        <v>101889</v>
      </c>
      <c r="C1186" s="871" t="s">
        <v>590</v>
      </c>
      <c r="D1186" s="881" t="s">
        <v>1100</v>
      </c>
      <c r="E1186" s="882">
        <f>'REF. DE PREÇOS n editavel'!E1186</f>
        <v>0</v>
      </c>
      <c r="F1186" s="883">
        <f>'REF. DE PREÇOS n editavel'!F1186</f>
        <v>0</v>
      </c>
      <c r="G1186" s="887">
        <f>'REF. DE PREÇOS n editavel'!G1186</f>
        <v>0</v>
      </c>
      <c r="H1186" s="876">
        <f>'REF. DE PREÇOS n editavel'!H1186</f>
        <v>24.66</v>
      </c>
      <c r="I1186" s="876">
        <f>'REF. DE PREÇOS n editavel'!I1186</f>
        <v>24.66</v>
      </c>
      <c r="J1186" s="877">
        <f>'REF. DE PREÇOS n editavel'!J1186</f>
        <v>30.14</v>
      </c>
      <c r="K1186" s="878" t="s">
        <v>62</v>
      </c>
      <c r="L1186" s="1092"/>
      <c r="M1186" s="1093">
        <f t="shared" si="137"/>
        <v>0</v>
      </c>
      <c r="N1186" s="868">
        <f t="shared" si="141"/>
        <v>0</v>
      </c>
      <c r="O1186" s="880"/>
      <c r="Q1186" s="317" t="str">
        <f t="shared" si="138"/>
        <v/>
      </c>
      <c r="R1186" s="317" t="str">
        <f t="shared" si="139"/>
        <v/>
      </c>
      <c r="S1186" s="317" t="str">
        <f t="shared" si="140"/>
        <v/>
      </c>
      <c r="T1186" s="317" t="str">
        <f>'REF. DE PREÇOS n editavel'!S1186</f>
        <v/>
      </c>
      <c r="W1186" s="577">
        <v>0</v>
      </c>
      <c r="X1186" s="575"/>
      <c r="Y1186" s="578">
        <f>IF('REF. DE PREÇOS n editavel'!W1186=0,0,IF('REF. DE PREÇOS n editavel'!W1186&gt;0,"c","b"))</f>
        <v>0</v>
      </c>
    </row>
    <row r="1187" spans="1:25" ht="33.75">
      <c r="A1187" s="317">
        <v>101560</v>
      </c>
      <c r="B1187" s="870">
        <v>101560</v>
      </c>
      <c r="C1187" s="871" t="s">
        <v>590</v>
      </c>
      <c r="D1187" s="881" t="s">
        <v>1101</v>
      </c>
      <c r="E1187" s="882">
        <f>'REF. DE PREÇOS n editavel'!E1187</f>
        <v>0</v>
      </c>
      <c r="F1187" s="883">
        <f>'REF. DE PREÇOS n editavel'!F1187</f>
        <v>0</v>
      </c>
      <c r="G1187" s="887">
        <f>'REF. DE PREÇOS n editavel'!G1187</f>
        <v>0</v>
      </c>
      <c r="H1187" s="876">
        <f>'REF. DE PREÇOS n editavel'!H1187</f>
        <v>9.89</v>
      </c>
      <c r="I1187" s="876">
        <f>'REF. DE PREÇOS n editavel'!I1187</f>
        <v>9.89</v>
      </c>
      <c r="J1187" s="877">
        <f>'REF. DE PREÇOS n editavel'!J1187</f>
        <v>12.09</v>
      </c>
      <c r="K1187" s="878" t="s">
        <v>62</v>
      </c>
      <c r="L1187" s="1092"/>
      <c r="M1187" s="1093">
        <f t="shared" si="137"/>
        <v>0</v>
      </c>
      <c r="N1187" s="868">
        <f t="shared" si="141"/>
        <v>0</v>
      </c>
      <c r="O1187" s="880"/>
      <c r="Q1187" s="317" t="str">
        <f t="shared" si="138"/>
        <v/>
      </c>
      <c r="R1187" s="317" t="str">
        <f t="shared" si="139"/>
        <v/>
      </c>
      <c r="S1187" s="317" t="str">
        <f t="shared" si="140"/>
        <v/>
      </c>
      <c r="T1187" s="317" t="str">
        <f>'REF. DE PREÇOS n editavel'!S1187</f>
        <v/>
      </c>
      <c r="W1187" s="577">
        <v>0</v>
      </c>
      <c r="X1187" s="575"/>
      <c r="Y1187" s="578">
        <f>IF('REF. DE PREÇOS n editavel'!W1187=0,0,IF('REF. DE PREÇOS n editavel'!W1187&gt;0,"c","b"))</f>
        <v>0</v>
      </c>
    </row>
    <row r="1188" spans="1:25" ht="33.75">
      <c r="A1188" s="317">
        <v>101561</v>
      </c>
      <c r="B1188" s="870">
        <v>101561</v>
      </c>
      <c r="C1188" s="871" t="s">
        <v>590</v>
      </c>
      <c r="D1188" s="881" t="s">
        <v>1102</v>
      </c>
      <c r="E1188" s="882">
        <f>'REF. DE PREÇOS n editavel'!E1188</f>
        <v>0</v>
      </c>
      <c r="F1188" s="883">
        <f>'REF. DE PREÇOS n editavel'!F1188</f>
        <v>0</v>
      </c>
      <c r="G1188" s="887">
        <f>'REF. DE PREÇOS n editavel'!G1188</f>
        <v>0</v>
      </c>
      <c r="H1188" s="876">
        <f>'REF. DE PREÇOS n editavel'!H1188</f>
        <v>15.7</v>
      </c>
      <c r="I1188" s="876">
        <f>'REF. DE PREÇOS n editavel'!I1188</f>
        <v>15.7</v>
      </c>
      <c r="J1188" s="877">
        <f>'REF. DE PREÇOS n editavel'!J1188</f>
        <v>19.190000000000001</v>
      </c>
      <c r="K1188" s="878" t="s">
        <v>62</v>
      </c>
      <c r="L1188" s="1092"/>
      <c r="M1188" s="1093">
        <f t="shared" si="137"/>
        <v>0</v>
      </c>
      <c r="N1188" s="868">
        <f t="shared" si="141"/>
        <v>0</v>
      </c>
      <c r="O1188" s="880"/>
      <c r="Q1188" s="317" t="str">
        <f t="shared" si="138"/>
        <v/>
      </c>
      <c r="R1188" s="317" t="str">
        <f t="shared" si="139"/>
        <v/>
      </c>
      <c r="S1188" s="317" t="str">
        <f t="shared" si="140"/>
        <v/>
      </c>
      <c r="T1188" s="317" t="str">
        <f>'REF. DE PREÇOS n editavel'!S1188</f>
        <v/>
      </c>
      <c r="W1188" s="577">
        <v>0</v>
      </c>
      <c r="X1188" s="575"/>
      <c r="Y1188" s="578">
        <f>IF('REF. DE PREÇOS n editavel'!W1188=0,0,IF('REF. DE PREÇOS n editavel'!W1188&gt;0,"c","b"))</f>
        <v>0</v>
      </c>
    </row>
    <row r="1189" spans="1:25" ht="33.75">
      <c r="A1189" s="317">
        <v>101562</v>
      </c>
      <c r="B1189" s="870">
        <v>101562</v>
      </c>
      <c r="C1189" s="871" t="s">
        <v>590</v>
      </c>
      <c r="D1189" s="881" t="s">
        <v>1103</v>
      </c>
      <c r="E1189" s="882">
        <f>'REF. DE PREÇOS n editavel'!E1189</f>
        <v>0</v>
      </c>
      <c r="F1189" s="883">
        <f>'REF. DE PREÇOS n editavel'!F1189</f>
        <v>0</v>
      </c>
      <c r="G1189" s="887">
        <f>'REF. DE PREÇOS n editavel'!G1189</f>
        <v>0</v>
      </c>
      <c r="H1189" s="876">
        <f>'REF. DE PREÇOS n editavel'!H1189</f>
        <v>24.3</v>
      </c>
      <c r="I1189" s="876">
        <f>'REF. DE PREÇOS n editavel'!I1189</f>
        <v>24.3</v>
      </c>
      <c r="J1189" s="877">
        <f>'REF. DE PREÇOS n editavel'!J1189</f>
        <v>29.7</v>
      </c>
      <c r="K1189" s="878" t="s">
        <v>62</v>
      </c>
      <c r="L1189" s="1092"/>
      <c r="M1189" s="1093">
        <f t="shared" si="137"/>
        <v>0</v>
      </c>
      <c r="N1189" s="868">
        <f t="shared" si="141"/>
        <v>0</v>
      </c>
      <c r="O1189" s="880"/>
      <c r="Q1189" s="317" t="str">
        <f t="shared" si="138"/>
        <v/>
      </c>
      <c r="R1189" s="317" t="str">
        <f t="shared" si="139"/>
        <v/>
      </c>
      <c r="S1189" s="317" t="str">
        <f t="shared" si="140"/>
        <v/>
      </c>
      <c r="T1189" s="317" t="str">
        <f>'REF. DE PREÇOS n editavel'!S1189</f>
        <v/>
      </c>
      <c r="W1189" s="577">
        <v>0</v>
      </c>
      <c r="X1189" s="575"/>
      <c r="Y1189" s="578">
        <f>IF('REF. DE PREÇOS n editavel'!W1189=0,0,IF('REF. DE PREÇOS n editavel'!W1189&gt;0,"c","b"))</f>
        <v>0</v>
      </c>
    </row>
    <row r="1190" spans="1:25" ht="33.75">
      <c r="A1190" s="317">
        <v>101563</v>
      </c>
      <c r="B1190" s="870">
        <v>101563</v>
      </c>
      <c r="C1190" s="871" t="s">
        <v>590</v>
      </c>
      <c r="D1190" s="881" t="s">
        <v>1104</v>
      </c>
      <c r="E1190" s="882">
        <f>'REF. DE PREÇOS n editavel'!E1190</f>
        <v>0</v>
      </c>
      <c r="F1190" s="883">
        <f>'REF. DE PREÇOS n editavel'!F1190</f>
        <v>0</v>
      </c>
      <c r="G1190" s="887">
        <f>'REF. DE PREÇOS n editavel'!G1190</f>
        <v>0</v>
      </c>
      <c r="H1190" s="876">
        <f>'REF. DE PREÇOS n editavel'!H1190</f>
        <v>34.299999999999997</v>
      </c>
      <c r="I1190" s="876">
        <f>'REF. DE PREÇOS n editavel'!I1190</f>
        <v>34.299999999999997</v>
      </c>
      <c r="J1190" s="877">
        <f>'REF. DE PREÇOS n editavel'!J1190</f>
        <v>41.92</v>
      </c>
      <c r="K1190" s="878" t="s">
        <v>62</v>
      </c>
      <c r="L1190" s="1092"/>
      <c r="M1190" s="1093">
        <f t="shared" si="137"/>
        <v>0</v>
      </c>
      <c r="N1190" s="868">
        <f t="shared" si="141"/>
        <v>0</v>
      </c>
      <c r="O1190" s="880"/>
      <c r="Q1190" s="317" t="str">
        <f t="shared" si="138"/>
        <v/>
      </c>
      <c r="R1190" s="317" t="str">
        <f t="shared" si="139"/>
        <v/>
      </c>
      <c r="S1190" s="317" t="str">
        <f t="shared" si="140"/>
        <v/>
      </c>
      <c r="T1190" s="317" t="str">
        <f>'REF. DE PREÇOS n editavel'!S1190</f>
        <v/>
      </c>
      <c r="W1190" s="577">
        <v>0</v>
      </c>
      <c r="X1190" s="575"/>
      <c r="Y1190" s="578">
        <f>IF('REF. DE PREÇOS n editavel'!W1190=0,0,IF('REF. DE PREÇOS n editavel'!W1190&gt;0,"c","b"))</f>
        <v>0</v>
      </c>
    </row>
    <row r="1191" spans="1:25" ht="33.75">
      <c r="A1191" s="317">
        <v>101564</v>
      </c>
      <c r="B1191" s="870">
        <v>101564</v>
      </c>
      <c r="C1191" s="871" t="s">
        <v>590</v>
      </c>
      <c r="D1191" s="881" t="s">
        <v>1105</v>
      </c>
      <c r="E1191" s="882">
        <f>'REF. DE PREÇOS n editavel'!E1191</f>
        <v>0</v>
      </c>
      <c r="F1191" s="883">
        <f>'REF. DE PREÇOS n editavel'!F1191</f>
        <v>0</v>
      </c>
      <c r="G1191" s="887">
        <f>'REF. DE PREÇOS n editavel'!G1191</f>
        <v>0</v>
      </c>
      <c r="H1191" s="876">
        <f>'REF. DE PREÇOS n editavel'!H1191</f>
        <v>50.7</v>
      </c>
      <c r="I1191" s="876">
        <f>'REF. DE PREÇOS n editavel'!I1191</f>
        <v>50.7</v>
      </c>
      <c r="J1191" s="877">
        <f>'REF. DE PREÇOS n editavel'!J1191</f>
        <v>61.97</v>
      </c>
      <c r="K1191" s="878" t="s">
        <v>62</v>
      </c>
      <c r="L1191" s="1092"/>
      <c r="M1191" s="1093">
        <f t="shared" si="137"/>
        <v>0</v>
      </c>
      <c r="N1191" s="868">
        <f t="shared" si="141"/>
        <v>0</v>
      </c>
      <c r="O1191" s="880"/>
      <c r="Q1191" s="317" t="str">
        <f t="shared" si="138"/>
        <v/>
      </c>
      <c r="R1191" s="317" t="str">
        <f t="shared" si="139"/>
        <v/>
      </c>
      <c r="S1191" s="317" t="str">
        <f t="shared" si="140"/>
        <v/>
      </c>
      <c r="T1191" s="317" t="str">
        <f>'REF. DE PREÇOS n editavel'!S1191</f>
        <v/>
      </c>
      <c r="W1191" s="577">
        <v>0</v>
      </c>
      <c r="X1191" s="575"/>
      <c r="Y1191" s="578">
        <f>IF('REF. DE PREÇOS n editavel'!W1191=0,0,IF('REF. DE PREÇOS n editavel'!W1191&gt;0,"c","b"))</f>
        <v>0</v>
      </c>
    </row>
    <row r="1192" spans="1:25" ht="33.75">
      <c r="A1192" s="317">
        <v>101565</v>
      </c>
      <c r="B1192" s="870">
        <v>101565</v>
      </c>
      <c r="C1192" s="871" t="s">
        <v>590</v>
      </c>
      <c r="D1192" s="881" t="s">
        <v>1106</v>
      </c>
      <c r="E1192" s="882">
        <f>'REF. DE PREÇOS n editavel'!E1192</f>
        <v>0</v>
      </c>
      <c r="F1192" s="883">
        <f>'REF. DE PREÇOS n editavel'!F1192</f>
        <v>0</v>
      </c>
      <c r="G1192" s="887">
        <f>'REF. DE PREÇOS n editavel'!G1192</f>
        <v>0</v>
      </c>
      <c r="H1192" s="876">
        <f>'REF. DE PREÇOS n editavel'!H1192</f>
        <v>70.89</v>
      </c>
      <c r="I1192" s="876">
        <f>'REF. DE PREÇOS n editavel'!I1192</f>
        <v>70.89</v>
      </c>
      <c r="J1192" s="877">
        <f>'REF. DE PREÇOS n editavel'!J1192</f>
        <v>86.64</v>
      </c>
      <c r="K1192" s="878" t="s">
        <v>62</v>
      </c>
      <c r="L1192" s="1092"/>
      <c r="M1192" s="1093">
        <f t="shared" si="137"/>
        <v>0</v>
      </c>
      <c r="N1192" s="868">
        <f t="shared" si="141"/>
        <v>0</v>
      </c>
      <c r="O1192" s="880"/>
      <c r="Q1192" s="317" t="str">
        <f t="shared" si="138"/>
        <v/>
      </c>
      <c r="R1192" s="317" t="str">
        <f t="shared" si="139"/>
        <v/>
      </c>
      <c r="S1192" s="317" t="str">
        <f t="shared" si="140"/>
        <v/>
      </c>
      <c r="T1192" s="317" t="str">
        <f>'REF. DE PREÇOS n editavel'!S1192</f>
        <v/>
      </c>
      <c r="W1192" s="577">
        <v>0</v>
      </c>
      <c r="X1192" s="575"/>
      <c r="Y1192" s="578">
        <f>IF('REF. DE PREÇOS n editavel'!W1192=0,0,IF('REF. DE PREÇOS n editavel'!W1192&gt;0,"c","b"))</f>
        <v>0</v>
      </c>
    </row>
    <row r="1193" spans="1:25" ht="33.75">
      <c r="A1193" s="317">
        <v>101567</v>
      </c>
      <c r="B1193" s="870">
        <v>101567</v>
      </c>
      <c r="C1193" s="871" t="s">
        <v>590</v>
      </c>
      <c r="D1193" s="881" t="s">
        <v>1107</v>
      </c>
      <c r="E1193" s="882">
        <f>'REF. DE PREÇOS n editavel'!E1193</f>
        <v>0</v>
      </c>
      <c r="F1193" s="883">
        <f>'REF. DE PREÇOS n editavel'!F1193</f>
        <v>0</v>
      </c>
      <c r="G1193" s="887">
        <f>'REF. DE PREÇOS n editavel'!G1193</f>
        <v>0</v>
      </c>
      <c r="H1193" s="876">
        <f>'REF. DE PREÇOS n editavel'!H1193</f>
        <v>92.02</v>
      </c>
      <c r="I1193" s="876">
        <f>'REF. DE PREÇOS n editavel'!I1193</f>
        <v>92.02</v>
      </c>
      <c r="J1193" s="877">
        <f>'REF. DE PREÇOS n editavel'!J1193</f>
        <v>112.47</v>
      </c>
      <c r="K1193" s="878" t="s">
        <v>62</v>
      </c>
      <c r="L1193" s="1092"/>
      <c r="M1193" s="1093">
        <f t="shared" si="137"/>
        <v>0</v>
      </c>
      <c r="N1193" s="868">
        <f t="shared" si="141"/>
        <v>0</v>
      </c>
      <c r="O1193" s="880"/>
      <c r="Q1193" s="317" t="str">
        <f t="shared" si="138"/>
        <v/>
      </c>
      <c r="R1193" s="317" t="str">
        <f t="shared" si="139"/>
        <v/>
      </c>
      <c r="S1193" s="317" t="str">
        <f t="shared" si="140"/>
        <v/>
      </c>
      <c r="T1193" s="317" t="str">
        <f>'REF. DE PREÇOS n editavel'!S1193</f>
        <v/>
      </c>
      <c r="W1193" s="577">
        <v>0</v>
      </c>
      <c r="X1193" s="575"/>
      <c r="Y1193" s="578">
        <f>IF('REF. DE PREÇOS n editavel'!W1193=0,0,IF('REF. DE PREÇOS n editavel'!W1193&gt;0,"c","b"))</f>
        <v>0</v>
      </c>
    </row>
    <row r="1194" spans="1:25" ht="33.75">
      <c r="A1194" s="317">
        <v>101568</v>
      </c>
      <c r="B1194" s="870">
        <v>101568</v>
      </c>
      <c r="C1194" s="871" t="s">
        <v>590</v>
      </c>
      <c r="D1194" s="881" t="s">
        <v>1108</v>
      </c>
      <c r="E1194" s="882">
        <f>'REF. DE PREÇOS n editavel'!E1194</f>
        <v>0</v>
      </c>
      <c r="F1194" s="883">
        <f>'REF. DE PREÇOS n editavel'!F1194</f>
        <v>0</v>
      </c>
      <c r="G1194" s="887">
        <f>'REF. DE PREÇOS n editavel'!G1194</f>
        <v>0</v>
      </c>
      <c r="H1194" s="876">
        <f>'REF. DE PREÇOS n editavel'!H1194</f>
        <v>120.3</v>
      </c>
      <c r="I1194" s="876">
        <f>'REF. DE PREÇOS n editavel'!I1194</f>
        <v>120.3</v>
      </c>
      <c r="J1194" s="877">
        <f>'REF. DE PREÇOS n editavel'!J1194</f>
        <v>147.03</v>
      </c>
      <c r="K1194" s="878" t="s">
        <v>62</v>
      </c>
      <c r="L1194" s="1092"/>
      <c r="M1194" s="1093">
        <f t="shared" si="137"/>
        <v>0</v>
      </c>
      <c r="N1194" s="868">
        <f t="shared" si="141"/>
        <v>0</v>
      </c>
      <c r="O1194" s="880"/>
      <c r="Q1194" s="317" t="str">
        <f t="shared" si="138"/>
        <v/>
      </c>
      <c r="R1194" s="317" t="str">
        <f t="shared" si="139"/>
        <v/>
      </c>
      <c r="S1194" s="317" t="str">
        <f t="shared" si="140"/>
        <v/>
      </c>
      <c r="T1194" s="317" t="str">
        <f>'REF. DE PREÇOS n editavel'!S1194</f>
        <v/>
      </c>
      <c r="W1194" s="577">
        <v>0</v>
      </c>
      <c r="X1194" s="575"/>
      <c r="Y1194" s="578">
        <f>IF('REF. DE PREÇOS n editavel'!W1194=0,0,IF('REF. DE PREÇOS n editavel'!W1194&gt;0,"c","b"))</f>
        <v>0</v>
      </c>
    </row>
    <row r="1195" spans="1:25" ht="22.5">
      <c r="A1195" s="317">
        <v>95777</v>
      </c>
      <c r="B1195" s="870">
        <v>95777</v>
      </c>
      <c r="C1195" s="871" t="s">
        <v>590</v>
      </c>
      <c r="D1195" s="881" t="s">
        <v>1109</v>
      </c>
      <c r="E1195" s="882">
        <f>'REF. DE PREÇOS n editavel'!E1195</f>
        <v>0</v>
      </c>
      <c r="F1195" s="883">
        <f>'REF. DE PREÇOS n editavel'!F1195</f>
        <v>0</v>
      </c>
      <c r="G1195" s="887">
        <f>'REF. DE PREÇOS n editavel'!G1195</f>
        <v>0</v>
      </c>
      <c r="H1195" s="876">
        <f>'REF. DE PREÇOS n editavel'!H1195</f>
        <v>28.73</v>
      </c>
      <c r="I1195" s="876">
        <f>'REF. DE PREÇOS n editavel'!I1195</f>
        <v>28.73</v>
      </c>
      <c r="J1195" s="877">
        <f>'REF. DE PREÇOS n editavel'!J1195</f>
        <v>35.11</v>
      </c>
      <c r="K1195" s="878" t="s">
        <v>1500</v>
      </c>
      <c r="L1195" s="1092"/>
      <c r="M1195" s="1093">
        <f t="shared" si="137"/>
        <v>0</v>
      </c>
      <c r="N1195" s="868">
        <f t="shared" si="141"/>
        <v>0</v>
      </c>
      <c r="O1195" s="880"/>
      <c r="Q1195" s="317" t="str">
        <f t="shared" si="138"/>
        <v/>
      </c>
      <c r="R1195" s="317" t="str">
        <f t="shared" si="139"/>
        <v/>
      </c>
      <c r="S1195" s="317" t="str">
        <f t="shared" si="140"/>
        <v/>
      </c>
      <c r="T1195" s="317" t="str">
        <f>'REF. DE PREÇOS n editavel'!S1195</f>
        <v/>
      </c>
      <c r="W1195" s="577">
        <v>0</v>
      </c>
      <c r="X1195" s="575"/>
      <c r="Y1195" s="578">
        <f>IF('REF. DE PREÇOS n editavel'!W1195=0,0,IF('REF. DE PREÇOS n editavel'!W1195&gt;0,"c","b"))</f>
        <v>0</v>
      </c>
    </row>
    <row r="1196" spans="1:25" ht="22.5">
      <c r="A1196" s="317">
        <v>95778</v>
      </c>
      <c r="B1196" s="870">
        <v>95778</v>
      </c>
      <c r="C1196" s="871" t="s">
        <v>590</v>
      </c>
      <c r="D1196" s="881" t="s">
        <v>1110</v>
      </c>
      <c r="E1196" s="882">
        <f>'REF. DE PREÇOS n editavel'!E1196</f>
        <v>0</v>
      </c>
      <c r="F1196" s="883">
        <f>'REF. DE PREÇOS n editavel'!F1196</f>
        <v>0</v>
      </c>
      <c r="G1196" s="887">
        <f>'REF. DE PREÇOS n editavel'!G1196</f>
        <v>0</v>
      </c>
      <c r="H1196" s="876">
        <f>'REF. DE PREÇOS n editavel'!H1196</f>
        <v>32.130000000000003</v>
      </c>
      <c r="I1196" s="876">
        <f>'REF. DE PREÇOS n editavel'!I1196</f>
        <v>32.130000000000003</v>
      </c>
      <c r="J1196" s="877">
        <f>'REF. DE PREÇOS n editavel'!J1196</f>
        <v>39.270000000000003</v>
      </c>
      <c r="K1196" s="878" t="s">
        <v>1500</v>
      </c>
      <c r="L1196" s="1092"/>
      <c r="M1196" s="1093">
        <f t="shared" si="137"/>
        <v>0</v>
      </c>
      <c r="N1196" s="868">
        <f t="shared" si="141"/>
        <v>0</v>
      </c>
      <c r="O1196" s="880"/>
      <c r="Q1196" s="317" t="str">
        <f t="shared" si="138"/>
        <v/>
      </c>
      <c r="R1196" s="317" t="str">
        <f t="shared" si="139"/>
        <v/>
      </c>
      <c r="S1196" s="317" t="str">
        <f t="shared" si="140"/>
        <v/>
      </c>
      <c r="T1196" s="317" t="str">
        <f>'REF. DE PREÇOS n editavel'!S1196</f>
        <v/>
      </c>
      <c r="W1196" s="577">
        <v>0</v>
      </c>
      <c r="X1196" s="575"/>
      <c r="Y1196" s="578">
        <f>IF('REF. DE PREÇOS n editavel'!W1196=0,0,IF('REF. DE PREÇOS n editavel'!W1196&gt;0,"c","b"))</f>
        <v>0</v>
      </c>
    </row>
    <row r="1197" spans="1:25" ht="22.5">
      <c r="A1197" s="317">
        <v>95779</v>
      </c>
      <c r="B1197" s="870">
        <v>95779</v>
      </c>
      <c r="C1197" s="871" t="s">
        <v>590</v>
      </c>
      <c r="D1197" s="881" t="s">
        <v>1111</v>
      </c>
      <c r="E1197" s="882">
        <f>'REF. DE PREÇOS n editavel'!E1197</f>
        <v>0</v>
      </c>
      <c r="F1197" s="883">
        <f>'REF. DE PREÇOS n editavel'!F1197</f>
        <v>0</v>
      </c>
      <c r="G1197" s="887">
        <f>'REF. DE PREÇOS n editavel'!G1197</f>
        <v>0</v>
      </c>
      <c r="H1197" s="876">
        <f>'REF. DE PREÇOS n editavel'!H1197</f>
        <v>26.72</v>
      </c>
      <c r="I1197" s="876">
        <f>'REF. DE PREÇOS n editavel'!I1197</f>
        <v>26.72</v>
      </c>
      <c r="J1197" s="877">
        <f>'REF. DE PREÇOS n editavel'!J1197</f>
        <v>32.659999999999997</v>
      </c>
      <c r="K1197" s="878" t="s">
        <v>1500</v>
      </c>
      <c r="L1197" s="1092"/>
      <c r="M1197" s="1093">
        <f t="shared" si="137"/>
        <v>0</v>
      </c>
      <c r="N1197" s="868">
        <f t="shared" si="141"/>
        <v>0</v>
      </c>
      <c r="O1197" s="880"/>
      <c r="Q1197" s="317" t="str">
        <f t="shared" si="138"/>
        <v/>
      </c>
      <c r="R1197" s="317" t="str">
        <f t="shared" si="139"/>
        <v/>
      </c>
      <c r="S1197" s="317" t="str">
        <f t="shared" si="140"/>
        <v/>
      </c>
      <c r="T1197" s="317" t="str">
        <f>'REF. DE PREÇOS n editavel'!S1197</f>
        <v/>
      </c>
      <c r="W1197" s="577">
        <v>0</v>
      </c>
      <c r="X1197" s="575"/>
      <c r="Y1197" s="578">
        <f>IF('REF. DE PREÇOS n editavel'!W1197=0,0,IF('REF. DE PREÇOS n editavel'!W1197&gt;0,"c","b"))</f>
        <v>0</v>
      </c>
    </row>
    <row r="1198" spans="1:25" ht="22.5">
      <c r="A1198" s="317">
        <v>95780</v>
      </c>
      <c r="B1198" s="870">
        <v>95780</v>
      </c>
      <c r="C1198" s="871" t="s">
        <v>590</v>
      </c>
      <c r="D1198" s="881" t="s">
        <v>1112</v>
      </c>
      <c r="E1198" s="882">
        <f>'REF. DE PREÇOS n editavel'!E1198</f>
        <v>0</v>
      </c>
      <c r="F1198" s="883">
        <f>'REF. DE PREÇOS n editavel'!F1198</f>
        <v>0</v>
      </c>
      <c r="G1198" s="887">
        <f>'REF. DE PREÇOS n editavel'!G1198</f>
        <v>0</v>
      </c>
      <c r="H1198" s="876">
        <f>'REF. DE PREÇOS n editavel'!H1198</f>
        <v>34.22</v>
      </c>
      <c r="I1198" s="876">
        <f>'REF. DE PREÇOS n editavel'!I1198</f>
        <v>34.22</v>
      </c>
      <c r="J1198" s="877">
        <f>'REF. DE PREÇOS n editavel'!J1198</f>
        <v>41.82</v>
      </c>
      <c r="K1198" s="878" t="s">
        <v>1500</v>
      </c>
      <c r="L1198" s="1092"/>
      <c r="M1198" s="1093">
        <f t="shared" si="137"/>
        <v>0</v>
      </c>
      <c r="N1198" s="868">
        <f t="shared" si="141"/>
        <v>0</v>
      </c>
      <c r="O1198" s="880"/>
      <c r="Q1198" s="317" t="str">
        <f t="shared" si="138"/>
        <v/>
      </c>
      <c r="R1198" s="317" t="str">
        <f t="shared" si="139"/>
        <v/>
      </c>
      <c r="S1198" s="317" t="str">
        <f t="shared" si="140"/>
        <v/>
      </c>
      <c r="T1198" s="317" t="str">
        <f>'REF. DE PREÇOS n editavel'!S1198</f>
        <v/>
      </c>
      <c r="W1198" s="577">
        <v>0</v>
      </c>
      <c r="X1198" s="575"/>
      <c r="Y1198" s="578">
        <f>IF('REF. DE PREÇOS n editavel'!W1198=0,0,IF('REF. DE PREÇOS n editavel'!W1198&gt;0,"c","b"))</f>
        <v>0</v>
      </c>
    </row>
    <row r="1199" spans="1:25" ht="22.5">
      <c r="A1199" s="317">
        <v>95781</v>
      </c>
      <c r="B1199" s="870">
        <v>95781</v>
      </c>
      <c r="C1199" s="871" t="s">
        <v>590</v>
      </c>
      <c r="D1199" s="881" t="s">
        <v>1113</v>
      </c>
      <c r="E1199" s="882">
        <f>'REF. DE PREÇOS n editavel'!E1199</f>
        <v>0</v>
      </c>
      <c r="F1199" s="883">
        <f>'REF. DE PREÇOS n editavel'!F1199</f>
        <v>0</v>
      </c>
      <c r="G1199" s="887">
        <f>'REF. DE PREÇOS n editavel'!G1199</f>
        <v>0</v>
      </c>
      <c r="H1199" s="876">
        <f>'REF. DE PREÇOS n editavel'!H1199</f>
        <v>38.9</v>
      </c>
      <c r="I1199" s="876">
        <f>'REF. DE PREÇOS n editavel'!I1199</f>
        <v>38.9</v>
      </c>
      <c r="J1199" s="877">
        <f>'REF. DE PREÇOS n editavel'!J1199</f>
        <v>47.54</v>
      </c>
      <c r="K1199" s="878" t="s">
        <v>1500</v>
      </c>
      <c r="L1199" s="1092"/>
      <c r="M1199" s="1093">
        <f t="shared" si="137"/>
        <v>0</v>
      </c>
      <c r="N1199" s="868">
        <f t="shared" si="141"/>
        <v>0</v>
      </c>
      <c r="O1199" s="880"/>
      <c r="Q1199" s="317" t="str">
        <f t="shared" si="138"/>
        <v/>
      </c>
      <c r="R1199" s="317" t="str">
        <f t="shared" si="139"/>
        <v/>
      </c>
      <c r="S1199" s="317" t="str">
        <f t="shared" si="140"/>
        <v/>
      </c>
      <c r="T1199" s="317" t="str">
        <f>'REF. DE PREÇOS n editavel'!S1199</f>
        <v/>
      </c>
      <c r="W1199" s="577">
        <v>0</v>
      </c>
      <c r="X1199" s="575"/>
      <c r="Y1199" s="578">
        <f>IF('REF. DE PREÇOS n editavel'!W1199=0,0,IF('REF. DE PREÇOS n editavel'!W1199&gt;0,"c","b"))</f>
        <v>0</v>
      </c>
    </row>
    <row r="1200" spans="1:25" ht="22.5">
      <c r="A1200" s="317">
        <v>95782</v>
      </c>
      <c r="B1200" s="870">
        <v>95782</v>
      </c>
      <c r="C1200" s="871" t="s">
        <v>590</v>
      </c>
      <c r="D1200" s="881" t="s">
        <v>1114</v>
      </c>
      <c r="E1200" s="882">
        <f>'REF. DE PREÇOS n editavel'!E1200</f>
        <v>0</v>
      </c>
      <c r="F1200" s="883">
        <f>'REF. DE PREÇOS n editavel'!F1200</f>
        <v>0</v>
      </c>
      <c r="G1200" s="887">
        <f>'REF. DE PREÇOS n editavel'!G1200</f>
        <v>0</v>
      </c>
      <c r="H1200" s="876">
        <f>'REF. DE PREÇOS n editavel'!H1200</f>
        <v>36.520000000000003</v>
      </c>
      <c r="I1200" s="876">
        <f>'REF. DE PREÇOS n editavel'!I1200</f>
        <v>36.520000000000003</v>
      </c>
      <c r="J1200" s="877">
        <f>'REF. DE PREÇOS n editavel'!J1200</f>
        <v>44.63</v>
      </c>
      <c r="K1200" s="878" t="s">
        <v>1500</v>
      </c>
      <c r="L1200" s="1092"/>
      <c r="M1200" s="1093">
        <f t="shared" si="137"/>
        <v>0</v>
      </c>
      <c r="N1200" s="868">
        <f t="shared" si="141"/>
        <v>0</v>
      </c>
      <c r="O1200" s="880"/>
      <c r="Q1200" s="317" t="str">
        <f t="shared" si="138"/>
        <v/>
      </c>
      <c r="R1200" s="317" t="str">
        <f t="shared" si="139"/>
        <v/>
      </c>
      <c r="S1200" s="317" t="str">
        <f t="shared" si="140"/>
        <v/>
      </c>
      <c r="T1200" s="317" t="str">
        <f>'REF. DE PREÇOS n editavel'!S1200</f>
        <v/>
      </c>
      <c r="W1200" s="577">
        <v>0</v>
      </c>
      <c r="X1200" s="575"/>
      <c r="Y1200" s="578">
        <f>IF('REF. DE PREÇOS n editavel'!W1200=0,0,IF('REF. DE PREÇOS n editavel'!W1200&gt;0,"c","b"))</f>
        <v>0</v>
      </c>
    </row>
    <row r="1201" spans="1:25" ht="22.5">
      <c r="A1201" s="317">
        <v>95785</v>
      </c>
      <c r="B1201" s="870">
        <v>95785</v>
      </c>
      <c r="C1201" s="871" t="s">
        <v>590</v>
      </c>
      <c r="D1201" s="881" t="s">
        <v>1115</v>
      </c>
      <c r="E1201" s="882">
        <f>'REF. DE PREÇOS n editavel'!E1201</f>
        <v>0</v>
      </c>
      <c r="F1201" s="883">
        <f>'REF. DE PREÇOS n editavel'!F1201</f>
        <v>0</v>
      </c>
      <c r="G1201" s="887">
        <f>'REF. DE PREÇOS n editavel'!G1201</f>
        <v>0</v>
      </c>
      <c r="H1201" s="876">
        <f>'REF. DE PREÇOS n editavel'!H1201</f>
        <v>43.24</v>
      </c>
      <c r="I1201" s="876">
        <f>'REF. DE PREÇOS n editavel'!I1201</f>
        <v>43.24</v>
      </c>
      <c r="J1201" s="877">
        <f>'REF. DE PREÇOS n editavel'!J1201</f>
        <v>52.85</v>
      </c>
      <c r="K1201" s="878" t="s">
        <v>1500</v>
      </c>
      <c r="L1201" s="1092"/>
      <c r="M1201" s="1093">
        <f t="shared" si="137"/>
        <v>0</v>
      </c>
      <c r="N1201" s="868">
        <f t="shared" si="141"/>
        <v>0</v>
      </c>
      <c r="O1201" s="880"/>
      <c r="Q1201" s="317" t="str">
        <f t="shared" si="138"/>
        <v/>
      </c>
      <c r="R1201" s="317" t="str">
        <f t="shared" si="139"/>
        <v/>
      </c>
      <c r="S1201" s="317" t="str">
        <f t="shared" si="140"/>
        <v/>
      </c>
      <c r="T1201" s="317" t="str">
        <f>'REF. DE PREÇOS n editavel'!S1201</f>
        <v/>
      </c>
      <c r="W1201" s="577">
        <v>0</v>
      </c>
      <c r="X1201" s="575"/>
      <c r="Y1201" s="578">
        <f>IF('REF. DE PREÇOS n editavel'!W1201=0,0,IF('REF. DE PREÇOS n editavel'!W1201&gt;0,"c","b"))</f>
        <v>0</v>
      </c>
    </row>
    <row r="1202" spans="1:25" ht="22.5">
      <c r="A1202" s="317">
        <v>95787</v>
      </c>
      <c r="B1202" s="870">
        <v>95787</v>
      </c>
      <c r="C1202" s="871" t="s">
        <v>590</v>
      </c>
      <c r="D1202" s="881" t="s">
        <v>1116</v>
      </c>
      <c r="E1202" s="882">
        <f>'REF. DE PREÇOS n editavel'!E1202</f>
        <v>0</v>
      </c>
      <c r="F1202" s="883">
        <f>'REF. DE PREÇOS n editavel'!F1202</f>
        <v>0</v>
      </c>
      <c r="G1202" s="887">
        <f>'REF. DE PREÇOS n editavel'!G1202</f>
        <v>0</v>
      </c>
      <c r="H1202" s="876">
        <f>'REF. DE PREÇOS n editavel'!H1202</f>
        <v>32.24</v>
      </c>
      <c r="I1202" s="876">
        <f>'REF. DE PREÇOS n editavel'!I1202</f>
        <v>32.24</v>
      </c>
      <c r="J1202" s="877">
        <f>'REF. DE PREÇOS n editavel'!J1202</f>
        <v>39.4</v>
      </c>
      <c r="K1202" s="878" t="s">
        <v>1500</v>
      </c>
      <c r="L1202" s="1092"/>
      <c r="M1202" s="1093">
        <f t="shared" si="137"/>
        <v>0</v>
      </c>
      <c r="N1202" s="868">
        <f t="shared" si="141"/>
        <v>0</v>
      </c>
      <c r="O1202" s="880"/>
      <c r="Q1202" s="317" t="str">
        <f t="shared" si="138"/>
        <v/>
      </c>
      <c r="R1202" s="317" t="str">
        <f t="shared" si="139"/>
        <v/>
      </c>
      <c r="S1202" s="317" t="str">
        <f t="shared" si="140"/>
        <v/>
      </c>
      <c r="T1202" s="317" t="str">
        <f>'REF. DE PREÇOS n editavel'!S1202</f>
        <v/>
      </c>
      <c r="W1202" s="577">
        <v>0</v>
      </c>
      <c r="X1202" s="575"/>
      <c r="Y1202" s="578">
        <f>IF('REF. DE PREÇOS n editavel'!W1202=0,0,IF('REF. DE PREÇOS n editavel'!W1202&gt;0,"c","b"))</f>
        <v>0</v>
      </c>
    </row>
    <row r="1203" spans="1:25" ht="22.5">
      <c r="A1203" s="317">
        <v>95789</v>
      </c>
      <c r="B1203" s="870">
        <v>95789</v>
      </c>
      <c r="C1203" s="871" t="s">
        <v>590</v>
      </c>
      <c r="D1203" s="881" t="s">
        <v>1117</v>
      </c>
      <c r="E1203" s="882">
        <f>'REF. DE PREÇOS n editavel'!E1203</f>
        <v>0</v>
      </c>
      <c r="F1203" s="883">
        <f>'REF. DE PREÇOS n editavel'!F1203</f>
        <v>0</v>
      </c>
      <c r="G1203" s="887">
        <f>'REF. DE PREÇOS n editavel'!G1203</f>
        <v>0</v>
      </c>
      <c r="H1203" s="876">
        <f>'REF. DE PREÇOS n editavel'!H1203</f>
        <v>43.94</v>
      </c>
      <c r="I1203" s="876">
        <f>'REF. DE PREÇOS n editavel'!I1203</f>
        <v>43.94</v>
      </c>
      <c r="J1203" s="877">
        <f>'REF. DE PREÇOS n editavel'!J1203</f>
        <v>53.7</v>
      </c>
      <c r="K1203" s="878" t="s">
        <v>1500</v>
      </c>
      <c r="L1203" s="1092"/>
      <c r="M1203" s="1093">
        <f t="shared" si="137"/>
        <v>0</v>
      </c>
      <c r="N1203" s="868">
        <f t="shared" si="141"/>
        <v>0</v>
      </c>
      <c r="O1203" s="880"/>
      <c r="Q1203" s="317" t="str">
        <f t="shared" si="138"/>
        <v/>
      </c>
      <c r="R1203" s="317" t="str">
        <f t="shared" si="139"/>
        <v/>
      </c>
      <c r="S1203" s="317" t="str">
        <f t="shared" si="140"/>
        <v/>
      </c>
      <c r="T1203" s="317" t="str">
        <f>'REF. DE PREÇOS n editavel'!S1203</f>
        <v/>
      </c>
      <c r="W1203" s="577">
        <v>0</v>
      </c>
      <c r="X1203" s="575"/>
      <c r="Y1203" s="578">
        <f>IF('REF. DE PREÇOS n editavel'!W1203=0,0,IF('REF. DE PREÇOS n editavel'!W1203&gt;0,"c","b"))</f>
        <v>0</v>
      </c>
    </row>
    <row r="1204" spans="1:25" ht="22.5">
      <c r="A1204" s="317">
        <v>95791</v>
      </c>
      <c r="B1204" s="870">
        <v>95791</v>
      </c>
      <c r="C1204" s="871" t="s">
        <v>590</v>
      </c>
      <c r="D1204" s="881" t="s">
        <v>1118</v>
      </c>
      <c r="E1204" s="882">
        <f>'REF. DE PREÇOS n editavel'!E1204</f>
        <v>0</v>
      </c>
      <c r="F1204" s="883">
        <f>'REF. DE PREÇOS n editavel'!F1204</f>
        <v>0</v>
      </c>
      <c r="G1204" s="887">
        <f>'REF. DE PREÇOS n editavel'!G1204</f>
        <v>0</v>
      </c>
      <c r="H1204" s="876">
        <f>'REF. DE PREÇOS n editavel'!H1204</f>
        <v>61.1</v>
      </c>
      <c r="I1204" s="876">
        <f>'REF. DE PREÇOS n editavel'!I1204</f>
        <v>61.1</v>
      </c>
      <c r="J1204" s="877">
        <f>'REF. DE PREÇOS n editavel'!J1204</f>
        <v>74.680000000000007</v>
      </c>
      <c r="K1204" s="878" t="s">
        <v>1500</v>
      </c>
      <c r="L1204" s="1092"/>
      <c r="M1204" s="1093">
        <f t="shared" si="137"/>
        <v>0</v>
      </c>
      <c r="N1204" s="868">
        <f t="shared" si="141"/>
        <v>0</v>
      </c>
      <c r="O1204" s="880"/>
      <c r="Q1204" s="317" t="str">
        <f t="shared" si="138"/>
        <v/>
      </c>
      <c r="R1204" s="317" t="str">
        <f t="shared" si="139"/>
        <v/>
      </c>
      <c r="S1204" s="317" t="str">
        <f t="shared" si="140"/>
        <v/>
      </c>
      <c r="T1204" s="317" t="str">
        <f>'REF. DE PREÇOS n editavel'!S1204</f>
        <v/>
      </c>
      <c r="W1204" s="577">
        <v>0</v>
      </c>
      <c r="X1204" s="575"/>
      <c r="Y1204" s="578">
        <f>IF('REF. DE PREÇOS n editavel'!W1204=0,0,IF('REF. DE PREÇOS n editavel'!W1204&gt;0,"c","b"))</f>
        <v>0</v>
      </c>
    </row>
    <row r="1205" spans="1:25" ht="22.5">
      <c r="A1205" s="317">
        <v>95795</v>
      </c>
      <c r="B1205" s="870">
        <v>95795</v>
      </c>
      <c r="C1205" s="871" t="s">
        <v>590</v>
      </c>
      <c r="D1205" s="881" t="s">
        <v>1119</v>
      </c>
      <c r="E1205" s="882">
        <f>'REF. DE PREÇOS n editavel'!E1205</f>
        <v>0</v>
      </c>
      <c r="F1205" s="883">
        <f>'REF. DE PREÇOS n editavel'!F1205</f>
        <v>0</v>
      </c>
      <c r="G1205" s="887">
        <f>'REF. DE PREÇOS n editavel'!G1205</f>
        <v>0</v>
      </c>
      <c r="H1205" s="876">
        <f>'REF. DE PREÇOS n editavel'!H1205</f>
        <v>36.74</v>
      </c>
      <c r="I1205" s="876">
        <f>'REF. DE PREÇOS n editavel'!I1205</f>
        <v>36.74</v>
      </c>
      <c r="J1205" s="877">
        <f>'REF. DE PREÇOS n editavel'!J1205</f>
        <v>44.9</v>
      </c>
      <c r="K1205" s="878" t="s">
        <v>1500</v>
      </c>
      <c r="L1205" s="1092"/>
      <c r="M1205" s="1093">
        <f t="shared" si="137"/>
        <v>0</v>
      </c>
      <c r="N1205" s="868">
        <f t="shared" si="141"/>
        <v>0</v>
      </c>
      <c r="O1205" s="880"/>
      <c r="Q1205" s="317" t="str">
        <f t="shared" si="138"/>
        <v/>
      </c>
      <c r="R1205" s="317" t="str">
        <f t="shared" si="139"/>
        <v/>
      </c>
      <c r="S1205" s="317" t="str">
        <f t="shared" si="140"/>
        <v/>
      </c>
      <c r="T1205" s="317" t="str">
        <f>'REF. DE PREÇOS n editavel'!S1205</f>
        <v/>
      </c>
      <c r="W1205" s="577">
        <v>0</v>
      </c>
      <c r="X1205" s="575"/>
      <c r="Y1205" s="578">
        <f>IF('REF. DE PREÇOS n editavel'!W1205=0,0,IF('REF. DE PREÇOS n editavel'!W1205&gt;0,"c","b"))</f>
        <v>0</v>
      </c>
    </row>
    <row r="1206" spans="1:25" ht="22.5">
      <c r="A1206" s="317">
        <v>95796</v>
      </c>
      <c r="B1206" s="870">
        <v>95796</v>
      </c>
      <c r="C1206" s="871" t="s">
        <v>590</v>
      </c>
      <c r="D1206" s="881" t="s">
        <v>1120</v>
      </c>
      <c r="E1206" s="882">
        <f>'REF. DE PREÇOS n editavel'!E1206</f>
        <v>0</v>
      </c>
      <c r="F1206" s="883">
        <f>'REF. DE PREÇOS n editavel'!F1206</f>
        <v>0</v>
      </c>
      <c r="G1206" s="887">
        <f>'REF. DE PREÇOS n editavel'!G1206</f>
        <v>0</v>
      </c>
      <c r="H1206" s="876">
        <f>'REF. DE PREÇOS n editavel'!H1206</f>
        <v>51.6</v>
      </c>
      <c r="I1206" s="876">
        <f>'REF. DE PREÇOS n editavel'!I1206</f>
        <v>51.6</v>
      </c>
      <c r="J1206" s="877">
        <f>'REF. DE PREÇOS n editavel'!J1206</f>
        <v>63.07</v>
      </c>
      <c r="K1206" s="878" t="s">
        <v>1500</v>
      </c>
      <c r="L1206" s="1092"/>
      <c r="M1206" s="1093">
        <f t="shared" si="137"/>
        <v>0</v>
      </c>
      <c r="N1206" s="868">
        <f t="shared" si="141"/>
        <v>0</v>
      </c>
      <c r="O1206" s="880"/>
      <c r="Q1206" s="317" t="str">
        <f t="shared" si="138"/>
        <v/>
      </c>
      <c r="R1206" s="317" t="str">
        <f t="shared" si="139"/>
        <v/>
      </c>
      <c r="S1206" s="317" t="str">
        <f t="shared" si="140"/>
        <v/>
      </c>
      <c r="T1206" s="317" t="str">
        <f>'REF. DE PREÇOS n editavel'!S1206</f>
        <v/>
      </c>
      <c r="W1206" s="577">
        <v>0</v>
      </c>
      <c r="X1206" s="575"/>
      <c r="Y1206" s="578">
        <f>IF('REF. DE PREÇOS n editavel'!W1206=0,0,IF('REF. DE PREÇOS n editavel'!W1206&gt;0,"c","b"))</f>
        <v>0</v>
      </c>
    </row>
    <row r="1207" spans="1:25" ht="22.5">
      <c r="A1207" s="317">
        <v>95797</v>
      </c>
      <c r="B1207" s="870">
        <v>95797</v>
      </c>
      <c r="C1207" s="871" t="s">
        <v>590</v>
      </c>
      <c r="D1207" s="881" t="s">
        <v>1121</v>
      </c>
      <c r="E1207" s="882">
        <f>'REF. DE PREÇOS n editavel'!E1207</f>
        <v>0</v>
      </c>
      <c r="F1207" s="883">
        <f>'REF. DE PREÇOS n editavel'!F1207</f>
        <v>0</v>
      </c>
      <c r="G1207" s="887">
        <f>'REF. DE PREÇOS n editavel'!G1207</f>
        <v>0</v>
      </c>
      <c r="H1207" s="876">
        <f>'REF. DE PREÇOS n editavel'!H1207</f>
        <v>71.37</v>
      </c>
      <c r="I1207" s="876">
        <f>'REF. DE PREÇOS n editavel'!I1207</f>
        <v>71.37</v>
      </c>
      <c r="J1207" s="877">
        <f>'REF. DE PREÇOS n editavel'!J1207</f>
        <v>87.23</v>
      </c>
      <c r="K1207" s="878" t="s">
        <v>1500</v>
      </c>
      <c r="L1207" s="1092"/>
      <c r="M1207" s="1093">
        <f t="shared" si="137"/>
        <v>0</v>
      </c>
      <c r="N1207" s="868">
        <f t="shared" si="141"/>
        <v>0</v>
      </c>
      <c r="O1207" s="880"/>
      <c r="Q1207" s="317" t="str">
        <f t="shared" si="138"/>
        <v/>
      </c>
      <c r="R1207" s="317" t="str">
        <f t="shared" si="139"/>
        <v/>
      </c>
      <c r="S1207" s="317" t="str">
        <f t="shared" si="140"/>
        <v/>
      </c>
      <c r="T1207" s="317" t="str">
        <f>'REF. DE PREÇOS n editavel'!S1207</f>
        <v/>
      </c>
      <c r="W1207" s="577">
        <v>0</v>
      </c>
      <c r="X1207" s="575"/>
      <c r="Y1207" s="578">
        <f>IF('REF. DE PREÇOS n editavel'!W1207=0,0,IF('REF. DE PREÇOS n editavel'!W1207&gt;0,"c","b"))</f>
        <v>0</v>
      </c>
    </row>
    <row r="1208" spans="1:25" ht="22.5">
      <c r="A1208" s="317">
        <v>95801</v>
      </c>
      <c r="B1208" s="870">
        <v>95801</v>
      </c>
      <c r="C1208" s="871" t="s">
        <v>590</v>
      </c>
      <c r="D1208" s="881" t="s">
        <v>1122</v>
      </c>
      <c r="E1208" s="882">
        <f>'REF. DE PREÇOS n editavel'!E1208</f>
        <v>0</v>
      </c>
      <c r="F1208" s="883">
        <f>'REF. DE PREÇOS n editavel'!F1208</f>
        <v>0</v>
      </c>
      <c r="G1208" s="887">
        <f>'REF. DE PREÇOS n editavel'!G1208</f>
        <v>0</v>
      </c>
      <c r="H1208" s="876">
        <f>'REF. DE PREÇOS n editavel'!H1208</f>
        <v>43.96</v>
      </c>
      <c r="I1208" s="876">
        <f>'REF. DE PREÇOS n editavel'!I1208</f>
        <v>43.96</v>
      </c>
      <c r="J1208" s="877">
        <f>'REF. DE PREÇOS n editavel'!J1208</f>
        <v>53.73</v>
      </c>
      <c r="K1208" s="878" t="s">
        <v>1500</v>
      </c>
      <c r="L1208" s="1092"/>
      <c r="M1208" s="1093">
        <f t="shared" si="137"/>
        <v>0</v>
      </c>
      <c r="N1208" s="868">
        <f t="shared" si="141"/>
        <v>0</v>
      </c>
      <c r="O1208" s="880"/>
      <c r="Q1208" s="317" t="str">
        <f t="shared" si="138"/>
        <v/>
      </c>
      <c r="R1208" s="317" t="str">
        <f t="shared" si="139"/>
        <v/>
      </c>
      <c r="S1208" s="317" t="str">
        <f t="shared" si="140"/>
        <v/>
      </c>
      <c r="T1208" s="317" t="str">
        <f>'REF. DE PREÇOS n editavel'!S1208</f>
        <v/>
      </c>
      <c r="W1208" s="577">
        <v>0</v>
      </c>
      <c r="X1208" s="575"/>
      <c r="Y1208" s="578">
        <f>IF('REF. DE PREÇOS n editavel'!W1208=0,0,IF('REF. DE PREÇOS n editavel'!W1208&gt;0,"c","b"))</f>
        <v>0</v>
      </c>
    </row>
    <row r="1209" spans="1:25" ht="22.5">
      <c r="A1209" s="317">
        <v>95802</v>
      </c>
      <c r="B1209" s="870">
        <v>95802</v>
      </c>
      <c r="C1209" s="871" t="s">
        <v>590</v>
      </c>
      <c r="D1209" s="881" t="s">
        <v>1123</v>
      </c>
      <c r="E1209" s="882">
        <f>'REF. DE PREÇOS n editavel'!E1209</f>
        <v>0</v>
      </c>
      <c r="F1209" s="883">
        <f>'REF. DE PREÇOS n editavel'!F1209</f>
        <v>0</v>
      </c>
      <c r="G1209" s="887">
        <f>'REF. DE PREÇOS n editavel'!G1209</f>
        <v>0</v>
      </c>
      <c r="H1209" s="876">
        <f>'REF. DE PREÇOS n editavel'!H1209</f>
        <v>54.65</v>
      </c>
      <c r="I1209" s="876">
        <f>'REF. DE PREÇOS n editavel'!I1209</f>
        <v>54.65</v>
      </c>
      <c r="J1209" s="877">
        <f>'REF. DE PREÇOS n editavel'!J1209</f>
        <v>66.790000000000006</v>
      </c>
      <c r="K1209" s="878" t="s">
        <v>1500</v>
      </c>
      <c r="L1209" s="1092"/>
      <c r="M1209" s="1093">
        <f t="shared" si="137"/>
        <v>0</v>
      </c>
      <c r="N1209" s="868">
        <f t="shared" si="141"/>
        <v>0</v>
      </c>
      <c r="O1209" s="880"/>
      <c r="Q1209" s="317" t="str">
        <f t="shared" si="138"/>
        <v/>
      </c>
      <c r="R1209" s="317" t="str">
        <f t="shared" si="139"/>
        <v/>
      </c>
      <c r="S1209" s="317" t="str">
        <f t="shared" si="140"/>
        <v/>
      </c>
      <c r="T1209" s="317" t="str">
        <f>'REF. DE PREÇOS n editavel'!S1209</f>
        <v/>
      </c>
      <c r="W1209" s="577">
        <v>0</v>
      </c>
      <c r="X1209" s="575"/>
      <c r="Y1209" s="578">
        <f>IF('REF. DE PREÇOS n editavel'!W1209=0,0,IF('REF. DE PREÇOS n editavel'!W1209&gt;0,"c","b"))</f>
        <v>0</v>
      </c>
    </row>
    <row r="1210" spans="1:25" ht="22.5">
      <c r="A1210" s="317">
        <v>95803</v>
      </c>
      <c r="B1210" s="870">
        <v>95803</v>
      </c>
      <c r="C1210" s="871" t="s">
        <v>590</v>
      </c>
      <c r="D1210" s="881" t="s">
        <v>1124</v>
      </c>
      <c r="E1210" s="882">
        <f>'REF. DE PREÇOS n editavel'!E1210</f>
        <v>0</v>
      </c>
      <c r="F1210" s="883">
        <f>'REF. DE PREÇOS n editavel'!F1210</f>
        <v>0</v>
      </c>
      <c r="G1210" s="887">
        <f>'REF. DE PREÇOS n editavel'!G1210</f>
        <v>0</v>
      </c>
      <c r="H1210" s="876">
        <f>'REF. DE PREÇOS n editavel'!H1210</f>
        <v>79.510000000000005</v>
      </c>
      <c r="I1210" s="876">
        <f>'REF. DE PREÇOS n editavel'!I1210</f>
        <v>79.510000000000005</v>
      </c>
      <c r="J1210" s="877">
        <f>'REF. DE PREÇOS n editavel'!J1210</f>
        <v>97.18</v>
      </c>
      <c r="K1210" s="878" t="s">
        <v>1500</v>
      </c>
      <c r="L1210" s="1092"/>
      <c r="M1210" s="1093">
        <f t="shared" si="137"/>
        <v>0</v>
      </c>
      <c r="N1210" s="868">
        <f t="shared" si="141"/>
        <v>0</v>
      </c>
      <c r="O1210" s="880"/>
      <c r="Q1210" s="317" t="str">
        <f t="shared" si="138"/>
        <v/>
      </c>
      <c r="R1210" s="317" t="str">
        <f t="shared" si="139"/>
        <v/>
      </c>
      <c r="S1210" s="317" t="str">
        <f t="shared" si="140"/>
        <v/>
      </c>
      <c r="T1210" s="317" t="str">
        <f>'REF. DE PREÇOS n editavel'!S1210</f>
        <v/>
      </c>
      <c r="W1210" s="577">
        <v>0</v>
      </c>
      <c r="X1210" s="575"/>
      <c r="Y1210" s="578">
        <f>IF('REF. DE PREÇOS n editavel'!W1210=0,0,IF('REF. DE PREÇOS n editavel'!W1210&gt;0,"c","b"))</f>
        <v>0</v>
      </c>
    </row>
    <row r="1211" spans="1:25" ht="22.5">
      <c r="A1211" s="317">
        <v>95804</v>
      </c>
      <c r="B1211" s="870">
        <v>95804</v>
      </c>
      <c r="C1211" s="871" t="s">
        <v>590</v>
      </c>
      <c r="D1211" s="881" t="s">
        <v>1125</v>
      </c>
      <c r="E1211" s="882">
        <f>'REF. DE PREÇOS n editavel'!E1211</f>
        <v>0</v>
      </c>
      <c r="F1211" s="883">
        <f>'REF. DE PREÇOS n editavel'!F1211</f>
        <v>0</v>
      </c>
      <c r="G1211" s="887">
        <f>'REF. DE PREÇOS n editavel'!G1211</f>
        <v>0</v>
      </c>
      <c r="H1211" s="876">
        <f>'REF. DE PREÇOS n editavel'!H1211</f>
        <v>27.21</v>
      </c>
      <c r="I1211" s="876">
        <f>'REF. DE PREÇOS n editavel'!I1211</f>
        <v>27.21</v>
      </c>
      <c r="J1211" s="877">
        <f>'REF. DE PREÇOS n editavel'!J1211</f>
        <v>33.26</v>
      </c>
      <c r="K1211" s="878" t="s">
        <v>1500</v>
      </c>
      <c r="L1211" s="1092"/>
      <c r="M1211" s="1093">
        <f t="shared" si="137"/>
        <v>0</v>
      </c>
      <c r="N1211" s="868">
        <f t="shared" si="141"/>
        <v>0</v>
      </c>
      <c r="O1211" s="880"/>
      <c r="Q1211" s="317" t="str">
        <f t="shared" si="138"/>
        <v/>
      </c>
      <c r="R1211" s="317" t="str">
        <f t="shared" si="139"/>
        <v/>
      </c>
      <c r="S1211" s="317" t="str">
        <f t="shared" si="140"/>
        <v/>
      </c>
      <c r="T1211" s="317" t="str">
        <f>'REF. DE PREÇOS n editavel'!S1211</f>
        <v/>
      </c>
      <c r="W1211" s="577">
        <v>0</v>
      </c>
      <c r="X1211" s="575"/>
      <c r="Y1211" s="578">
        <f>IF('REF. DE PREÇOS n editavel'!W1211=0,0,IF('REF. DE PREÇOS n editavel'!W1211&gt;0,"c","b"))</f>
        <v>0</v>
      </c>
    </row>
    <row r="1212" spans="1:25" ht="22.5">
      <c r="A1212" s="317">
        <v>95805</v>
      </c>
      <c r="B1212" s="870">
        <v>95805</v>
      </c>
      <c r="C1212" s="871" t="s">
        <v>590</v>
      </c>
      <c r="D1212" s="881" t="s">
        <v>1126</v>
      </c>
      <c r="E1212" s="882">
        <f>'REF. DE PREÇOS n editavel'!E1212</f>
        <v>0</v>
      </c>
      <c r="F1212" s="883">
        <f>'REF. DE PREÇOS n editavel'!F1212</f>
        <v>0</v>
      </c>
      <c r="G1212" s="887">
        <f>'REF. DE PREÇOS n editavel'!G1212</f>
        <v>0</v>
      </c>
      <c r="H1212" s="876">
        <f>'REF. DE PREÇOS n editavel'!H1212</f>
        <v>28.7</v>
      </c>
      <c r="I1212" s="876">
        <f>'REF. DE PREÇOS n editavel'!I1212</f>
        <v>28.7</v>
      </c>
      <c r="J1212" s="877">
        <f>'REF. DE PREÇOS n editavel'!J1212</f>
        <v>35.08</v>
      </c>
      <c r="K1212" s="878" t="s">
        <v>1500</v>
      </c>
      <c r="L1212" s="1092"/>
      <c r="M1212" s="1093">
        <f t="shared" si="137"/>
        <v>0</v>
      </c>
      <c r="N1212" s="868">
        <f t="shared" si="141"/>
        <v>0</v>
      </c>
      <c r="O1212" s="880"/>
      <c r="Q1212" s="317" t="str">
        <f t="shared" si="138"/>
        <v/>
      </c>
      <c r="R1212" s="317" t="str">
        <f t="shared" si="139"/>
        <v/>
      </c>
      <c r="S1212" s="317" t="str">
        <f t="shared" si="140"/>
        <v/>
      </c>
      <c r="T1212" s="317" t="str">
        <f>'REF. DE PREÇOS n editavel'!S1212</f>
        <v/>
      </c>
      <c r="W1212" s="577">
        <v>0</v>
      </c>
      <c r="X1212" s="575"/>
      <c r="Y1212" s="578">
        <f>IF('REF. DE PREÇOS n editavel'!W1212=0,0,IF('REF. DE PREÇOS n editavel'!W1212&gt;0,"c","b"))</f>
        <v>0</v>
      </c>
    </row>
    <row r="1213" spans="1:25" ht="22.5">
      <c r="A1213" s="317">
        <v>95806</v>
      </c>
      <c r="B1213" s="870">
        <v>95806</v>
      </c>
      <c r="C1213" s="871" t="s">
        <v>590</v>
      </c>
      <c r="D1213" s="881" t="s">
        <v>1127</v>
      </c>
      <c r="E1213" s="882">
        <f>'REF. DE PREÇOS n editavel'!E1213</f>
        <v>0</v>
      </c>
      <c r="F1213" s="883">
        <f>'REF. DE PREÇOS n editavel'!F1213</f>
        <v>0</v>
      </c>
      <c r="G1213" s="887">
        <f>'REF. DE PREÇOS n editavel'!G1213</f>
        <v>0</v>
      </c>
      <c r="H1213" s="876">
        <f>'REF. DE PREÇOS n editavel'!H1213</f>
        <v>31.42</v>
      </c>
      <c r="I1213" s="876">
        <f>'REF. DE PREÇOS n editavel'!I1213</f>
        <v>31.42</v>
      </c>
      <c r="J1213" s="877">
        <f>'REF. DE PREÇOS n editavel'!J1213</f>
        <v>38.4</v>
      </c>
      <c r="K1213" s="878" t="s">
        <v>1500</v>
      </c>
      <c r="L1213" s="1092"/>
      <c r="M1213" s="1093">
        <f t="shared" si="137"/>
        <v>0</v>
      </c>
      <c r="N1213" s="868">
        <f t="shared" si="141"/>
        <v>0</v>
      </c>
      <c r="O1213" s="880"/>
      <c r="Q1213" s="317" t="str">
        <f t="shared" si="138"/>
        <v/>
      </c>
      <c r="R1213" s="317" t="str">
        <f t="shared" si="139"/>
        <v/>
      </c>
      <c r="S1213" s="317" t="str">
        <f t="shared" si="140"/>
        <v/>
      </c>
      <c r="T1213" s="317" t="str">
        <f>'REF. DE PREÇOS n editavel'!S1213</f>
        <v/>
      </c>
      <c r="W1213" s="577">
        <v>0</v>
      </c>
      <c r="X1213" s="575"/>
      <c r="Y1213" s="578">
        <f>IF('REF. DE PREÇOS n editavel'!W1213=0,0,IF('REF. DE PREÇOS n editavel'!W1213&gt;0,"c","b"))</f>
        <v>0</v>
      </c>
    </row>
    <row r="1214" spans="1:25" ht="22.5">
      <c r="A1214" s="317">
        <v>95807</v>
      </c>
      <c r="B1214" s="870">
        <v>95807</v>
      </c>
      <c r="C1214" s="871" t="s">
        <v>590</v>
      </c>
      <c r="D1214" s="881" t="s">
        <v>1128</v>
      </c>
      <c r="E1214" s="882">
        <f>'REF. DE PREÇOS n editavel'!E1214</f>
        <v>0</v>
      </c>
      <c r="F1214" s="883">
        <f>'REF. DE PREÇOS n editavel'!F1214</f>
        <v>0</v>
      </c>
      <c r="G1214" s="887">
        <f>'REF. DE PREÇOS n editavel'!G1214</f>
        <v>0</v>
      </c>
      <c r="H1214" s="876">
        <f>'REF. DE PREÇOS n editavel'!H1214</f>
        <v>31.89</v>
      </c>
      <c r="I1214" s="876">
        <f>'REF. DE PREÇOS n editavel'!I1214</f>
        <v>31.89</v>
      </c>
      <c r="J1214" s="877">
        <f>'REF. DE PREÇOS n editavel'!J1214</f>
        <v>38.979999999999997</v>
      </c>
      <c r="K1214" s="878" t="s">
        <v>1500</v>
      </c>
      <c r="L1214" s="1092"/>
      <c r="M1214" s="1093">
        <f t="shared" si="137"/>
        <v>0</v>
      </c>
      <c r="N1214" s="868">
        <f t="shared" si="141"/>
        <v>0</v>
      </c>
      <c r="O1214" s="880"/>
      <c r="Q1214" s="317" t="str">
        <f t="shared" si="138"/>
        <v/>
      </c>
      <c r="R1214" s="317" t="str">
        <f t="shared" si="139"/>
        <v/>
      </c>
      <c r="S1214" s="317" t="str">
        <f t="shared" si="140"/>
        <v/>
      </c>
      <c r="T1214" s="317" t="str">
        <f>'REF. DE PREÇOS n editavel'!S1214</f>
        <v/>
      </c>
      <c r="W1214" s="577">
        <v>0</v>
      </c>
      <c r="X1214" s="575"/>
      <c r="Y1214" s="578">
        <f>IF('REF. DE PREÇOS n editavel'!W1214=0,0,IF('REF. DE PREÇOS n editavel'!W1214&gt;0,"c","b"))</f>
        <v>0</v>
      </c>
    </row>
    <row r="1215" spans="1:25" ht="22.5">
      <c r="A1215" s="317">
        <v>95808</v>
      </c>
      <c r="B1215" s="870">
        <v>95808</v>
      </c>
      <c r="C1215" s="871" t="s">
        <v>590</v>
      </c>
      <c r="D1215" s="881" t="s">
        <v>1129</v>
      </c>
      <c r="E1215" s="882">
        <f>'REF. DE PREÇOS n editavel'!E1215</f>
        <v>0</v>
      </c>
      <c r="F1215" s="883">
        <f>'REF. DE PREÇOS n editavel'!F1215</f>
        <v>0</v>
      </c>
      <c r="G1215" s="887">
        <f>'REF. DE PREÇOS n editavel'!G1215</f>
        <v>0</v>
      </c>
      <c r="H1215" s="876">
        <f>'REF. DE PREÇOS n editavel'!H1215</f>
        <v>36.369999999999997</v>
      </c>
      <c r="I1215" s="876">
        <f>'REF. DE PREÇOS n editavel'!I1215</f>
        <v>36.369999999999997</v>
      </c>
      <c r="J1215" s="877">
        <f>'REF. DE PREÇOS n editavel'!J1215</f>
        <v>44.45</v>
      </c>
      <c r="K1215" s="878" t="s">
        <v>1500</v>
      </c>
      <c r="L1215" s="1092"/>
      <c r="M1215" s="1093">
        <f t="shared" si="137"/>
        <v>0</v>
      </c>
      <c r="N1215" s="868">
        <f t="shared" si="141"/>
        <v>0</v>
      </c>
      <c r="O1215" s="880"/>
      <c r="Q1215" s="317" t="str">
        <f t="shared" si="138"/>
        <v/>
      </c>
      <c r="R1215" s="317" t="str">
        <f t="shared" si="139"/>
        <v/>
      </c>
      <c r="S1215" s="317" t="str">
        <f t="shared" si="140"/>
        <v/>
      </c>
      <c r="T1215" s="317" t="str">
        <f>'REF. DE PREÇOS n editavel'!S1215</f>
        <v/>
      </c>
      <c r="W1215" s="577">
        <v>0</v>
      </c>
      <c r="X1215" s="575"/>
      <c r="Y1215" s="578">
        <f>IF('REF. DE PREÇOS n editavel'!W1215=0,0,IF('REF. DE PREÇOS n editavel'!W1215&gt;0,"c","b"))</f>
        <v>0</v>
      </c>
    </row>
    <row r="1216" spans="1:25" ht="22.5">
      <c r="A1216" s="317">
        <v>95809</v>
      </c>
      <c r="B1216" s="870">
        <v>95809</v>
      </c>
      <c r="C1216" s="871" t="s">
        <v>590</v>
      </c>
      <c r="D1216" s="881" t="s">
        <v>1130</v>
      </c>
      <c r="E1216" s="882">
        <f>'REF. DE PREÇOS n editavel'!E1216</f>
        <v>0</v>
      </c>
      <c r="F1216" s="883">
        <f>'REF. DE PREÇOS n editavel'!F1216</f>
        <v>0</v>
      </c>
      <c r="G1216" s="887">
        <f>'REF. DE PREÇOS n editavel'!G1216</f>
        <v>0</v>
      </c>
      <c r="H1216" s="876">
        <f>'REF. DE PREÇOS n editavel'!H1216</f>
        <v>45.11</v>
      </c>
      <c r="I1216" s="876">
        <f>'REF. DE PREÇOS n editavel'!I1216</f>
        <v>45.11</v>
      </c>
      <c r="J1216" s="877">
        <f>'REF. DE PREÇOS n editavel'!J1216</f>
        <v>55.13</v>
      </c>
      <c r="K1216" s="878" t="s">
        <v>1500</v>
      </c>
      <c r="L1216" s="1092"/>
      <c r="M1216" s="1093">
        <f t="shared" si="137"/>
        <v>0</v>
      </c>
      <c r="N1216" s="868">
        <f t="shared" si="141"/>
        <v>0</v>
      </c>
      <c r="O1216" s="880"/>
      <c r="Q1216" s="317" t="str">
        <f t="shared" si="138"/>
        <v/>
      </c>
      <c r="R1216" s="317" t="str">
        <f t="shared" si="139"/>
        <v/>
      </c>
      <c r="S1216" s="317" t="str">
        <f t="shared" si="140"/>
        <v/>
      </c>
      <c r="T1216" s="317" t="str">
        <f>'REF. DE PREÇOS n editavel'!S1216</f>
        <v/>
      </c>
      <c r="W1216" s="577">
        <v>0</v>
      </c>
      <c r="X1216" s="575"/>
      <c r="Y1216" s="578">
        <f>IF('REF. DE PREÇOS n editavel'!W1216=0,0,IF('REF. DE PREÇOS n editavel'!W1216&gt;0,"c","b"))</f>
        <v>0</v>
      </c>
    </row>
    <row r="1217" spans="1:25" ht="22.5">
      <c r="A1217" s="317">
        <v>95810</v>
      </c>
      <c r="B1217" s="870">
        <v>95810</v>
      </c>
      <c r="C1217" s="871" t="s">
        <v>590</v>
      </c>
      <c r="D1217" s="881" t="s">
        <v>1131</v>
      </c>
      <c r="E1217" s="882">
        <f>'REF. DE PREÇOS n editavel'!E1217</f>
        <v>0</v>
      </c>
      <c r="F1217" s="883">
        <f>'REF. DE PREÇOS n editavel'!F1217</f>
        <v>0</v>
      </c>
      <c r="G1217" s="887">
        <f>'REF. DE PREÇOS n editavel'!G1217</f>
        <v>0</v>
      </c>
      <c r="H1217" s="876">
        <f>'REF. DE PREÇOS n editavel'!H1217</f>
        <v>19.940000000000001</v>
      </c>
      <c r="I1217" s="876">
        <f>'REF. DE PREÇOS n editavel'!I1217</f>
        <v>19.940000000000001</v>
      </c>
      <c r="J1217" s="877">
        <f>'REF. DE PREÇOS n editavel'!J1217</f>
        <v>24.37</v>
      </c>
      <c r="K1217" s="878" t="s">
        <v>1500</v>
      </c>
      <c r="L1217" s="1092"/>
      <c r="M1217" s="1093">
        <f t="shared" si="137"/>
        <v>0</v>
      </c>
      <c r="N1217" s="868">
        <f t="shared" si="141"/>
        <v>0</v>
      </c>
      <c r="O1217" s="880"/>
      <c r="Q1217" s="317" t="str">
        <f t="shared" si="138"/>
        <v/>
      </c>
      <c r="R1217" s="317" t="str">
        <f t="shared" si="139"/>
        <v/>
      </c>
      <c r="S1217" s="317" t="str">
        <f t="shared" si="140"/>
        <v/>
      </c>
      <c r="T1217" s="317" t="str">
        <f>'REF. DE PREÇOS n editavel'!S1217</f>
        <v/>
      </c>
      <c r="W1217" s="577">
        <v>0</v>
      </c>
      <c r="X1217" s="575"/>
      <c r="Y1217" s="578">
        <f>IF('REF. DE PREÇOS n editavel'!W1217=0,0,IF('REF. DE PREÇOS n editavel'!W1217&gt;0,"c","b"))</f>
        <v>0</v>
      </c>
    </row>
    <row r="1218" spans="1:25" ht="22.5">
      <c r="A1218" s="317">
        <v>95811</v>
      </c>
      <c r="B1218" s="870">
        <v>95811</v>
      </c>
      <c r="C1218" s="871" t="s">
        <v>590</v>
      </c>
      <c r="D1218" s="881" t="s">
        <v>1132</v>
      </c>
      <c r="E1218" s="882">
        <f>'REF. DE PREÇOS n editavel'!E1218</f>
        <v>0</v>
      </c>
      <c r="F1218" s="883">
        <f>'REF. DE PREÇOS n editavel'!F1218</f>
        <v>0</v>
      </c>
      <c r="G1218" s="887">
        <f>'REF. DE PREÇOS n editavel'!G1218</f>
        <v>0</v>
      </c>
      <c r="H1218" s="876">
        <f>'REF. DE PREÇOS n editavel'!H1218</f>
        <v>24.43</v>
      </c>
      <c r="I1218" s="876">
        <f>'REF. DE PREÇOS n editavel'!I1218</f>
        <v>24.43</v>
      </c>
      <c r="J1218" s="877">
        <f>'REF. DE PREÇOS n editavel'!J1218</f>
        <v>29.86</v>
      </c>
      <c r="K1218" s="878" t="s">
        <v>1500</v>
      </c>
      <c r="L1218" s="1092"/>
      <c r="M1218" s="1093">
        <f t="shared" si="137"/>
        <v>0</v>
      </c>
      <c r="N1218" s="868">
        <f t="shared" si="141"/>
        <v>0</v>
      </c>
      <c r="O1218" s="880"/>
      <c r="Q1218" s="317" t="str">
        <f t="shared" si="138"/>
        <v/>
      </c>
      <c r="R1218" s="317" t="str">
        <f t="shared" si="139"/>
        <v/>
      </c>
      <c r="S1218" s="317" t="str">
        <f t="shared" si="140"/>
        <v/>
      </c>
      <c r="T1218" s="317" t="str">
        <f>'REF. DE PREÇOS n editavel'!S1218</f>
        <v/>
      </c>
      <c r="W1218" s="577">
        <v>0</v>
      </c>
      <c r="X1218" s="575"/>
      <c r="Y1218" s="578">
        <f>IF('REF. DE PREÇOS n editavel'!W1218=0,0,IF('REF. DE PREÇOS n editavel'!W1218&gt;0,"c","b"))</f>
        <v>0</v>
      </c>
    </row>
    <row r="1219" spans="1:25" ht="22.5">
      <c r="A1219" s="317">
        <v>95812</v>
      </c>
      <c r="B1219" s="870">
        <v>95812</v>
      </c>
      <c r="C1219" s="871" t="s">
        <v>590</v>
      </c>
      <c r="D1219" s="881" t="s">
        <v>1133</v>
      </c>
      <c r="E1219" s="882">
        <f>'REF. DE PREÇOS n editavel'!E1219</f>
        <v>0</v>
      </c>
      <c r="F1219" s="883">
        <f>'REF. DE PREÇOS n editavel'!F1219</f>
        <v>0</v>
      </c>
      <c r="G1219" s="887">
        <f>'REF. DE PREÇOS n editavel'!G1219</f>
        <v>0</v>
      </c>
      <c r="H1219" s="876">
        <f>'REF. DE PREÇOS n editavel'!H1219</f>
        <v>33.159999999999997</v>
      </c>
      <c r="I1219" s="876">
        <f>'REF. DE PREÇOS n editavel'!I1219</f>
        <v>33.159999999999997</v>
      </c>
      <c r="J1219" s="877">
        <f>'REF. DE PREÇOS n editavel'!J1219</f>
        <v>40.53</v>
      </c>
      <c r="K1219" s="878" t="s">
        <v>1500</v>
      </c>
      <c r="L1219" s="1092"/>
      <c r="M1219" s="1093">
        <f t="shared" si="137"/>
        <v>0</v>
      </c>
      <c r="N1219" s="868">
        <f t="shared" si="141"/>
        <v>0</v>
      </c>
      <c r="O1219" s="880"/>
      <c r="Q1219" s="317" t="str">
        <f t="shared" si="138"/>
        <v/>
      </c>
      <c r="R1219" s="317" t="str">
        <f t="shared" si="139"/>
        <v/>
      </c>
      <c r="S1219" s="317" t="str">
        <f t="shared" si="140"/>
        <v/>
      </c>
      <c r="T1219" s="317" t="str">
        <f>'REF. DE PREÇOS n editavel'!S1219</f>
        <v/>
      </c>
      <c r="W1219" s="577">
        <v>0</v>
      </c>
      <c r="X1219" s="575"/>
      <c r="Y1219" s="578">
        <f>IF('REF. DE PREÇOS n editavel'!W1219=0,0,IF('REF. DE PREÇOS n editavel'!W1219&gt;0,"c","b"))</f>
        <v>0</v>
      </c>
    </row>
    <row r="1220" spans="1:25" ht="22.5">
      <c r="A1220" s="317">
        <v>95813</v>
      </c>
      <c r="B1220" s="870">
        <v>95813</v>
      </c>
      <c r="C1220" s="871" t="s">
        <v>590</v>
      </c>
      <c r="D1220" s="881" t="s">
        <v>1134</v>
      </c>
      <c r="E1220" s="882">
        <f>'REF. DE PREÇOS n editavel'!E1220</f>
        <v>0</v>
      </c>
      <c r="F1220" s="883">
        <f>'REF. DE PREÇOS n editavel'!F1220</f>
        <v>0</v>
      </c>
      <c r="G1220" s="887">
        <f>'REF. DE PREÇOS n editavel'!G1220</f>
        <v>0</v>
      </c>
      <c r="H1220" s="876">
        <f>'REF. DE PREÇOS n editavel'!H1220</f>
        <v>23.14</v>
      </c>
      <c r="I1220" s="876">
        <f>'REF. DE PREÇOS n editavel'!I1220</f>
        <v>23.14</v>
      </c>
      <c r="J1220" s="877">
        <f>'REF. DE PREÇOS n editavel'!J1220</f>
        <v>28.28</v>
      </c>
      <c r="K1220" s="878" t="s">
        <v>1500</v>
      </c>
      <c r="L1220" s="1092"/>
      <c r="M1220" s="1093">
        <f t="shared" si="137"/>
        <v>0</v>
      </c>
      <c r="N1220" s="868">
        <f t="shared" si="141"/>
        <v>0</v>
      </c>
      <c r="O1220" s="880"/>
      <c r="Q1220" s="317" t="str">
        <f t="shared" si="138"/>
        <v/>
      </c>
      <c r="R1220" s="317" t="str">
        <f t="shared" si="139"/>
        <v/>
      </c>
      <c r="S1220" s="317" t="str">
        <f t="shared" si="140"/>
        <v/>
      </c>
      <c r="T1220" s="317" t="str">
        <f>'REF. DE PREÇOS n editavel'!S1220</f>
        <v/>
      </c>
      <c r="W1220" s="577">
        <v>0</v>
      </c>
      <c r="X1220" s="575"/>
      <c r="Y1220" s="578">
        <f>IF('REF. DE PREÇOS n editavel'!W1220=0,0,IF('REF. DE PREÇOS n editavel'!W1220&gt;0,"c","b"))</f>
        <v>0</v>
      </c>
    </row>
    <row r="1221" spans="1:25" ht="22.5">
      <c r="A1221" s="317">
        <v>95814</v>
      </c>
      <c r="B1221" s="870">
        <v>95814</v>
      </c>
      <c r="C1221" s="871" t="s">
        <v>590</v>
      </c>
      <c r="D1221" s="881" t="s">
        <v>1135</v>
      </c>
      <c r="E1221" s="882">
        <f>'REF. DE PREÇOS n editavel'!E1221</f>
        <v>0</v>
      </c>
      <c r="F1221" s="883">
        <f>'REF. DE PREÇOS n editavel'!F1221</f>
        <v>0</v>
      </c>
      <c r="G1221" s="887">
        <f>'REF. DE PREÇOS n editavel'!G1221</f>
        <v>0</v>
      </c>
      <c r="H1221" s="876">
        <f>'REF. DE PREÇOS n editavel'!H1221</f>
        <v>29.12</v>
      </c>
      <c r="I1221" s="876">
        <f>'REF. DE PREÇOS n editavel'!I1221</f>
        <v>29.12</v>
      </c>
      <c r="J1221" s="877">
        <f>'REF. DE PREÇOS n editavel'!J1221</f>
        <v>35.590000000000003</v>
      </c>
      <c r="K1221" s="878" t="s">
        <v>1500</v>
      </c>
      <c r="L1221" s="1092"/>
      <c r="M1221" s="1093">
        <f t="shared" si="137"/>
        <v>0</v>
      </c>
      <c r="N1221" s="868">
        <f t="shared" si="141"/>
        <v>0</v>
      </c>
      <c r="O1221" s="880"/>
      <c r="Q1221" s="317" t="str">
        <f t="shared" si="138"/>
        <v/>
      </c>
      <c r="R1221" s="317" t="str">
        <f t="shared" si="139"/>
        <v/>
      </c>
      <c r="S1221" s="317" t="str">
        <f t="shared" si="140"/>
        <v/>
      </c>
      <c r="T1221" s="317" t="str">
        <f>'REF. DE PREÇOS n editavel'!S1221</f>
        <v/>
      </c>
      <c r="W1221" s="577">
        <v>0</v>
      </c>
      <c r="X1221" s="575"/>
      <c r="Y1221" s="578">
        <f>IF('REF. DE PREÇOS n editavel'!W1221=0,0,IF('REF. DE PREÇOS n editavel'!W1221&gt;0,"c","b"))</f>
        <v>0</v>
      </c>
    </row>
    <row r="1222" spans="1:25" ht="22.5">
      <c r="A1222" s="317">
        <v>95815</v>
      </c>
      <c r="B1222" s="870">
        <v>95815</v>
      </c>
      <c r="C1222" s="871" t="s">
        <v>590</v>
      </c>
      <c r="D1222" s="881" t="s">
        <v>1136</v>
      </c>
      <c r="E1222" s="882">
        <f>'REF. DE PREÇOS n editavel'!E1222</f>
        <v>0</v>
      </c>
      <c r="F1222" s="883">
        <f>'REF. DE PREÇOS n editavel'!F1222</f>
        <v>0</v>
      </c>
      <c r="G1222" s="887">
        <f>'REF. DE PREÇOS n editavel'!G1222</f>
        <v>0</v>
      </c>
      <c r="H1222" s="876">
        <f>'REF. DE PREÇOS n editavel'!H1222</f>
        <v>42.77</v>
      </c>
      <c r="I1222" s="876">
        <f>'REF. DE PREÇOS n editavel'!I1222</f>
        <v>42.77</v>
      </c>
      <c r="J1222" s="877">
        <f>'REF. DE PREÇOS n editavel'!J1222</f>
        <v>52.27</v>
      </c>
      <c r="K1222" s="878" t="s">
        <v>1500</v>
      </c>
      <c r="L1222" s="1092"/>
      <c r="M1222" s="1093">
        <f t="shared" ref="M1222:M1285" si="142">IF(L1222=0,0,ROUND(J1222,2))</f>
        <v>0</v>
      </c>
      <c r="N1222" s="868">
        <f t="shared" si="141"/>
        <v>0</v>
      </c>
      <c r="O1222" s="880"/>
      <c r="Q1222" s="317" t="str">
        <f t="shared" si="138"/>
        <v/>
      </c>
      <c r="R1222" s="317" t="str">
        <f t="shared" si="139"/>
        <v/>
      </c>
      <c r="S1222" s="317" t="str">
        <f t="shared" si="140"/>
        <v/>
      </c>
      <c r="T1222" s="317" t="str">
        <f>'REF. DE PREÇOS n editavel'!S1222</f>
        <v/>
      </c>
      <c r="W1222" s="577">
        <v>0</v>
      </c>
      <c r="X1222" s="575"/>
      <c r="Y1222" s="578">
        <f>IF('REF. DE PREÇOS n editavel'!W1222=0,0,IF('REF. DE PREÇOS n editavel'!W1222&gt;0,"c","b"))</f>
        <v>0</v>
      </c>
    </row>
    <row r="1223" spans="1:25" ht="22.5">
      <c r="A1223" s="317">
        <v>95816</v>
      </c>
      <c r="B1223" s="870">
        <v>95816</v>
      </c>
      <c r="C1223" s="871" t="s">
        <v>590</v>
      </c>
      <c r="D1223" s="881" t="s">
        <v>1137</v>
      </c>
      <c r="E1223" s="882">
        <f>'REF. DE PREÇOS n editavel'!E1223</f>
        <v>0</v>
      </c>
      <c r="F1223" s="883">
        <f>'REF. DE PREÇOS n editavel'!F1223</f>
        <v>0</v>
      </c>
      <c r="G1223" s="887">
        <f>'REF. DE PREÇOS n editavel'!G1223</f>
        <v>0</v>
      </c>
      <c r="H1223" s="876">
        <f>'REF. DE PREÇOS n editavel'!H1223</f>
        <v>38.6</v>
      </c>
      <c r="I1223" s="876">
        <f>'REF. DE PREÇOS n editavel'!I1223</f>
        <v>38.6</v>
      </c>
      <c r="J1223" s="877">
        <f>'REF. DE PREÇOS n editavel'!J1223</f>
        <v>47.18</v>
      </c>
      <c r="K1223" s="878" t="s">
        <v>1500</v>
      </c>
      <c r="L1223" s="1092"/>
      <c r="M1223" s="1093">
        <f t="shared" si="142"/>
        <v>0</v>
      </c>
      <c r="N1223" s="868">
        <f t="shared" si="141"/>
        <v>0</v>
      </c>
      <c r="O1223" s="880"/>
      <c r="Q1223" s="317" t="str">
        <f t="shared" si="138"/>
        <v/>
      </c>
      <c r="R1223" s="317" t="str">
        <f t="shared" si="139"/>
        <v/>
      </c>
      <c r="S1223" s="317" t="str">
        <f t="shared" si="140"/>
        <v/>
      </c>
      <c r="T1223" s="317" t="str">
        <f>'REF. DE PREÇOS n editavel'!S1223</f>
        <v/>
      </c>
      <c r="W1223" s="577">
        <v>0</v>
      </c>
      <c r="X1223" s="575"/>
      <c r="Y1223" s="578">
        <f>IF('REF. DE PREÇOS n editavel'!W1223=0,0,IF('REF. DE PREÇOS n editavel'!W1223&gt;0,"c","b"))</f>
        <v>0</v>
      </c>
    </row>
    <row r="1224" spans="1:25" ht="22.5">
      <c r="A1224" s="317">
        <v>95817</v>
      </c>
      <c r="B1224" s="870">
        <v>95817</v>
      </c>
      <c r="C1224" s="871" t="s">
        <v>590</v>
      </c>
      <c r="D1224" s="881" t="s">
        <v>1138</v>
      </c>
      <c r="E1224" s="882">
        <f>'REF. DE PREÇOS n editavel'!E1224</f>
        <v>0</v>
      </c>
      <c r="F1224" s="883">
        <f>'REF. DE PREÇOS n editavel'!F1224</f>
        <v>0</v>
      </c>
      <c r="G1224" s="887">
        <f>'REF. DE PREÇOS n editavel'!G1224</f>
        <v>0</v>
      </c>
      <c r="H1224" s="876">
        <f>'REF. DE PREÇOS n editavel'!H1224</f>
        <v>45.47</v>
      </c>
      <c r="I1224" s="876">
        <f>'REF. DE PREÇOS n editavel'!I1224</f>
        <v>45.47</v>
      </c>
      <c r="J1224" s="877">
        <f>'REF. DE PREÇOS n editavel'!J1224</f>
        <v>55.57</v>
      </c>
      <c r="K1224" s="878" t="s">
        <v>1500</v>
      </c>
      <c r="L1224" s="1092"/>
      <c r="M1224" s="1093">
        <f t="shared" si="142"/>
        <v>0</v>
      </c>
      <c r="N1224" s="868">
        <f t="shared" si="141"/>
        <v>0</v>
      </c>
      <c r="O1224" s="880"/>
      <c r="Q1224" s="317" t="str">
        <f t="shared" si="138"/>
        <v/>
      </c>
      <c r="R1224" s="317" t="str">
        <f t="shared" si="139"/>
        <v/>
      </c>
      <c r="S1224" s="317" t="str">
        <f t="shared" si="140"/>
        <v/>
      </c>
      <c r="T1224" s="317" t="str">
        <f>'REF. DE PREÇOS n editavel'!S1224</f>
        <v/>
      </c>
      <c r="W1224" s="577">
        <v>0</v>
      </c>
      <c r="X1224" s="575"/>
      <c r="Y1224" s="578">
        <f>IF('REF. DE PREÇOS n editavel'!W1224=0,0,IF('REF. DE PREÇOS n editavel'!W1224&gt;0,"c","b"))</f>
        <v>0</v>
      </c>
    </row>
    <row r="1225" spans="1:25" ht="22.5">
      <c r="A1225" s="317">
        <v>95818</v>
      </c>
      <c r="B1225" s="870">
        <v>95818</v>
      </c>
      <c r="C1225" s="871" t="s">
        <v>590</v>
      </c>
      <c r="D1225" s="881" t="s">
        <v>1139</v>
      </c>
      <c r="E1225" s="882">
        <f>'REF. DE PREÇOS n editavel'!E1225</f>
        <v>0</v>
      </c>
      <c r="F1225" s="883">
        <f>'REF. DE PREÇOS n editavel'!F1225</f>
        <v>0</v>
      </c>
      <c r="G1225" s="887">
        <f>'REF. DE PREÇOS n editavel'!G1225</f>
        <v>0</v>
      </c>
      <c r="H1225" s="876">
        <f>'REF. DE PREÇOS n editavel'!H1225</f>
        <v>63.06</v>
      </c>
      <c r="I1225" s="876">
        <f>'REF. DE PREÇOS n editavel'!I1225</f>
        <v>63.06</v>
      </c>
      <c r="J1225" s="877">
        <f>'REF. DE PREÇOS n editavel'!J1225</f>
        <v>77.069999999999993</v>
      </c>
      <c r="K1225" s="878" t="s">
        <v>1500</v>
      </c>
      <c r="L1225" s="1092"/>
      <c r="M1225" s="1093">
        <f t="shared" si="142"/>
        <v>0</v>
      </c>
      <c r="N1225" s="868">
        <f t="shared" si="141"/>
        <v>0</v>
      </c>
      <c r="O1225" s="880"/>
      <c r="Q1225" s="317" t="str">
        <f t="shared" si="138"/>
        <v/>
      </c>
      <c r="R1225" s="317" t="str">
        <f t="shared" si="139"/>
        <v/>
      </c>
      <c r="S1225" s="317" t="str">
        <f t="shared" si="140"/>
        <v/>
      </c>
      <c r="T1225" s="317" t="str">
        <f>'REF. DE PREÇOS n editavel'!S1225</f>
        <v/>
      </c>
      <c r="W1225" s="577">
        <v>0</v>
      </c>
      <c r="X1225" s="575"/>
      <c r="Y1225" s="578">
        <f>IF('REF. DE PREÇOS n editavel'!W1225=0,0,IF('REF. DE PREÇOS n editavel'!W1225&gt;0,"c","b"))</f>
        <v>0</v>
      </c>
    </row>
    <row r="1226" spans="1:25" ht="22.5">
      <c r="A1226" s="317">
        <v>91936</v>
      </c>
      <c r="B1226" s="870">
        <v>91936</v>
      </c>
      <c r="C1226" s="871" t="s">
        <v>590</v>
      </c>
      <c r="D1226" s="881" t="s">
        <v>1140</v>
      </c>
      <c r="E1226" s="882">
        <f>'REF. DE PREÇOS n editavel'!E1226</f>
        <v>0</v>
      </c>
      <c r="F1226" s="883">
        <f>'REF. DE PREÇOS n editavel'!F1226</f>
        <v>0</v>
      </c>
      <c r="G1226" s="887">
        <f>'REF. DE PREÇOS n editavel'!G1226</f>
        <v>0</v>
      </c>
      <c r="H1226" s="876">
        <f>'REF. DE PREÇOS n editavel'!H1226</f>
        <v>16.95</v>
      </c>
      <c r="I1226" s="876">
        <f>'REF. DE PREÇOS n editavel'!I1226</f>
        <v>16.95</v>
      </c>
      <c r="J1226" s="877">
        <f>'REF. DE PREÇOS n editavel'!J1226</f>
        <v>20.72</v>
      </c>
      <c r="K1226" s="878" t="s">
        <v>1500</v>
      </c>
      <c r="L1226" s="1092"/>
      <c r="M1226" s="1093">
        <f t="shared" si="142"/>
        <v>0</v>
      </c>
      <c r="N1226" s="868">
        <f t="shared" si="141"/>
        <v>0</v>
      </c>
      <c r="O1226" s="880"/>
      <c r="Q1226" s="317" t="str">
        <f t="shared" si="138"/>
        <v/>
      </c>
      <c r="R1226" s="317" t="str">
        <f t="shared" si="139"/>
        <v/>
      </c>
      <c r="S1226" s="317" t="str">
        <f t="shared" si="140"/>
        <v/>
      </c>
      <c r="T1226" s="317" t="str">
        <f>'REF. DE PREÇOS n editavel'!S1226</f>
        <v/>
      </c>
      <c r="W1226" s="577">
        <v>0</v>
      </c>
      <c r="X1226" s="575"/>
      <c r="Y1226" s="578">
        <f>IF('REF. DE PREÇOS n editavel'!W1226=0,0,IF('REF. DE PREÇOS n editavel'!W1226&gt;0,"c","b"))</f>
        <v>0</v>
      </c>
    </row>
    <row r="1227" spans="1:25" ht="22.5">
      <c r="A1227" s="317">
        <v>91937</v>
      </c>
      <c r="B1227" s="870">
        <v>91937</v>
      </c>
      <c r="C1227" s="871" t="s">
        <v>590</v>
      </c>
      <c r="D1227" s="881" t="s">
        <v>1141</v>
      </c>
      <c r="E1227" s="882">
        <f>'REF. DE PREÇOS n editavel'!E1227</f>
        <v>0</v>
      </c>
      <c r="F1227" s="883">
        <f>'REF. DE PREÇOS n editavel'!F1227</f>
        <v>0</v>
      </c>
      <c r="G1227" s="887">
        <f>'REF. DE PREÇOS n editavel'!G1227</f>
        <v>0</v>
      </c>
      <c r="H1227" s="876">
        <f>'REF. DE PREÇOS n editavel'!H1227</f>
        <v>14.37</v>
      </c>
      <c r="I1227" s="876">
        <f>'REF. DE PREÇOS n editavel'!I1227</f>
        <v>14.37</v>
      </c>
      <c r="J1227" s="877">
        <f>'REF. DE PREÇOS n editavel'!J1227</f>
        <v>17.559999999999999</v>
      </c>
      <c r="K1227" s="878" t="s">
        <v>1500</v>
      </c>
      <c r="L1227" s="1092"/>
      <c r="M1227" s="1093">
        <f t="shared" si="142"/>
        <v>0</v>
      </c>
      <c r="N1227" s="868">
        <f t="shared" si="141"/>
        <v>0</v>
      </c>
      <c r="O1227" s="880"/>
      <c r="Q1227" s="317" t="str">
        <f t="shared" si="138"/>
        <v/>
      </c>
      <c r="R1227" s="317" t="str">
        <f t="shared" si="139"/>
        <v/>
      </c>
      <c r="S1227" s="317" t="str">
        <f t="shared" si="140"/>
        <v/>
      </c>
      <c r="T1227" s="317" t="str">
        <f>'REF. DE PREÇOS n editavel'!S1227</f>
        <v/>
      </c>
      <c r="W1227" s="577">
        <v>0</v>
      </c>
      <c r="X1227" s="575"/>
      <c r="Y1227" s="578">
        <f>IF('REF. DE PREÇOS n editavel'!W1227=0,0,IF('REF. DE PREÇOS n editavel'!W1227&gt;0,"c","b"))</f>
        <v>0</v>
      </c>
    </row>
    <row r="1228" spans="1:25" ht="22.5">
      <c r="A1228" s="317">
        <v>91939</v>
      </c>
      <c r="B1228" s="870">
        <v>91939</v>
      </c>
      <c r="C1228" s="871" t="s">
        <v>590</v>
      </c>
      <c r="D1228" s="881" t="s">
        <v>1142</v>
      </c>
      <c r="E1228" s="882">
        <f>'REF. DE PREÇOS n editavel'!E1228</f>
        <v>0</v>
      </c>
      <c r="F1228" s="883">
        <f>'REF. DE PREÇOS n editavel'!F1228</f>
        <v>0</v>
      </c>
      <c r="G1228" s="887">
        <f>'REF. DE PREÇOS n editavel'!G1228</f>
        <v>0</v>
      </c>
      <c r="H1228" s="876">
        <f>'REF. DE PREÇOS n editavel'!H1228</f>
        <v>34.94</v>
      </c>
      <c r="I1228" s="876">
        <f>'REF. DE PREÇOS n editavel'!I1228</f>
        <v>34.94</v>
      </c>
      <c r="J1228" s="877">
        <f>'REF. DE PREÇOS n editavel'!J1228</f>
        <v>42.7</v>
      </c>
      <c r="K1228" s="878" t="s">
        <v>1500</v>
      </c>
      <c r="L1228" s="1092"/>
      <c r="M1228" s="1093">
        <f t="shared" si="142"/>
        <v>0</v>
      </c>
      <c r="N1228" s="868">
        <f t="shared" si="141"/>
        <v>0</v>
      </c>
      <c r="O1228" s="880"/>
      <c r="Q1228" s="317" t="str">
        <f t="shared" si="138"/>
        <v/>
      </c>
      <c r="R1228" s="317" t="str">
        <f t="shared" si="139"/>
        <v/>
      </c>
      <c r="S1228" s="317" t="str">
        <f t="shared" si="140"/>
        <v/>
      </c>
      <c r="T1228" s="317" t="str">
        <f>'REF. DE PREÇOS n editavel'!S1228</f>
        <v/>
      </c>
      <c r="W1228" s="577">
        <v>0</v>
      </c>
      <c r="X1228" s="575"/>
      <c r="Y1228" s="578">
        <f>IF('REF. DE PREÇOS n editavel'!W1228=0,0,IF('REF. DE PREÇOS n editavel'!W1228&gt;0,"c","b"))</f>
        <v>0</v>
      </c>
    </row>
    <row r="1229" spans="1:25" ht="22.5">
      <c r="A1229" s="317">
        <v>91940</v>
      </c>
      <c r="B1229" s="870">
        <v>91940</v>
      </c>
      <c r="C1229" s="871" t="s">
        <v>590</v>
      </c>
      <c r="D1229" s="881" t="s">
        <v>1143</v>
      </c>
      <c r="E1229" s="882">
        <f>'REF. DE PREÇOS n editavel'!E1229</f>
        <v>0</v>
      </c>
      <c r="F1229" s="883">
        <f>'REF. DE PREÇOS n editavel'!F1229</f>
        <v>0</v>
      </c>
      <c r="G1229" s="887">
        <f>'REF. DE PREÇOS n editavel'!G1229</f>
        <v>0</v>
      </c>
      <c r="H1229" s="876">
        <f>'REF. DE PREÇOS n editavel'!H1229</f>
        <v>18.61</v>
      </c>
      <c r="I1229" s="876">
        <f>'REF. DE PREÇOS n editavel'!I1229</f>
        <v>18.61</v>
      </c>
      <c r="J1229" s="877">
        <f>'REF. DE PREÇOS n editavel'!J1229</f>
        <v>22.75</v>
      </c>
      <c r="K1229" s="878" t="s">
        <v>1500</v>
      </c>
      <c r="L1229" s="1092"/>
      <c r="M1229" s="1093">
        <f t="shared" si="142"/>
        <v>0</v>
      </c>
      <c r="N1229" s="868">
        <f t="shared" si="141"/>
        <v>0</v>
      </c>
      <c r="O1229" s="880"/>
      <c r="Q1229" s="317" t="str">
        <f t="shared" si="138"/>
        <v/>
      </c>
      <c r="R1229" s="317" t="str">
        <f t="shared" si="139"/>
        <v/>
      </c>
      <c r="S1229" s="317" t="str">
        <f t="shared" si="140"/>
        <v/>
      </c>
      <c r="T1229" s="317" t="str">
        <f>'REF. DE PREÇOS n editavel'!S1229</f>
        <v/>
      </c>
      <c r="W1229" s="577">
        <v>0</v>
      </c>
      <c r="X1229" s="575"/>
      <c r="Y1229" s="578">
        <f>IF('REF. DE PREÇOS n editavel'!W1229=0,0,IF('REF. DE PREÇOS n editavel'!W1229&gt;0,"c","b"))</f>
        <v>0</v>
      </c>
    </row>
    <row r="1230" spans="1:25" ht="22.5">
      <c r="A1230" s="317">
        <v>91941</v>
      </c>
      <c r="B1230" s="870">
        <v>91941</v>
      </c>
      <c r="C1230" s="871" t="s">
        <v>590</v>
      </c>
      <c r="D1230" s="881" t="s">
        <v>1144</v>
      </c>
      <c r="E1230" s="882">
        <f>'REF. DE PREÇOS n editavel'!E1230</f>
        <v>0</v>
      </c>
      <c r="F1230" s="883">
        <f>'REF. DE PREÇOS n editavel'!F1230</f>
        <v>0</v>
      </c>
      <c r="G1230" s="887">
        <f>'REF. DE PREÇOS n editavel'!G1230</f>
        <v>0</v>
      </c>
      <c r="H1230" s="876">
        <f>'REF. DE PREÇOS n editavel'!H1230</f>
        <v>12.49</v>
      </c>
      <c r="I1230" s="876">
        <f>'REF. DE PREÇOS n editavel'!I1230</f>
        <v>12.49</v>
      </c>
      <c r="J1230" s="877">
        <f>'REF. DE PREÇOS n editavel'!J1230</f>
        <v>15.27</v>
      </c>
      <c r="K1230" s="878" t="s">
        <v>1500</v>
      </c>
      <c r="L1230" s="1092"/>
      <c r="M1230" s="1093">
        <f t="shared" si="142"/>
        <v>0</v>
      </c>
      <c r="N1230" s="868">
        <f t="shared" si="141"/>
        <v>0</v>
      </c>
      <c r="O1230" s="880"/>
      <c r="Q1230" s="317" t="str">
        <f t="shared" si="138"/>
        <v/>
      </c>
      <c r="R1230" s="317" t="str">
        <f t="shared" si="139"/>
        <v/>
      </c>
      <c r="S1230" s="317" t="str">
        <f t="shared" si="140"/>
        <v/>
      </c>
      <c r="T1230" s="317" t="str">
        <f>'REF. DE PREÇOS n editavel'!S1230</f>
        <v/>
      </c>
      <c r="W1230" s="577">
        <v>0</v>
      </c>
      <c r="X1230" s="575"/>
      <c r="Y1230" s="578">
        <f>IF('REF. DE PREÇOS n editavel'!W1230=0,0,IF('REF. DE PREÇOS n editavel'!W1230&gt;0,"c","b"))</f>
        <v>0</v>
      </c>
    </row>
    <row r="1231" spans="1:25" ht="22.5">
      <c r="A1231" s="317">
        <v>91942</v>
      </c>
      <c r="B1231" s="870">
        <v>91942</v>
      </c>
      <c r="C1231" s="871" t="s">
        <v>590</v>
      </c>
      <c r="D1231" s="881" t="s">
        <v>1145</v>
      </c>
      <c r="E1231" s="882">
        <f>'REF. DE PREÇOS n editavel'!E1231</f>
        <v>0</v>
      </c>
      <c r="F1231" s="883">
        <f>'REF. DE PREÇOS n editavel'!F1231</f>
        <v>0</v>
      </c>
      <c r="G1231" s="887">
        <f>'REF. DE PREÇOS n editavel'!G1231</f>
        <v>0</v>
      </c>
      <c r="H1231" s="876">
        <f>'REF. DE PREÇOS n editavel'!H1231</f>
        <v>42.95</v>
      </c>
      <c r="I1231" s="876">
        <f>'REF. DE PREÇOS n editavel'!I1231</f>
        <v>42.95</v>
      </c>
      <c r="J1231" s="877">
        <f>'REF. DE PREÇOS n editavel'!J1231</f>
        <v>52.49</v>
      </c>
      <c r="K1231" s="878" t="s">
        <v>1500</v>
      </c>
      <c r="L1231" s="1092"/>
      <c r="M1231" s="1093">
        <f t="shared" si="142"/>
        <v>0</v>
      </c>
      <c r="N1231" s="868">
        <f t="shared" si="141"/>
        <v>0</v>
      </c>
      <c r="O1231" s="880"/>
      <c r="Q1231" s="317" t="str">
        <f t="shared" si="138"/>
        <v/>
      </c>
      <c r="R1231" s="317" t="str">
        <f t="shared" si="139"/>
        <v/>
      </c>
      <c r="S1231" s="317" t="str">
        <f t="shared" si="140"/>
        <v/>
      </c>
      <c r="T1231" s="317" t="str">
        <f>'REF. DE PREÇOS n editavel'!S1231</f>
        <v/>
      </c>
      <c r="W1231" s="577">
        <v>0</v>
      </c>
      <c r="X1231" s="575"/>
      <c r="Y1231" s="578">
        <f>IF('REF. DE PREÇOS n editavel'!W1231=0,0,IF('REF. DE PREÇOS n editavel'!W1231&gt;0,"c","b"))</f>
        <v>0</v>
      </c>
    </row>
    <row r="1232" spans="1:25" ht="22.5">
      <c r="A1232" s="317">
        <v>91943</v>
      </c>
      <c r="B1232" s="870">
        <v>91943</v>
      </c>
      <c r="C1232" s="871" t="s">
        <v>590</v>
      </c>
      <c r="D1232" s="881" t="s">
        <v>1146</v>
      </c>
      <c r="E1232" s="882">
        <f>'REF. DE PREÇOS n editavel'!E1232</f>
        <v>0</v>
      </c>
      <c r="F1232" s="883">
        <f>'REF. DE PREÇOS n editavel'!F1232</f>
        <v>0</v>
      </c>
      <c r="G1232" s="887">
        <f>'REF. DE PREÇOS n editavel'!G1232</f>
        <v>0</v>
      </c>
      <c r="H1232" s="876">
        <f>'REF. DE PREÇOS n editavel'!H1232</f>
        <v>24.17</v>
      </c>
      <c r="I1232" s="876">
        <f>'REF. DE PREÇOS n editavel'!I1232</f>
        <v>24.17</v>
      </c>
      <c r="J1232" s="877">
        <f>'REF. DE PREÇOS n editavel'!J1232</f>
        <v>29.54</v>
      </c>
      <c r="K1232" s="878" t="s">
        <v>1500</v>
      </c>
      <c r="L1232" s="1092"/>
      <c r="M1232" s="1093">
        <f t="shared" si="142"/>
        <v>0</v>
      </c>
      <c r="N1232" s="868">
        <f t="shared" si="141"/>
        <v>0</v>
      </c>
      <c r="O1232" s="880"/>
      <c r="Q1232" s="317" t="str">
        <f t="shared" si="138"/>
        <v/>
      </c>
      <c r="R1232" s="317" t="str">
        <f t="shared" si="139"/>
        <v/>
      </c>
      <c r="S1232" s="317" t="str">
        <f t="shared" si="140"/>
        <v/>
      </c>
      <c r="T1232" s="317" t="str">
        <f>'REF. DE PREÇOS n editavel'!S1232</f>
        <v/>
      </c>
      <c r="W1232" s="577">
        <v>0</v>
      </c>
      <c r="X1232" s="575"/>
      <c r="Y1232" s="578">
        <f>IF('REF. DE PREÇOS n editavel'!W1232=0,0,IF('REF. DE PREÇOS n editavel'!W1232&gt;0,"c","b"))</f>
        <v>0</v>
      </c>
    </row>
    <row r="1233" spans="1:25" ht="22.5">
      <c r="A1233" s="317">
        <v>91944</v>
      </c>
      <c r="B1233" s="870">
        <v>91944</v>
      </c>
      <c r="C1233" s="871" t="s">
        <v>590</v>
      </c>
      <c r="D1233" s="881" t="s">
        <v>1147</v>
      </c>
      <c r="E1233" s="882">
        <f>'REF. DE PREÇOS n editavel'!E1233</f>
        <v>0</v>
      </c>
      <c r="F1233" s="883">
        <f>'REF. DE PREÇOS n editavel'!F1233</f>
        <v>0</v>
      </c>
      <c r="G1233" s="887">
        <f>'REF. DE PREÇOS n editavel'!G1233</f>
        <v>0</v>
      </c>
      <c r="H1233" s="876">
        <f>'REF. DE PREÇOS n editavel'!H1233</f>
        <v>17.149999999999999</v>
      </c>
      <c r="I1233" s="876">
        <f>'REF. DE PREÇOS n editavel'!I1233</f>
        <v>17.149999999999999</v>
      </c>
      <c r="J1233" s="877">
        <f>'REF. DE PREÇOS n editavel'!J1233</f>
        <v>20.96</v>
      </c>
      <c r="K1233" s="878" t="s">
        <v>1500</v>
      </c>
      <c r="L1233" s="1092"/>
      <c r="M1233" s="1093">
        <f t="shared" si="142"/>
        <v>0</v>
      </c>
      <c r="N1233" s="868">
        <f t="shared" si="141"/>
        <v>0</v>
      </c>
      <c r="O1233" s="880"/>
      <c r="Q1233" s="317" t="str">
        <f t="shared" ref="Q1233:Q1296" si="143">IF(P1233="X","x",IF(P1233="xx","x",IF(P1233="xy","x",IF(P1233="y","x",IF(OR(N1233&gt;0,N1233&gt;0),"x","")))))</f>
        <v/>
      </c>
      <c r="R1233" s="317" t="str">
        <f t="shared" si="139"/>
        <v/>
      </c>
      <c r="S1233" s="317" t="str">
        <f t="shared" si="140"/>
        <v/>
      </c>
      <c r="T1233" s="317" t="str">
        <f>'REF. DE PREÇOS n editavel'!S1233</f>
        <v/>
      </c>
      <c r="W1233" s="577">
        <v>0</v>
      </c>
      <c r="X1233" s="575"/>
      <c r="Y1233" s="578">
        <f>IF('REF. DE PREÇOS n editavel'!W1233=0,0,IF('REF. DE PREÇOS n editavel'!W1233&gt;0,"c","b"))</f>
        <v>0</v>
      </c>
    </row>
    <row r="1234" spans="1:25" ht="22.5">
      <c r="A1234" s="317">
        <v>92865</v>
      </c>
      <c r="B1234" s="870">
        <v>92865</v>
      </c>
      <c r="C1234" s="871" t="s">
        <v>590</v>
      </c>
      <c r="D1234" s="881" t="s">
        <v>1148</v>
      </c>
      <c r="E1234" s="882">
        <f>'REF. DE PREÇOS n editavel'!E1234</f>
        <v>0</v>
      </c>
      <c r="F1234" s="883">
        <f>'REF. DE PREÇOS n editavel'!F1234</f>
        <v>0</v>
      </c>
      <c r="G1234" s="887">
        <f>'REF. DE PREÇOS n editavel'!G1234</f>
        <v>0</v>
      </c>
      <c r="H1234" s="876">
        <f>'REF. DE PREÇOS n editavel'!H1234</f>
        <v>13.15</v>
      </c>
      <c r="I1234" s="876">
        <f>'REF. DE PREÇOS n editavel'!I1234</f>
        <v>13.15</v>
      </c>
      <c r="J1234" s="877">
        <f>'REF. DE PREÇOS n editavel'!J1234</f>
        <v>16.07</v>
      </c>
      <c r="K1234" s="878" t="s">
        <v>1500</v>
      </c>
      <c r="L1234" s="1092"/>
      <c r="M1234" s="1093">
        <f t="shared" si="142"/>
        <v>0</v>
      </c>
      <c r="N1234" s="868">
        <f t="shared" si="141"/>
        <v>0</v>
      </c>
      <c r="O1234" s="880"/>
      <c r="Q1234" s="317" t="str">
        <f t="shared" si="143"/>
        <v/>
      </c>
      <c r="R1234" s="317" t="str">
        <f t="shared" si="139"/>
        <v/>
      </c>
      <c r="S1234" s="317" t="str">
        <f t="shared" si="140"/>
        <v/>
      </c>
      <c r="T1234" s="317" t="str">
        <f>'REF. DE PREÇOS n editavel'!S1234</f>
        <v/>
      </c>
      <c r="W1234" s="577">
        <v>0</v>
      </c>
      <c r="X1234" s="575"/>
      <c r="Y1234" s="578">
        <f>IF('REF. DE PREÇOS n editavel'!W1234=0,0,IF('REF. DE PREÇOS n editavel'!W1234&gt;0,"c","b"))</f>
        <v>0</v>
      </c>
    </row>
    <row r="1235" spans="1:25" ht="22.5">
      <c r="A1235" s="317">
        <v>92866</v>
      </c>
      <c r="B1235" s="870">
        <v>92866</v>
      </c>
      <c r="C1235" s="871" t="s">
        <v>590</v>
      </c>
      <c r="D1235" s="881" t="s">
        <v>1149</v>
      </c>
      <c r="E1235" s="882">
        <f>'REF. DE PREÇOS n editavel'!E1235</f>
        <v>0</v>
      </c>
      <c r="F1235" s="883">
        <f>'REF. DE PREÇOS n editavel'!F1235</f>
        <v>0</v>
      </c>
      <c r="G1235" s="887">
        <f>'REF. DE PREÇOS n editavel'!G1235</f>
        <v>0</v>
      </c>
      <c r="H1235" s="876">
        <f>'REF. DE PREÇOS n editavel'!H1235</f>
        <v>10.67</v>
      </c>
      <c r="I1235" s="876">
        <f>'REF. DE PREÇOS n editavel'!I1235</f>
        <v>10.67</v>
      </c>
      <c r="J1235" s="877">
        <f>'REF. DE PREÇOS n editavel'!J1235</f>
        <v>13.04</v>
      </c>
      <c r="K1235" s="878" t="s">
        <v>1500</v>
      </c>
      <c r="L1235" s="1092"/>
      <c r="M1235" s="1093">
        <f t="shared" si="142"/>
        <v>0</v>
      </c>
      <c r="N1235" s="868">
        <f t="shared" si="141"/>
        <v>0</v>
      </c>
      <c r="O1235" s="880"/>
      <c r="Q1235" s="317" t="str">
        <f t="shared" si="143"/>
        <v/>
      </c>
      <c r="R1235" s="317" t="str">
        <f t="shared" ref="R1235:R1298" si="144">IF(P1235="X","x",IF(P1235="y","x",IF(P1235="xx","x",IF(N1235&gt;0,"x",""))))</f>
        <v/>
      </c>
      <c r="S1235" s="317" t="str">
        <f t="shared" ref="S1235:S1298" si="145">IF(P1235="X","x",IF(N1235&gt;0,"x",""))</f>
        <v/>
      </c>
      <c r="T1235" s="317" t="str">
        <f>'REF. DE PREÇOS n editavel'!S1235</f>
        <v/>
      </c>
      <c r="W1235" s="577">
        <v>0</v>
      </c>
      <c r="X1235" s="575"/>
      <c r="Y1235" s="578">
        <f>IF('REF. DE PREÇOS n editavel'!W1235=0,0,IF('REF. DE PREÇOS n editavel'!W1235&gt;0,"c","b"))</f>
        <v>0</v>
      </c>
    </row>
    <row r="1236" spans="1:25" ht="22.5">
      <c r="A1236" s="317">
        <v>92867</v>
      </c>
      <c r="B1236" s="870">
        <v>92867</v>
      </c>
      <c r="C1236" s="871" t="s">
        <v>590</v>
      </c>
      <c r="D1236" s="881" t="s">
        <v>1150</v>
      </c>
      <c r="E1236" s="882">
        <f>'REF. DE PREÇOS n editavel'!E1236</f>
        <v>0</v>
      </c>
      <c r="F1236" s="883">
        <f>'REF. DE PREÇOS n editavel'!F1236</f>
        <v>0</v>
      </c>
      <c r="G1236" s="887">
        <f>'REF. DE PREÇOS n editavel'!G1236</f>
        <v>0</v>
      </c>
      <c r="H1236" s="876">
        <f>'REF. DE PREÇOS n editavel'!H1236</f>
        <v>33.869999999999997</v>
      </c>
      <c r="I1236" s="876">
        <f>'REF. DE PREÇOS n editavel'!I1236</f>
        <v>33.869999999999997</v>
      </c>
      <c r="J1236" s="877">
        <f>'REF. DE PREÇOS n editavel'!J1236</f>
        <v>41.4</v>
      </c>
      <c r="K1236" s="878" t="s">
        <v>1500</v>
      </c>
      <c r="L1236" s="1092"/>
      <c r="M1236" s="1093">
        <f t="shared" si="142"/>
        <v>0</v>
      </c>
      <c r="N1236" s="868">
        <f t="shared" si="141"/>
        <v>0</v>
      </c>
      <c r="O1236" s="880"/>
      <c r="Q1236" s="317" t="str">
        <f t="shared" si="143"/>
        <v/>
      </c>
      <c r="R1236" s="317" t="str">
        <f t="shared" si="144"/>
        <v/>
      </c>
      <c r="S1236" s="317" t="str">
        <f t="shared" si="145"/>
        <v/>
      </c>
      <c r="T1236" s="317" t="str">
        <f>'REF. DE PREÇOS n editavel'!S1236</f>
        <v/>
      </c>
      <c r="W1236" s="577">
        <v>0</v>
      </c>
      <c r="X1236" s="575"/>
      <c r="Y1236" s="578">
        <f>IF('REF. DE PREÇOS n editavel'!W1236=0,0,IF('REF. DE PREÇOS n editavel'!W1236&gt;0,"c","b"))</f>
        <v>0</v>
      </c>
    </row>
    <row r="1237" spans="1:25" ht="22.5">
      <c r="A1237" s="317">
        <v>92868</v>
      </c>
      <c r="B1237" s="870">
        <v>92868</v>
      </c>
      <c r="C1237" s="871" t="s">
        <v>590</v>
      </c>
      <c r="D1237" s="881" t="s">
        <v>1151</v>
      </c>
      <c r="E1237" s="882">
        <f>'REF. DE PREÇOS n editavel'!E1237</f>
        <v>0</v>
      </c>
      <c r="F1237" s="883">
        <f>'REF. DE PREÇOS n editavel'!F1237</f>
        <v>0</v>
      </c>
      <c r="G1237" s="887">
        <f>'REF. DE PREÇOS n editavel'!G1237</f>
        <v>0</v>
      </c>
      <c r="H1237" s="876">
        <f>'REF. DE PREÇOS n editavel'!H1237</f>
        <v>17.54</v>
      </c>
      <c r="I1237" s="876">
        <f>'REF. DE PREÇOS n editavel'!I1237</f>
        <v>17.54</v>
      </c>
      <c r="J1237" s="877">
        <f>'REF. DE PREÇOS n editavel'!J1237</f>
        <v>21.44</v>
      </c>
      <c r="K1237" s="878" t="s">
        <v>1500</v>
      </c>
      <c r="L1237" s="1092"/>
      <c r="M1237" s="1093">
        <f t="shared" si="142"/>
        <v>0</v>
      </c>
      <c r="N1237" s="868">
        <f t="shared" si="141"/>
        <v>0</v>
      </c>
      <c r="O1237" s="880"/>
      <c r="Q1237" s="317" t="str">
        <f t="shared" si="143"/>
        <v/>
      </c>
      <c r="R1237" s="317" t="str">
        <f t="shared" si="144"/>
        <v/>
      </c>
      <c r="S1237" s="317" t="str">
        <f t="shared" si="145"/>
        <v/>
      </c>
      <c r="T1237" s="317" t="str">
        <f>'REF. DE PREÇOS n editavel'!S1237</f>
        <v/>
      </c>
      <c r="W1237" s="577">
        <v>0</v>
      </c>
      <c r="X1237" s="575"/>
      <c r="Y1237" s="578">
        <f>IF('REF. DE PREÇOS n editavel'!W1237=0,0,IF('REF. DE PREÇOS n editavel'!W1237&gt;0,"c","b"))</f>
        <v>0</v>
      </c>
    </row>
    <row r="1238" spans="1:25" ht="22.5">
      <c r="A1238" s="317">
        <v>92869</v>
      </c>
      <c r="B1238" s="870">
        <v>92869</v>
      </c>
      <c r="C1238" s="871" t="s">
        <v>590</v>
      </c>
      <c r="D1238" s="881" t="s">
        <v>1152</v>
      </c>
      <c r="E1238" s="882">
        <f>'REF. DE PREÇOS n editavel'!E1238</f>
        <v>0</v>
      </c>
      <c r="F1238" s="883">
        <f>'REF. DE PREÇOS n editavel'!F1238</f>
        <v>0</v>
      </c>
      <c r="G1238" s="887">
        <f>'REF. DE PREÇOS n editavel'!G1238</f>
        <v>0</v>
      </c>
      <c r="H1238" s="876">
        <f>'REF. DE PREÇOS n editavel'!H1238</f>
        <v>11.42</v>
      </c>
      <c r="I1238" s="876">
        <f>'REF. DE PREÇOS n editavel'!I1238</f>
        <v>11.42</v>
      </c>
      <c r="J1238" s="877">
        <f>'REF. DE PREÇOS n editavel'!J1238</f>
        <v>13.96</v>
      </c>
      <c r="K1238" s="878" t="s">
        <v>1500</v>
      </c>
      <c r="L1238" s="1092"/>
      <c r="M1238" s="1093">
        <f t="shared" si="142"/>
        <v>0</v>
      </c>
      <c r="N1238" s="868">
        <f t="shared" si="141"/>
        <v>0</v>
      </c>
      <c r="O1238" s="880"/>
      <c r="Q1238" s="317" t="str">
        <f t="shared" si="143"/>
        <v/>
      </c>
      <c r="R1238" s="317" t="str">
        <f t="shared" si="144"/>
        <v/>
      </c>
      <c r="S1238" s="317" t="str">
        <f t="shared" si="145"/>
        <v/>
      </c>
      <c r="T1238" s="317" t="str">
        <f>'REF. DE PREÇOS n editavel'!S1238</f>
        <v/>
      </c>
      <c r="W1238" s="577">
        <v>0</v>
      </c>
      <c r="X1238" s="575"/>
      <c r="Y1238" s="578">
        <f>IF('REF. DE PREÇOS n editavel'!W1238=0,0,IF('REF. DE PREÇOS n editavel'!W1238&gt;0,"c","b"))</f>
        <v>0</v>
      </c>
    </row>
    <row r="1239" spans="1:25" ht="22.5">
      <c r="A1239" s="317">
        <v>92870</v>
      </c>
      <c r="B1239" s="870">
        <v>92870</v>
      </c>
      <c r="C1239" s="871" t="s">
        <v>590</v>
      </c>
      <c r="D1239" s="881" t="s">
        <v>1153</v>
      </c>
      <c r="E1239" s="882">
        <f>'REF. DE PREÇOS n editavel'!E1239</f>
        <v>0</v>
      </c>
      <c r="F1239" s="883">
        <f>'REF. DE PREÇOS n editavel'!F1239</f>
        <v>0</v>
      </c>
      <c r="G1239" s="887">
        <f>'REF. DE PREÇOS n editavel'!G1239</f>
        <v>0</v>
      </c>
      <c r="H1239" s="876">
        <f>'REF. DE PREÇOS n editavel'!H1239</f>
        <v>41.08</v>
      </c>
      <c r="I1239" s="876">
        <f>'REF. DE PREÇOS n editavel'!I1239</f>
        <v>41.08</v>
      </c>
      <c r="J1239" s="877">
        <f>'REF. DE PREÇOS n editavel'!J1239</f>
        <v>50.21</v>
      </c>
      <c r="K1239" s="878" t="s">
        <v>1500</v>
      </c>
      <c r="L1239" s="1092"/>
      <c r="M1239" s="1093">
        <f t="shared" si="142"/>
        <v>0</v>
      </c>
      <c r="N1239" s="868">
        <f t="shared" ref="N1239:N1302" si="146">IF(ISBLANK(L1239),0,IF(W1239=0,ROUND(L1239*M1239,2),IF(W1239="b",ROUNDDOWN(L1239*M1239,2),ROUNDUP(L1239*M1239,2))))</f>
        <v>0</v>
      </c>
      <c r="O1239" s="880"/>
      <c r="Q1239" s="317" t="str">
        <f t="shared" si="143"/>
        <v/>
      </c>
      <c r="R1239" s="317" t="str">
        <f t="shared" si="144"/>
        <v/>
      </c>
      <c r="S1239" s="317" t="str">
        <f t="shared" si="145"/>
        <v/>
      </c>
      <c r="T1239" s="317" t="str">
        <f>'REF. DE PREÇOS n editavel'!S1239</f>
        <v/>
      </c>
      <c r="W1239" s="577">
        <v>0</v>
      </c>
      <c r="X1239" s="575"/>
      <c r="Y1239" s="578">
        <f>IF('REF. DE PREÇOS n editavel'!W1239=0,0,IF('REF. DE PREÇOS n editavel'!W1239&gt;0,"c","b"))</f>
        <v>0</v>
      </c>
    </row>
    <row r="1240" spans="1:25" ht="22.5">
      <c r="A1240" s="317">
        <v>92871</v>
      </c>
      <c r="B1240" s="870">
        <v>92871</v>
      </c>
      <c r="C1240" s="871" t="s">
        <v>590</v>
      </c>
      <c r="D1240" s="881" t="s">
        <v>1154</v>
      </c>
      <c r="E1240" s="882">
        <f>'REF. DE PREÇOS n editavel'!E1240</f>
        <v>0</v>
      </c>
      <c r="F1240" s="883">
        <f>'REF. DE PREÇOS n editavel'!F1240</f>
        <v>0</v>
      </c>
      <c r="G1240" s="887">
        <f>'REF. DE PREÇOS n editavel'!G1240</f>
        <v>0</v>
      </c>
      <c r="H1240" s="876">
        <f>'REF. DE PREÇOS n editavel'!H1240</f>
        <v>22.3</v>
      </c>
      <c r="I1240" s="876">
        <f>'REF. DE PREÇOS n editavel'!I1240</f>
        <v>22.3</v>
      </c>
      <c r="J1240" s="877">
        <f>'REF. DE PREÇOS n editavel'!J1240</f>
        <v>27.26</v>
      </c>
      <c r="K1240" s="878" t="s">
        <v>1500</v>
      </c>
      <c r="L1240" s="1092"/>
      <c r="M1240" s="1093">
        <f t="shared" si="142"/>
        <v>0</v>
      </c>
      <c r="N1240" s="868">
        <f t="shared" si="146"/>
        <v>0</v>
      </c>
      <c r="O1240" s="880"/>
      <c r="Q1240" s="317" t="str">
        <f t="shared" si="143"/>
        <v/>
      </c>
      <c r="R1240" s="317" t="str">
        <f t="shared" si="144"/>
        <v/>
      </c>
      <c r="S1240" s="317" t="str">
        <f t="shared" si="145"/>
        <v/>
      </c>
      <c r="T1240" s="317" t="str">
        <f>'REF. DE PREÇOS n editavel'!S1240</f>
        <v/>
      </c>
      <c r="W1240" s="577">
        <v>0</v>
      </c>
      <c r="X1240" s="575"/>
      <c r="Y1240" s="578">
        <f>IF('REF. DE PREÇOS n editavel'!W1240=0,0,IF('REF. DE PREÇOS n editavel'!W1240&gt;0,"c","b"))</f>
        <v>0</v>
      </c>
    </row>
    <row r="1241" spans="1:25" ht="22.5">
      <c r="A1241" s="317">
        <v>92872</v>
      </c>
      <c r="B1241" s="870">
        <v>92872</v>
      </c>
      <c r="C1241" s="871" t="s">
        <v>590</v>
      </c>
      <c r="D1241" s="881" t="s">
        <v>1155</v>
      </c>
      <c r="E1241" s="882">
        <f>'REF. DE PREÇOS n editavel'!E1241</f>
        <v>0</v>
      </c>
      <c r="F1241" s="883">
        <f>'REF. DE PREÇOS n editavel'!F1241</f>
        <v>0</v>
      </c>
      <c r="G1241" s="887">
        <f>'REF. DE PREÇOS n editavel'!G1241</f>
        <v>0</v>
      </c>
      <c r="H1241" s="876">
        <f>'REF. DE PREÇOS n editavel'!H1241</f>
        <v>15.28</v>
      </c>
      <c r="I1241" s="876">
        <f>'REF. DE PREÇOS n editavel'!I1241</f>
        <v>15.28</v>
      </c>
      <c r="J1241" s="877">
        <f>'REF. DE PREÇOS n editavel'!J1241</f>
        <v>18.68</v>
      </c>
      <c r="K1241" s="878" t="s">
        <v>1500</v>
      </c>
      <c r="L1241" s="1092"/>
      <c r="M1241" s="1093">
        <f t="shared" si="142"/>
        <v>0</v>
      </c>
      <c r="N1241" s="868">
        <f t="shared" si="146"/>
        <v>0</v>
      </c>
      <c r="O1241" s="880"/>
      <c r="Q1241" s="317" t="str">
        <f t="shared" si="143"/>
        <v/>
      </c>
      <c r="R1241" s="317" t="str">
        <f t="shared" si="144"/>
        <v/>
      </c>
      <c r="S1241" s="317" t="str">
        <f t="shared" si="145"/>
        <v/>
      </c>
      <c r="T1241" s="317" t="str">
        <f>'REF. DE PREÇOS n editavel'!S1241</f>
        <v/>
      </c>
      <c r="W1241" s="577">
        <v>0</v>
      </c>
      <c r="X1241" s="575"/>
      <c r="Y1241" s="578">
        <f>IF('REF. DE PREÇOS n editavel'!W1241=0,0,IF('REF. DE PREÇOS n editavel'!W1241&gt;0,"c","b"))</f>
        <v>0</v>
      </c>
    </row>
    <row r="1242" spans="1:25" ht="22.5">
      <c r="A1242" s="317">
        <v>97886</v>
      </c>
      <c r="B1242" s="870">
        <v>97886</v>
      </c>
      <c r="C1242" s="871" t="s">
        <v>590</v>
      </c>
      <c r="D1242" s="881" t="s">
        <v>1156</v>
      </c>
      <c r="E1242" s="882">
        <f>'REF. DE PREÇOS n editavel'!E1242</f>
        <v>0</v>
      </c>
      <c r="F1242" s="883">
        <f>'REF. DE PREÇOS n editavel'!F1242</f>
        <v>0</v>
      </c>
      <c r="G1242" s="887">
        <f>'REF. DE PREÇOS n editavel'!G1242</f>
        <v>0</v>
      </c>
      <c r="H1242" s="876">
        <f>'REF. DE PREÇOS n editavel'!H1242</f>
        <v>177.3</v>
      </c>
      <c r="I1242" s="876">
        <f>'REF. DE PREÇOS n editavel'!I1242</f>
        <v>177.3</v>
      </c>
      <c r="J1242" s="877">
        <f>'REF. DE PREÇOS n editavel'!J1242</f>
        <v>216.7</v>
      </c>
      <c r="K1242" s="878" t="s">
        <v>1500</v>
      </c>
      <c r="L1242" s="1092"/>
      <c r="M1242" s="1093">
        <f t="shared" si="142"/>
        <v>0</v>
      </c>
      <c r="N1242" s="868">
        <f t="shared" si="146"/>
        <v>0</v>
      </c>
      <c r="O1242" s="880"/>
      <c r="Q1242" s="317" t="str">
        <f t="shared" si="143"/>
        <v/>
      </c>
      <c r="R1242" s="317" t="str">
        <f t="shared" si="144"/>
        <v/>
      </c>
      <c r="S1242" s="317" t="str">
        <f t="shared" si="145"/>
        <v/>
      </c>
      <c r="T1242" s="317" t="str">
        <f>'REF. DE PREÇOS n editavel'!S1242</f>
        <v/>
      </c>
      <c r="W1242" s="577">
        <v>0</v>
      </c>
      <c r="X1242" s="575"/>
      <c r="Y1242" s="578">
        <f>IF('REF. DE PREÇOS n editavel'!W1242=0,0,IF('REF. DE PREÇOS n editavel'!W1242&gt;0,"c","b"))</f>
        <v>0</v>
      </c>
    </row>
    <row r="1243" spans="1:25" ht="22.5">
      <c r="A1243" s="317">
        <v>97887</v>
      </c>
      <c r="B1243" s="870">
        <v>97887</v>
      </c>
      <c r="C1243" s="871" t="s">
        <v>590</v>
      </c>
      <c r="D1243" s="881" t="s">
        <v>1157</v>
      </c>
      <c r="E1243" s="882">
        <f>'REF. DE PREÇOS n editavel'!E1243</f>
        <v>0</v>
      </c>
      <c r="F1243" s="883">
        <f>'REF. DE PREÇOS n editavel'!F1243</f>
        <v>0</v>
      </c>
      <c r="G1243" s="887">
        <f>'REF. DE PREÇOS n editavel'!G1243</f>
        <v>0</v>
      </c>
      <c r="H1243" s="876">
        <f>'REF. DE PREÇOS n editavel'!H1243</f>
        <v>279.77999999999997</v>
      </c>
      <c r="I1243" s="876">
        <f>'REF. DE PREÇOS n editavel'!I1243</f>
        <v>279.77999999999997</v>
      </c>
      <c r="J1243" s="877">
        <f>'REF. DE PREÇOS n editavel'!J1243</f>
        <v>341.95</v>
      </c>
      <c r="K1243" s="878" t="s">
        <v>1500</v>
      </c>
      <c r="L1243" s="1092"/>
      <c r="M1243" s="1093">
        <f t="shared" si="142"/>
        <v>0</v>
      </c>
      <c r="N1243" s="868">
        <f t="shared" si="146"/>
        <v>0</v>
      </c>
      <c r="O1243" s="880"/>
      <c r="Q1243" s="317" t="str">
        <f t="shared" si="143"/>
        <v/>
      </c>
      <c r="R1243" s="317" t="str">
        <f t="shared" si="144"/>
        <v/>
      </c>
      <c r="S1243" s="317" t="str">
        <f t="shared" si="145"/>
        <v/>
      </c>
      <c r="T1243" s="317" t="str">
        <f>'REF. DE PREÇOS n editavel'!S1243</f>
        <v/>
      </c>
      <c r="W1243" s="577">
        <v>0</v>
      </c>
      <c r="X1243" s="575"/>
      <c r="Y1243" s="578">
        <f>IF('REF. DE PREÇOS n editavel'!W1243=0,0,IF('REF. DE PREÇOS n editavel'!W1243&gt;0,"c","b"))</f>
        <v>0</v>
      </c>
    </row>
    <row r="1244" spans="1:25" ht="22.5">
      <c r="A1244" s="317">
        <v>97888</v>
      </c>
      <c r="B1244" s="870">
        <v>97888</v>
      </c>
      <c r="C1244" s="871" t="s">
        <v>590</v>
      </c>
      <c r="D1244" s="881" t="s">
        <v>1158</v>
      </c>
      <c r="E1244" s="882">
        <f>'REF. DE PREÇOS n editavel'!E1244</f>
        <v>0</v>
      </c>
      <c r="F1244" s="883">
        <f>'REF. DE PREÇOS n editavel'!F1244</f>
        <v>0</v>
      </c>
      <c r="G1244" s="887">
        <f>'REF. DE PREÇOS n editavel'!G1244</f>
        <v>0</v>
      </c>
      <c r="H1244" s="876">
        <f>'REF. DE PREÇOS n editavel'!H1244</f>
        <v>539.29</v>
      </c>
      <c r="I1244" s="876">
        <f>'REF. DE PREÇOS n editavel'!I1244</f>
        <v>539.29</v>
      </c>
      <c r="J1244" s="877">
        <f>'REF. DE PREÇOS n editavel'!J1244</f>
        <v>659.12</v>
      </c>
      <c r="K1244" s="878" t="s">
        <v>1500</v>
      </c>
      <c r="L1244" s="1092"/>
      <c r="M1244" s="1093">
        <f t="shared" si="142"/>
        <v>0</v>
      </c>
      <c r="N1244" s="868">
        <f t="shared" si="146"/>
        <v>0</v>
      </c>
      <c r="O1244" s="880"/>
      <c r="Q1244" s="317" t="str">
        <f t="shared" si="143"/>
        <v/>
      </c>
      <c r="R1244" s="317" t="str">
        <f t="shared" si="144"/>
        <v/>
      </c>
      <c r="S1244" s="317" t="str">
        <f t="shared" si="145"/>
        <v/>
      </c>
      <c r="T1244" s="317" t="str">
        <f>'REF. DE PREÇOS n editavel'!S1244</f>
        <v/>
      </c>
      <c r="W1244" s="577">
        <v>0</v>
      </c>
      <c r="X1244" s="575"/>
      <c r="Y1244" s="578">
        <f>IF('REF. DE PREÇOS n editavel'!W1244=0,0,IF('REF. DE PREÇOS n editavel'!W1244&gt;0,"c","b"))</f>
        <v>0</v>
      </c>
    </row>
    <row r="1245" spans="1:25" ht="22.5">
      <c r="A1245" s="317">
        <v>97889</v>
      </c>
      <c r="B1245" s="870">
        <v>97889</v>
      </c>
      <c r="C1245" s="871" t="s">
        <v>590</v>
      </c>
      <c r="D1245" s="881" t="s">
        <v>1159</v>
      </c>
      <c r="E1245" s="882">
        <f>'REF. DE PREÇOS n editavel'!E1245</f>
        <v>0</v>
      </c>
      <c r="F1245" s="883">
        <f>'REF. DE PREÇOS n editavel'!F1245</f>
        <v>0</v>
      </c>
      <c r="G1245" s="887">
        <f>'REF. DE PREÇOS n editavel'!G1245</f>
        <v>0</v>
      </c>
      <c r="H1245" s="876">
        <f>'REF. DE PREÇOS n editavel'!H1245</f>
        <v>730.16</v>
      </c>
      <c r="I1245" s="876">
        <f>'REF. DE PREÇOS n editavel'!I1245</f>
        <v>730.16</v>
      </c>
      <c r="J1245" s="877">
        <f>'REF. DE PREÇOS n editavel'!J1245</f>
        <v>892.4</v>
      </c>
      <c r="K1245" s="878" t="s">
        <v>1500</v>
      </c>
      <c r="L1245" s="1092"/>
      <c r="M1245" s="1093">
        <f t="shared" si="142"/>
        <v>0</v>
      </c>
      <c r="N1245" s="868">
        <f t="shared" si="146"/>
        <v>0</v>
      </c>
      <c r="O1245" s="880"/>
      <c r="Q1245" s="317" t="str">
        <f t="shared" si="143"/>
        <v/>
      </c>
      <c r="R1245" s="317" t="str">
        <f t="shared" si="144"/>
        <v/>
      </c>
      <c r="S1245" s="317" t="str">
        <f t="shared" si="145"/>
        <v/>
      </c>
      <c r="T1245" s="317" t="str">
        <f>'REF. DE PREÇOS n editavel'!S1245</f>
        <v/>
      </c>
      <c r="W1245" s="577">
        <v>0</v>
      </c>
      <c r="X1245" s="575"/>
      <c r="Y1245" s="578">
        <f>IF('REF. DE PREÇOS n editavel'!W1245=0,0,IF('REF. DE PREÇOS n editavel'!W1245&gt;0,"c","b"))</f>
        <v>0</v>
      </c>
    </row>
    <row r="1246" spans="1:25" ht="22.5">
      <c r="A1246" s="317">
        <v>97890</v>
      </c>
      <c r="B1246" s="870">
        <v>97890</v>
      </c>
      <c r="C1246" s="871" t="s">
        <v>590</v>
      </c>
      <c r="D1246" s="881" t="s">
        <v>1160</v>
      </c>
      <c r="E1246" s="882">
        <f>'REF. DE PREÇOS n editavel'!E1246</f>
        <v>0</v>
      </c>
      <c r="F1246" s="883">
        <f>'REF. DE PREÇOS n editavel'!F1246</f>
        <v>0</v>
      </c>
      <c r="G1246" s="887">
        <f>'REF. DE PREÇOS n editavel'!G1246</f>
        <v>0</v>
      </c>
      <c r="H1246" s="876">
        <f>'REF. DE PREÇOS n editavel'!H1246</f>
        <v>822.62</v>
      </c>
      <c r="I1246" s="876">
        <f>'REF. DE PREÇOS n editavel'!I1246</f>
        <v>822.62</v>
      </c>
      <c r="J1246" s="877">
        <f>'REF. DE PREÇOS n editavel'!J1246</f>
        <v>1005.41</v>
      </c>
      <c r="K1246" s="878" t="s">
        <v>1500</v>
      </c>
      <c r="L1246" s="1092"/>
      <c r="M1246" s="1093">
        <f t="shared" si="142"/>
        <v>0</v>
      </c>
      <c r="N1246" s="868">
        <f t="shared" si="146"/>
        <v>0</v>
      </c>
      <c r="O1246" s="880"/>
      <c r="Q1246" s="317" t="str">
        <f t="shared" si="143"/>
        <v/>
      </c>
      <c r="R1246" s="317" t="str">
        <f t="shared" si="144"/>
        <v/>
      </c>
      <c r="S1246" s="317" t="str">
        <f t="shared" si="145"/>
        <v/>
      </c>
      <c r="T1246" s="317" t="str">
        <f>'REF. DE PREÇOS n editavel'!S1246</f>
        <v/>
      </c>
      <c r="W1246" s="577">
        <v>0</v>
      </c>
      <c r="X1246" s="575"/>
      <c r="Y1246" s="578">
        <f>IF('REF. DE PREÇOS n editavel'!W1246=0,0,IF('REF. DE PREÇOS n editavel'!W1246&gt;0,"c","b"))</f>
        <v>0</v>
      </c>
    </row>
    <row r="1247" spans="1:25" ht="22.5">
      <c r="A1247" s="317">
        <v>97933</v>
      </c>
      <c r="B1247" s="870">
        <v>97933</v>
      </c>
      <c r="C1247" s="871" t="s">
        <v>590</v>
      </c>
      <c r="D1247" s="881" t="s">
        <v>1161</v>
      </c>
      <c r="E1247" s="882">
        <f>'REF. DE PREÇOS n editavel'!E1247</f>
        <v>0</v>
      </c>
      <c r="F1247" s="883">
        <f>'REF. DE PREÇOS n editavel'!F1247</f>
        <v>0</v>
      </c>
      <c r="G1247" s="887">
        <f>'REF. DE PREÇOS n editavel'!G1247</f>
        <v>0</v>
      </c>
      <c r="H1247" s="876">
        <f>'REF. DE PREÇOS n editavel'!H1247</f>
        <v>779.23</v>
      </c>
      <c r="I1247" s="876">
        <f>'REF. DE PREÇOS n editavel'!I1247</f>
        <v>779.23</v>
      </c>
      <c r="J1247" s="877">
        <f>'REF. DE PREÇOS n editavel'!J1247</f>
        <v>952.37</v>
      </c>
      <c r="K1247" s="878" t="s">
        <v>1500</v>
      </c>
      <c r="L1247" s="1092"/>
      <c r="M1247" s="1093">
        <f t="shared" si="142"/>
        <v>0</v>
      </c>
      <c r="N1247" s="868">
        <f t="shared" si="146"/>
        <v>0</v>
      </c>
      <c r="O1247" s="880"/>
      <c r="Q1247" s="317" t="str">
        <f t="shared" si="143"/>
        <v/>
      </c>
      <c r="R1247" s="317" t="str">
        <f t="shared" si="144"/>
        <v/>
      </c>
      <c r="S1247" s="317" t="str">
        <f t="shared" si="145"/>
        <v/>
      </c>
      <c r="T1247" s="317" t="str">
        <f>'REF. DE PREÇOS n editavel'!S1247</f>
        <v/>
      </c>
      <c r="W1247" s="577">
        <v>0</v>
      </c>
      <c r="X1247" s="575"/>
      <c r="Y1247" s="578">
        <f>IF('REF. DE PREÇOS n editavel'!W1247=0,0,IF('REF. DE PREÇOS n editavel'!W1247&gt;0,"c","b"))</f>
        <v>0</v>
      </c>
    </row>
    <row r="1248" spans="1:25" ht="22.5">
      <c r="A1248" s="317">
        <v>97947</v>
      </c>
      <c r="B1248" s="870">
        <v>97947</v>
      </c>
      <c r="C1248" s="871" t="s">
        <v>590</v>
      </c>
      <c r="D1248" s="881" t="s">
        <v>1162</v>
      </c>
      <c r="E1248" s="882">
        <f>'REF. DE PREÇOS n editavel'!E1248</f>
        <v>0</v>
      </c>
      <c r="F1248" s="883">
        <f>'REF. DE PREÇOS n editavel'!F1248</f>
        <v>0</v>
      </c>
      <c r="G1248" s="887">
        <f>'REF. DE PREÇOS n editavel'!G1248</f>
        <v>0</v>
      </c>
      <c r="H1248" s="876">
        <f>'REF. DE PREÇOS n editavel'!H1248</f>
        <v>1737.19</v>
      </c>
      <c r="I1248" s="876">
        <f>'REF. DE PREÇOS n editavel'!I1248</f>
        <v>1737.19</v>
      </c>
      <c r="J1248" s="877">
        <f>'REF. DE PREÇOS n editavel'!J1248</f>
        <v>2123.19</v>
      </c>
      <c r="K1248" s="878" t="s">
        <v>1500</v>
      </c>
      <c r="L1248" s="1092"/>
      <c r="M1248" s="1093">
        <f t="shared" si="142"/>
        <v>0</v>
      </c>
      <c r="N1248" s="868">
        <f t="shared" si="146"/>
        <v>0</v>
      </c>
      <c r="O1248" s="880"/>
      <c r="Q1248" s="317" t="str">
        <f t="shared" si="143"/>
        <v/>
      </c>
      <c r="R1248" s="317" t="str">
        <f t="shared" si="144"/>
        <v/>
      </c>
      <c r="S1248" s="317" t="str">
        <f t="shared" si="145"/>
        <v/>
      </c>
      <c r="T1248" s="317" t="str">
        <f>'REF. DE PREÇOS n editavel'!S1248</f>
        <v/>
      </c>
      <c r="W1248" s="577">
        <v>0</v>
      </c>
      <c r="X1248" s="575"/>
      <c r="Y1248" s="578">
        <f>IF('REF. DE PREÇOS n editavel'!W1248=0,0,IF('REF. DE PREÇOS n editavel'!W1248&gt;0,"c","b"))</f>
        <v>0</v>
      </c>
    </row>
    <row r="1249" spans="1:25" ht="22.5">
      <c r="A1249" s="317">
        <v>97948</v>
      </c>
      <c r="B1249" s="870">
        <v>97948</v>
      </c>
      <c r="C1249" s="871" t="s">
        <v>590</v>
      </c>
      <c r="D1249" s="881" t="s">
        <v>1163</v>
      </c>
      <c r="E1249" s="882">
        <f>'REF. DE PREÇOS n editavel'!E1249</f>
        <v>0</v>
      </c>
      <c r="F1249" s="883">
        <f>'REF. DE PREÇOS n editavel'!F1249</f>
        <v>0</v>
      </c>
      <c r="G1249" s="887">
        <f>'REF. DE PREÇOS n editavel'!G1249</f>
        <v>0</v>
      </c>
      <c r="H1249" s="876">
        <f>'REF. DE PREÇOS n editavel'!H1249</f>
        <v>3167.41</v>
      </c>
      <c r="I1249" s="876">
        <f>'REF. DE PREÇOS n editavel'!I1249</f>
        <v>3167.41</v>
      </c>
      <c r="J1249" s="877">
        <f>'REF. DE PREÇOS n editavel'!J1249</f>
        <v>3871.21</v>
      </c>
      <c r="K1249" s="878" t="s">
        <v>1500</v>
      </c>
      <c r="L1249" s="1092"/>
      <c r="M1249" s="1093">
        <f t="shared" si="142"/>
        <v>0</v>
      </c>
      <c r="N1249" s="868">
        <f t="shared" si="146"/>
        <v>0</v>
      </c>
      <c r="O1249" s="880"/>
      <c r="Q1249" s="317" t="str">
        <f t="shared" si="143"/>
        <v/>
      </c>
      <c r="R1249" s="317" t="str">
        <f t="shared" si="144"/>
        <v/>
      </c>
      <c r="S1249" s="317" t="str">
        <f t="shared" si="145"/>
        <v/>
      </c>
      <c r="T1249" s="317" t="str">
        <f>'REF. DE PREÇOS n editavel'!S1249</f>
        <v/>
      </c>
      <c r="W1249" s="577">
        <v>0</v>
      </c>
      <c r="X1249" s="575"/>
      <c r="Y1249" s="578">
        <f>IF('REF. DE PREÇOS n editavel'!W1249=0,0,IF('REF. DE PREÇOS n editavel'!W1249&gt;0,"c","b"))</f>
        <v>0</v>
      </c>
    </row>
    <row r="1250" spans="1:25" ht="22.5">
      <c r="A1250" s="317">
        <v>97953</v>
      </c>
      <c r="B1250" s="870">
        <v>97953</v>
      </c>
      <c r="C1250" s="871" t="s">
        <v>590</v>
      </c>
      <c r="D1250" s="881" t="s">
        <v>1164</v>
      </c>
      <c r="E1250" s="882">
        <f>'REF. DE PREÇOS n editavel'!E1250</f>
        <v>0</v>
      </c>
      <c r="F1250" s="883">
        <f>'REF. DE PREÇOS n editavel'!F1250</f>
        <v>0</v>
      </c>
      <c r="G1250" s="887">
        <f>'REF. DE PREÇOS n editavel'!G1250</f>
        <v>0</v>
      </c>
      <c r="H1250" s="876">
        <f>'REF. DE PREÇOS n editavel'!H1250</f>
        <v>1225.21</v>
      </c>
      <c r="I1250" s="876">
        <f>'REF. DE PREÇOS n editavel'!I1250</f>
        <v>1225.21</v>
      </c>
      <c r="J1250" s="877">
        <f>'REF. DE PREÇOS n editavel'!J1250</f>
        <v>1497.45</v>
      </c>
      <c r="K1250" s="878" t="s">
        <v>1500</v>
      </c>
      <c r="L1250" s="1092"/>
      <c r="M1250" s="1093">
        <f t="shared" si="142"/>
        <v>0</v>
      </c>
      <c r="N1250" s="868">
        <f t="shared" si="146"/>
        <v>0</v>
      </c>
      <c r="O1250" s="880"/>
      <c r="Q1250" s="317" t="str">
        <f t="shared" si="143"/>
        <v/>
      </c>
      <c r="R1250" s="317" t="str">
        <f t="shared" si="144"/>
        <v/>
      </c>
      <c r="S1250" s="317" t="str">
        <f t="shared" si="145"/>
        <v/>
      </c>
      <c r="T1250" s="317" t="str">
        <f>'REF. DE PREÇOS n editavel'!S1250</f>
        <v/>
      </c>
      <c r="W1250" s="577">
        <v>0</v>
      </c>
      <c r="X1250" s="575"/>
      <c r="Y1250" s="578">
        <f>IF('REF. DE PREÇOS n editavel'!W1250=0,0,IF('REF. DE PREÇOS n editavel'!W1250&gt;0,"c","b"))</f>
        <v>0</v>
      </c>
    </row>
    <row r="1251" spans="1:25" ht="22.5">
      <c r="A1251" s="317">
        <v>97955</v>
      </c>
      <c r="B1251" s="870">
        <v>97955</v>
      </c>
      <c r="C1251" s="871" t="s">
        <v>590</v>
      </c>
      <c r="D1251" s="881" t="s">
        <v>1165</v>
      </c>
      <c r="E1251" s="882">
        <f>'REF. DE PREÇOS n editavel'!E1251</f>
        <v>0</v>
      </c>
      <c r="F1251" s="883">
        <f>'REF. DE PREÇOS n editavel'!F1251</f>
        <v>0</v>
      </c>
      <c r="G1251" s="887">
        <f>'REF. DE PREÇOS n editavel'!G1251</f>
        <v>0</v>
      </c>
      <c r="H1251" s="876">
        <f>'REF. DE PREÇOS n editavel'!H1251</f>
        <v>2655.52</v>
      </c>
      <c r="I1251" s="876">
        <f>'REF. DE PREÇOS n editavel'!I1251</f>
        <v>2655.52</v>
      </c>
      <c r="J1251" s="877">
        <f>'REF. DE PREÇOS n editavel'!J1251</f>
        <v>3245.58</v>
      </c>
      <c r="K1251" s="878" t="s">
        <v>1500</v>
      </c>
      <c r="L1251" s="1092"/>
      <c r="M1251" s="1093">
        <f t="shared" si="142"/>
        <v>0</v>
      </c>
      <c r="N1251" s="868">
        <f t="shared" si="146"/>
        <v>0</v>
      </c>
      <c r="O1251" s="880"/>
      <c r="Q1251" s="317" t="str">
        <f t="shared" si="143"/>
        <v/>
      </c>
      <c r="R1251" s="317" t="str">
        <f t="shared" si="144"/>
        <v/>
      </c>
      <c r="S1251" s="317" t="str">
        <f t="shared" si="145"/>
        <v/>
      </c>
      <c r="T1251" s="317" t="str">
        <f>'REF. DE PREÇOS n editavel'!S1251</f>
        <v/>
      </c>
      <c r="W1251" s="577">
        <v>0</v>
      </c>
      <c r="X1251" s="575"/>
      <c r="Y1251" s="578">
        <f>IF('REF. DE PREÇOS n editavel'!W1251=0,0,IF('REF. DE PREÇOS n editavel'!W1251&gt;0,"c","b"))</f>
        <v>0</v>
      </c>
    </row>
    <row r="1252" spans="1:25" ht="22.5">
      <c r="A1252" s="317">
        <v>97891</v>
      </c>
      <c r="B1252" s="870">
        <v>97891</v>
      </c>
      <c r="C1252" s="871" t="s">
        <v>590</v>
      </c>
      <c r="D1252" s="881" t="s">
        <v>1166</v>
      </c>
      <c r="E1252" s="882">
        <f>'REF. DE PREÇOS n editavel'!E1252</f>
        <v>0</v>
      </c>
      <c r="F1252" s="883">
        <f>'REF. DE PREÇOS n editavel'!F1252</f>
        <v>0</v>
      </c>
      <c r="G1252" s="887">
        <f>'REF. DE PREÇOS n editavel'!G1252</f>
        <v>0</v>
      </c>
      <c r="H1252" s="876">
        <f>'REF. DE PREÇOS n editavel'!H1252</f>
        <v>208.61</v>
      </c>
      <c r="I1252" s="876">
        <f>'REF. DE PREÇOS n editavel'!I1252</f>
        <v>208.61</v>
      </c>
      <c r="J1252" s="877">
        <f>'REF. DE PREÇOS n editavel'!J1252</f>
        <v>254.96</v>
      </c>
      <c r="K1252" s="878" t="s">
        <v>1500</v>
      </c>
      <c r="L1252" s="1092"/>
      <c r="M1252" s="1093">
        <f t="shared" si="142"/>
        <v>0</v>
      </c>
      <c r="N1252" s="868">
        <f t="shared" si="146"/>
        <v>0</v>
      </c>
      <c r="O1252" s="880"/>
      <c r="Q1252" s="317" t="str">
        <f t="shared" si="143"/>
        <v/>
      </c>
      <c r="R1252" s="317" t="str">
        <f t="shared" si="144"/>
        <v/>
      </c>
      <c r="S1252" s="317" t="str">
        <f t="shared" si="145"/>
        <v/>
      </c>
      <c r="T1252" s="317" t="str">
        <f>'REF. DE PREÇOS n editavel'!S1252</f>
        <v/>
      </c>
      <c r="W1252" s="577">
        <v>0</v>
      </c>
      <c r="X1252" s="575"/>
      <c r="Y1252" s="578">
        <f>IF('REF. DE PREÇOS n editavel'!W1252=0,0,IF('REF. DE PREÇOS n editavel'!W1252&gt;0,"c","b"))</f>
        <v>0</v>
      </c>
    </row>
    <row r="1253" spans="1:25" ht="22.5">
      <c r="A1253" s="317">
        <v>97892</v>
      </c>
      <c r="B1253" s="870">
        <v>97892</v>
      </c>
      <c r="C1253" s="871" t="s">
        <v>590</v>
      </c>
      <c r="D1253" s="881" t="s">
        <v>1167</v>
      </c>
      <c r="E1253" s="882">
        <f>'REF. DE PREÇOS n editavel'!E1253</f>
        <v>0</v>
      </c>
      <c r="F1253" s="883">
        <f>'REF. DE PREÇOS n editavel'!F1253</f>
        <v>0</v>
      </c>
      <c r="G1253" s="887">
        <f>'REF. DE PREÇOS n editavel'!G1253</f>
        <v>0</v>
      </c>
      <c r="H1253" s="876">
        <f>'REF. DE PREÇOS n editavel'!H1253</f>
        <v>388.86</v>
      </c>
      <c r="I1253" s="876">
        <f>'REF. DE PREÇOS n editavel'!I1253</f>
        <v>388.86</v>
      </c>
      <c r="J1253" s="877">
        <f>'REF. DE PREÇOS n editavel'!J1253</f>
        <v>475.26</v>
      </c>
      <c r="K1253" s="878" t="s">
        <v>1500</v>
      </c>
      <c r="L1253" s="1092"/>
      <c r="M1253" s="1093">
        <f t="shared" si="142"/>
        <v>0</v>
      </c>
      <c r="N1253" s="868">
        <f t="shared" si="146"/>
        <v>0</v>
      </c>
      <c r="O1253" s="880"/>
      <c r="Q1253" s="317" t="str">
        <f t="shared" si="143"/>
        <v/>
      </c>
      <c r="R1253" s="317" t="str">
        <f t="shared" si="144"/>
        <v/>
      </c>
      <c r="S1253" s="317" t="str">
        <f t="shared" si="145"/>
        <v/>
      </c>
      <c r="T1253" s="317" t="str">
        <f>'REF. DE PREÇOS n editavel'!S1253</f>
        <v/>
      </c>
      <c r="W1253" s="577">
        <v>0</v>
      </c>
      <c r="X1253" s="575"/>
      <c r="Y1253" s="578">
        <f>IF('REF. DE PREÇOS n editavel'!W1253=0,0,IF('REF. DE PREÇOS n editavel'!W1253&gt;0,"c","b"))</f>
        <v>0</v>
      </c>
    </row>
    <row r="1254" spans="1:25" ht="22.5">
      <c r="A1254" s="317">
        <v>97893</v>
      </c>
      <c r="B1254" s="870">
        <v>97893</v>
      </c>
      <c r="C1254" s="871" t="s">
        <v>590</v>
      </c>
      <c r="D1254" s="881" t="s">
        <v>1168</v>
      </c>
      <c r="E1254" s="882">
        <f>'REF. DE PREÇOS n editavel'!E1254</f>
        <v>0</v>
      </c>
      <c r="F1254" s="883">
        <f>'REF. DE PREÇOS n editavel'!F1254</f>
        <v>0</v>
      </c>
      <c r="G1254" s="887">
        <f>'REF. DE PREÇOS n editavel'!G1254</f>
        <v>0</v>
      </c>
      <c r="H1254" s="876">
        <f>'REF. DE PREÇOS n editavel'!H1254</f>
        <v>538.29</v>
      </c>
      <c r="I1254" s="876">
        <f>'REF. DE PREÇOS n editavel'!I1254</f>
        <v>538.29</v>
      </c>
      <c r="J1254" s="877">
        <f>'REF. DE PREÇOS n editavel'!J1254</f>
        <v>657.9</v>
      </c>
      <c r="K1254" s="878" t="s">
        <v>1500</v>
      </c>
      <c r="L1254" s="1092"/>
      <c r="M1254" s="1093">
        <f t="shared" si="142"/>
        <v>0</v>
      </c>
      <c r="N1254" s="868">
        <f t="shared" si="146"/>
        <v>0</v>
      </c>
      <c r="O1254" s="880"/>
      <c r="Q1254" s="317" t="str">
        <f t="shared" si="143"/>
        <v/>
      </c>
      <c r="R1254" s="317" t="str">
        <f t="shared" si="144"/>
        <v/>
      </c>
      <c r="S1254" s="317" t="str">
        <f t="shared" si="145"/>
        <v/>
      </c>
      <c r="T1254" s="317" t="str">
        <f>'REF. DE PREÇOS n editavel'!S1254</f>
        <v/>
      </c>
      <c r="W1254" s="577">
        <v>0</v>
      </c>
      <c r="X1254" s="575"/>
      <c r="Y1254" s="578">
        <f>IF('REF. DE PREÇOS n editavel'!W1254=0,0,IF('REF. DE PREÇOS n editavel'!W1254&gt;0,"c","b"))</f>
        <v>0</v>
      </c>
    </row>
    <row r="1255" spans="1:25" ht="22.5">
      <c r="A1255" s="317">
        <v>97894</v>
      </c>
      <c r="B1255" s="870">
        <v>97894</v>
      </c>
      <c r="C1255" s="871" t="s">
        <v>590</v>
      </c>
      <c r="D1255" s="881" t="s">
        <v>1169</v>
      </c>
      <c r="E1255" s="882">
        <f>'REF. DE PREÇOS n editavel'!E1255</f>
        <v>0</v>
      </c>
      <c r="F1255" s="883">
        <f>'REF. DE PREÇOS n editavel'!F1255</f>
        <v>0</v>
      </c>
      <c r="G1255" s="887">
        <f>'REF. DE PREÇOS n editavel'!G1255</f>
        <v>0</v>
      </c>
      <c r="H1255" s="876">
        <f>'REF. DE PREÇOS n editavel'!H1255</f>
        <v>590.13</v>
      </c>
      <c r="I1255" s="876">
        <f>'REF. DE PREÇOS n editavel'!I1255</f>
        <v>590.13</v>
      </c>
      <c r="J1255" s="877">
        <f>'REF. DE PREÇOS n editavel'!J1255</f>
        <v>721.26</v>
      </c>
      <c r="K1255" s="878" t="s">
        <v>1500</v>
      </c>
      <c r="L1255" s="1092"/>
      <c r="M1255" s="1093">
        <f t="shared" si="142"/>
        <v>0</v>
      </c>
      <c r="N1255" s="868">
        <f t="shared" si="146"/>
        <v>0</v>
      </c>
      <c r="O1255" s="880"/>
      <c r="Q1255" s="317" t="str">
        <f t="shared" si="143"/>
        <v/>
      </c>
      <c r="R1255" s="317" t="str">
        <f t="shared" si="144"/>
        <v/>
      </c>
      <c r="S1255" s="317" t="str">
        <f t="shared" si="145"/>
        <v/>
      </c>
      <c r="T1255" s="317" t="str">
        <f>'REF. DE PREÇOS n editavel'!S1255</f>
        <v/>
      </c>
      <c r="W1255" s="577">
        <v>0</v>
      </c>
      <c r="X1255" s="575"/>
      <c r="Y1255" s="578">
        <f>IF('REF. DE PREÇOS n editavel'!W1255=0,0,IF('REF. DE PREÇOS n editavel'!W1255&gt;0,"c","b"))</f>
        <v>0</v>
      </c>
    </row>
    <row r="1256" spans="1:25" ht="22.5">
      <c r="A1256" s="317">
        <v>97881</v>
      </c>
      <c r="B1256" s="870">
        <v>97881</v>
      </c>
      <c r="C1256" s="871" t="s">
        <v>590</v>
      </c>
      <c r="D1256" s="881" t="s">
        <v>1170</v>
      </c>
      <c r="E1256" s="882">
        <f>'REF. DE PREÇOS n editavel'!E1256</f>
        <v>0</v>
      </c>
      <c r="F1256" s="883">
        <f>'REF. DE PREÇOS n editavel'!F1256</f>
        <v>0</v>
      </c>
      <c r="G1256" s="887">
        <f>'REF. DE PREÇOS n editavel'!G1256</f>
        <v>0</v>
      </c>
      <c r="H1256" s="876">
        <f>'REF. DE PREÇOS n editavel'!H1256</f>
        <v>108.09</v>
      </c>
      <c r="I1256" s="876">
        <f>'REF. DE PREÇOS n editavel'!I1256</f>
        <v>108.09</v>
      </c>
      <c r="J1256" s="877">
        <f>'REF. DE PREÇOS n editavel'!J1256</f>
        <v>132.11000000000001</v>
      </c>
      <c r="K1256" s="878" t="s">
        <v>1500</v>
      </c>
      <c r="L1256" s="1092"/>
      <c r="M1256" s="1093">
        <f t="shared" si="142"/>
        <v>0</v>
      </c>
      <c r="N1256" s="868">
        <f t="shared" si="146"/>
        <v>0</v>
      </c>
      <c r="O1256" s="880"/>
      <c r="Q1256" s="317" t="str">
        <f t="shared" si="143"/>
        <v/>
      </c>
      <c r="R1256" s="317" t="str">
        <f t="shared" si="144"/>
        <v/>
      </c>
      <c r="S1256" s="317" t="str">
        <f t="shared" si="145"/>
        <v/>
      </c>
      <c r="T1256" s="317" t="str">
        <f>'REF. DE PREÇOS n editavel'!S1256</f>
        <v/>
      </c>
      <c r="W1256" s="577">
        <v>0</v>
      </c>
      <c r="X1256" s="575"/>
      <c r="Y1256" s="578">
        <f>IF('REF. DE PREÇOS n editavel'!W1256=0,0,IF('REF. DE PREÇOS n editavel'!W1256&gt;0,"c","b"))</f>
        <v>0</v>
      </c>
    </row>
    <row r="1257" spans="1:25" ht="22.5">
      <c r="A1257" s="317">
        <v>97882</v>
      </c>
      <c r="B1257" s="870">
        <v>97882</v>
      </c>
      <c r="C1257" s="871" t="s">
        <v>590</v>
      </c>
      <c r="D1257" s="881" t="s">
        <v>1171</v>
      </c>
      <c r="E1257" s="882">
        <f>'REF. DE PREÇOS n editavel'!E1257</f>
        <v>0</v>
      </c>
      <c r="F1257" s="883">
        <f>'REF. DE PREÇOS n editavel'!F1257</f>
        <v>0</v>
      </c>
      <c r="G1257" s="887">
        <f>'REF. DE PREÇOS n editavel'!G1257</f>
        <v>0</v>
      </c>
      <c r="H1257" s="876">
        <f>'REF. DE PREÇOS n editavel'!H1257</f>
        <v>168.28</v>
      </c>
      <c r="I1257" s="876">
        <f>'REF. DE PREÇOS n editavel'!I1257</f>
        <v>168.28</v>
      </c>
      <c r="J1257" s="877">
        <f>'REF. DE PREÇOS n editavel'!J1257</f>
        <v>205.67</v>
      </c>
      <c r="K1257" s="878" t="s">
        <v>1500</v>
      </c>
      <c r="L1257" s="1092"/>
      <c r="M1257" s="1093">
        <f t="shared" si="142"/>
        <v>0</v>
      </c>
      <c r="N1257" s="868">
        <f t="shared" si="146"/>
        <v>0</v>
      </c>
      <c r="O1257" s="880"/>
      <c r="Q1257" s="317" t="str">
        <f t="shared" si="143"/>
        <v/>
      </c>
      <c r="R1257" s="317" t="str">
        <f t="shared" si="144"/>
        <v/>
      </c>
      <c r="S1257" s="317" t="str">
        <f t="shared" si="145"/>
        <v/>
      </c>
      <c r="T1257" s="317" t="str">
        <f>'REF. DE PREÇOS n editavel'!S1257</f>
        <v/>
      </c>
      <c r="W1257" s="577">
        <v>0</v>
      </c>
      <c r="X1257" s="575"/>
      <c r="Y1257" s="578">
        <f>IF('REF. DE PREÇOS n editavel'!W1257=0,0,IF('REF. DE PREÇOS n editavel'!W1257&gt;0,"c","b"))</f>
        <v>0</v>
      </c>
    </row>
    <row r="1258" spans="1:25" ht="22.5">
      <c r="A1258" s="317">
        <v>97883</v>
      </c>
      <c r="B1258" s="870">
        <v>97883</v>
      </c>
      <c r="C1258" s="871" t="s">
        <v>590</v>
      </c>
      <c r="D1258" s="881" t="s">
        <v>1172</v>
      </c>
      <c r="E1258" s="882">
        <f>'REF. DE PREÇOS n editavel'!E1258</f>
        <v>0</v>
      </c>
      <c r="F1258" s="883">
        <f>'REF. DE PREÇOS n editavel'!F1258</f>
        <v>0</v>
      </c>
      <c r="G1258" s="887">
        <f>'REF. DE PREÇOS n editavel'!G1258</f>
        <v>0</v>
      </c>
      <c r="H1258" s="876">
        <f>'REF. DE PREÇOS n editavel'!H1258</f>
        <v>324.05</v>
      </c>
      <c r="I1258" s="876">
        <f>'REF. DE PREÇOS n editavel'!I1258</f>
        <v>324.05</v>
      </c>
      <c r="J1258" s="877">
        <f>'REF. DE PREÇOS n editavel'!J1258</f>
        <v>396.05</v>
      </c>
      <c r="K1258" s="878" t="s">
        <v>1500</v>
      </c>
      <c r="L1258" s="1092"/>
      <c r="M1258" s="1093">
        <f t="shared" si="142"/>
        <v>0</v>
      </c>
      <c r="N1258" s="868">
        <f t="shared" si="146"/>
        <v>0</v>
      </c>
      <c r="O1258" s="880"/>
      <c r="Q1258" s="317" t="str">
        <f t="shared" si="143"/>
        <v/>
      </c>
      <c r="R1258" s="317" t="str">
        <f t="shared" si="144"/>
        <v/>
      </c>
      <c r="S1258" s="317" t="str">
        <f t="shared" si="145"/>
        <v/>
      </c>
      <c r="T1258" s="317" t="str">
        <f>'REF. DE PREÇOS n editavel'!S1258</f>
        <v/>
      </c>
      <c r="W1258" s="577">
        <v>0</v>
      </c>
      <c r="X1258" s="575"/>
      <c r="Y1258" s="578">
        <f>IF('REF. DE PREÇOS n editavel'!W1258=0,0,IF('REF. DE PREÇOS n editavel'!W1258&gt;0,"c","b"))</f>
        <v>0</v>
      </c>
    </row>
    <row r="1259" spans="1:25" ht="22.5">
      <c r="A1259" s="317">
        <v>97884</v>
      </c>
      <c r="B1259" s="870">
        <v>97884</v>
      </c>
      <c r="C1259" s="871" t="s">
        <v>590</v>
      </c>
      <c r="D1259" s="881" t="s">
        <v>1173</v>
      </c>
      <c r="E1259" s="882">
        <f>'REF. DE PREÇOS n editavel'!E1259</f>
        <v>0</v>
      </c>
      <c r="F1259" s="883">
        <f>'REF. DE PREÇOS n editavel'!F1259</f>
        <v>0</v>
      </c>
      <c r="G1259" s="887">
        <f>'REF. DE PREÇOS n editavel'!G1259</f>
        <v>0</v>
      </c>
      <c r="H1259" s="876">
        <f>'REF. DE PREÇOS n editavel'!H1259</f>
        <v>625.80999999999995</v>
      </c>
      <c r="I1259" s="876">
        <f>'REF. DE PREÇOS n editavel'!I1259</f>
        <v>625.80999999999995</v>
      </c>
      <c r="J1259" s="877">
        <f>'REF. DE PREÇOS n editavel'!J1259</f>
        <v>764.86</v>
      </c>
      <c r="K1259" s="878" t="s">
        <v>1500</v>
      </c>
      <c r="L1259" s="1092"/>
      <c r="M1259" s="1093">
        <f t="shared" si="142"/>
        <v>0</v>
      </c>
      <c r="N1259" s="868">
        <f t="shared" si="146"/>
        <v>0</v>
      </c>
      <c r="O1259" s="880"/>
      <c r="Q1259" s="317" t="str">
        <f t="shared" si="143"/>
        <v/>
      </c>
      <c r="R1259" s="317" t="str">
        <f t="shared" si="144"/>
        <v/>
      </c>
      <c r="S1259" s="317" t="str">
        <f t="shared" si="145"/>
        <v/>
      </c>
      <c r="T1259" s="317" t="str">
        <f>'REF. DE PREÇOS n editavel'!S1259</f>
        <v/>
      </c>
      <c r="W1259" s="577">
        <v>0</v>
      </c>
      <c r="X1259" s="575"/>
      <c r="Y1259" s="578">
        <f>IF('REF. DE PREÇOS n editavel'!W1259=0,0,IF('REF. DE PREÇOS n editavel'!W1259&gt;0,"c","b"))</f>
        <v>0</v>
      </c>
    </row>
    <row r="1260" spans="1:25" ht="22.5">
      <c r="A1260" s="317">
        <v>97885</v>
      </c>
      <c r="B1260" s="870">
        <v>97885</v>
      </c>
      <c r="C1260" s="871" t="s">
        <v>590</v>
      </c>
      <c r="D1260" s="881" t="s">
        <v>1174</v>
      </c>
      <c r="E1260" s="882">
        <f>'REF. DE PREÇOS n editavel'!E1260</f>
        <v>0</v>
      </c>
      <c r="F1260" s="883">
        <f>'REF. DE PREÇOS n editavel'!F1260</f>
        <v>0</v>
      </c>
      <c r="G1260" s="887">
        <f>'REF. DE PREÇOS n editavel'!G1260</f>
        <v>0</v>
      </c>
      <c r="H1260" s="876">
        <f>'REF. DE PREÇOS n editavel'!H1260</f>
        <v>954.37</v>
      </c>
      <c r="I1260" s="876">
        <f>'REF. DE PREÇOS n editavel'!I1260</f>
        <v>954.37</v>
      </c>
      <c r="J1260" s="877">
        <f>'REF. DE PREÇOS n editavel'!J1260</f>
        <v>1166.43</v>
      </c>
      <c r="K1260" s="878" t="s">
        <v>1500</v>
      </c>
      <c r="L1260" s="1092"/>
      <c r="M1260" s="1093">
        <f t="shared" si="142"/>
        <v>0</v>
      </c>
      <c r="N1260" s="868">
        <f t="shared" si="146"/>
        <v>0</v>
      </c>
      <c r="O1260" s="880"/>
      <c r="Q1260" s="317" t="str">
        <f t="shared" si="143"/>
        <v/>
      </c>
      <c r="R1260" s="317" t="str">
        <f t="shared" si="144"/>
        <v/>
      </c>
      <c r="S1260" s="317" t="str">
        <f t="shared" si="145"/>
        <v/>
      </c>
      <c r="T1260" s="317" t="str">
        <f>'REF. DE PREÇOS n editavel'!S1260</f>
        <v/>
      </c>
      <c r="W1260" s="577">
        <v>0</v>
      </c>
      <c r="X1260" s="575"/>
      <c r="Y1260" s="578">
        <f>IF('REF. DE PREÇOS n editavel'!W1260=0,0,IF('REF. DE PREÇOS n editavel'!W1260&gt;0,"c","b"))</f>
        <v>0</v>
      </c>
    </row>
    <row r="1261" spans="1:25" ht="22.5">
      <c r="A1261" s="317">
        <v>91945</v>
      </c>
      <c r="B1261" s="870">
        <v>91945</v>
      </c>
      <c r="C1261" s="871" t="s">
        <v>590</v>
      </c>
      <c r="D1261" s="881" t="s">
        <v>1175</v>
      </c>
      <c r="E1261" s="882">
        <f>'REF. DE PREÇOS n editavel'!E1261</f>
        <v>0</v>
      </c>
      <c r="F1261" s="883">
        <f>'REF. DE PREÇOS n editavel'!F1261</f>
        <v>0</v>
      </c>
      <c r="G1261" s="887">
        <f>'REF. DE PREÇOS n editavel'!G1261</f>
        <v>0</v>
      </c>
      <c r="H1261" s="876">
        <f>'REF. DE PREÇOS n editavel'!H1261</f>
        <v>11.14</v>
      </c>
      <c r="I1261" s="876">
        <f>'REF. DE PREÇOS n editavel'!I1261</f>
        <v>11.14</v>
      </c>
      <c r="J1261" s="877">
        <f>'REF. DE PREÇOS n editavel'!J1261</f>
        <v>13.62</v>
      </c>
      <c r="K1261" s="878" t="s">
        <v>1500</v>
      </c>
      <c r="L1261" s="1092"/>
      <c r="M1261" s="1093">
        <f t="shared" si="142"/>
        <v>0</v>
      </c>
      <c r="N1261" s="868">
        <f t="shared" si="146"/>
        <v>0</v>
      </c>
      <c r="O1261" s="880"/>
      <c r="Q1261" s="317" t="str">
        <f t="shared" si="143"/>
        <v/>
      </c>
      <c r="R1261" s="317" t="str">
        <f t="shared" si="144"/>
        <v/>
      </c>
      <c r="S1261" s="317" t="str">
        <f t="shared" si="145"/>
        <v/>
      </c>
      <c r="T1261" s="317" t="str">
        <f>'REF. DE PREÇOS n editavel'!S1261</f>
        <v/>
      </c>
      <c r="W1261" s="577">
        <v>0</v>
      </c>
      <c r="X1261" s="575"/>
      <c r="Y1261" s="578">
        <f>IF('REF. DE PREÇOS n editavel'!W1261=0,0,IF('REF. DE PREÇOS n editavel'!W1261&gt;0,"c","b"))</f>
        <v>0</v>
      </c>
    </row>
    <row r="1262" spans="1:25" ht="22.5">
      <c r="A1262" s="317">
        <v>91946</v>
      </c>
      <c r="B1262" s="870">
        <v>91946</v>
      </c>
      <c r="C1262" s="871" t="s">
        <v>590</v>
      </c>
      <c r="D1262" s="881" t="s">
        <v>1176</v>
      </c>
      <c r="E1262" s="882">
        <f>'REF. DE PREÇOS n editavel'!E1262</f>
        <v>0</v>
      </c>
      <c r="F1262" s="883">
        <f>'REF. DE PREÇOS n editavel'!F1262</f>
        <v>0</v>
      </c>
      <c r="G1262" s="887">
        <f>'REF. DE PREÇOS n editavel'!G1262</f>
        <v>0</v>
      </c>
      <c r="H1262" s="876">
        <f>'REF. DE PREÇOS n editavel'!H1262</f>
        <v>9.23</v>
      </c>
      <c r="I1262" s="876">
        <f>'REF. DE PREÇOS n editavel'!I1262</f>
        <v>9.23</v>
      </c>
      <c r="J1262" s="877">
        <f>'REF. DE PREÇOS n editavel'!J1262</f>
        <v>11.28</v>
      </c>
      <c r="K1262" s="878" t="s">
        <v>1500</v>
      </c>
      <c r="L1262" s="1092"/>
      <c r="M1262" s="1093">
        <f t="shared" si="142"/>
        <v>0</v>
      </c>
      <c r="N1262" s="868">
        <f t="shared" si="146"/>
        <v>0</v>
      </c>
      <c r="O1262" s="880"/>
      <c r="Q1262" s="317" t="str">
        <f t="shared" si="143"/>
        <v/>
      </c>
      <c r="R1262" s="317" t="str">
        <f t="shared" si="144"/>
        <v/>
      </c>
      <c r="S1262" s="317" t="str">
        <f t="shared" si="145"/>
        <v/>
      </c>
      <c r="T1262" s="317" t="str">
        <f>'REF. DE PREÇOS n editavel'!S1262</f>
        <v/>
      </c>
      <c r="W1262" s="577">
        <v>0</v>
      </c>
      <c r="X1262" s="575"/>
      <c r="Y1262" s="578">
        <f>IF('REF. DE PREÇOS n editavel'!W1262=0,0,IF('REF. DE PREÇOS n editavel'!W1262&gt;0,"c","b"))</f>
        <v>0</v>
      </c>
    </row>
    <row r="1263" spans="1:25" ht="22.5">
      <c r="A1263" s="317">
        <v>91947</v>
      </c>
      <c r="B1263" s="870">
        <v>91947</v>
      </c>
      <c r="C1263" s="871" t="s">
        <v>590</v>
      </c>
      <c r="D1263" s="881" t="s">
        <v>1177</v>
      </c>
      <c r="E1263" s="882">
        <f>'REF. DE PREÇOS n editavel'!E1263</f>
        <v>0</v>
      </c>
      <c r="F1263" s="883">
        <f>'REF. DE PREÇOS n editavel'!F1263</f>
        <v>0</v>
      </c>
      <c r="G1263" s="887">
        <f>'REF. DE PREÇOS n editavel'!G1263</f>
        <v>0</v>
      </c>
      <c r="H1263" s="876">
        <f>'REF. DE PREÇOS n editavel'!H1263</f>
        <v>8.0399999999999991</v>
      </c>
      <c r="I1263" s="876">
        <f>'REF. DE PREÇOS n editavel'!I1263</f>
        <v>8.0399999999999991</v>
      </c>
      <c r="J1263" s="877">
        <f>'REF. DE PREÇOS n editavel'!J1263</f>
        <v>9.83</v>
      </c>
      <c r="K1263" s="878" t="s">
        <v>1500</v>
      </c>
      <c r="L1263" s="1092"/>
      <c r="M1263" s="1093">
        <f t="shared" si="142"/>
        <v>0</v>
      </c>
      <c r="N1263" s="868">
        <f t="shared" si="146"/>
        <v>0</v>
      </c>
      <c r="O1263" s="880"/>
      <c r="Q1263" s="317" t="str">
        <f t="shared" si="143"/>
        <v/>
      </c>
      <c r="R1263" s="317" t="str">
        <f t="shared" si="144"/>
        <v/>
      </c>
      <c r="S1263" s="317" t="str">
        <f t="shared" si="145"/>
        <v/>
      </c>
      <c r="T1263" s="317" t="str">
        <f>'REF. DE PREÇOS n editavel'!S1263</f>
        <v/>
      </c>
      <c r="W1263" s="577">
        <v>0</v>
      </c>
      <c r="X1263" s="575"/>
      <c r="Y1263" s="578">
        <f>IF('REF. DE PREÇOS n editavel'!W1263=0,0,IF('REF. DE PREÇOS n editavel'!W1263&gt;0,"c","b"))</f>
        <v>0</v>
      </c>
    </row>
    <row r="1264" spans="1:25" ht="22.5">
      <c r="A1264" s="317">
        <v>91949</v>
      </c>
      <c r="B1264" s="870">
        <v>91949</v>
      </c>
      <c r="C1264" s="871" t="s">
        <v>590</v>
      </c>
      <c r="D1264" s="881" t="s">
        <v>1178</v>
      </c>
      <c r="E1264" s="882">
        <f>'REF. DE PREÇOS n editavel'!E1264</f>
        <v>0</v>
      </c>
      <c r="F1264" s="883">
        <f>'REF. DE PREÇOS n editavel'!F1264</f>
        <v>0</v>
      </c>
      <c r="G1264" s="887">
        <f>'REF. DE PREÇOS n editavel'!G1264</f>
        <v>0</v>
      </c>
      <c r="H1264" s="876">
        <f>'REF. DE PREÇOS n editavel'!H1264</f>
        <v>16.88</v>
      </c>
      <c r="I1264" s="876">
        <f>'REF. DE PREÇOS n editavel'!I1264</f>
        <v>16.88</v>
      </c>
      <c r="J1264" s="877">
        <f>'REF. DE PREÇOS n editavel'!J1264</f>
        <v>20.63</v>
      </c>
      <c r="K1264" s="878" t="s">
        <v>1500</v>
      </c>
      <c r="L1264" s="1092"/>
      <c r="M1264" s="1093">
        <f t="shared" si="142"/>
        <v>0</v>
      </c>
      <c r="N1264" s="868">
        <f t="shared" si="146"/>
        <v>0</v>
      </c>
      <c r="O1264" s="880"/>
      <c r="Q1264" s="317" t="str">
        <f t="shared" si="143"/>
        <v/>
      </c>
      <c r="R1264" s="317" t="str">
        <f t="shared" si="144"/>
        <v/>
      </c>
      <c r="S1264" s="317" t="str">
        <f t="shared" si="145"/>
        <v/>
      </c>
      <c r="T1264" s="317" t="str">
        <f>'REF. DE PREÇOS n editavel'!S1264</f>
        <v/>
      </c>
      <c r="W1264" s="577">
        <v>0</v>
      </c>
      <c r="X1264" s="575"/>
      <c r="Y1264" s="578">
        <f>IF('REF. DE PREÇOS n editavel'!W1264=0,0,IF('REF. DE PREÇOS n editavel'!W1264&gt;0,"c","b"))</f>
        <v>0</v>
      </c>
    </row>
    <row r="1265" spans="1:25" ht="22.5">
      <c r="A1265" s="317">
        <v>91950</v>
      </c>
      <c r="B1265" s="870">
        <v>91950</v>
      </c>
      <c r="C1265" s="871" t="s">
        <v>590</v>
      </c>
      <c r="D1265" s="881" t="s">
        <v>1179</v>
      </c>
      <c r="E1265" s="882">
        <f>'REF. DE PREÇOS n editavel'!E1265</f>
        <v>0</v>
      </c>
      <c r="F1265" s="883">
        <f>'REF. DE PREÇOS n editavel'!F1265</f>
        <v>0</v>
      </c>
      <c r="G1265" s="887">
        <f>'REF. DE PREÇOS n editavel'!G1265</f>
        <v>0</v>
      </c>
      <c r="H1265" s="876">
        <f>'REF. DE PREÇOS n editavel'!H1265</f>
        <v>14.58</v>
      </c>
      <c r="I1265" s="876">
        <f>'REF. DE PREÇOS n editavel'!I1265</f>
        <v>14.58</v>
      </c>
      <c r="J1265" s="877">
        <f>'REF. DE PREÇOS n editavel'!J1265</f>
        <v>17.82</v>
      </c>
      <c r="K1265" s="878" t="s">
        <v>1500</v>
      </c>
      <c r="L1265" s="1092"/>
      <c r="M1265" s="1093">
        <f t="shared" si="142"/>
        <v>0</v>
      </c>
      <c r="N1265" s="868">
        <f t="shared" si="146"/>
        <v>0</v>
      </c>
      <c r="O1265" s="880"/>
      <c r="Q1265" s="317" t="str">
        <f t="shared" si="143"/>
        <v/>
      </c>
      <c r="R1265" s="317" t="str">
        <f t="shared" si="144"/>
        <v/>
      </c>
      <c r="S1265" s="317" t="str">
        <f t="shared" si="145"/>
        <v/>
      </c>
      <c r="T1265" s="317" t="str">
        <f>'REF. DE PREÇOS n editavel'!S1265</f>
        <v/>
      </c>
      <c r="W1265" s="577">
        <v>0</v>
      </c>
      <c r="X1265" s="575"/>
      <c r="Y1265" s="578">
        <f>IF('REF. DE PREÇOS n editavel'!W1265=0,0,IF('REF. DE PREÇOS n editavel'!W1265&gt;0,"c","b"))</f>
        <v>0</v>
      </c>
    </row>
    <row r="1266" spans="1:25" ht="22.5">
      <c r="A1266" s="317">
        <v>91951</v>
      </c>
      <c r="B1266" s="870">
        <v>91951</v>
      </c>
      <c r="C1266" s="871" t="s">
        <v>590</v>
      </c>
      <c r="D1266" s="881" t="s">
        <v>1180</v>
      </c>
      <c r="E1266" s="882">
        <f>'REF. DE PREÇOS n editavel'!E1266</f>
        <v>0</v>
      </c>
      <c r="F1266" s="883">
        <f>'REF. DE PREÇOS n editavel'!F1266</f>
        <v>0</v>
      </c>
      <c r="G1266" s="887">
        <f>'REF. DE PREÇOS n editavel'!G1266</f>
        <v>0</v>
      </c>
      <c r="H1266" s="876">
        <f>'REF. DE PREÇOS n editavel'!H1266</f>
        <v>13.19</v>
      </c>
      <c r="I1266" s="876">
        <f>'REF. DE PREÇOS n editavel'!I1266</f>
        <v>13.19</v>
      </c>
      <c r="J1266" s="877">
        <f>'REF. DE PREÇOS n editavel'!J1266</f>
        <v>16.12</v>
      </c>
      <c r="K1266" s="878" t="s">
        <v>1500</v>
      </c>
      <c r="L1266" s="1092"/>
      <c r="M1266" s="1093">
        <f t="shared" si="142"/>
        <v>0</v>
      </c>
      <c r="N1266" s="868">
        <f t="shared" si="146"/>
        <v>0</v>
      </c>
      <c r="O1266" s="880"/>
      <c r="Q1266" s="317" t="str">
        <f t="shared" si="143"/>
        <v/>
      </c>
      <c r="R1266" s="317" t="str">
        <f t="shared" si="144"/>
        <v/>
      </c>
      <c r="S1266" s="317" t="str">
        <f t="shared" si="145"/>
        <v/>
      </c>
      <c r="T1266" s="317" t="str">
        <f>'REF. DE PREÇOS n editavel'!S1266</f>
        <v/>
      </c>
      <c r="W1266" s="577">
        <v>0</v>
      </c>
      <c r="X1266" s="575"/>
      <c r="Y1266" s="578">
        <f>IF('REF. DE PREÇOS n editavel'!W1266=0,0,IF('REF. DE PREÇOS n editavel'!W1266&gt;0,"c","b"))</f>
        <v>0</v>
      </c>
    </row>
    <row r="1267" spans="1:25" ht="22.5">
      <c r="A1267" s="317">
        <v>101946</v>
      </c>
      <c r="B1267" s="870">
        <v>101946</v>
      </c>
      <c r="C1267" s="871" t="s">
        <v>590</v>
      </c>
      <c r="D1267" s="881" t="s">
        <v>1181</v>
      </c>
      <c r="E1267" s="882">
        <f>'REF. DE PREÇOS n editavel'!E1267</f>
        <v>0</v>
      </c>
      <c r="F1267" s="883">
        <f>'REF. DE PREÇOS n editavel'!F1267</f>
        <v>0</v>
      </c>
      <c r="G1267" s="887">
        <f>'REF. DE PREÇOS n editavel'!G1267</f>
        <v>0</v>
      </c>
      <c r="H1267" s="876">
        <f>'REF. DE PREÇOS n editavel'!H1267</f>
        <v>191.01</v>
      </c>
      <c r="I1267" s="876">
        <f>'REF. DE PREÇOS n editavel'!I1267</f>
        <v>191.01</v>
      </c>
      <c r="J1267" s="877">
        <f>'REF. DE PREÇOS n editavel'!J1267</f>
        <v>233.45</v>
      </c>
      <c r="K1267" s="878" t="s">
        <v>1500</v>
      </c>
      <c r="L1267" s="1092"/>
      <c r="M1267" s="1093">
        <f t="shared" si="142"/>
        <v>0</v>
      </c>
      <c r="N1267" s="868">
        <f t="shared" si="146"/>
        <v>0</v>
      </c>
      <c r="O1267" s="880"/>
      <c r="Q1267" s="317" t="str">
        <f t="shared" si="143"/>
        <v/>
      </c>
      <c r="R1267" s="317" t="str">
        <f t="shared" si="144"/>
        <v/>
      </c>
      <c r="S1267" s="317" t="str">
        <f t="shared" si="145"/>
        <v/>
      </c>
      <c r="T1267" s="317" t="str">
        <f>'REF. DE PREÇOS n editavel'!S1267</f>
        <v/>
      </c>
      <c r="W1267" s="577">
        <v>0</v>
      </c>
      <c r="X1267" s="575"/>
      <c r="Y1267" s="578">
        <f>IF('REF. DE PREÇOS n editavel'!W1267=0,0,IF('REF. DE PREÇOS n editavel'!W1267&gt;0,"c","b"))</f>
        <v>0</v>
      </c>
    </row>
    <row r="1268" spans="1:25" ht="22.5">
      <c r="A1268" s="317">
        <v>97362</v>
      </c>
      <c r="B1268" s="870">
        <v>97362</v>
      </c>
      <c r="C1268" s="871" t="s">
        <v>590</v>
      </c>
      <c r="D1268" s="881" t="s">
        <v>1182</v>
      </c>
      <c r="E1268" s="882">
        <f>'REF. DE PREÇOS n editavel'!E1268</f>
        <v>0</v>
      </c>
      <c r="F1268" s="883">
        <f>'REF. DE PREÇOS n editavel'!F1268</f>
        <v>0</v>
      </c>
      <c r="G1268" s="887">
        <f>'REF. DE PREÇOS n editavel'!G1268</f>
        <v>0</v>
      </c>
      <c r="H1268" s="876">
        <f>'REF. DE PREÇOS n editavel'!H1268</f>
        <v>2474.29</v>
      </c>
      <c r="I1268" s="876">
        <f>'REF. DE PREÇOS n editavel'!I1268</f>
        <v>2474.29</v>
      </c>
      <c r="J1268" s="877">
        <f>'REF. DE PREÇOS n editavel'!J1268</f>
        <v>3024.08</v>
      </c>
      <c r="K1268" s="878" t="s">
        <v>1500</v>
      </c>
      <c r="L1268" s="1092"/>
      <c r="M1268" s="1093">
        <f t="shared" si="142"/>
        <v>0</v>
      </c>
      <c r="N1268" s="868">
        <f t="shared" si="146"/>
        <v>0</v>
      </c>
      <c r="O1268" s="880"/>
      <c r="Q1268" s="317" t="str">
        <f t="shared" si="143"/>
        <v/>
      </c>
      <c r="R1268" s="317" t="str">
        <f t="shared" si="144"/>
        <v/>
      </c>
      <c r="S1268" s="317" t="str">
        <f t="shared" si="145"/>
        <v/>
      </c>
      <c r="T1268" s="317" t="str">
        <f>'REF. DE PREÇOS n editavel'!S1268</f>
        <v/>
      </c>
      <c r="W1268" s="577">
        <v>0</v>
      </c>
      <c r="X1268" s="575"/>
      <c r="Y1268" s="578">
        <f>IF('REF. DE PREÇOS n editavel'!W1268=0,0,IF('REF. DE PREÇOS n editavel'!W1268&gt;0,"c","b"))</f>
        <v>0</v>
      </c>
    </row>
    <row r="1269" spans="1:25" ht="22.5">
      <c r="A1269" s="317">
        <v>97359</v>
      </c>
      <c r="B1269" s="870">
        <v>97359</v>
      </c>
      <c r="C1269" s="871" t="s">
        <v>590</v>
      </c>
      <c r="D1269" s="881" t="s">
        <v>1183</v>
      </c>
      <c r="E1269" s="882">
        <f>'REF. DE PREÇOS n editavel'!E1269</f>
        <v>0</v>
      </c>
      <c r="F1269" s="883">
        <f>'REF. DE PREÇOS n editavel'!F1269</f>
        <v>0</v>
      </c>
      <c r="G1269" s="887">
        <f>'REF. DE PREÇOS n editavel'!G1269</f>
        <v>0</v>
      </c>
      <c r="H1269" s="876">
        <f>'REF. DE PREÇOS n editavel'!H1269</f>
        <v>4248.38</v>
      </c>
      <c r="I1269" s="876">
        <f>'REF. DE PREÇOS n editavel'!I1269</f>
        <v>4248.38</v>
      </c>
      <c r="J1269" s="877">
        <f>'REF. DE PREÇOS n editavel'!J1269</f>
        <v>5192.37</v>
      </c>
      <c r="K1269" s="878" t="s">
        <v>1500</v>
      </c>
      <c r="L1269" s="1092"/>
      <c r="M1269" s="1093">
        <f t="shared" si="142"/>
        <v>0</v>
      </c>
      <c r="N1269" s="868">
        <f t="shared" si="146"/>
        <v>0</v>
      </c>
      <c r="O1269" s="880"/>
      <c r="Q1269" s="317" t="str">
        <f t="shared" si="143"/>
        <v/>
      </c>
      <c r="R1269" s="317" t="str">
        <f t="shared" si="144"/>
        <v/>
      </c>
      <c r="S1269" s="317" t="str">
        <f t="shared" si="145"/>
        <v/>
      </c>
      <c r="T1269" s="317" t="str">
        <f>'REF. DE PREÇOS n editavel'!S1269</f>
        <v/>
      </c>
      <c r="W1269" s="577">
        <v>0</v>
      </c>
      <c r="X1269" s="575"/>
      <c r="Y1269" s="578">
        <f>IF('REF. DE PREÇOS n editavel'!W1269=0,0,IF('REF. DE PREÇOS n editavel'!W1269&gt;0,"c","b"))</f>
        <v>0</v>
      </c>
    </row>
    <row r="1270" spans="1:25" ht="22.5">
      <c r="A1270" s="317">
        <v>97360</v>
      </c>
      <c r="B1270" s="870">
        <v>97360</v>
      </c>
      <c r="C1270" s="871" t="s">
        <v>590</v>
      </c>
      <c r="D1270" s="881" t="s">
        <v>1184</v>
      </c>
      <c r="E1270" s="882">
        <f>'REF. DE PREÇOS n editavel'!E1270</f>
        <v>0</v>
      </c>
      <c r="F1270" s="883">
        <f>'REF. DE PREÇOS n editavel'!F1270</f>
        <v>0</v>
      </c>
      <c r="G1270" s="887">
        <f>'REF. DE PREÇOS n editavel'!G1270</f>
        <v>0</v>
      </c>
      <c r="H1270" s="876">
        <f>'REF. DE PREÇOS n editavel'!H1270</f>
        <v>8185.52</v>
      </c>
      <c r="I1270" s="876">
        <f>'REF. DE PREÇOS n editavel'!I1270</f>
        <v>8185.52</v>
      </c>
      <c r="J1270" s="877">
        <f>'REF. DE PREÇOS n editavel'!J1270</f>
        <v>10004.34</v>
      </c>
      <c r="K1270" s="878" t="s">
        <v>1500</v>
      </c>
      <c r="L1270" s="1092"/>
      <c r="M1270" s="1093">
        <f t="shared" si="142"/>
        <v>0</v>
      </c>
      <c r="N1270" s="868">
        <f t="shared" si="146"/>
        <v>0</v>
      </c>
      <c r="O1270" s="880"/>
      <c r="Q1270" s="317" t="str">
        <f t="shared" si="143"/>
        <v/>
      </c>
      <c r="R1270" s="317" t="str">
        <f t="shared" si="144"/>
        <v/>
      </c>
      <c r="S1270" s="317" t="str">
        <f t="shared" si="145"/>
        <v/>
      </c>
      <c r="T1270" s="317" t="str">
        <f>'REF. DE PREÇOS n editavel'!S1270</f>
        <v/>
      </c>
      <c r="W1270" s="577">
        <v>0</v>
      </c>
      <c r="X1270" s="575"/>
      <c r="Y1270" s="578">
        <f>IF('REF. DE PREÇOS n editavel'!W1270=0,0,IF('REF. DE PREÇOS n editavel'!W1270&gt;0,"c","b"))</f>
        <v>0</v>
      </c>
    </row>
    <row r="1271" spans="1:25" ht="22.5">
      <c r="A1271" s="317">
        <v>97361</v>
      </c>
      <c r="B1271" s="870">
        <v>97361</v>
      </c>
      <c r="C1271" s="871" t="s">
        <v>590</v>
      </c>
      <c r="D1271" s="881" t="s">
        <v>1185</v>
      </c>
      <c r="E1271" s="882">
        <f>'REF. DE PREÇOS n editavel'!E1271</f>
        <v>0</v>
      </c>
      <c r="F1271" s="883">
        <f>'REF. DE PREÇOS n editavel'!F1271</f>
        <v>0</v>
      </c>
      <c r="G1271" s="887">
        <f>'REF. DE PREÇOS n editavel'!G1271</f>
        <v>0</v>
      </c>
      <c r="H1271" s="876">
        <f>'REF. DE PREÇOS n editavel'!H1271</f>
        <v>10914.04</v>
      </c>
      <c r="I1271" s="876">
        <f>'REF. DE PREÇOS n editavel'!I1271</f>
        <v>10914.04</v>
      </c>
      <c r="J1271" s="877">
        <f>'REF. DE PREÇOS n editavel'!J1271</f>
        <v>13339.14</v>
      </c>
      <c r="K1271" s="878" t="s">
        <v>1500</v>
      </c>
      <c r="L1271" s="1092"/>
      <c r="M1271" s="1093">
        <f t="shared" si="142"/>
        <v>0</v>
      </c>
      <c r="N1271" s="868">
        <f t="shared" si="146"/>
        <v>0</v>
      </c>
      <c r="O1271" s="880"/>
      <c r="Q1271" s="317" t="str">
        <f t="shared" si="143"/>
        <v/>
      </c>
      <c r="R1271" s="317" t="str">
        <f t="shared" si="144"/>
        <v/>
      </c>
      <c r="S1271" s="317" t="str">
        <f t="shared" si="145"/>
        <v/>
      </c>
      <c r="T1271" s="317" t="str">
        <f>'REF. DE PREÇOS n editavel'!S1271</f>
        <v/>
      </c>
      <c r="W1271" s="577">
        <v>0</v>
      </c>
      <c r="X1271" s="575"/>
      <c r="Y1271" s="578">
        <f>IF('REF. DE PREÇOS n editavel'!W1271=0,0,IF('REF. DE PREÇOS n editavel'!W1271&gt;0,"c","b"))</f>
        <v>0</v>
      </c>
    </row>
    <row r="1272" spans="1:25" ht="33.75">
      <c r="A1272" s="317">
        <v>101875</v>
      </c>
      <c r="B1272" s="870">
        <v>101875</v>
      </c>
      <c r="C1272" s="871" t="s">
        <v>590</v>
      </c>
      <c r="D1272" s="881" t="s">
        <v>1186</v>
      </c>
      <c r="E1272" s="882">
        <f>'REF. DE PREÇOS n editavel'!E1272</f>
        <v>0</v>
      </c>
      <c r="F1272" s="883">
        <f>'REF. DE PREÇOS n editavel'!F1272</f>
        <v>0</v>
      </c>
      <c r="G1272" s="887">
        <f>'REF. DE PREÇOS n editavel'!G1272</f>
        <v>0</v>
      </c>
      <c r="H1272" s="876">
        <f>'REF. DE PREÇOS n editavel'!H1272</f>
        <v>527.42999999999995</v>
      </c>
      <c r="I1272" s="876">
        <f>'REF. DE PREÇOS n editavel'!I1272</f>
        <v>527.42999999999995</v>
      </c>
      <c r="J1272" s="877">
        <f>'REF. DE PREÇOS n editavel'!J1272</f>
        <v>644.62</v>
      </c>
      <c r="K1272" s="878" t="s">
        <v>1500</v>
      </c>
      <c r="L1272" s="1092"/>
      <c r="M1272" s="1093">
        <f t="shared" si="142"/>
        <v>0</v>
      </c>
      <c r="N1272" s="868">
        <f t="shared" si="146"/>
        <v>0</v>
      </c>
      <c r="O1272" s="880"/>
      <c r="Q1272" s="317" t="str">
        <f t="shared" si="143"/>
        <v/>
      </c>
      <c r="R1272" s="317" t="str">
        <f t="shared" si="144"/>
        <v/>
      </c>
      <c r="S1272" s="317" t="str">
        <f t="shared" si="145"/>
        <v/>
      </c>
      <c r="T1272" s="317" t="str">
        <f>'REF. DE PREÇOS n editavel'!S1272</f>
        <v/>
      </c>
      <c r="W1272" s="577">
        <v>0</v>
      </c>
      <c r="X1272" s="575"/>
      <c r="Y1272" s="578">
        <f>IF('REF. DE PREÇOS n editavel'!W1272=0,0,IF('REF. DE PREÇOS n editavel'!W1272&gt;0,"c","b"))</f>
        <v>0</v>
      </c>
    </row>
    <row r="1273" spans="1:25" ht="22.5">
      <c r="A1273" s="317">
        <v>101876</v>
      </c>
      <c r="B1273" s="870">
        <v>101876</v>
      </c>
      <c r="C1273" s="871" t="s">
        <v>590</v>
      </c>
      <c r="D1273" s="881" t="s">
        <v>1187</v>
      </c>
      <c r="E1273" s="882">
        <f>'REF. DE PREÇOS n editavel'!E1273</f>
        <v>0</v>
      </c>
      <c r="F1273" s="883">
        <f>'REF. DE PREÇOS n editavel'!F1273</f>
        <v>0</v>
      </c>
      <c r="G1273" s="887">
        <f>'REF. DE PREÇOS n editavel'!G1273</f>
        <v>0</v>
      </c>
      <c r="H1273" s="876">
        <f>'REF. DE PREÇOS n editavel'!H1273</f>
        <v>95.28</v>
      </c>
      <c r="I1273" s="876">
        <f>'REF. DE PREÇOS n editavel'!I1273</f>
        <v>95.28</v>
      </c>
      <c r="J1273" s="877">
        <f>'REF. DE PREÇOS n editavel'!J1273</f>
        <v>116.45</v>
      </c>
      <c r="K1273" s="878" t="s">
        <v>1500</v>
      </c>
      <c r="L1273" s="1092"/>
      <c r="M1273" s="1093">
        <f t="shared" si="142"/>
        <v>0</v>
      </c>
      <c r="N1273" s="868">
        <f t="shared" si="146"/>
        <v>0</v>
      </c>
      <c r="O1273" s="880"/>
      <c r="Q1273" s="317" t="str">
        <f t="shared" si="143"/>
        <v/>
      </c>
      <c r="R1273" s="317" t="str">
        <f t="shared" si="144"/>
        <v/>
      </c>
      <c r="S1273" s="317" t="str">
        <f t="shared" si="145"/>
        <v/>
      </c>
      <c r="T1273" s="317" t="str">
        <f>'REF. DE PREÇOS n editavel'!S1273</f>
        <v/>
      </c>
      <c r="W1273" s="577">
        <v>0</v>
      </c>
      <c r="X1273" s="575"/>
      <c r="Y1273" s="578">
        <f>IF('REF. DE PREÇOS n editavel'!W1273=0,0,IF('REF. DE PREÇOS n editavel'!W1273&gt;0,"c","b"))</f>
        <v>0</v>
      </c>
    </row>
    <row r="1274" spans="1:25" ht="22.5">
      <c r="A1274" s="317">
        <v>101877</v>
      </c>
      <c r="B1274" s="870">
        <v>101877</v>
      </c>
      <c r="C1274" s="871" t="s">
        <v>590</v>
      </c>
      <c r="D1274" s="881" t="s">
        <v>1188</v>
      </c>
      <c r="E1274" s="882">
        <f>'REF. DE PREÇOS n editavel'!E1274</f>
        <v>0</v>
      </c>
      <c r="F1274" s="883">
        <f>'REF. DE PREÇOS n editavel'!F1274</f>
        <v>0</v>
      </c>
      <c r="G1274" s="887">
        <f>'REF. DE PREÇOS n editavel'!G1274</f>
        <v>0</v>
      </c>
      <c r="H1274" s="876">
        <f>'REF. DE PREÇOS n editavel'!H1274</f>
        <v>65.819999999999993</v>
      </c>
      <c r="I1274" s="876">
        <f>'REF. DE PREÇOS n editavel'!I1274</f>
        <v>65.819999999999993</v>
      </c>
      <c r="J1274" s="877">
        <f>'REF. DE PREÇOS n editavel'!J1274</f>
        <v>80.45</v>
      </c>
      <c r="K1274" s="878" t="s">
        <v>1500</v>
      </c>
      <c r="L1274" s="1092"/>
      <c r="M1274" s="1093">
        <f t="shared" si="142"/>
        <v>0</v>
      </c>
      <c r="N1274" s="868">
        <f t="shared" si="146"/>
        <v>0</v>
      </c>
      <c r="O1274" s="880"/>
      <c r="Q1274" s="317" t="str">
        <f t="shared" si="143"/>
        <v/>
      </c>
      <c r="R1274" s="317" t="str">
        <f t="shared" si="144"/>
        <v/>
      </c>
      <c r="S1274" s="317" t="str">
        <f t="shared" si="145"/>
        <v/>
      </c>
      <c r="T1274" s="317" t="str">
        <f>'REF. DE PREÇOS n editavel'!S1274</f>
        <v/>
      </c>
      <c r="W1274" s="577">
        <v>0</v>
      </c>
      <c r="X1274" s="575"/>
      <c r="Y1274" s="578">
        <f>IF('REF. DE PREÇOS n editavel'!W1274=0,0,IF('REF. DE PREÇOS n editavel'!W1274&gt;0,"c","b"))</f>
        <v>0</v>
      </c>
    </row>
    <row r="1275" spans="1:25" ht="33.75">
      <c r="A1275" s="317">
        <v>101878</v>
      </c>
      <c r="B1275" s="870">
        <v>101878</v>
      </c>
      <c r="C1275" s="871" t="s">
        <v>590</v>
      </c>
      <c r="D1275" s="881" t="s">
        <v>1189</v>
      </c>
      <c r="E1275" s="882">
        <f>'REF. DE PREÇOS n editavel'!E1275</f>
        <v>0</v>
      </c>
      <c r="F1275" s="883">
        <f>'REF. DE PREÇOS n editavel'!F1275</f>
        <v>0</v>
      </c>
      <c r="G1275" s="887">
        <f>'REF. DE PREÇOS n editavel'!G1275</f>
        <v>0</v>
      </c>
      <c r="H1275" s="876">
        <f>'REF. DE PREÇOS n editavel'!H1275</f>
        <v>728.23</v>
      </c>
      <c r="I1275" s="876">
        <f>'REF. DE PREÇOS n editavel'!I1275</f>
        <v>728.23</v>
      </c>
      <c r="J1275" s="877">
        <f>'REF. DE PREÇOS n editavel'!J1275</f>
        <v>890.04</v>
      </c>
      <c r="K1275" s="878" t="s">
        <v>1500</v>
      </c>
      <c r="L1275" s="1092"/>
      <c r="M1275" s="1093">
        <f t="shared" si="142"/>
        <v>0</v>
      </c>
      <c r="N1275" s="868">
        <f t="shared" si="146"/>
        <v>0</v>
      </c>
      <c r="O1275" s="880"/>
      <c r="Q1275" s="317" t="str">
        <f t="shared" si="143"/>
        <v/>
      </c>
      <c r="R1275" s="317" t="str">
        <f t="shared" si="144"/>
        <v/>
      </c>
      <c r="S1275" s="317" t="str">
        <f t="shared" si="145"/>
        <v/>
      </c>
      <c r="T1275" s="317" t="str">
        <f>'REF. DE PREÇOS n editavel'!S1275</f>
        <v/>
      </c>
      <c r="W1275" s="577">
        <v>0</v>
      </c>
      <c r="X1275" s="575"/>
      <c r="Y1275" s="578">
        <f>IF('REF. DE PREÇOS n editavel'!W1275=0,0,IF('REF. DE PREÇOS n editavel'!W1275&gt;0,"c","b"))</f>
        <v>0</v>
      </c>
    </row>
    <row r="1276" spans="1:25" ht="33.75">
      <c r="A1276" s="317">
        <v>101879</v>
      </c>
      <c r="B1276" s="870">
        <v>101879</v>
      </c>
      <c r="C1276" s="871" t="s">
        <v>590</v>
      </c>
      <c r="D1276" s="881" t="s">
        <v>1190</v>
      </c>
      <c r="E1276" s="882">
        <f>'REF. DE PREÇOS n editavel'!E1276</f>
        <v>0</v>
      </c>
      <c r="F1276" s="883">
        <f>'REF. DE PREÇOS n editavel'!F1276</f>
        <v>0</v>
      </c>
      <c r="G1276" s="887">
        <f>'REF. DE PREÇOS n editavel'!G1276</f>
        <v>0</v>
      </c>
      <c r="H1276" s="876">
        <f>'REF. DE PREÇOS n editavel'!H1276</f>
        <v>764.5</v>
      </c>
      <c r="I1276" s="876">
        <f>'REF. DE PREÇOS n editavel'!I1276</f>
        <v>764.5</v>
      </c>
      <c r="J1276" s="877">
        <f>'REF. DE PREÇOS n editavel'!J1276</f>
        <v>934.37</v>
      </c>
      <c r="K1276" s="878" t="s">
        <v>1500</v>
      </c>
      <c r="L1276" s="1092"/>
      <c r="M1276" s="1093">
        <f t="shared" si="142"/>
        <v>0</v>
      </c>
      <c r="N1276" s="868">
        <f t="shared" si="146"/>
        <v>0</v>
      </c>
      <c r="O1276" s="880"/>
      <c r="Q1276" s="317" t="str">
        <f t="shared" si="143"/>
        <v/>
      </c>
      <c r="R1276" s="317" t="str">
        <f t="shared" si="144"/>
        <v/>
      </c>
      <c r="S1276" s="317" t="str">
        <f t="shared" si="145"/>
        <v/>
      </c>
      <c r="T1276" s="317" t="str">
        <f>'REF. DE PREÇOS n editavel'!S1276</f>
        <v/>
      </c>
      <c r="W1276" s="577">
        <v>0</v>
      </c>
      <c r="X1276" s="575"/>
      <c r="Y1276" s="578">
        <f>IF('REF. DE PREÇOS n editavel'!W1276=0,0,IF('REF. DE PREÇOS n editavel'!W1276&gt;0,"c","b"))</f>
        <v>0</v>
      </c>
    </row>
    <row r="1277" spans="1:25" ht="33.75">
      <c r="A1277" s="317">
        <v>101880</v>
      </c>
      <c r="B1277" s="870">
        <v>101880</v>
      </c>
      <c r="C1277" s="871" t="s">
        <v>590</v>
      </c>
      <c r="D1277" s="881" t="s">
        <v>1191</v>
      </c>
      <c r="E1277" s="882">
        <f>'REF. DE PREÇOS n editavel'!E1277</f>
        <v>0</v>
      </c>
      <c r="F1277" s="883">
        <f>'REF. DE PREÇOS n editavel'!F1277</f>
        <v>0</v>
      </c>
      <c r="G1277" s="887">
        <f>'REF. DE PREÇOS n editavel'!G1277</f>
        <v>0</v>
      </c>
      <c r="H1277" s="876">
        <f>'REF. DE PREÇOS n editavel'!H1277</f>
        <v>879.71</v>
      </c>
      <c r="I1277" s="876">
        <f>'REF. DE PREÇOS n editavel'!I1277</f>
        <v>879.71</v>
      </c>
      <c r="J1277" s="877">
        <f>'REF. DE PREÇOS n editavel'!J1277</f>
        <v>1075.18</v>
      </c>
      <c r="K1277" s="878" t="s">
        <v>1500</v>
      </c>
      <c r="L1277" s="1092"/>
      <c r="M1277" s="1093">
        <f t="shared" si="142"/>
        <v>0</v>
      </c>
      <c r="N1277" s="868">
        <f t="shared" si="146"/>
        <v>0</v>
      </c>
      <c r="O1277" s="880"/>
      <c r="Q1277" s="317" t="str">
        <f t="shared" si="143"/>
        <v/>
      </c>
      <c r="R1277" s="317" t="str">
        <f t="shared" si="144"/>
        <v/>
      </c>
      <c r="S1277" s="317" t="str">
        <f t="shared" si="145"/>
        <v/>
      </c>
      <c r="T1277" s="317" t="str">
        <f>'REF. DE PREÇOS n editavel'!S1277</f>
        <v/>
      </c>
      <c r="W1277" s="577">
        <v>0</v>
      </c>
      <c r="X1277" s="575"/>
      <c r="Y1277" s="578">
        <f>IF('REF. DE PREÇOS n editavel'!W1277=0,0,IF('REF. DE PREÇOS n editavel'!W1277&gt;0,"c","b"))</f>
        <v>0</v>
      </c>
    </row>
    <row r="1278" spans="1:25" ht="33.75">
      <c r="A1278" s="317">
        <v>101881</v>
      </c>
      <c r="B1278" s="870">
        <v>101881</v>
      </c>
      <c r="C1278" s="871" t="s">
        <v>590</v>
      </c>
      <c r="D1278" s="881" t="s">
        <v>1192</v>
      </c>
      <c r="E1278" s="882">
        <f>'REF. DE PREÇOS n editavel'!E1278</f>
        <v>0</v>
      </c>
      <c r="F1278" s="883">
        <f>'REF. DE PREÇOS n editavel'!F1278</f>
        <v>0</v>
      </c>
      <c r="G1278" s="887">
        <f>'REF. DE PREÇOS n editavel'!G1278</f>
        <v>0</v>
      </c>
      <c r="H1278" s="876">
        <f>'REF. DE PREÇOS n editavel'!H1278</f>
        <v>1267.3399999999999</v>
      </c>
      <c r="I1278" s="876">
        <f>'REF. DE PREÇOS n editavel'!I1278</f>
        <v>1267.3399999999999</v>
      </c>
      <c r="J1278" s="877">
        <f>'REF. DE PREÇOS n editavel'!J1278</f>
        <v>1548.94</v>
      </c>
      <c r="K1278" s="878" t="s">
        <v>1500</v>
      </c>
      <c r="L1278" s="1092"/>
      <c r="M1278" s="1093">
        <f t="shared" si="142"/>
        <v>0</v>
      </c>
      <c r="N1278" s="868">
        <f t="shared" si="146"/>
        <v>0</v>
      </c>
      <c r="O1278" s="880"/>
      <c r="Q1278" s="317" t="str">
        <f t="shared" si="143"/>
        <v/>
      </c>
      <c r="R1278" s="317" t="str">
        <f t="shared" si="144"/>
        <v/>
      </c>
      <c r="S1278" s="317" t="str">
        <f t="shared" si="145"/>
        <v/>
      </c>
      <c r="T1278" s="317" t="str">
        <f>'REF. DE PREÇOS n editavel'!S1278</f>
        <v/>
      </c>
      <c r="W1278" s="577">
        <v>0</v>
      </c>
      <c r="X1278" s="575"/>
      <c r="Y1278" s="578">
        <f>IF('REF. DE PREÇOS n editavel'!W1278=0,0,IF('REF. DE PREÇOS n editavel'!W1278&gt;0,"c","b"))</f>
        <v>0</v>
      </c>
    </row>
    <row r="1279" spans="1:25" ht="33.75">
      <c r="A1279" s="317">
        <v>101882</v>
      </c>
      <c r="B1279" s="870">
        <v>101882</v>
      </c>
      <c r="C1279" s="871" t="s">
        <v>590</v>
      </c>
      <c r="D1279" s="881" t="s">
        <v>1193</v>
      </c>
      <c r="E1279" s="882">
        <f>'REF. DE PREÇOS n editavel'!E1279</f>
        <v>0</v>
      </c>
      <c r="F1279" s="883">
        <f>'REF. DE PREÇOS n editavel'!F1279</f>
        <v>0</v>
      </c>
      <c r="G1279" s="887">
        <f>'REF. DE PREÇOS n editavel'!G1279</f>
        <v>0</v>
      </c>
      <c r="H1279" s="876">
        <f>'REF. DE PREÇOS n editavel'!H1279</f>
        <v>1801.44</v>
      </c>
      <c r="I1279" s="876">
        <f>'REF. DE PREÇOS n editavel'!I1279</f>
        <v>1801.44</v>
      </c>
      <c r="J1279" s="877">
        <f>'REF. DE PREÇOS n editavel'!J1279</f>
        <v>2201.7199999999998</v>
      </c>
      <c r="K1279" s="878" t="s">
        <v>1500</v>
      </c>
      <c r="L1279" s="1092"/>
      <c r="M1279" s="1093">
        <f t="shared" si="142"/>
        <v>0</v>
      </c>
      <c r="N1279" s="868">
        <f t="shared" si="146"/>
        <v>0</v>
      </c>
      <c r="O1279" s="880"/>
      <c r="Q1279" s="317" t="str">
        <f t="shared" si="143"/>
        <v/>
      </c>
      <c r="R1279" s="317" t="str">
        <f t="shared" si="144"/>
        <v/>
      </c>
      <c r="S1279" s="317" t="str">
        <f t="shared" si="145"/>
        <v/>
      </c>
      <c r="T1279" s="317" t="str">
        <f>'REF. DE PREÇOS n editavel'!S1279</f>
        <v/>
      </c>
      <c r="W1279" s="577">
        <v>0</v>
      </c>
      <c r="X1279" s="575"/>
      <c r="Y1279" s="578">
        <f>IF('REF. DE PREÇOS n editavel'!W1279=0,0,IF('REF. DE PREÇOS n editavel'!W1279&gt;0,"c","b"))</f>
        <v>0</v>
      </c>
    </row>
    <row r="1280" spans="1:25" ht="33.75">
      <c r="A1280" s="317">
        <v>101883</v>
      </c>
      <c r="B1280" s="870">
        <v>101883</v>
      </c>
      <c r="C1280" s="871" t="s">
        <v>590</v>
      </c>
      <c r="D1280" s="881" t="s">
        <v>1194</v>
      </c>
      <c r="E1280" s="882">
        <f>'REF. DE PREÇOS n editavel'!E1280</f>
        <v>0</v>
      </c>
      <c r="F1280" s="883">
        <f>'REF. DE PREÇOS n editavel'!F1280</f>
        <v>0</v>
      </c>
      <c r="G1280" s="887">
        <f>'REF. DE PREÇOS n editavel'!G1280</f>
        <v>0</v>
      </c>
      <c r="H1280" s="876">
        <f>'REF. DE PREÇOS n editavel'!H1280</f>
        <v>728.76</v>
      </c>
      <c r="I1280" s="876">
        <f>'REF. DE PREÇOS n editavel'!I1280</f>
        <v>728.76</v>
      </c>
      <c r="J1280" s="877">
        <f>'REF. DE PREÇOS n editavel'!J1280</f>
        <v>890.69</v>
      </c>
      <c r="K1280" s="878" t="s">
        <v>1500</v>
      </c>
      <c r="L1280" s="1092"/>
      <c r="M1280" s="1093">
        <f t="shared" si="142"/>
        <v>0</v>
      </c>
      <c r="N1280" s="868">
        <f t="shared" si="146"/>
        <v>0</v>
      </c>
      <c r="O1280" s="880"/>
      <c r="Q1280" s="317" t="str">
        <f t="shared" si="143"/>
        <v/>
      </c>
      <c r="R1280" s="317" t="str">
        <f t="shared" si="144"/>
        <v/>
      </c>
      <c r="S1280" s="317" t="str">
        <f t="shared" si="145"/>
        <v/>
      </c>
      <c r="T1280" s="317" t="str">
        <f>'REF. DE PREÇOS n editavel'!S1280</f>
        <v/>
      </c>
      <c r="W1280" s="577">
        <v>0</v>
      </c>
      <c r="X1280" s="575"/>
      <c r="Y1280" s="578">
        <f>IF('REF. DE PREÇOS n editavel'!W1280=0,0,IF('REF. DE PREÇOS n editavel'!W1280&gt;0,"c","b"))</f>
        <v>0</v>
      </c>
    </row>
    <row r="1281" spans="1:25">
      <c r="A1281" s="317">
        <v>101901</v>
      </c>
      <c r="B1281" s="870">
        <v>101901</v>
      </c>
      <c r="C1281" s="871" t="s">
        <v>590</v>
      </c>
      <c r="D1281" s="881" t="s">
        <v>1195</v>
      </c>
      <c r="E1281" s="882">
        <f>'REF. DE PREÇOS n editavel'!E1281</f>
        <v>0</v>
      </c>
      <c r="F1281" s="883">
        <f>'REF. DE PREÇOS n editavel'!F1281</f>
        <v>0</v>
      </c>
      <c r="G1281" s="887">
        <f>'REF. DE PREÇOS n editavel'!G1281</f>
        <v>0</v>
      </c>
      <c r="H1281" s="876">
        <f>'REF. DE PREÇOS n editavel'!H1281</f>
        <v>109.64</v>
      </c>
      <c r="I1281" s="876">
        <f>'REF. DE PREÇOS n editavel'!I1281</f>
        <v>109.64</v>
      </c>
      <c r="J1281" s="877">
        <f>'REF. DE PREÇOS n editavel'!J1281</f>
        <v>134</v>
      </c>
      <c r="K1281" s="878" t="s">
        <v>1500</v>
      </c>
      <c r="L1281" s="1092"/>
      <c r="M1281" s="1093">
        <f t="shared" si="142"/>
        <v>0</v>
      </c>
      <c r="N1281" s="868">
        <f t="shared" si="146"/>
        <v>0</v>
      </c>
      <c r="O1281" s="880"/>
      <c r="Q1281" s="317" t="str">
        <f t="shared" si="143"/>
        <v/>
      </c>
      <c r="R1281" s="317" t="str">
        <f t="shared" si="144"/>
        <v/>
      </c>
      <c r="S1281" s="317" t="str">
        <f t="shared" si="145"/>
        <v/>
      </c>
      <c r="T1281" s="317" t="str">
        <f>'REF. DE PREÇOS n editavel'!S1281</f>
        <v/>
      </c>
      <c r="W1281" s="577">
        <v>0</v>
      </c>
      <c r="X1281" s="575"/>
      <c r="Y1281" s="578">
        <f>IF('REF. DE PREÇOS n editavel'!W1281=0,0,IF('REF. DE PREÇOS n editavel'!W1281&gt;0,"c","b"))</f>
        <v>0</v>
      </c>
    </row>
    <row r="1282" spans="1:25">
      <c r="A1282" s="317">
        <v>101902</v>
      </c>
      <c r="B1282" s="870">
        <v>101902</v>
      </c>
      <c r="C1282" s="871" t="s">
        <v>590</v>
      </c>
      <c r="D1282" s="881" t="s">
        <v>1196</v>
      </c>
      <c r="E1282" s="882">
        <f>'REF. DE PREÇOS n editavel'!E1282</f>
        <v>0</v>
      </c>
      <c r="F1282" s="883">
        <f>'REF. DE PREÇOS n editavel'!F1282</f>
        <v>0</v>
      </c>
      <c r="G1282" s="887">
        <f>'REF. DE PREÇOS n editavel'!G1282</f>
        <v>0</v>
      </c>
      <c r="H1282" s="876">
        <f>'REF. DE PREÇOS n editavel'!H1282</f>
        <v>136.05000000000001</v>
      </c>
      <c r="I1282" s="876">
        <f>'REF. DE PREÇOS n editavel'!I1282</f>
        <v>136.05000000000001</v>
      </c>
      <c r="J1282" s="877">
        <f>'REF. DE PREÇOS n editavel'!J1282</f>
        <v>166.28</v>
      </c>
      <c r="K1282" s="878" t="s">
        <v>1500</v>
      </c>
      <c r="L1282" s="1092"/>
      <c r="M1282" s="1093">
        <f t="shared" si="142"/>
        <v>0</v>
      </c>
      <c r="N1282" s="868">
        <f t="shared" si="146"/>
        <v>0</v>
      </c>
      <c r="O1282" s="880"/>
      <c r="Q1282" s="317" t="str">
        <f t="shared" si="143"/>
        <v/>
      </c>
      <c r="R1282" s="317" t="str">
        <f t="shared" si="144"/>
        <v/>
      </c>
      <c r="S1282" s="317" t="str">
        <f t="shared" si="145"/>
        <v/>
      </c>
      <c r="T1282" s="317" t="str">
        <f>'REF. DE PREÇOS n editavel'!S1282</f>
        <v/>
      </c>
      <c r="W1282" s="577">
        <v>0</v>
      </c>
      <c r="X1282" s="575"/>
      <c r="Y1282" s="578">
        <f>IF('REF. DE PREÇOS n editavel'!W1282=0,0,IF('REF. DE PREÇOS n editavel'!W1282&gt;0,"c","b"))</f>
        <v>0</v>
      </c>
    </row>
    <row r="1283" spans="1:25">
      <c r="A1283" s="317">
        <v>101903</v>
      </c>
      <c r="B1283" s="870">
        <v>101903</v>
      </c>
      <c r="C1283" s="871" t="s">
        <v>590</v>
      </c>
      <c r="D1283" s="881" t="s">
        <v>1197</v>
      </c>
      <c r="E1283" s="882">
        <f>'REF. DE PREÇOS n editavel'!E1283</f>
        <v>0</v>
      </c>
      <c r="F1283" s="883">
        <f>'REF. DE PREÇOS n editavel'!F1283</f>
        <v>0</v>
      </c>
      <c r="G1283" s="887">
        <f>'REF. DE PREÇOS n editavel'!G1283</f>
        <v>0</v>
      </c>
      <c r="H1283" s="876">
        <f>'REF. DE PREÇOS n editavel'!H1283</f>
        <v>283.02</v>
      </c>
      <c r="I1283" s="876">
        <f>'REF. DE PREÇOS n editavel'!I1283</f>
        <v>283.02</v>
      </c>
      <c r="J1283" s="877">
        <f>'REF. DE PREÇOS n editavel'!J1283</f>
        <v>345.91</v>
      </c>
      <c r="K1283" s="878" t="s">
        <v>1500</v>
      </c>
      <c r="L1283" s="1092"/>
      <c r="M1283" s="1093">
        <f t="shared" si="142"/>
        <v>0</v>
      </c>
      <c r="N1283" s="868">
        <f t="shared" si="146"/>
        <v>0</v>
      </c>
      <c r="O1283" s="880"/>
      <c r="Q1283" s="317" t="str">
        <f t="shared" si="143"/>
        <v/>
      </c>
      <c r="R1283" s="317" t="str">
        <f t="shared" si="144"/>
        <v/>
      </c>
      <c r="S1283" s="317" t="str">
        <f t="shared" si="145"/>
        <v/>
      </c>
      <c r="T1283" s="317" t="str">
        <f>'REF. DE PREÇOS n editavel'!S1283</f>
        <v/>
      </c>
      <c r="W1283" s="577">
        <v>0</v>
      </c>
      <c r="X1283" s="575"/>
      <c r="Y1283" s="578">
        <f>IF('REF. DE PREÇOS n editavel'!W1283=0,0,IF('REF. DE PREÇOS n editavel'!W1283&gt;0,"c","b"))</f>
        <v>0</v>
      </c>
    </row>
    <row r="1284" spans="1:25">
      <c r="A1284" s="317">
        <v>101904</v>
      </c>
      <c r="B1284" s="870">
        <v>101904</v>
      </c>
      <c r="C1284" s="871" t="s">
        <v>590</v>
      </c>
      <c r="D1284" s="881" t="s">
        <v>1198</v>
      </c>
      <c r="E1284" s="882">
        <f>'REF. DE PREÇOS n editavel'!E1284</f>
        <v>0</v>
      </c>
      <c r="F1284" s="883">
        <f>'REF. DE PREÇOS n editavel'!F1284</f>
        <v>0</v>
      </c>
      <c r="G1284" s="887">
        <f>'REF. DE PREÇOS n editavel'!G1284</f>
        <v>0</v>
      </c>
      <c r="H1284" s="876">
        <f>'REF. DE PREÇOS n editavel'!H1284</f>
        <v>1021.61</v>
      </c>
      <c r="I1284" s="876">
        <f>'REF. DE PREÇOS n editavel'!I1284</f>
        <v>1021.61</v>
      </c>
      <c r="J1284" s="877">
        <f>'REF. DE PREÇOS n editavel'!J1284</f>
        <v>1248.6099999999999</v>
      </c>
      <c r="K1284" s="878" t="s">
        <v>1500</v>
      </c>
      <c r="L1284" s="1092"/>
      <c r="M1284" s="1093">
        <f t="shared" si="142"/>
        <v>0</v>
      </c>
      <c r="N1284" s="868">
        <f t="shared" si="146"/>
        <v>0</v>
      </c>
      <c r="O1284" s="880"/>
      <c r="Q1284" s="317" t="str">
        <f t="shared" si="143"/>
        <v/>
      </c>
      <c r="R1284" s="317" t="str">
        <f t="shared" si="144"/>
        <v/>
      </c>
      <c r="S1284" s="317" t="str">
        <f t="shared" si="145"/>
        <v/>
      </c>
      <c r="T1284" s="317" t="str">
        <f>'REF. DE PREÇOS n editavel'!S1284</f>
        <v/>
      </c>
      <c r="W1284" s="577">
        <v>0</v>
      </c>
      <c r="X1284" s="575"/>
      <c r="Y1284" s="578">
        <f>IF('REF. DE PREÇOS n editavel'!W1284=0,0,IF('REF. DE PREÇOS n editavel'!W1284&gt;0,"c","b"))</f>
        <v>0</v>
      </c>
    </row>
    <row r="1285" spans="1:25" ht="22.5">
      <c r="A1285" s="317">
        <v>93653</v>
      </c>
      <c r="B1285" s="870">
        <v>93653</v>
      </c>
      <c r="C1285" s="871" t="s">
        <v>590</v>
      </c>
      <c r="D1285" s="881" t="s">
        <v>1199</v>
      </c>
      <c r="E1285" s="882">
        <f>'REF. DE PREÇOS n editavel'!E1285</f>
        <v>0</v>
      </c>
      <c r="F1285" s="883">
        <f>'REF. DE PREÇOS n editavel'!F1285</f>
        <v>0</v>
      </c>
      <c r="G1285" s="887">
        <f>'REF. DE PREÇOS n editavel'!G1285</f>
        <v>0</v>
      </c>
      <c r="H1285" s="876">
        <f>'REF. DE PREÇOS n editavel'!H1285</f>
        <v>12.16</v>
      </c>
      <c r="I1285" s="876">
        <f>'REF. DE PREÇOS n editavel'!I1285</f>
        <v>12.16</v>
      </c>
      <c r="J1285" s="877">
        <f>'REF. DE PREÇOS n editavel'!J1285</f>
        <v>14.86</v>
      </c>
      <c r="K1285" s="878" t="s">
        <v>1500</v>
      </c>
      <c r="L1285" s="1092"/>
      <c r="M1285" s="1093">
        <f t="shared" si="142"/>
        <v>0</v>
      </c>
      <c r="N1285" s="868">
        <f t="shared" si="146"/>
        <v>0</v>
      </c>
      <c r="O1285" s="880"/>
      <c r="Q1285" s="317" t="str">
        <f t="shared" si="143"/>
        <v/>
      </c>
      <c r="R1285" s="317" t="str">
        <f t="shared" si="144"/>
        <v/>
      </c>
      <c r="S1285" s="317" t="str">
        <f t="shared" si="145"/>
        <v/>
      </c>
      <c r="T1285" s="317" t="str">
        <f>'REF. DE PREÇOS n editavel'!S1285</f>
        <v/>
      </c>
      <c r="W1285" s="577">
        <v>0</v>
      </c>
      <c r="X1285" s="575"/>
      <c r="Y1285" s="578">
        <f>IF('REF. DE PREÇOS n editavel'!W1285=0,0,IF('REF. DE PREÇOS n editavel'!W1285&gt;0,"c","b"))</f>
        <v>0</v>
      </c>
    </row>
    <row r="1286" spans="1:25" ht="22.5">
      <c r="A1286" s="317">
        <v>93654</v>
      </c>
      <c r="B1286" s="870">
        <v>93654</v>
      </c>
      <c r="C1286" s="871" t="s">
        <v>590</v>
      </c>
      <c r="D1286" s="881" t="s">
        <v>1200</v>
      </c>
      <c r="E1286" s="882">
        <f>'REF. DE PREÇOS n editavel'!E1286</f>
        <v>0</v>
      </c>
      <c r="F1286" s="883">
        <f>'REF. DE PREÇOS n editavel'!F1286</f>
        <v>0</v>
      </c>
      <c r="G1286" s="887">
        <f>'REF. DE PREÇOS n editavel'!G1286</f>
        <v>0</v>
      </c>
      <c r="H1286" s="876">
        <f>'REF. DE PREÇOS n editavel'!H1286</f>
        <v>12.9</v>
      </c>
      <c r="I1286" s="876">
        <f>'REF. DE PREÇOS n editavel'!I1286</f>
        <v>12.9</v>
      </c>
      <c r="J1286" s="877">
        <f>'REF. DE PREÇOS n editavel'!J1286</f>
        <v>15.77</v>
      </c>
      <c r="K1286" s="878" t="s">
        <v>1500</v>
      </c>
      <c r="L1286" s="1092"/>
      <c r="M1286" s="1093">
        <f t="shared" ref="M1286:M1349" si="147">IF(L1286=0,0,ROUND(J1286,2))</f>
        <v>0</v>
      </c>
      <c r="N1286" s="868">
        <f t="shared" si="146"/>
        <v>0</v>
      </c>
      <c r="O1286" s="880"/>
      <c r="Q1286" s="317" t="str">
        <f t="shared" si="143"/>
        <v/>
      </c>
      <c r="R1286" s="317" t="str">
        <f t="shared" si="144"/>
        <v/>
      </c>
      <c r="S1286" s="317" t="str">
        <f t="shared" si="145"/>
        <v/>
      </c>
      <c r="T1286" s="317" t="str">
        <f>'REF. DE PREÇOS n editavel'!S1286</f>
        <v/>
      </c>
      <c r="W1286" s="577">
        <v>0</v>
      </c>
      <c r="X1286" s="575"/>
      <c r="Y1286" s="578">
        <f>IF('REF. DE PREÇOS n editavel'!W1286=0,0,IF('REF. DE PREÇOS n editavel'!W1286&gt;0,"c","b"))</f>
        <v>0</v>
      </c>
    </row>
    <row r="1287" spans="1:25" ht="22.5">
      <c r="A1287" s="317">
        <v>93655</v>
      </c>
      <c r="B1287" s="870">
        <v>93655</v>
      </c>
      <c r="C1287" s="871" t="s">
        <v>590</v>
      </c>
      <c r="D1287" s="881" t="s">
        <v>1201</v>
      </c>
      <c r="E1287" s="882">
        <f>'REF. DE PREÇOS n editavel'!E1287</f>
        <v>0</v>
      </c>
      <c r="F1287" s="883">
        <f>'REF. DE PREÇOS n editavel'!F1287</f>
        <v>0</v>
      </c>
      <c r="G1287" s="887">
        <f>'REF. DE PREÇOS n editavel'!G1287</f>
        <v>0</v>
      </c>
      <c r="H1287" s="876">
        <f>'REF. DE PREÇOS n editavel'!H1287</f>
        <v>14.29</v>
      </c>
      <c r="I1287" s="876">
        <f>'REF. DE PREÇOS n editavel'!I1287</f>
        <v>14.29</v>
      </c>
      <c r="J1287" s="877">
        <f>'REF. DE PREÇOS n editavel'!J1287</f>
        <v>17.47</v>
      </c>
      <c r="K1287" s="878" t="s">
        <v>1500</v>
      </c>
      <c r="L1287" s="1092"/>
      <c r="M1287" s="1093">
        <f t="shared" si="147"/>
        <v>0</v>
      </c>
      <c r="N1287" s="868">
        <f t="shared" si="146"/>
        <v>0</v>
      </c>
      <c r="O1287" s="880"/>
      <c r="Q1287" s="317" t="str">
        <f t="shared" si="143"/>
        <v/>
      </c>
      <c r="R1287" s="317" t="str">
        <f t="shared" si="144"/>
        <v/>
      </c>
      <c r="S1287" s="317" t="str">
        <f t="shared" si="145"/>
        <v/>
      </c>
      <c r="T1287" s="317" t="str">
        <f>'REF. DE PREÇOS n editavel'!S1287</f>
        <v/>
      </c>
      <c r="W1287" s="577">
        <v>0</v>
      </c>
      <c r="X1287" s="575"/>
      <c r="Y1287" s="578">
        <f>IF('REF. DE PREÇOS n editavel'!W1287=0,0,IF('REF. DE PREÇOS n editavel'!W1287&gt;0,"c","b"))</f>
        <v>0</v>
      </c>
    </row>
    <row r="1288" spans="1:25" ht="22.5">
      <c r="A1288" s="317">
        <v>93656</v>
      </c>
      <c r="B1288" s="870">
        <v>93656</v>
      </c>
      <c r="C1288" s="871" t="s">
        <v>590</v>
      </c>
      <c r="D1288" s="881" t="s">
        <v>1202</v>
      </c>
      <c r="E1288" s="882">
        <f>'REF. DE PREÇOS n editavel'!E1288</f>
        <v>0</v>
      </c>
      <c r="F1288" s="883">
        <f>'REF. DE PREÇOS n editavel'!F1288</f>
        <v>0</v>
      </c>
      <c r="G1288" s="887">
        <f>'REF. DE PREÇOS n editavel'!G1288</f>
        <v>0</v>
      </c>
      <c r="H1288" s="876">
        <f>'REF. DE PREÇOS n editavel'!H1288</f>
        <v>14.29</v>
      </c>
      <c r="I1288" s="876">
        <f>'REF. DE PREÇOS n editavel'!I1288</f>
        <v>14.29</v>
      </c>
      <c r="J1288" s="877">
        <f>'REF. DE PREÇOS n editavel'!J1288</f>
        <v>17.47</v>
      </c>
      <c r="K1288" s="878" t="s">
        <v>1500</v>
      </c>
      <c r="L1288" s="1092"/>
      <c r="M1288" s="1093">
        <f t="shared" si="147"/>
        <v>0</v>
      </c>
      <c r="N1288" s="868">
        <f t="shared" si="146"/>
        <v>0</v>
      </c>
      <c r="O1288" s="880"/>
      <c r="Q1288" s="317" t="str">
        <f t="shared" si="143"/>
        <v/>
      </c>
      <c r="R1288" s="317" t="str">
        <f t="shared" si="144"/>
        <v/>
      </c>
      <c r="S1288" s="317" t="str">
        <f t="shared" si="145"/>
        <v/>
      </c>
      <c r="T1288" s="317" t="str">
        <f>'REF. DE PREÇOS n editavel'!S1288</f>
        <v/>
      </c>
      <c r="W1288" s="577">
        <v>0</v>
      </c>
      <c r="X1288" s="575"/>
      <c r="Y1288" s="578">
        <f>IF('REF. DE PREÇOS n editavel'!W1288=0,0,IF('REF. DE PREÇOS n editavel'!W1288&gt;0,"c","b"))</f>
        <v>0</v>
      </c>
    </row>
    <row r="1289" spans="1:25" ht="22.5">
      <c r="A1289" s="317">
        <v>93657</v>
      </c>
      <c r="B1289" s="870">
        <v>93657</v>
      </c>
      <c r="C1289" s="871" t="s">
        <v>590</v>
      </c>
      <c r="D1289" s="881" t="s">
        <v>1203</v>
      </c>
      <c r="E1289" s="882">
        <f>'REF. DE PREÇOS n editavel'!E1289</f>
        <v>0</v>
      </c>
      <c r="F1289" s="883">
        <f>'REF. DE PREÇOS n editavel'!F1289</f>
        <v>0</v>
      </c>
      <c r="G1289" s="887">
        <f>'REF. DE PREÇOS n editavel'!G1289</f>
        <v>0</v>
      </c>
      <c r="H1289" s="876">
        <f>'REF. DE PREÇOS n editavel'!H1289</f>
        <v>15.99</v>
      </c>
      <c r="I1289" s="876">
        <f>'REF. DE PREÇOS n editavel'!I1289</f>
        <v>15.99</v>
      </c>
      <c r="J1289" s="877">
        <f>'REF. DE PREÇOS n editavel'!J1289</f>
        <v>19.54</v>
      </c>
      <c r="K1289" s="878" t="s">
        <v>1500</v>
      </c>
      <c r="L1289" s="1092"/>
      <c r="M1289" s="1093">
        <f t="shared" si="147"/>
        <v>0</v>
      </c>
      <c r="N1289" s="868">
        <f t="shared" si="146"/>
        <v>0</v>
      </c>
      <c r="O1289" s="880"/>
      <c r="Q1289" s="317" t="str">
        <f t="shared" si="143"/>
        <v/>
      </c>
      <c r="R1289" s="317" t="str">
        <f t="shared" si="144"/>
        <v/>
      </c>
      <c r="S1289" s="317" t="str">
        <f t="shared" si="145"/>
        <v/>
      </c>
      <c r="T1289" s="317" t="str">
        <f>'REF. DE PREÇOS n editavel'!S1289</f>
        <v/>
      </c>
      <c r="W1289" s="577">
        <v>0</v>
      </c>
      <c r="X1289" s="575"/>
      <c r="Y1289" s="578">
        <f>IF('REF. DE PREÇOS n editavel'!W1289=0,0,IF('REF. DE PREÇOS n editavel'!W1289&gt;0,"c","b"))</f>
        <v>0</v>
      </c>
    </row>
    <row r="1290" spans="1:25" ht="22.5">
      <c r="A1290" s="317">
        <v>93658</v>
      </c>
      <c r="B1290" s="870">
        <v>93658</v>
      </c>
      <c r="C1290" s="871" t="s">
        <v>590</v>
      </c>
      <c r="D1290" s="881" t="s">
        <v>1204</v>
      </c>
      <c r="E1290" s="882">
        <f>'REF. DE PREÇOS n editavel'!E1290</f>
        <v>0</v>
      </c>
      <c r="F1290" s="883">
        <f>'REF. DE PREÇOS n editavel'!F1290</f>
        <v>0</v>
      </c>
      <c r="G1290" s="887">
        <f>'REF. DE PREÇOS n editavel'!G1290</f>
        <v>0</v>
      </c>
      <c r="H1290" s="876">
        <f>'REF. DE PREÇOS n editavel'!H1290</f>
        <v>23.17</v>
      </c>
      <c r="I1290" s="876">
        <f>'REF. DE PREÇOS n editavel'!I1290</f>
        <v>23.17</v>
      </c>
      <c r="J1290" s="877">
        <f>'REF. DE PREÇOS n editavel'!J1290</f>
        <v>28.32</v>
      </c>
      <c r="K1290" s="878" t="s">
        <v>1500</v>
      </c>
      <c r="L1290" s="1092"/>
      <c r="M1290" s="1093">
        <f t="shared" si="147"/>
        <v>0</v>
      </c>
      <c r="N1290" s="868">
        <f t="shared" si="146"/>
        <v>0</v>
      </c>
      <c r="O1290" s="880"/>
      <c r="Q1290" s="317" t="str">
        <f t="shared" si="143"/>
        <v/>
      </c>
      <c r="R1290" s="317" t="str">
        <f t="shared" si="144"/>
        <v/>
      </c>
      <c r="S1290" s="317" t="str">
        <f t="shared" si="145"/>
        <v/>
      </c>
      <c r="T1290" s="317" t="str">
        <f>'REF. DE PREÇOS n editavel'!S1290</f>
        <v/>
      </c>
      <c r="W1290" s="577">
        <v>0</v>
      </c>
      <c r="X1290" s="575"/>
      <c r="Y1290" s="578">
        <f>IF('REF. DE PREÇOS n editavel'!W1290=0,0,IF('REF. DE PREÇOS n editavel'!W1290&gt;0,"c","b"))</f>
        <v>0</v>
      </c>
    </row>
    <row r="1291" spans="1:25" ht="22.5">
      <c r="A1291" s="317">
        <v>93659</v>
      </c>
      <c r="B1291" s="870">
        <v>93659</v>
      </c>
      <c r="C1291" s="871" t="s">
        <v>590</v>
      </c>
      <c r="D1291" s="881" t="s">
        <v>1205</v>
      </c>
      <c r="E1291" s="882">
        <f>'REF. DE PREÇOS n editavel'!E1291</f>
        <v>0</v>
      </c>
      <c r="F1291" s="883">
        <f>'REF. DE PREÇOS n editavel'!F1291</f>
        <v>0</v>
      </c>
      <c r="G1291" s="887">
        <f>'REF. DE PREÇOS n editavel'!G1291</f>
        <v>0</v>
      </c>
      <c r="H1291" s="876">
        <f>'REF. DE PREÇOS n editavel'!H1291</f>
        <v>26.68</v>
      </c>
      <c r="I1291" s="876">
        <f>'REF. DE PREÇOS n editavel'!I1291</f>
        <v>26.68</v>
      </c>
      <c r="J1291" s="877">
        <f>'REF. DE PREÇOS n editavel'!J1291</f>
        <v>32.61</v>
      </c>
      <c r="K1291" s="878" t="s">
        <v>1500</v>
      </c>
      <c r="L1291" s="1092"/>
      <c r="M1291" s="1093">
        <f t="shared" si="147"/>
        <v>0</v>
      </c>
      <c r="N1291" s="868">
        <f t="shared" si="146"/>
        <v>0</v>
      </c>
      <c r="O1291" s="880"/>
      <c r="Q1291" s="317" t="str">
        <f t="shared" si="143"/>
        <v/>
      </c>
      <c r="R1291" s="317" t="str">
        <f t="shared" si="144"/>
        <v/>
      </c>
      <c r="S1291" s="317" t="str">
        <f t="shared" si="145"/>
        <v/>
      </c>
      <c r="T1291" s="317" t="str">
        <f>'REF. DE PREÇOS n editavel'!S1291</f>
        <v/>
      </c>
      <c r="W1291" s="577">
        <v>0</v>
      </c>
      <c r="X1291" s="575"/>
      <c r="Y1291" s="578">
        <f>IF('REF. DE PREÇOS n editavel'!W1291=0,0,IF('REF. DE PREÇOS n editavel'!W1291&gt;0,"c","b"))</f>
        <v>0</v>
      </c>
    </row>
    <row r="1292" spans="1:25" ht="22.5">
      <c r="A1292" s="317">
        <v>101890</v>
      </c>
      <c r="B1292" s="870">
        <v>101890</v>
      </c>
      <c r="C1292" s="871" t="s">
        <v>590</v>
      </c>
      <c r="D1292" s="881" t="s">
        <v>1206</v>
      </c>
      <c r="E1292" s="882">
        <f>'REF. DE PREÇOS n editavel'!E1292</f>
        <v>0</v>
      </c>
      <c r="F1292" s="883">
        <f>'REF. DE PREÇOS n editavel'!F1292</f>
        <v>0</v>
      </c>
      <c r="G1292" s="887">
        <f>'REF. DE PREÇOS n editavel'!G1292</f>
        <v>0</v>
      </c>
      <c r="H1292" s="876">
        <f>'REF. DE PREÇOS n editavel'!H1292</f>
        <v>17</v>
      </c>
      <c r="I1292" s="876">
        <f>'REF. DE PREÇOS n editavel'!I1292</f>
        <v>17</v>
      </c>
      <c r="J1292" s="877">
        <f>'REF. DE PREÇOS n editavel'!J1292</f>
        <v>20.78</v>
      </c>
      <c r="K1292" s="878" t="s">
        <v>1500</v>
      </c>
      <c r="L1292" s="1092"/>
      <c r="M1292" s="1093">
        <f t="shared" si="147"/>
        <v>0</v>
      </c>
      <c r="N1292" s="868">
        <f t="shared" si="146"/>
        <v>0</v>
      </c>
      <c r="O1292" s="880"/>
      <c r="Q1292" s="317" t="str">
        <f t="shared" si="143"/>
        <v/>
      </c>
      <c r="R1292" s="317" t="str">
        <f t="shared" si="144"/>
        <v/>
      </c>
      <c r="S1292" s="317" t="str">
        <f t="shared" si="145"/>
        <v/>
      </c>
      <c r="T1292" s="317" t="str">
        <f>'REF. DE PREÇOS n editavel'!S1292</f>
        <v/>
      </c>
      <c r="W1292" s="577">
        <v>0</v>
      </c>
      <c r="X1292" s="575"/>
      <c r="Y1292" s="578">
        <f>IF('REF. DE PREÇOS n editavel'!W1292=0,0,IF('REF. DE PREÇOS n editavel'!W1292&gt;0,"c","b"))</f>
        <v>0</v>
      </c>
    </row>
    <row r="1293" spans="1:25" ht="22.5">
      <c r="A1293" s="317">
        <v>101891</v>
      </c>
      <c r="B1293" s="870">
        <v>101891</v>
      </c>
      <c r="C1293" s="871" t="s">
        <v>590</v>
      </c>
      <c r="D1293" s="881" t="s">
        <v>1207</v>
      </c>
      <c r="E1293" s="882">
        <f>'REF. DE PREÇOS n editavel'!E1293</f>
        <v>0</v>
      </c>
      <c r="F1293" s="883">
        <f>'REF. DE PREÇOS n editavel'!F1293</f>
        <v>0</v>
      </c>
      <c r="G1293" s="887">
        <f>'REF. DE PREÇOS n editavel'!G1293</f>
        <v>0</v>
      </c>
      <c r="H1293" s="876">
        <f>'REF. DE PREÇOS n editavel'!H1293</f>
        <v>29.51</v>
      </c>
      <c r="I1293" s="876">
        <f>'REF. DE PREÇOS n editavel'!I1293</f>
        <v>29.51</v>
      </c>
      <c r="J1293" s="877">
        <f>'REF. DE PREÇOS n editavel'!J1293</f>
        <v>36.07</v>
      </c>
      <c r="K1293" s="878" t="s">
        <v>1500</v>
      </c>
      <c r="L1293" s="1092"/>
      <c r="M1293" s="1093">
        <f t="shared" si="147"/>
        <v>0</v>
      </c>
      <c r="N1293" s="868">
        <f t="shared" si="146"/>
        <v>0</v>
      </c>
      <c r="O1293" s="880"/>
      <c r="Q1293" s="317" t="str">
        <f t="shared" si="143"/>
        <v/>
      </c>
      <c r="R1293" s="317" t="str">
        <f t="shared" si="144"/>
        <v/>
      </c>
      <c r="S1293" s="317" t="str">
        <f t="shared" si="145"/>
        <v/>
      </c>
      <c r="T1293" s="317" t="str">
        <f>'REF. DE PREÇOS n editavel'!S1293</f>
        <v/>
      </c>
      <c r="W1293" s="577">
        <v>0</v>
      </c>
      <c r="X1293" s="575"/>
      <c r="Y1293" s="578">
        <f>IF('REF. DE PREÇOS n editavel'!W1293=0,0,IF('REF. DE PREÇOS n editavel'!W1293&gt;0,"c","b"))</f>
        <v>0</v>
      </c>
    </row>
    <row r="1294" spans="1:25" ht="22.5">
      <c r="A1294" s="317">
        <v>93660</v>
      </c>
      <c r="B1294" s="870">
        <v>93660</v>
      </c>
      <c r="C1294" s="871" t="s">
        <v>590</v>
      </c>
      <c r="D1294" s="881" t="s">
        <v>1208</v>
      </c>
      <c r="E1294" s="882">
        <f>'REF. DE PREÇOS n editavel'!E1294</f>
        <v>0</v>
      </c>
      <c r="F1294" s="883">
        <f>'REF. DE PREÇOS n editavel'!F1294</f>
        <v>0</v>
      </c>
      <c r="G1294" s="887">
        <f>'REF. DE PREÇOS n editavel'!G1294</f>
        <v>0</v>
      </c>
      <c r="H1294" s="876">
        <f>'REF. DE PREÇOS n editavel'!H1294</f>
        <v>58.62</v>
      </c>
      <c r="I1294" s="876">
        <f>'REF. DE PREÇOS n editavel'!I1294</f>
        <v>58.62</v>
      </c>
      <c r="J1294" s="877">
        <f>'REF. DE PREÇOS n editavel'!J1294</f>
        <v>71.650000000000006</v>
      </c>
      <c r="K1294" s="878" t="s">
        <v>1500</v>
      </c>
      <c r="L1294" s="1092"/>
      <c r="M1294" s="1093">
        <f t="shared" si="147"/>
        <v>0</v>
      </c>
      <c r="N1294" s="868">
        <f t="shared" si="146"/>
        <v>0</v>
      </c>
      <c r="O1294" s="880"/>
      <c r="Q1294" s="317" t="str">
        <f t="shared" si="143"/>
        <v/>
      </c>
      <c r="R1294" s="317" t="str">
        <f t="shared" si="144"/>
        <v/>
      </c>
      <c r="S1294" s="317" t="str">
        <f t="shared" si="145"/>
        <v/>
      </c>
      <c r="T1294" s="317" t="str">
        <f>'REF. DE PREÇOS n editavel'!S1294</f>
        <v/>
      </c>
      <c r="W1294" s="577">
        <v>0</v>
      </c>
      <c r="X1294" s="575"/>
      <c r="Y1294" s="578">
        <f>IF('REF. DE PREÇOS n editavel'!W1294=0,0,IF('REF. DE PREÇOS n editavel'!W1294&gt;0,"c","b"))</f>
        <v>0</v>
      </c>
    </row>
    <row r="1295" spans="1:25" ht="22.5">
      <c r="A1295" s="317">
        <v>93661</v>
      </c>
      <c r="B1295" s="870">
        <v>93661</v>
      </c>
      <c r="C1295" s="871" t="s">
        <v>590</v>
      </c>
      <c r="D1295" s="881" t="s">
        <v>1209</v>
      </c>
      <c r="E1295" s="882">
        <f>'REF. DE PREÇOS n editavel'!E1295</f>
        <v>0</v>
      </c>
      <c r="F1295" s="883">
        <f>'REF. DE PREÇOS n editavel'!F1295</f>
        <v>0</v>
      </c>
      <c r="G1295" s="887">
        <f>'REF. DE PREÇOS n editavel'!G1295</f>
        <v>0</v>
      </c>
      <c r="H1295" s="876">
        <f>'REF. DE PREÇOS n editavel'!H1295</f>
        <v>60.11</v>
      </c>
      <c r="I1295" s="876">
        <f>'REF. DE PREÇOS n editavel'!I1295</f>
        <v>60.11</v>
      </c>
      <c r="J1295" s="877">
        <f>'REF. DE PREÇOS n editavel'!J1295</f>
        <v>73.47</v>
      </c>
      <c r="K1295" s="878" t="s">
        <v>1500</v>
      </c>
      <c r="L1295" s="1092"/>
      <c r="M1295" s="1093">
        <f t="shared" si="147"/>
        <v>0</v>
      </c>
      <c r="N1295" s="868">
        <f t="shared" si="146"/>
        <v>0</v>
      </c>
      <c r="O1295" s="880"/>
      <c r="Q1295" s="317" t="str">
        <f t="shared" si="143"/>
        <v/>
      </c>
      <c r="R1295" s="317" t="str">
        <f t="shared" si="144"/>
        <v/>
      </c>
      <c r="S1295" s="317" t="str">
        <f t="shared" si="145"/>
        <v/>
      </c>
      <c r="T1295" s="317" t="str">
        <f>'REF. DE PREÇOS n editavel'!S1295</f>
        <v/>
      </c>
      <c r="W1295" s="577">
        <v>0</v>
      </c>
      <c r="X1295" s="575"/>
      <c r="Y1295" s="578">
        <f>IF('REF. DE PREÇOS n editavel'!W1295=0,0,IF('REF. DE PREÇOS n editavel'!W1295&gt;0,"c","b"))</f>
        <v>0</v>
      </c>
    </row>
    <row r="1296" spans="1:25" ht="22.5">
      <c r="A1296" s="317">
        <v>93662</v>
      </c>
      <c r="B1296" s="870">
        <v>93662</v>
      </c>
      <c r="C1296" s="871" t="s">
        <v>590</v>
      </c>
      <c r="D1296" s="881" t="s">
        <v>1210</v>
      </c>
      <c r="E1296" s="882">
        <f>'REF. DE PREÇOS n editavel'!E1296</f>
        <v>0</v>
      </c>
      <c r="F1296" s="883">
        <f>'REF. DE PREÇOS n editavel'!F1296</f>
        <v>0</v>
      </c>
      <c r="G1296" s="887">
        <f>'REF. DE PREÇOS n editavel'!G1296</f>
        <v>0</v>
      </c>
      <c r="H1296" s="876">
        <f>'REF. DE PREÇOS n editavel'!H1296</f>
        <v>62.87</v>
      </c>
      <c r="I1296" s="876">
        <f>'REF. DE PREÇOS n editavel'!I1296</f>
        <v>62.87</v>
      </c>
      <c r="J1296" s="877">
        <f>'REF. DE PREÇOS n editavel'!J1296</f>
        <v>76.84</v>
      </c>
      <c r="K1296" s="878" t="s">
        <v>1500</v>
      </c>
      <c r="L1296" s="1092"/>
      <c r="M1296" s="1093">
        <f t="shared" si="147"/>
        <v>0</v>
      </c>
      <c r="N1296" s="868">
        <f t="shared" si="146"/>
        <v>0</v>
      </c>
      <c r="O1296" s="880"/>
      <c r="Q1296" s="317" t="str">
        <f t="shared" si="143"/>
        <v/>
      </c>
      <c r="R1296" s="317" t="str">
        <f t="shared" si="144"/>
        <v/>
      </c>
      <c r="S1296" s="317" t="str">
        <f t="shared" si="145"/>
        <v/>
      </c>
      <c r="T1296" s="317" t="str">
        <f>'REF. DE PREÇOS n editavel'!S1296</f>
        <v/>
      </c>
      <c r="W1296" s="577">
        <v>0</v>
      </c>
      <c r="X1296" s="575"/>
      <c r="Y1296" s="578">
        <f>IF('REF. DE PREÇOS n editavel'!W1296=0,0,IF('REF. DE PREÇOS n editavel'!W1296&gt;0,"c","b"))</f>
        <v>0</v>
      </c>
    </row>
    <row r="1297" spans="1:25" ht="22.5">
      <c r="A1297" s="317">
        <v>93663</v>
      </c>
      <c r="B1297" s="870">
        <v>93663</v>
      </c>
      <c r="C1297" s="871" t="s">
        <v>590</v>
      </c>
      <c r="D1297" s="881" t="s">
        <v>1211</v>
      </c>
      <c r="E1297" s="882">
        <f>'REF. DE PREÇOS n editavel'!E1297</f>
        <v>0</v>
      </c>
      <c r="F1297" s="883">
        <f>'REF. DE PREÇOS n editavel'!F1297</f>
        <v>0</v>
      </c>
      <c r="G1297" s="887">
        <f>'REF. DE PREÇOS n editavel'!G1297</f>
        <v>0</v>
      </c>
      <c r="H1297" s="876">
        <f>'REF. DE PREÇOS n editavel'!H1297</f>
        <v>62.87</v>
      </c>
      <c r="I1297" s="876">
        <f>'REF. DE PREÇOS n editavel'!I1297</f>
        <v>62.87</v>
      </c>
      <c r="J1297" s="877">
        <f>'REF. DE PREÇOS n editavel'!J1297</f>
        <v>76.84</v>
      </c>
      <c r="K1297" s="878" t="s">
        <v>1500</v>
      </c>
      <c r="L1297" s="1092"/>
      <c r="M1297" s="1093">
        <f t="shared" si="147"/>
        <v>0</v>
      </c>
      <c r="N1297" s="868">
        <f t="shared" si="146"/>
        <v>0</v>
      </c>
      <c r="O1297" s="880"/>
      <c r="Q1297" s="317" t="str">
        <f t="shared" ref="Q1297:Q1360" si="148">IF(P1297="X","x",IF(P1297="xx","x",IF(P1297="xy","x",IF(P1297="y","x",IF(OR(N1297&gt;0,N1297&gt;0),"x","")))))</f>
        <v/>
      </c>
      <c r="R1297" s="317" t="str">
        <f t="shared" si="144"/>
        <v/>
      </c>
      <c r="S1297" s="317" t="str">
        <f t="shared" si="145"/>
        <v/>
      </c>
      <c r="T1297" s="317" t="str">
        <f>'REF. DE PREÇOS n editavel'!S1297</f>
        <v/>
      </c>
      <c r="W1297" s="577">
        <v>0</v>
      </c>
      <c r="X1297" s="575"/>
      <c r="Y1297" s="578">
        <f>IF('REF. DE PREÇOS n editavel'!W1297=0,0,IF('REF. DE PREÇOS n editavel'!W1297&gt;0,"c","b"))</f>
        <v>0</v>
      </c>
    </row>
    <row r="1298" spans="1:25" ht="22.5">
      <c r="A1298" s="317">
        <v>93664</v>
      </c>
      <c r="B1298" s="870">
        <v>93664</v>
      </c>
      <c r="C1298" s="871" t="s">
        <v>590</v>
      </c>
      <c r="D1298" s="881" t="s">
        <v>1212</v>
      </c>
      <c r="E1298" s="882">
        <f>'REF. DE PREÇOS n editavel'!E1298</f>
        <v>0</v>
      </c>
      <c r="F1298" s="883">
        <f>'REF. DE PREÇOS n editavel'!F1298</f>
        <v>0</v>
      </c>
      <c r="G1298" s="887">
        <f>'REF. DE PREÇOS n editavel'!G1298</f>
        <v>0</v>
      </c>
      <c r="H1298" s="876">
        <f>'REF. DE PREÇOS n editavel'!H1298</f>
        <v>66.28</v>
      </c>
      <c r="I1298" s="876">
        <f>'REF. DE PREÇOS n editavel'!I1298</f>
        <v>66.28</v>
      </c>
      <c r="J1298" s="877">
        <f>'REF. DE PREÇOS n editavel'!J1298</f>
        <v>81.010000000000005</v>
      </c>
      <c r="K1298" s="878" t="s">
        <v>1500</v>
      </c>
      <c r="L1298" s="1092"/>
      <c r="M1298" s="1093">
        <f t="shared" si="147"/>
        <v>0</v>
      </c>
      <c r="N1298" s="868">
        <f t="shared" si="146"/>
        <v>0</v>
      </c>
      <c r="O1298" s="880"/>
      <c r="Q1298" s="317" t="str">
        <f t="shared" si="148"/>
        <v/>
      </c>
      <c r="R1298" s="317" t="str">
        <f t="shared" si="144"/>
        <v/>
      </c>
      <c r="S1298" s="317" t="str">
        <f t="shared" si="145"/>
        <v/>
      </c>
      <c r="T1298" s="317" t="str">
        <f>'REF. DE PREÇOS n editavel'!S1298</f>
        <v/>
      </c>
      <c r="W1298" s="577">
        <v>0</v>
      </c>
      <c r="X1298" s="575"/>
      <c r="Y1298" s="578">
        <f>IF('REF. DE PREÇOS n editavel'!W1298=0,0,IF('REF. DE PREÇOS n editavel'!W1298&gt;0,"c","b"))</f>
        <v>0</v>
      </c>
    </row>
    <row r="1299" spans="1:25" ht="22.5">
      <c r="A1299" s="317">
        <v>93665</v>
      </c>
      <c r="B1299" s="870">
        <v>93665</v>
      </c>
      <c r="C1299" s="871" t="s">
        <v>590</v>
      </c>
      <c r="D1299" s="881" t="s">
        <v>1213</v>
      </c>
      <c r="E1299" s="882">
        <f>'REF. DE PREÇOS n editavel'!E1299</f>
        <v>0</v>
      </c>
      <c r="F1299" s="883">
        <f>'REF. DE PREÇOS n editavel'!F1299</f>
        <v>0</v>
      </c>
      <c r="G1299" s="887">
        <f>'REF. DE PREÇOS n editavel'!G1299</f>
        <v>0</v>
      </c>
      <c r="H1299" s="876">
        <f>'REF. DE PREÇOS n editavel'!H1299</f>
        <v>70.98</v>
      </c>
      <c r="I1299" s="876">
        <f>'REF. DE PREÇOS n editavel'!I1299</f>
        <v>70.98</v>
      </c>
      <c r="J1299" s="877">
        <f>'REF. DE PREÇOS n editavel'!J1299</f>
        <v>86.75</v>
      </c>
      <c r="K1299" s="878" t="s">
        <v>1500</v>
      </c>
      <c r="L1299" s="1092"/>
      <c r="M1299" s="1093">
        <f t="shared" si="147"/>
        <v>0</v>
      </c>
      <c r="N1299" s="868">
        <f t="shared" si="146"/>
        <v>0</v>
      </c>
      <c r="O1299" s="880"/>
      <c r="Q1299" s="317" t="str">
        <f t="shared" si="148"/>
        <v/>
      </c>
      <c r="R1299" s="317" t="str">
        <f t="shared" ref="R1299:R1362" si="149">IF(P1299="X","x",IF(P1299="y","x",IF(P1299="xx","x",IF(N1299&gt;0,"x",""))))</f>
        <v/>
      </c>
      <c r="S1299" s="317" t="str">
        <f t="shared" ref="S1299:S1362" si="150">IF(P1299="X","x",IF(N1299&gt;0,"x",""))</f>
        <v/>
      </c>
      <c r="T1299" s="317" t="str">
        <f>'REF. DE PREÇOS n editavel'!S1299</f>
        <v/>
      </c>
      <c r="W1299" s="577">
        <v>0</v>
      </c>
      <c r="X1299" s="575"/>
      <c r="Y1299" s="578">
        <f>IF('REF. DE PREÇOS n editavel'!W1299=0,0,IF('REF. DE PREÇOS n editavel'!W1299&gt;0,"c","b"))</f>
        <v>0</v>
      </c>
    </row>
    <row r="1300" spans="1:25" ht="22.5">
      <c r="A1300" s="317">
        <v>93666</v>
      </c>
      <c r="B1300" s="870">
        <v>93666</v>
      </c>
      <c r="C1300" s="871" t="s">
        <v>590</v>
      </c>
      <c r="D1300" s="881" t="s">
        <v>1214</v>
      </c>
      <c r="E1300" s="882">
        <f>'REF. DE PREÇOS n editavel'!E1300</f>
        <v>0</v>
      </c>
      <c r="F1300" s="883">
        <f>'REF. DE PREÇOS n editavel'!F1300</f>
        <v>0</v>
      </c>
      <c r="G1300" s="887">
        <f>'REF. DE PREÇOS n editavel'!G1300</f>
        <v>0</v>
      </c>
      <c r="H1300" s="876">
        <f>'REF. DE PREÇOS n editavel'!H1300</f>
        <v>77.989999999999995</v>
      </c>
      <c r="I1300" s="876">
        <f>'REF. DE PREÇOS n editavel'!I1300</f>
        <v>77.989999999999995</v>
      </c>
      <c r="J1300" s="877">
        <f>'REF. DE PREÇOS n editavel'!J1300</f>
        <v>95.32</v>
      </c>
      <c r="K1300" s="878" t="s">
        <v>1500</v>
      </c>
      <c r="L1300" s="1092"/>
      <c r="M1300" s="1093">
        <f t="shared" si="147"/>
        <v>0</v>
      </c>
      <c r="N1300" s="868">
        <f t="shared" si="146"/>
        <v>0</v>
      </c>
      <c r="O1300" s="880"/>
      <c r="Q1300" s="317" t="str">
        <f t="shared" si="148"/>
        <v/>
      </c>
      <c r="R1300" s="317" t="str">
        <f t="shared" si="149"/>
        <v/>
      </c>
      <c r="S1300" s="317" t="str">
        <f t="shared" si="150"/>
        <v/>
      </c>
      <c r="T1300" s="317" t="str">
        <f>'REF. DE PREÇOS n editavel'!S1300</f>
        <v/>
      </c>
      <c r="W1300" s="577">
        <v>0</v>
      </c>
      <c r="X1300" s="575"/>
      <c r="Y1300" s="578">
        <f>IF('REF. DE PREÇOS n editavel'!W1300=0,0,IF('REF. DE PREÇOS n editavel'!W1300&gt;0,"c","b"))</f>
        <v>0</v>
      </c>
    </row>
    <row r="1301" spans="1:25" ht="22.5">
      <c r="A1301" s="317">
        <v>101892</v>
      </c>
      <c r="B1301" s="870">
        <v>101892</v>
      </c>
      <c r="C1301" s="871" t="s">
        <v>590</v>
      </c>
      <c r="D1301" s="881" t="s">
        <v>1215</v>
      </c>
      <c r="E1301" s="882">
        <f>'REF. DE PREÇOS n editavel'!E1301</f>
        <v>0</v>
      </c>
      <c r="F1301" s="883">
        <f>'REF. DE PREÇOS n editavel'!F1301</f>
        <v>0</v>
      </c>
      <c r="G1301" s="887">
        <f>'REF. DE PREÇOS n editavel'!G1301</f>
        <v>0</v>
      </c>
      <c r="H1301" s="876">
        <f>'REF. DE PREÇOS n editavel'!H1301</f>
        <v>74.239999999999995</v>
      </c>
      <c r="I1301" s="876">
        <f>'REF. DE PREÇOS n editavel'!I1301</f>
        <v>74.239999999999995</v>
      </c>
      <c r="J1301" s="877">
        <f>'REF. DE PREÇOS n editavel'!J1301</f>
        <v>90.74</v>
      </c>
      <c r="K1301" s="878" t="s">
        <v>1500</v>
      </c>
      <c r="L1301" s="1092"/>
      <c r="M1301" s="1093">
        <f t="shared" si="147"/>
        <v>0</v>
      </c>
      <c r="N1301" s="868">
        <f t="shared" si="146"/>
        <v>0</v>
      </c>
      <c r="O1301" s="880"/>
      <c r="Q1301" s="317" t="str">
        <f t="shared" si="148"/>
        <v/>
      </c>
      <c r="R1301" s="317" t="str">
        <f t="shared" si="149"/>
        <v/>
      </c>
      <c r="S1301" s="317" t="str">
        <f t="shared" si="150"/>
        <v/>
      </c>
      <c r="T1301" s="317" t="str">
        <f>'REF. DE PREÇOS n editavel'!S1301</f>
        <v/>
      </c>
      <c r="W1301" s="577">
        <v>0</v>
      </c>
      <c r="X1301" s="575"/>
      <c r="Y1301" s="578">
        <f>IF('REF. DE PREÇOS n editavel'!W1301=0,0,IF('REF. DE PREÇOS n editavel'!W1301&gt;0,"c","b"))</f>
        <v>0</v>
      </c>
    </row>
    <row r="1302" spans="1:25" ht="22.5">
      <c r="A1302" s="317">
        <v>93667</v>
      </c>
      <c r="B1302" s="870">
        <v>93667</v>
      </c>
      <c r="C1302" s="871" t="s">
        <v>590</v>
      </c>
      <c r="D1302" s="881" t="s">
        <v>1216</v>
      </c>
      <c r="E1302" s="882">
        <f>'REF. DE PREÇOS n editavel'!E1302</f>
        <v>0</v>
      </c>
      <c r="F1302" s="883">
        <f>'REF. DE PREÇOS n editavel'!F1302</f>
        <v>0</v>
      </c>
      <c r="G1302" s="887">
        <f>'REF. DE PREÇOS n editavel'!G1302</f>
        <v>0</v>
      </c>
      <c r="H1302" s="876">
        <f>'REF. DE PREÇOS n editavel'!H1302</f>
        <v>73.459999999999994</v>
      </c>
      <c r="I1302" s="876">
        <f>'REF. DE PREÇOS n editavel'!I1302</f>
        <v>73.459999999999994</v>
      </c>
      <c r="J1302" s="877">
        <f>'REF. DE PREÇOS n editavel'!J1302</f>
        <v>89.78</v>
      </c>
      <c r="K1302" s="878" t="s">
        <v>1500</v>
      </c>
      <c r="L1302" s="1092"/>
      <c r="M1302" s="1093">
        <f t="shared" si="147"/>
        <v>0</v>
      </c>
      <c r="N1302" s="868">
        <f t="shared" si="146"/>
        <v>0</v>
      </c>
      <c r="O1302" s="880"/>
      <c r="Q1302" s="317" t="str">
        <f t="shared" si="148"/>
        <v/>
      </c>
      <c r="R1302" s="317" t="str">
        <f t="shared" si="149"/>
        <v/>
      </c>
      <c r="S1302" s="317" t="str">
        <f t="shared" si="150"/>
        <v/>
      </c>
      <c r="T1302" s="317" t="str">
        <f>'REF. DE PREÇOS n editavel'!S1302</f>
        <v/>
      </c>
      <c r="W1302" s="577">
        <v>0</v>
      </c>
      <c r="X1302" s="575"/>
      <c r="Y1302" s="578">
        <f>IF('REF. DE PREÇOS n editavel'!W1302=0,0,IF('REF. DE PREÇOS n editavel'!W1302&gt;0,"c","b"))</f>
        <v>0</v>
      </c>
    </row>
    <row r="1303" spans="1:25" ht="22.5">
      <c r="A1303" s="317">
        <v>93668</v>
      </c>
      <c r="B1303" s="870">
        <v>93668</v>
      </c>
      <c r="C1303" s="871" t="s">
        <v>590</v>
      </c>
      <c r="D1303" s="881" t="s">
        <v>1217</v>
      </c>
      <c r="E1303" s="882">
        <f>'REF. DE PREÇOS n editavel'!E1303</f>
        <v>0</v>
      </c>
      <c r="F1303" s="883">
        <f>'REF. DE PREÇOS n editavel'!F1303</f>
        <v>0</v>
      </c>
      <c r="G1303" s="887">
        <f>'REF. DE PREÇOS n editavel'!G1303</f>
        <v>0</v>
      </c>
      <c r="H1303" s="876">
        <f>'REF. DE PREÇOS n editavel'!H1303</f>
        <v>75.7</v>
      </c>
      <c r="I1303" s="876">
        <f>'REF. DE PREÇOS n editavel'!I1303</f>
        <v>75.7</v>
      </c>
      <c r="J1303" s="877">
        <f>'REF. DE PREÇOS n editavel'!J1303</f>
        <v>92.52</v>
      </c>
      <c r="K1303" s="878" t="s">
        <v>1500</v>
      </c>
      <c r="L1303" s="1092"/>
      <c r="M1303" s="1093">
        <f t="shared" si="147"/>
        <v>0</v>
      </c>
      <c r="N1303" s="868">
        <f t="shared" ref="N1303:N1366" si="151">IF(ISBLANK(L1303),0,IF(W1303=0,ROUND(L1303*M1303,2),IF(W1303="b",ROUNDDOWN(L1303*M1303,2),ROUNDUP(L1303*M1303,2))))</f>
        <v>0</v>
      </c>
      <c r="O1303" s="880"/>
      <c r="Q1303" s="317" t="str">
        <f t="shared" si="148"/>
        <v/>
      </c>
      <c r="R1303" s="317" t="str">
        <f t="shared" si="149"/>
        <v/>
      </c>
      <c r="S1303" s="317" t="str">
        <f t="shared" si="150"/>
        <v/>
      </c>
      <c r="T1303" s="317" t="str">
        <f>'REF. DE PREÇOS n editavel'!S1303</f>
        <v/>
      </c>
      <c r="W1303" s="577">
        <v>0</v>
      </c>
      <c r="X1303" s="575"/>
      <c r="Y1303" s="578">
        <f>IF('REF. DE PREÇOS n editavel'!W1303=0,0,IF('REF. DE PREÇOS n editavel'!W1303&gt;0,"c","b"))</f>
        <v>0</v>
      </c>
    </row>
    <row r="1304" spans="1:25" ht="22.5">
      <c r="A1304" s="317">
        <v>93669</v>
      </c>
      <c r="B1304" s="870">
        <v>93669</v>
      </c>
      <c r="C1304" s="871" t="s">
        <v>590</v>
      </c>
      <c r="D1304" s="881" t="s">
        <v>1218</v>
      </c>
      <c r="E1304" s="882">
        <f>'REF. DE PREÇOS n editavel'!E1304</f>
        <v>0</v>
      </c>
      <c r="F1304" s="883">
        <f>'REF. DE PREÇOS n editavel'!F1304</f>
        <v>0</v>
      </c>
      <c r="G1304" s="887">
        <f>'REF. DE PREÇOS n editavel'!G1304</f>
        <v>0</v>
      </c>
      <c r="H1304" s="876">
        <f>'REF. DE PREÇOS n editavel'!H1304</f>
        <v>79.84</v>
      </c>
      <c r="I1304" s="876">
        <f>'REF. DE PREÇOS n editavel'!I1304</f>
        <v>79.84</v>
      </c>
      <c r="J1304" s="877">
        <f>'REF. DE PREÇOS n editavel'!J1304</f>
        <v>97.58</v>
      </c>
      <c r="K1304" s="878" t="s">
        <v>1500</v>
      </c>
      <c r="L1304" s="1092"/>
      <c r="M1304" s="1093">
        <f t="shared" si="147"/>
        <v>0</v>
      </c>
      <c r="N1304" s="868">
        <f t="shared" si="151"/>
        <v>0</v>
      </c>
      <c r="O1304" s="880"/>
      <c r="Q1304" s="317" t="str">
        <f t="shared" si="148"/>
        <v/>
      </c>
      <c r="R1304" s="317" t="str">
        <f t="shared" si="149"/>
        <v/>
      </c>
      <c r="S1304" s="317" t="str">
        <f t="shared" si="150"/>
        <v/>
      </c>
      <c r="T1304" s="317" t="str">
        <f>'REF. DE PREÇOS n editavel'!S1304</f>
        <v/>
      </c>
      <c r="W1304" s="577">
        <v>0</v>
      </c>
      <c r="X1304" s="575"/>
      <c r="Y1304" s="578">
        <f>IF('REF. DE PREÇOS n editavel'!W1304=0,0,IF('REF. DE PREÇOS n editavel'!W1304&gt;0,"c","b"))</f>
        <v>0</v>
      </c>
    </row>
    <row r="1305" spans="1:25" ht="22.5">
      <c r="A1305" s="317">
        <v>93670</v>
      </c>
      <c r="B1305" s="870">
        <v>93670</v>
      </c>
      <c r="C1305" s="871" t="s">
        <v>590</v>
      </c>
      <c r="D1305" s="881" t="s">
        <v>1219</v>
      </c>
      <c r="E1305" s="882">
        <f>'REF. DE PREÇOS n editavel'!E1305</f>
        <v>0</v>
      </c>
      <c r="F1305" s="883">
        <f>'REF. DE PREÇOS n editavel'!F1305</f>
        <v>0</v>
      </c>
      <c r="G1305" s="887">
        <f>'REF. DE PREÇOS n editavel'!G1305</f>
        <v>0</v>
      </c>
      <c r="H1305" s="876">
        <f>'REF. DE PREÇOS n editavel'!H1305</f>
        <v>79.84</v>
      </c>
      <c r="I1305" s="876">
        <f>'REF. DE PREÇOS n editavel'!I1305</f>
        <v>79.84</v>
      </c>
      <c r="J1305" s="877">
        <f>'REF. DE PREÇOS n editavel'!J1305</f>
        <v>97.58</v>
      </c>
      <c r="K1305" s="878" t="s">
        <v>1500</v>
      </c>
      <c r="L1305" s="1092"/>
      <c r="M1305" s="1093">
        <f t="shared" si="147"/>
        <v>0</v>
      </c>
      <c r="N1305" s="868">
        <f t="shared" si="151"/>
        <v>0</v>
      </c>
      <c r="O1305" s="880"/>
      <c r="Q1305" s="317" t="str">
        <f t="shared" si="148"/>
        <v/>
      </c>
      <c r="R1305" s="317" t="str">
        <f t="shared" si="149"/>
        <v/>
      </c>
      <c r="S1305" s="317" t="str">
        <f t="shared" si="150"/>
        <v/>
      </c>
      <c r="T1305" s="317" t="str">
        <f>'REF. DE PREÇOS n editavel'!S1305</f>
        <v/>
      </c>
      <c r="W1305" s="577">
        <v>0</v>
      </c>
      <c r="X1305" s="575"/>
      <c r="Y1305" s="578">
        <f>IF('REF. DE PREÇOS n editavel'!W1305=0,0,IF('REF. DE PREÇOS n editavel'!W1305&gt;0,"c","b"))</f>
        <v>0</v>
      </c>
    </row>
    <row r="1306" spans="1:25" ht="22.5">
      <c r="A1306" s="317">
        <v>93671</v>
      </c>
      <c r="B1306" s="870">
        <v>93671</v>
      </c>
      <c r="C1306" s="871" t="s">
        <v>590</v>
      </c>
      <c r="D1306" s="881" t="s">
        <v>1220</v>
      </c>
      <c r="E1306" s="882">
        <f>'REF. DE PREÇOS n editavel'!E1306</f>
        <v>0</v>
      </c>
      <c r="F1306" s="883">
        <f>'REF. DE PREÇOS n editavel'!F1306</f>
        <v>0</v>
      </c>
      <c r="G1306" s="887">
        <f>'REF. DE PREÇOS n editavel'!G1306</f>
        <v>0</v>
      </c>
      <c r="H1306" s="876">
        <f>'REF. DE PREÇOS n editavel'!H1306</f>
        <v>84.94</v>
      </c>
      <c r="I1306" s="876">
        <f>'REF. DE PREÇOS n editavel'!I1306</f>
        <v>84.94</v>
      </c>
      <c r="J1306" s="877">
        <f>'REF. DE PREÇOS n editavel'!J1306</f>
        <v>103.81</v>
      </c>
      <c r="K1306" s="878" t="s">
        <v>1500</v>
      </c>
      <c r="L1306" s="1092"/>
      <c r="M1306" s="1093">
        <f t="shared" si="147"/>
        <v>0</v>
      </c>
      <c r="N1306" s="868">
        <f t="shared" si="151"/>
        <v>0</v>
      </c>
      <c r="O1306" s="880"/>
      <c r="Q1306" s="317" t="str">
        <f t="shared" si="148"/>
        <v/>
      </c>
      <c r="R1306" s="317" t="str">
        <f t="shared" si="149"/>
        <v/>
      </c>
      <c r="S1306" s="317" t="str">
        <f t="shared" si="150"/>
        <v/>
      </c>
      <c r="T1306" s="317" t="str">
        <f>'REF. DE PREÇOS n editavel'!S1306</f>
        <v/>
      </c>
      <c r="W1306" s="577">
        <v>0</v>
      </c>
      <c r="X1306" s="575"/>
      <c r="Y1306" s="578">
        <f>IF('REF. DE PREÇOS n editavel'!W1306=0,0,IF('REF. DE PREÇOS n editavel'!W1306&gt;0,"c","b"))</f>
        <v>0</v>
      </c>
    </row>
    <row r="1307" spans="1:25" ht="22.5">
      <c r="A1307" s="317">
        <v>93672</v>
      </c>
      <c r="B1307" s="870">
        <v>93672</v>
      </c>
      <c r="C1307" s="871" t="s">
        <v>590</v>
      </c>
      <c r="D1307" s="881" t="s">
        <v>1221</v>
      </c>
      <c r="E1307" s="882">
        <f>'REF. DE PREÇOS n editavel'!E1307</f>
        <v>0</v>
      </c>
      <c r="F1307" s="883">
        <f>'REF. DE PREÇOS n editavel'!F1307</f>
        <v>0</v>
      </c>
      <c r="G1307" s="887">
        <f>'REF. DE PREÇOS n editavel'!G1307</f>
        <v>0</v>
      </c>
      <c r="H1307" s="876">
        <f>'REF. DE PREÇOS n editavel'!H1307</f>
        <v>93.21</v>
      </c>
      <c r="I1307" s="876">
        <f>'REF. DE PREÇOS n editavel'!I1307</f>
        <v>93.21</v>
      </c>
      <c r="J1307" s="877">
        <f>'REF. DE PREÇOS n editavel'!J1307</f>
        <v>113.92</v>
      </c>
      <c r="K1307" s="878" t="s">
        <v>1500</v>
      </c>
      <c r="L1307" s="1092"/>
      <c r="M1307" s="1093">
        <f t="shared" si="147"/>
        <v>0</v>
      </c>
      <c r="N1307" s="868">
        <f t="shared" si="151"/>
        <v>0</v>
      </c>
      <c r="O1307" s="880"/>
      <c r="Q1307" s="317" t="str">
        <f t="shared" si="148"/>
        <v/>
      </c>
      <c r="R1307" s="317" t="str">
        <f t="shared" si="149"/>
        <v/>
      </c>
      <c r="S1307" s="317" t="str">
        <f t="shared" si="150"/>
        <v/>
      </c>
      <c r="T1307" s="317" t="str">
        <f>'REF. DE PREÇOS n editavel'!S1307</f>
        <v/>
      </c>
      <c r="W1307" s="577">
        <v>0</v>
      </c>
      <c r="X1307" s="575"/>
      <c r="Y1307" s="578">
        <f>IF('REF. DE PREÇOS n editavel'!W1307=0,0,IF('REF. DE PREÇOS n editavel'!W1307&gt;0,"c","b"))</f>
        <v>0</v>
      </c>
    </row>
    <row r="1308" spans="1:25" ht="22.5">
      <c r="A1308" s="317">
        <v>93673</v>
      </c>
      <c r="B1308" s="870">
        <v>93673</v>
      </c>
      <c r="C1308" s="871" t="s">
        <v>590</v>
      </c>
      <c r="D1308" s="881" t="s">
        <v>1222</v>
      </c>
      <c r="E1308" s="882">
        <f>'REF. DE PREÇOS n editavel'!E1308</f>
        <v>0</v>
      </c>
      <c r="F1308" s="883">
        <f>'REF. DE PREÇOS n editavel'!F1308</f>
        <v>0</v>
      </c>
      <c r="G1308" s="887">
        <f>'REF. DE PREÇOS n editavel'!G1308</f>
        <v>0</v>
      </c>
      <c r="H1308" s="876">
        <f>'REF. DE PREÇOS n editavel'!H1308</f>
        <v>103.75</v>
      </c>
      <c r="I1308" s="876">
        <f>'REF. DE PREÇOS n editavel'!I1308</f>
        <v>103.75</v>
      </c>
      <c r="J1308" s="877">
        <f>'REF. DE PREÇOS n editavel'!J1308</f>
        <v>126.8</v>
      </c>
      <c r="K1308" s="878" t="s">
        <v>1500</v>
      </c>
      <c r="L1308" s="1092"/>
      <c r="M1308" s="1093">
        <f t="shared" si="147"/>
        <v>0</v>
      </c>
      <c r="N1308" s="868">
        <f t="shared" si="151"/>
        <v>0</v>
      </c>
      <c r="O1308" s="880"/>
      <c r="Q1308" s="317" t="str">
        <f t="shared" si="148"/>
        <v/>
      </c>
      <c r="R1308" s="317" t="str">
        <f t="shared" si="149"/>
        <v/>
      </c>
      <c r="S1308" s="317" t="str">
        <f t="shared" si="150"/>
        <v/>
      </c>
      <c r="T1308" s="317" t="str">
        <f>'REF. DE PREÇOS n editavel'!S1308</f>
        <v/>
      </c>
      <c r="W1308" s="577">
        <v>0</v>
      </c>
      <c r="X1308" s="575"/>
      <c r="Y1308" s="578">
        <f>IF('REF. DE PREÇOS n editavel'!W1308=0,0,IF('REF. DE PREÇOS n editavel'!W1308&gt;0,"c","b"))</f>
        <v>0</v>
      </c>
    </row>
    <row r="1309" spans="1:25" ht="22.5">
      <c r="A1309" s="317">
        <v>101893</v>
      </c>
      <c r="B1309" s="870">
        <v>101893</v>
      </c>
      <c r="C1309" s="871" t="s">
        <v>590</v>
      </c>
      <c r="D1309" s="881" t="s">
        <v>1223</v>
      </c>
      <c r="E1309" s="882">
        <f>'REF. DE PREÇOS n editavel'!E1309</f>
        <v>0</v>
      </c>
      <c r="F1309" s="883">
        <f>'REF. DE PREÇOS n editavel'!F1309</f>
        <v>0</v>
      </c>
      <c r="G1309" s="887">
        <f>'REF. DE PREÇOS n editavel'!G1309</f>
        <v>0</v>
      </c>
      <c r="H1309" s="876">
        <f>'REF. DE PREÇOS n editavel'!H1309</f>
        <v>95.19</v>
      </c>
      <c r="I1309" s="876">
        <f>'REF. DE PREÇOS n editavel'!I1309</f>
        <v>95.19</v>
      </c>
      <c r="J1309" s="877">
        <f>'REF. DE PREÇOS n editavel'!J1309</f>
        <v>116.34</v>
      </c>
      <c r="K1309" s="878" t="s">
        <v>1500</v>
      </c>
      <c r="L1309" s="1092"/>
      <c r="M1309" s="1093">
        <f t="shared" si="147"/>
        <v>0</v>
      </c>
      <c r="N1309" s="868">
        <f t="shared" si="151"/>
        <v>0</v>
      </c>
      <c r="O1309" s="880"/>
      <c r="Q1309" s="317" t="str">
        <f t="shared" si="148"/>
        <v/>
      </c>
      <c r="R1309" s="317" t="str">
        <f t="shared" si="149"/>
        <v/>
      </c>
      <c r="S1309" s="317" t="str">
        <f t="shared" si="150"/>
        <v/>
      </c>
      <c r="T1309" s="317" t="str">
        <f>'REF. DE PREÇOS n editavel'!S1309</f>
        <v/>
      </c>
      <c r="W1309" s="577">
        <v>0</v>
      </c>
      <c r="X1309" s="575"/>
      <c r="Y1309" s="578">
        <f>IF('REF. DE PREÇOS n editavel'!W1309=0,0,IF('REF. DE PREÇOS n editavel'!W1309&gt;0,"c","b"))</f>
        <v>0</v>
      </c>
    </row>
    <row r="1310" spans="1:25" ht="22.5">
      <c r="A1310" s="317">
        <v>101894</v>
      </c>
      <c r="B1310" s="870">
        <v>101894</v>
      </c>
      <c r="C1310" s="871" t="s">
        <v>590</v>
      </c>
      <c r="D1310" s="881" t="s">
        <v>1224</v>
      </c>
      <c r="E1310" s="882">
        <f>'REF. DE PREÇOS n editavel'!E1310</f>
        <v>0</v>
      </c>
      <c r="F1310" s="883">
        <f>'REF. DE PREÇOS n editavel'!F1310</f>
        <v>0</v>
      </c>
      <c r="G1310" s="887">
        <f>'REF. DE PREÇOS n editavel'!G1310</f>
        <v>0</v>
      </c>
      <c r="H1310" s="876">
        <f>'REF. DE PREÇOS n editavel'!H1310</f>
        <v>166.69</v>
      </c>
      <c r="I1310" s="876">
        <f>'REF. DE PREÇOS n editavel'!I1310</f>
        <v>166.69</v>
      </c>
      <c r="J1310" s="877">
        <f>'REF. DE PREÇOS n editavel'!J1310</f>
        <v>203.73</v>
      </c>
      <c r="K1310" s="878" t="s">
        <v>1500</v>
      </c>
      <c r="L1310" s="1092"/>
      <c r="M1310" s="1093">
        <f t="shared" si="147"/>
        <v>0</v>
      </c>
      <c r="N1310" s="868">
        <f t="shared" si="151"/>
        <v>0</v>
      </c>
      <c r="O1310" s="880"/>
      <c r="Q1310" s="317" t="str">
        <f t="shared" si="148"/>
        <v/>
      </c>
      <c r="R1310" s="317" t="str">
        <f t="shared" si="149"/>
        <v/>
      </c>
      <c r="S1310" s="317" t="str">
        <f t="shared" si="150"/>
        <v/>
      </c>
      <c r="T1310" s="317" t="str">
        <f>'REF. DE PREÇOS n editavel'!S1310</f>
        <v/>
      </c>
      <c r="W1310" s="577">
        <v>0</v>
      </c>
      <c r="X1310" s="575"/>
      <c r="Y1310" s="578">
        <f>IF('REF. DE PREÇOS n editavel'!W1310=0,0,IF('REF. DE PREÇOS n editavel'!W1310&gt;0,"c","b"))</f>
        <v>0</v>
      </c>
    </row>
    <row r="1311" spans="1:25" ht="22.5">
      <c r="A1311" s="317">
        <v>101663</v>
      </c>
      <c r="B1311" s="870">
        <v>101663</v>
      </c>
      <c r="C1311" s="871" t="s">
        <v>590</v>
      </c>
      <c r="D1311" s="881" t="s">
        <v>1225</v>
      </c>
      <c r="E1311" s="882">
        <f>'REF. DE PREÇOS n editavel'!E1311</f>
        <v>0</v>
      </c>
      <c r="F1311" s="883">
        <f>'REF. DE PREÇOS n editavel'!F1311</f>
        <v>0</v>
      </c>
      <c r="G1311" s="887">
        <f>'REF. DE PREÇOS n editavel'!G1311</f>
        <v>0</v>
      </c>
      <c r="H1311" s="876">
        <f>'REF. DE PREÇOS n editavel'!H1311</f>
        <v>29.2</v>
      </c>
      <c r="I1311" s="876">
        <f>'REF. DE PREÇOS n editavel'!I1311</f>
        <v>29.2</v>
      </c>
      <c r="J1311" s="877">
        <f>'REF. DE PREÇOS n editavel'!J1311</f>
        <v>35.69</v>
      </c>
      <c r="K1311" s="878" t="s">
        <v>1500</v>
      </c>
      <c r="L1311" s="1092"/>
      <c r="M1311" s="1093">
        <f t="shared" si="147"/>
        <v>0</v>
      </c>
      <c r="N1311" s="868">
        <f t="shared" si="151"/>
        <v>0</v>
      </c>
      <c r="O1311" s="880"/>
      <c r="Q1311" s="317" t="str">
        <f t="shared" si="148"/>
        <v/>
      </c>
      <c r="R1311" s="317" t="str">
        <f t="shared" si="149"/>
        <v/>
      </c>
      <c r="S1311" s="317" t="str">
        <f t="shared" si="150"/>
        <v/>
      </c>
      <c r="T1311" s="317" t="str">
        <f>'REF. DE PREÇOS n editavel'!S1311</f>
        <v/>
      </c>
      <c r="W1311" s="577">
        <v>0</v>
      </c>
      <c r="X1311" s="575"/>
      <c r="Y1311" s="578">
        <f>IF('REF. DE PREÇOS n editavel'!W1311=0,0,IF('REF. DE PREÇOS n editavel'!W1311&gt;0,"c","b"))</f>
        <v>0</v>
      </c>
    </row>
    <row r="1312" spans="1:25" ht="22.5">
      <c r="A1312" s="317">
        <v>101664</v>
      </c>
      <c r="B1312" s="870">
        <v>101664</v>
      </c>
      <c r="C1312" s="871" t="s">
        <v>590</v>
      </c>
      <c r="D1312" s="881" t="s">
        <v>1226</v>
      </c>
      <c r="E1312" s="882">
        <f>'REF. DE PREÇOS n editavel'!E1312</f>
        <v>0</v>
      </c>
      <c r="F1312" s="883">
        <f>'REF. DE PREÇOS n editavel'!F1312</f>
        <v>0</v>
      </c>
      <c r="G1312" s="887">
        <f>'REF. DE PREÇOS n editavel'!G1312</f>
        <v>0</v>
      </c>
      <c r="H1312" s="876">
        <f>'REF. DE PREÇOS n editavel'!H1312</f>
        <v>30.24</v>
      </c>
      <c r="I1312" s="876">
        <f>'REF. DE PREÇOS n editavel'!I1312</f>
        <v>30.24</v>
      </c>
      <c r="J1312" s="877">
        <f>'REF. DE PREÇOS n editavel'!J1312</f>
        <v>36.96</v>
      </c>
      <c r="K1312" s="878" t="s">
        <v>1500</v>
      </c>
      <c r="L1312" s="1092"/>
      <c r="M1312" s="1093">
        <f t="shared" si="147"/>
        <v>0</v>
      </c>
      <c r="N1312" s="868">
        <f t="shared" si="151"/>
        <v>0</v>
      </c>
      <c r="O1312" s="880"/>
      <c r="Q1312" s="317" t="str">
        <f t="shared" si="148"/>
        <v/>
      </c>
      <c r="R1312" s="317" t="str">
        <f t="shared" si="149"/>
        <v/>
      </c>
      <c r="S1312" s="317" t="str">
        <f t="shared" si="150"/>
        <v/>
      </c>
      <c r="T1312" s="317" t="str">
        <f>'REF. DE PREÇOS n editavel'!S1312</f>
        <v/>
      </c>
      <c r="W1312" s="577">
        <v>0</v>
      </c>
      <c r="X1312" s="575"/>
      <c r="Y1312" s="578">
        <f>IF('REF. DE PREÇOS n editavel'!W1312=0,0,IF('REF. DE PREÇOS n editavel'!W1312&gt;0,"c","b"))</f>
        <v>0</v>
      </c>
    </row>
    <row r="1313" spans="1:25" ht="22.5">
      <c r="A1313" s="317">
        <v>101665</v>
      </c>
      <c r="B1313" s="870">
        <v>101665</v>
      </c>
      <c r="C1313" s="871" t="s">
        <v>590</v>
      </c>
      <c r="D1313" s="881" t="s">
        <v>1227</v>
      </c>
      <c r="E1313" s="882">
        <f>'REF. DE PREÇOS n editavel'!E1313</f>
        <v>0</v>
      </c>
      <c r="F1313" s="883">
        <f>'REF. DE PREÇOS n editavel'!F1313</f>
        <v>0</v>
      </c>
      <c r="G1313" s="887">
        <f>'REF. DE PREÇOS n editavel'!G1313</f>
        <v>0</v>
      </c>
      <c r="H1313" s="876">
        <f>'REF. DE PREÇOS n editavel'!H1313</f>
        <v>34.729999999999997</v>
      </c>
      <c r="I1313" s="876">
        <f>'REF. DE PREÇOS n editavel'!I1313</f>
        <v>34.729999999999997</v>
      </c>
      <c r="J1313" s="877">
        <f>'REF. DE PREÇOS n editavel'!J1313</f>
        <v>42.45</v>
      </c>
      <c r="K1313" s="878" t="s">
        <v>1500</v>
      </c>
      <c r="L1313" s="1092"/>
      <c r="M1313" s="1093">
        <f t="shared" si="147"/>
        <v>0</v>
      </c>
      <c r="N1313" s="868">
        <f t="shared" si="151"/>
        <v>0</v>
      </c>
      <c r="O1313" s="880"/>
      <c r="Q1313" s="317" t="str">
        <f t="shared" si="148"/>
        <v/>
      </c>
      <c r="R1313" s="317" t="str">
        <f t="shared" si="149"/>
        <v/>
      </c>
      <c r="S1313" s="317" t="str">
        <f t="shared" si="150"/>
        <v/>
      </c>
      <c r="T1313" s="317" t="str">
        <f>'REF. DE PREÇOS n editavel'!S1313</f>
        <v/>
      </c>
      <c r="W1313" s="577">
        <v>0</v>
      </c>
      <c r="X1313" s="575"/>
      <c r="Y1313" s="578">
        <f>IF('REF. DE PREÇOS n editavel'!W1313=0,0,IF('REF. DE PREÇOS n editavel'!W1313&gt;0,"c","b"))</f>
        <v>0</v>
      </c>
    </row>
    <row r="1314" spans="1:25" ht="22.5">
      <c r="A1314" s="317">
        <v>101895</v>
      </c>
      <c r="B1314" s="870">
        <v>101895</v>
      </c>
      <c r="C1314" s="871" t="s">
        <v>590</v>
      </c>
      <c r="D1314" s="881" t="s">
        <v>1228</v>
      </c>
      <c r="E1314" s="882">
        <f>'REF. DE PREÇOS n editavel'!E1314</f>
        <v>0</v>
      </c>
      <c r="F1314" s="883">
        <f>'REF. DE PREÇOS n editavel'!F1314</f>
        <v>0</v>
      </c>
      <c r="G1314" s="887">
        <f>'REF. DE PREÇOS n editavel'!G1314</f>
        <v>0</v>
      </c>
      <c r="H1314" s="876">
        <f>'REF. DE PREÇOS n editavel'!H1314</f>
        <v>445.37</v>
      </c>
      <c r="I1314" s="876">
        <f>'REF. DE PREÇOS n editavel'!I1314</f>
        <v>445.37</v>
      </c>
      <c r="J1314" s="877">
        <f>'REF. DE PREÇOS n editavel'!J1314</f>
        <v>544.33000000000004</v>
      </c>
      <c r="K1314" s="878" t="s">
        <v>1500</v>
      </c>
      <c r="L1314" s="1092"/>
      <c r="M1314" s="1093">
        <f t="shared" si="147"/>
        <v>0</v>
      </c>
      <c r="N1314" s="868">
        <f t="shared" si="151"/>
        <v>0</v>
      </c>
      <c r="O1314" s="880"/>
      <c r="Q1314" s="317" t="str">
        <f t="shared" si="148"/>
        <v/>
      </c>
      <c r="R1314" s="317" t="str">
        <f t="shared" si="149"/>
        <v/>
      </c>
      <c r="S1314" s="317" t="str">
        <f t="shared" si="150"/>
        <v/>
      </c>
      <c r="T1314" s="317" t="str">
        <f>'REF. DE PREÇOS n editavel'!S1314</f>
        <v/>
      </c>
      <c r="W1314" s="577">
        <v>0</v>
      </c>
      <c r="X1314" s="575"/>
      <c r="Y1314" s="578">
        <f>IF('REF. DE PREÇOS n editavel'!W1314=0,0,IF('REF. DE PREÇOS n editavel'!W1314&gt;0,"c","b"))</f>
        <v>0</v>
      </c>
    </row>
    <row r="1315" spans="1:25" ht="22.5">
      <c r="A1315" s="317">
        <v>101896</v>
      </c>
      <c r="B1315" s="870">
        <v>101896</v>
      </c>
      <c r="C1315" s="871" t="s">
        <v>590</v>
      </c>
      <c r="D1315" s="881" t="s">
        <v>1229</v>
      </c>
      <c r="E1315" s="882">
        <f>'REF. DE PREÇOS n editavel'!E1315</f>
        <v>0</v>
      </c>
      <c r="F1315" s="883">
        <f>'REF. DE PREÇOS n editavel'!F1315</f>
        <v>0</v>
      </c>
      <c r="G1315" s="887">
        <f>'REF. DE PREÇOS n editavel'!G1315</f>
        <v>0</v>
      </c>
      <c r="H1315" s="876">
        <f>'REF. DE PREÇOS n editavel'!H1315</f>
        <v>661.28</v>
      </c>
      <c r="I1315" s="876">
        <f>'REF. DE PREÇOS n editavel'!I1315</f>
        <v>661.28</v>
      </c>
      <c r="J1315" s="877">
        <f>'REF. DE PREÇOS n editavel'!J1315</f>
        <v>808.22</v>
      </c>
      <c r="K1315" s="878" t="s">
        <v>1500</v>
      </c>
      <c r="L1315" s="1092"/>
      <c r="M1315" s="1093">
        <f t="shared" si="147"/>
        <v>0</v>
      </c>
      <c r="N1315" s="868">
        <f t="shared" si="151"/>
        <v>0</v>
      </c>
      <c r="O1315" s="880"/>
      <c r="Q1315" s="317" t="str">
        <f t="shared" si="148"/>
        <v/>
      </c>
      <c r="R1315" s="317" t="str">
        <f t="shared" si="149"/>
        <v/>
      </c>
      <c r="S1315" s="317" t="str">
        <f t="shared" si="150"/>
        <v/>
      </c>
      <c r="T1315" s="317" t="str">
        <f>'REF. DE PREÇOS n editavel'!S1315</f>
        <v/>
      </c>
      <c r="W1315" s="577">
        <v>0</v>
      </c>
      <c r="X1315" s="575"/>
      <c r="Y1315" s="578">
        <f>IF('REF. DE PREÇOS n editavel'!W1315=0,0,IF('REF. DE PREÇOS n editavel'!W1315&gt;0,"c","b"))</f>
        <v>0</v>
      </c>
    </row>
    <row r="1316" spans="1:25" ht="22.5">
      <c r="A1316" s="317">
        <v>101897</v>
      </c>
      <c r="B1316" s="870">
        <v>101897</v>
      </c>
      <c r="C1316" s="871" t="s">
        <v>590</v>
      </c>
      <c r="D1316" s="881" t="s">
        <v>1230</v>
      </c>
      <c r="E1316" s="882">
        <f>'REF. DE PREÇOS n editavel'!E1316</f>
        <v>0</v>
      </c>
      <c r="F1316" s="883">
        <f>'REF. DE PREÇOS n editavel'!F1316</f>
        <v>0</v>
      </c>
      <c r="G1316" s="887">
        <f>'REF. DE PREÇOS n editavel'!G1316</f>
        <v>0</v>
      </c>
      <c r="H1316" s="876">
        <f>'REF. DE PREÇOS n editavel'!H1316</f>
        <v>1048.0899999999999</v>
      </c>
      <c r="I1316" s="876">
        <f>'REF. DE PREÇOS n editavel'!I1316</f>
        <v>1048.0899999999999</v>
      </c>
      <c r="J1316" s="877">
        <f>'REF. DE PREÇOS n editavel'!J1316</f>
        <v>1280.98</v>
      </c>
      <c r="K1316" s="878" t="s">
        <v>1500</v>
      </c>
      <c r="L1316" s="1092"/>
      <c r="M1316" s="1093">
        <f t="shared" si="147"/>
        <v>0</v>
      </c>
      <c r="N1316" s="868">
        <f t="shared" si="151"/>
        <v>0</v>
      </c>
      <c r="O1316" s="880"/>
      <c r="Q1316" s="317" t="str">
        <f t="shared" si="148"/>
        <v/>
      </c>
      <c r="R1316" s="317" t="str">
        <f t="shared" si="149"/>
        <v/>
      </c>
      <c r="S1316" s="317" t="str">
        <f t="shared" si="150"/>
        <v/>
      </c>
      <c r="T1316" s="317" t="str">
        <f>'REF. DE PREÇOS n editavel'!S1316</f>
        <v/>
      </c>
      <c r="W1316" s="577">
        <v>0</v>
      </c>
      <c r="X1316" s="575"/>
      <c r="Y1316" s="578">
        <f>IF('REF. DE PREÇOS n editavel'!W1316=0,0,IF('REF. DE PREÇOS n editavel'!W1316&gt;0,"c","b"))</f>
        <v>0</v>
      </c>
    </row>
    <row r="1317" spans="1:25" ht="22.5">
      <c r="A1317" s="317">
        <v>101898</v>
      </c>
      <c r="B1317" s="870">
        <v>101898</v>
      </c>
      <c r="C1317" s="871" t="s">
        <v>590</v>
      </c>
      <c r="D1317" s="881" t="s">
        <v>1231</v>
      </c>
      <c r="E1317" s="882">
        <f>'REF. DE PREÇOS n editavel'!E1317</f>
        <v>0</v>
      </c>
      <c r="F1317" s="883">
        <f>'REF. DE PREÇOS n editavel'!F1317</f>
        <v>0</v>
      </c>
      <c r="G1317" s="887">
        <f>'REF. DE PREÇOS n editavel'!G1317</f>
        <v>0</v>
      </c>
      <c r="H1317" s="876">
        <f>'REF. DE PREÇOS n editavel'!H1317</f>
        <v>1398.72</v>
      </c>
      <c r="I1317" s="876">
        <f>'REF. DE PREÇOS n editavel'!I1317</f>
        <v>1398.72</v>
      </c>
      <c r="J1317" s="877">
        <f>'REF. DE PREÇOS n editavel'!J1317</f>
        <v>1709.52</v>
      </c>
      <c r="K1317" s="878" t="s">
        <v>1500</v>
      </c>
      <c r="L1317" s="1092"/>
      <c r="M1317" s="1093">
        <f t="shared" si="147"/>
        <v>0</v>
      </c>
      <c r="N1317" s="868">
        <f t="shared" si="151"/>
        <v>0</v>
      </c>
      <c r="O1317" s="880"/>
      <c r="Q1317" s="317" t="str">
        <f t="shared" si="148"/>
        <v/>
      </c>
      <c r="R1317" s="317" t="str">
        <f t="shared" si="149"/>
        <v/>
      </c>
      <c r="S1317" s="317" t="str">
        <f t="shared" si="150"/>
        <v/>
      </c>
      <c r="T1317" s="317" t="str">
        <f>'REF. DE PREÇOS n editavel'!S1317</f>
        <v/>
      </c>
      <c r="W1317" s="577">
        <v>0</v>
      </c>
      <c r="X1317" s="575"/>
      <c r="Y1317" s="578">
        <f>IF('REF. DE PREÇOS n editavel'!W1317=0,0,IF('REF. DE PREÇOS n editavel'!W1317&gt;0,"c","b"))</f>
        <v>0</v>
      </c>
    </row>
    <row r="1318" spans="1:25" ht="22.5">
      <c r="A1318" s="317">
        <v>101899</v>
      </c>
      <c r="B1318" s="870">
        <v>101899</v>
      </c>
      <c r="C1318" s="871" t="s">
        <v>590</v>
      </c>
      <c r="D1318" s="881" t="s">
        <v>1232</v>
      </c>
      <c r="E1318" s="882">
        <f>'REF. DE PREÇOS n editavel'!E1318</f>
        <v>0</v>
      </c>
      <c r="F1318" s="883">
        <f>'REF. DE PREÇOS n editavel'!F1318</f>
        <v>0</v>
      </c>
      <c r="G1318" s="887">
        <f>'REF. DE PREÇOS n editavel'!G1318</f>
        <v>0</v>
      </c>
      <c r="H1318" s="876">
        <f>'REF. DE PREÇOS n editavel'!H1318</f>
        <v>2232.7399999999998</v>
      </c>
      <c r="I1318" s="876">
        <f>'REF. DE PREÇOS n editavel'!I1318</f>
        <v>2232.7399999999998</v>
      </c>
      <c r="J1318" s="877">
        <f>'REF. DE PREÇOS n editavel'!J1318</f>
        <v>2728.85</v>
      </c>
      <c r="K1318" s="878" t="s">
        <v>1500</v>
      </c>
      <c r="L1318" s="1092"/>
      <c r="M1318" s="1093">
        <f t="shared" si="147"/>
        <v>0</v>
      </c>
      <c r="N1318" s="868">
        <f t="shared" si="151"/>
        <v>0</v>
      </c>
      <c r="O1318" s="880"/>
      <c r="Q1318" s="317" t="str">
        <f t="shared" si="148"/>
        <v/>
      </c>
      <c r="R1318" s="317" t="str">
        <f t="shared" si="149"/>
        <v/>
      </c>
      <c r="S1318" s="317" t="str">
        <f t="shared" si="150"/>
        <v/>
      </c>
      <c r="T1318" s="317" t="str">
        <f>'REF. DE PREÇOS n editavel'!S1318</f>
        <v/>
      </c>
      <c r="W1318" s="577">
        <v>0</v>
      </c>
      <c r="X1318" s="575"/>
      <c r="Y1318" s="578">
        <f>IF('REF. DE PREÇOS n editavel'!W1318=0,0,IF('REF. DE PREÇOS n editavel'!W1318&gt;0,"c","b"))</f>
        <v>0</v>
      </c>
    </row>
    <row r="1319" spans="1:25" ht="22.5">
      <c r="A1319" s="317">
        <v>101900</v>
      </c>
      <c r="B1319" s="870">
        <v>101900</v>
      </c>
      <c r="C1319" s="871" t="s">
        <v>590</v>
      </c>
      <c r="D1319" s="881" t="s">
        <v>1233</v>
      </c>
      <c r="E1319" s="882">
        <f>'REF. DE PREÇOS n editavel'!E1319</f>
        <v>0</v>
      </c>
      <c r="F1319" s="883">
        <f>'REF. DE PREÇOS n editavel'!F1319</f>
        <v>0</v>
      </c>
      <c r="G1319" s="887">
        <f>'REF. DE PREÇOS n editavel'!G1319</f>
        <v>0</v>
      </c>
      <c r="H1319" s="876">
        <f>'REF. DE PREÇOS n editavel'!H1319</f>
        <v>4648.41</v>
      </c>
      <c r="I1319" s="876">
        <f>'REF. DE PREÇOS n editavel'!I1319</f>
        <v>4648.41</v>
      </c>
      <c r="J1319" s="877">
        <f>'REF. DE PREÇOS n editavel'!J1319</f>
        <v>5681.29</v>
      </c>
      <c r="K1319" s="878" t="s">
        <v>1500</v>
      </c>
      <c r="L1319" s="1092"/>
      <c r="M1319" s="1093">
        <f t="shared" si="147"/>
        <v>0</v>
      </c>
      <c r="N1319" s="868">
        <f t="shared" si="151"/>
        <v>0</v>
      </c>
      <c r="O1319" s="880"/>
      <c r="Q1319" s="317" t="str">
        <f t="shared" si="148"/>
        <v/>
      </c>
      <c r="R1319" s="317" t="str">
        <f t="shared" si="149"/>
        <v/>
      </c>
      <c r="S1319" s="317" t="str">
        <f t="shared" si="150"/>
        <v/>
      </c>
      <c r="T1319" s="317" t="str">
        <f>'REF. DE PREÇOS n editavel'!S1319</f>
        <v/>
      </c>
      <c r="W1319" s="577">
        <v>0</v>
      </c>
      <c r="X1319" s="575"/>
      <c r="Y1319" s="578">
        <f>IF('REF. DE PREÇOS n editavel'!W1319=0,0,IF('REF. DE PREÇOS n editavel'!W1319&gt;0,"c","b"))</f>
        <v>0</v>
      </c>
    </row>
    <row r="1320" spans="1:25" ht="22.5">
      <c r="A1320" s="317">
        <v>91952</v>
      </c>
      <c r="B1320" s="870">
        <v>91952</v>
      </c>
      <c r="C1320" s="871" t="s">
        <v>590</v>
      </c>
      <c r="D1320" s="881" t="s">
        <v>1234</v>
      </c>
      <c r="E1320" s="882">
        <f>'REF. DE PREÇOS n editavel'!E1320</f>
        <v>0</v>
      </c>
      <c r="F1320" s="883">
        <f>'REF. DE PREÇOS n editavel'!F1320</f>
        <v>0</v>
      </c>
      <c r="G1320" s="887">
        <f>'REF. DE PREÇOS n editavel'!G1320</f>
        <v>0</v>
      </c>
      <c r="H1320" s="876">
        <f>'REF. DE PREÇOS n editavel'!H1320</f>
        <v>21.5</v>
      </c>
      <c r="I1320" s="876">
        <f>'REF. DE PREÇOS n editavel'!I1320</f>
        <v>21.5</v>
      </c>
      <c r="J1320" s="877">
        <f>'REF. DE PREÇOS n editavel'!J1320</f>
        <v>26.28</v>
      </c>
      <c r="K1320" s="878" t="s">
        <v>1500</v>
      </c>
      <c r="L1320" s="1092"/>
      <c r="M1320" s="1093">
        <f t="shared" si="147"/>
        <v>0</v>
      </c>
      <c r="N1320" s="868">
        <f t="shared" si="151"/>
        <v>0</v>
      </c>
      <c r="O1320" s="880"/>
      <c r="Q1320" s="317" t="str">
        <f t="shared" si="148"/>
        <v/>
      </c>
      <c r="R1320" s="317" t="str">
        <f t="shared" si="149"/>
        <v/>
      </c>
      <c r="S1320" s="317" t="str">
        <f t="shared" si="150"/>
        <v/>
      </c>
      <c r="T1320" s="317" t="str">
        <f>'REF. DE PREÇOS n editavel'!S1320</f>
        <v/>
      </c>
      <c r="W1320" s="577">
        <v>0</v>
      </c>
      <c r="X1320" s="575"/>
      <c r="Y1320" s="578">
        <f>IF('REF. DE PREÇOS n editavel'!W1320=0,0,IF('REF. DE PREÇOS n editavel'!W1320&gt;0,"c","b"))</f>
        <v>0</v>
      </c>
    </row>
    <row r="1321" spans="1:25" ht="22.5">
      <c r="A1321" s="317">
        <v>91953</v>
      </c>
      <c r="B1321" s="870">
        <v>91953</v>
      </c>
      <c r="C1321" s="871" t="s">
        <v>590</v>
      </c>
      <c r="D1321" s="881" t="s">
        <v>1235</v>
      </c>
      <c r="E1321" s="882">
        <f>'REF. DE PREÇOS n editavel'!E1321</f>
        <v>0</v>
      </c>
      <c r="F1321" s="883">
        <f>'REF. DE PREÇOS n editavel'!F1321</f>
        <v>0</v>
      </c>
      <c r="G1321" s="887">
        <f>'REF. DE PREÇOS n editavel'!G1321</f>
        <v>0</v>
      </c>
      <c r="H1321" s="876">
        <f>'REF. DE PREÇOS n editavel'!H1321</f>
        <v>30.73</v>
      </c>
      <c r="I1321" s="876">
        <f>'REF. DE PREÇOS n editavel'!I1321</f>
        <v>30.73</v>
      </c>
      <c r="J1321" s="877">
        <f>'REF. DE PREÇOS n editavel'!J1321</f>
        <v>37.56</v>
      </c>
      <c r="K1321" s="878" t="s">
        <v>1500</v>
      </c>
      <c r="L1321" s="1092"/>
      <c r="M1321" s="1093">
        <f t="shared" si="147"/>
        <v>0</v>
      </c>
      <c r="N1321" s="868">
        <f t="shared" si="151"/>
        <v>0</v>
      </c>
      <c r="O1321" s="880"/>
      <c r="Q1321" s="317" t="str">
        <f t="shared" si="148"/>
        <v/>
      </c>
      <c r="R1321" s="317" t="str">
        <f t="shared" si="149"/>
        <v/>
      </c>
      <c r="S1321" s="317" t="str">
        <f t="shared" si="150"/>
        <v/>
      </c>
      <c r="T1321" s="317" t="str">
        <f>'REF. DE PREÇOS n editavel'!S1321</f>
        <v/>
      </c>
      <c r="W1321" s="577">
        <v>0</v>
      </c>
      <c r="X1321" s="575"/>
      <c r="Y1321" s="578">
        <f>IF('REF. DE PREÇOS n editavel'!W1321=0,0,IF('REF. DE PREÇOS n editavel'!W1321&gt;0,"c","b"))</f>
        <v>0</v>
      </c>
    </row>
    <row r="1322" spans="1:25" ht="22.5">
      <c r="A1322" s="317">
        <v>91956</v>
      </c>
      <c r="B1322" s="870">
        <v>91956</v>
      </c>
      <c r="C1322" s="871" t="s">
        <v>590</v>
      </c>
      <c r="D1322" s="881" t="s">
        <v>1236</v>
      </c>
      <c r="E1322" s="882">
        <f>'REF. DE PREÇOS n editavel'!E1322</f>
        <v>0</v>
      </c>
      <c r="F1322" s="883">
        <f>'REF. DE PREÇOS n editavel'!F1322</f>
        <v>0</v>
      </c>
      <c r="G1322" s="887">
        <f>'REF. DE PREÇOS n editavel'!G1322</f>
        <v>0</v>
      </c>
      <c r="H1322" s="876">
        <f>'REF. DE PREÇOS n editavel'!H1322</f>
        <v>46.76</v>
      </c>
      <c r="I1322" s="876">
        <f>'REF. DE PREÇOS n editavel'!I1322</f>
        <v>46.76</v>
      </c>
      <c r="J1322" s="877">
        <f>'REF. DE PREÇOS n editavel'!J1322</f>
        <v>57.15</v>
      </c>
      <c r="K1322" s="878" t="s">
        <v>1500</v>
      </c>
      <c r="L1322" s="1092"/>
      <c r="M1322" s="1093">
        <f t="shared" si="147"/>
        <v>0</v>
      </c>
      <c r="N1322" s="868">
        <f t="shared" si="151"/>
        <v>0</v>
      </c>
      <c r="O1322" s="880"/>
      <c r="Q1322" s="317" t="str">
        <f t="shared" si="148"/>
        <v/>
      </c>
      <c r="R1322" s="317" t="str">
        <f t="shared" si="149"/>
        <v/>
      </c>
      <c r="S1322" s="317" t="str">
        <f t="shared" si="150"/>
        <v/>
      </c>
      <c r="T1322" s="317" t="str">
        <f>'REF. DE PREÇOS n editavel'!S1322</f>
        <v/>
      </c>
      <c r="W1322" s="577">
        <v>0</v>
      </c>
      <c r="X1322" s="575"/>
      <c r="Y1322" s="578">
        <f>IF('REF. DE PREÇOS n editavel'!W1322=0,0,IF('REF. DE PREÇOS n editavel'!W1322&gt;0,"c","b"))</f>
        <v>0</v>
      </c>
    </row>
    <row r="1323" spans="1:25" ht="22.5">
      <c r="A1323" s="317">
        <v>91957</v>
      </c>
      <c r="B1323" s="870">
        <v>91957</v>
      </c>
      <c r="C1323" s="871" t="s">
        <v>590</v>
      </c>
      <c r="D1323" s="881" t="s">
        <v>1237</v>
      </c>
      <c r="E1323" s="882">
        <f>'REF. DE PREÇOS n editavel'!E1323</f>
        <v>0</v>
      </c>
      <c r="F1323" s="883">
        <f>'REF. DE PREÇOS n editavel'!F1323</f>
        <v>0</v>
      </c>
      <c r="G1323" s="887">
        <f>'REF. DE PREÇOS n editavel'!G1323</f>
        <v>0</v>
      </c>
      <c r="H1323" s="876">
        <f>'REF. DE PREÇOS n editavel'!H1323</f>
        <v>55.99</v>
      </c>
      <c r="I1323" s="876">
        <f>'REF. DE PREÇOS n editavel'!I1323</f>
        <v>55.99</v>
      </c>
      <c r="J1323" s="877">
        <f>'REF. DE PREÇOS n editavel'!J1323</f>
        <v>68.430000000000007</v>
      </c>
      <c r="K1323" s="878" t="s">
        <v>1500</v>
      </c>
      <c r="L1323" s="1092"/>
      <c r="M1323" s="1093">
        <f t="shared" si="147"/>
        <v>0</v>
      </c>
      <c r="N1323" s="868">
        <f t="shared" si="151"/>
        <v>0</v>
      </c>
      <c r="O1323" s="880"/>
      <c r="Q1323" s="317" t="str">
        <f t="shared" si="148"/>
        <v/>
      </c>
      <c r="R1323" s="317" t="str">
        <f t="shared" si="149"/>
        <v/>
      </c>
      <c r="S1323" s="317" t="str">
        <f t="shared" si="150"/>
        <v/>
      </c>
      <c r="T1323" s="317" t="str">
        <f>'REF. DE PREÇOS n editavel'!S1323</f>
        <v/>
      </c>
      <c r="W1323" s="577">
        <v>0</v>
      </c>
      <c r="X1323" s="575"/>
      <c r="Y1323" s="578">
        <f>IF('REF. DE PREÇOS n editavel'!W1323=0,0,IF('REF. DE PREÇOS n editavel'!W1323&gt;0,"c","b"))</f>
        <v>0</v>
      </c>
    </row>
    <row r="1324" spans="1:25" ht="22.5">
      <c r="A1324" s="317">
        <v>91958</v>
      </c>
      <c r="B1324" s="870">
        <v>91958</v>
      </c>
      <c r="C1324" s="871" t="s">
        <v>590</v>
      </c>
      <c r="D1324" s="881" t="s">
        <v>1238</v>
      </c>
      <c r="E1324" s="882">
        <f>'REF. DE PREÇOS n editavel'!E1324</f>
        <v>0</v>
      </c>
      <c r="F1324" s="883">
        <f>'REF. DE PREÇOS n editavel'!F1324</f>
        <v>0</v>
      </c>
      <c r="G1324" s="887">
        <f>'REF. DE PREÇOS n editavel'!G1324</f>
        <v>0</v>
      </c>
      <c r="H1324" s="876">
        <f>'REF. DE PREÇOS n editavel'!H1324</f>
        <v>39.42</v>
      </c>
      <c r="I1324" s="876">
        <f>'REF. DE PREÇOS n editavel'!I1324</f>
        <v>39.42</v>
      </c>
      <c r="J1324" s="877">
        <f>'REF. DE PREÇOS n editavel'!J1324</f>
        <v>48.18</v>
      </c>
      <c r="K1324" s="878" t="s">
        <v>1500</v>
      </c>
      <c r="L1324" s="1092"/>
      <c r="M1324" s="1093">
        <f t="shared" si="147"/>
        <v>0</v>
      </c>
      <c r="N1324" s="868">
        <f t="shared" si="151"/>
        <v>0</v>
      </c>
      <c r="O1324" s="880"/>
      <c r="Q1324" s="317" t="str">
        <f t="shared" si="148"/>
        <v/>
      </c>
      <c r="R1324" s="317" t="str">
        <f t="shared" si="149"/>
        <v/>
      </c>
      <c r="S1324" s="317" t="str">
        <f t="shared" si="150"/>
        <v/>
      </c>
      <c r="T1324" s="317" t="str">
        <f>'REF. DE PREÇOS n editavel'!S1324</f>
        <v/>
      </c>
      <c r="W1324" s="577">
        <v>0</v>
      </c>
      <c r="X1324" s="575"/>
      <c r="Y1324" s="578">
        <f>IF('REF. DE PREÇOS n editavel'!W1324=0,0,IF('REF. DE PREÇOS n editavel'!W1324&gt;0,"c","b"))</f>
        <v>0</v>
      </c>
    </row>
    <row r="1325" spans="1:25" ht="22.5">
      <c r="A1325" s="317">
        <v>91959</v>
      </c>
      <c r="B1325" s="870">
        <v>91959</v>
      </c>
      <c r="C1325" s="871" t="s">
        <v>590</v>
      </c>
      <c r="D1325" s="881" t="s">
        <v>1239</v>
      </c>
      <c r="E1325" s="882">
        <f>'REF. DE PREÇOS n editavel'!E1325</f>
        <v>0</v>
      </c>
      <c r="F1325" s="883">
        <f>'REF. DE PREÇOS n editavel'!F1325</f>
        <v>0</v>
      </c>
      <c r="G1325" s="887">
        <f>'REF. DE PREÇOS n editavel'!G1325</f>
        <v>0</v>
      </c>
      <c r="H1325" s="876">
        <f>'REF. DE PREÇOS n editavel'!H1325</f>
        <v>48.65</v>
      </c>
      <c r="I1325" s="876">
        <f>'REF. DE PREÇOS n editavel'!I1325</f>
        <v>48.65</v>
      </c>
      <c r="J1325" s="877">
        <f>'REF. DE PREÇOS n editavel'!J1325</f>
        <v>59.46</v>
      </c>
      <c r="K1325" s="878" t="s">
        <v>1500</v>
      </c>
      <c r="L1325" s="1092"/>
      <c r="M1325" s="1093">
        <f t="shared" si="147"/>
        <v>0</v>
      </c>
      <c r="N1325" s="868">
        <f t="shared" si="151"/>
        <v>0</v>
      </c>
      <c r="O1325" s="880"/>
      <c r="Q1325" s="317" t="str">
        <f t="shared" si="148"/>
        <v/>
      </c>
      <c r="R1325" s="317" t="str">
        <f t="shared" si="149"/>
        <v/>
      </c>
      <c r="S1325" s="317" t="str">
        <f t="shared" si="150"/>
        <v/>
      </c>
      <c r="T1325" s="317" t="str">
        <f>'REF. DE PREÇOS n editavel'!S1325</f>
        <v/>
      </c>
      <c r="W1325" s="577">
        <v>0</v>
      </c>
      <c r="X1325" s="575"/>
      <c r="Y1325" s="578">
        <f>IF('REF. DE PREÇOS n editavel'!W1325=0,0,IF('REF. DE PREÇOS n editavel'!W1325&gt;0,"c","b"))</f>
        <v>0</v>
      </c>
    </row>
    <row r="1326" spans="1:25" ht="22.5">
      <c r="A1326" s="317">
        <v>91962</v>
      </c>
      <c r="B1326" s="870">
        <v>91962</v>
      </c>
      <c r="C1326" s="871" t="s">
        <v>590</v>
      </c>
      <c r="D1326" s="881" t="s">
        <v>1240</v>
      </c>
      <c r="E1326" s="882">
        <f>'REF. DE PREÇOS n editavel'!E1326</f>
        <v>0</v>
      </c>
      <c r="F1326" s="883">
        <f>'REF. DE PREÇOS n editavel'!F1326</f>
        <v>0</v>
      </c>
      <c r="G1326" s="887">
        <f>'REF. DE PREÇOS n editavel'!G1326</f>
        <v>0</v>
      </c>
      <c r="H1326" s="876">
        <f>'REF. DE PREÇOS n editavel'!H1326</f>
        <v>72.069999999999993</v>
      </c>
      <c r="I1326" s="876">
        <f>'REF. DE PREÇOS n editavel'!I1326</f>
        <v>72.069999999999993</v>
      </c>
      <c r="J1326" s="877">
        <f>'REF. DE PREÇOS n editavel'!J1326</f>
        <v>88.08</v>
      </c>
      <c r="K1326" s="878" t="s">
        <v>1500</v>
      </c>
      <c r="L1326" s="1092"/>
      <c r="M1326" s="1093">
        <f t="shared" si="147"/>
        <v>0</v>
      </c>
      <c r="N1326" s="868">
        <f t="shared" si="151"/>
        <v>0</v>
      </c>
      <c r="O1326" s="880"/>
      <c r="Q1326" s="317" t="str">
        <f t="shared" si="148"/>
        <v/>
      </c>
      <c r="R1326" s="317" t="str">
        <f t="shared" si="149"/>
        <v/>
      </c>
      <c r="S1326" s="317" t="str">
        <f t="shared" si="150"/>
        <v/>
      </c>
      <c r="T1326" s="317" t="str">
        <f>'REF. DE PREÇOS n editavel'!S1326</f>
        <v/>
      </c>
      <c r="W1326" s="577">
        <v>0</v>
      </c>
      <c r="X1326" s="575"/>
      <c r="Y1326" s="578">
        <f>IF('REF. DE PREÇOS n editavel'!W1326=0,0,IF('REF. DE PREÇOS n editavel'!W1326&gt;0,"c","b"))</f>
        <v>0</v>
      </c>
    </row>
    <row r="1327" spans="1:25" ht="22.5">
      <c r="A1327" s="317">
        <v>91963</v>
      </c>
      <c r="B1327" s="870">
        <v>91963</v>
      </c>
      <c r="C1327" s="871" t="s">
        <v>590</v>
      </c>
      <c r="D1327" s="881" t="s">
        <v>1241</v>
      </c>
      <c r="E1327" s="882">
        <f>'REF. DE PREÇOS n editavel'!E1327</f>
        <v>0</v>
      </c>
      <c r="F1327" s="883">
        <f>'REF. DE PREÇOS n editavel'!F1327</f>
        <v>0</v>
      </c>
      <c r="G1327" s="887">
        <f>'REF. DE PREÇOS n editavel'!G1327</f>
        <v>0</v>
      </c>
      <c r="H1327" s="876">
        <f>'REF. DE PREÇOS n editavel'!H1327</f>
        <v>81.3</v>
      </c>
      <c r="I1327" s="876">
        <f>'REF. DE PREÇOS n editavel'!I1327</f>
        <v>81.3</v>
      </c>
      <c r="J1327" s="877">
        <f>'REF. DE PREÇOS n editavel'!J1327</f>
        <v>99.36</v>
      </c>
      <c r="K1327" s="878" t="s">
        <v>1500</v>
      </c>
      <c r="L1327" s="1092"/>
      <c r="M1327" s="1093">
        <f t="shared" si="147"/>
        <v>0</v>
      </c>
      <c r="N1327" s="868">
        <f t="shared" si="151"/>
        <v>0</v>
      </c>
      <c r="O1327" s="880"/>
      <c r="Q1327" s="317" t="str">
        <f t="shared" si="148"/>
        <v/>
      </c>
      <c r="R1327" s="317" t="str">
        <f t="shared" si="149"/>
        <v/>
      </c>
      <c r="S1327" s="317" t="str">
        <f t="shared" si="150"/>
        <v/>
      </c>
      <c r="T1327" s="317" t="str">
        <f>'REF. DE PREÇOS n editavel'!S1327</f>
        <v/>
      </c>
      <c r="W1327" s="577">
        <v>0</v>
      </c>
      <c r="X1327" s="575"/>
      <c r="Y1327" s="578">
        <f>IF('REF. DE PREÇOS n editavel'!W1327=0,0,IF('REF. DE PREÇOS n editavel'!W1327&gt;0,"c","b"))</f>
        <v>0</v>
      </c>
    </row>
    <row r="1328" spans="1:25" ht="22.5">
      <c r="A1328" s="317">
        <v>91964</v>
      </c>
      <c r="B1328" s="870">
        <v>91964</v>
      </c>
      <c r="C1328" s="871" t="s">
        <v>590</v>
      </c>
      <c r="D1328" s="881" t="s">
        <v>1242</v>
      </c>
      <c r="E1328" s="882">
        <f>'REF. DE PREÇOS n editavel'!E1328</f>
        <v>0</v>
      </c>
      <c r="F1328" s="883">
        <f>'REF. DE PREÇOS n editavel'!F1328</f>
        <v>0</v>
      </c>
      <c r="G1328" s="887">
        <f>'REF. DE PREÇOS n editavel'!G1328</f>
        <v>0</v>
      </c>
      <c r="H1328" s="876">
        <f>'REF. DE PREÇOS n editavel'!H1328</f>
        <v>64.66</v>
      </c>
      <c r="I1328" s="876">
        <f>'REF. DE PREÇOS n editavel'!I1328</f>
        <v>64.66</v>
      </c>
      <c r="J1328" s="877">
        <f>'REF. DE PREÇOS n editavel'!J1328</f>
        <v>79.03</v>
      </c>
      <c r="K1328" s="878" t="s">
        <v>1500</v>
      </c>
      <c r="L1328" s="1092"/>
      <c r="M1328" s="1093">
        <f t="shared" si="147"/>
        <v>0</v>
      </c>
      <c r="N1328" s="868">
        <f t="shared" si="151"/>
        <v>0</v>
      </c>
      <c r="O1328" s="880"/>
      <c r="Q1328" s="317" t="str">
        <f t="shared" si="148"/>
        <v/>
      </c>
      <c r="R1328" s="317" t="str">
        <f t="shared" si="149"/>
        <v/>
      </c>
      <c r="S1328" s="317" t="str">
        <f t="shared" si="150"/>
        <v/>
      </c>
      <c r="T1328" s="317" t="str">
        <f>'REF. DE PREÇOS n editavel'!S1328</f>
        <v/>
      </c>
      <c r="W1328" s="577">
        <v>0</v>
      </c>
      <c r="X1328" s="575"/>
      <c r="Y1328" s="578">
        <f>IF('REF. DE PREÇOS n editavel'!W1328=0,0,IF('REF. DE PREÇOS n editavel'!W1328&gt;0,"c","b"))</f>
        <v>0</v>
      </c>
    </row>
    <row r="1329" spans="1:25" ht="22.5">
      <c r="A1329" s="317">
        <v>91965</v>
      </c>
      <c r="B1329" s="870">
        <v>91965</v>
      </c>
      <c r="C1329" s="871" t="s">
        <v>590</v>
      </c>
      <c r="D1329" s="881" t="s">
        <v>1243</v>
      </c>
      <c r="E1329" s="882">
        <f>'REF. DE PREÇOS n editavel'!E1329</f>
        <v>0</v>
      </c>
      <c r="F1329" s="883">
        <f>'REF. DE PREÇOS n editavel'!F1329</f>
        <v>0</v>
      </c>
      <c r="G1329" s="887">
        <f>'REF. DE PREÇOS n editavel'!G1329</f>
        <v>0</v>
      </c>
      <c r="H1329" s="876">
        <f>'REF. DE PREÇOS n editavel'!H1329</f>
        <v>73.89</v>
      </c>
      <c r="I1329" s="876">
        <f>'REF. DE PREÇOS n editavel'!I1329</f>
        <v>73.89</v>
      </c>
      <c r="J1329" s="877">
        <f>'REF. DE PREÇOS n editavel'!J1329</f>
        <v>90.31</v>
      </c>
      <c r="K1329" s="878" t="s">
        <v>1500</v>
      </c>
      <c r="L1329" s="1092"/>
      <c r="M1329" s="1093">
        <f t="shared" si="147"/>
        <v>0</v>
      </c>
      <c r="N1329" s="868">
        <f t="shared" si="151"/>
        <v>0</v>
      </c>
      <c r="O1329" s="880"/>
      <c r="Q1329" s="317" t="str">
        <f t="shared" si="148"/>
        <v/>
      </c>
      <c r="R1329" s="317" t="str">
        <f t="shared" si="149"/>
        <v/>
      </c>
      <c r="S1329" s="317" t="str">
        <f t="shared" si="150"/>
        <v/>
      </c>
      <c r="T1329" s="317" t="str">
        <f>'REF. DE PREÇOS n editavel'!S1329</f>
        <v/>
      </c>
      <c r="W1329" s="577">
        <v>0</v>
      </c>
      <c r="X1329" s="575"/>
      <c r="Y1329" s="578">
        <f>IF('REF. DE PREÇOS n editavel'!W1329=0,0,IF('REF. DE PREÇOS n editavel'!W1329&gt;0,"c","b"))</f>
        <v>0</v>
      </c>
    </row>
    <row r="1330" spans="1:25" ht="22.5">
      <c r="A1330" s="317">
        <v>91966</v>
      </c>
      <c r="B1330" s="870">
        <v>91966</v>
      </c>
      <c r="C1330" s="871" t="s">
        <v>590</v>
      </c>
      <c r="D1330" s="881" t="s">
        <v>1244</v>
      </c>
      <c r="E1330" s="882">
        <f>'REF. DE PREÇOS n editavel'!E1330</f>
        <v>0</v>
      </c>
      <c r="F1330" s="883">
        <f>'REF. DE PREÇOS n editavel'!F1330</f>
        <v>0</v>
      </c>
      <c r="G1330" s="887">
        <f>'REF. DE PREÇOS n editavel'!G1330</f>
        <v>0</v>
      </c>
      <c r="H1330" s="876">
        <f>'REF. DE PREÇOS n editavel'!H1330</f>
        <v>57.32</v>
      </c>
      <c r="I1330" s="876">
        <f>'REF. DE PREÇOS n editavel'!I1330</f>
        <v>57.32</v>
      </c>
      <c r="J1330" s="877">
        <f>'REF. DE PREÇOS n editavel'!J1330</f>
        <v>70.06</v>
      </c>
      <c r="K1330" s="878" t="s">
        <v>1500</v>
      </c>
      <c r="L1330" s="1092"/>
      <c r="M1330" s="1093">
        <f t="shared" si="147"/>
        <v>0</v>
      </c>
      <c r="N1330" s="868">
        <f t="shared" si="151"/>
        <v>0</v>
      </c>
      <c r="O1330" s="880"/>
      <c r="Q1330" s="317" t="str">
        <f t="shared" si="148"/>
        <v/>
      </c>
      <c r="R1330" s="317" t="str">
        <f t="shared" si="149"/>
        <v/>
      </c>
      <c r="S1330" s="317" t="str">
        <f t="shared" si="150"/>
        <v/>
      </c>
      <c r="T1330" s="317" t="str">
        <f>'REF. DE PREÇOS n editavel'!S1330</f>
        <v/>
      </c>
      <c r="W1330" s="577">
        <v>0</v>
      </c>
      <c r="X1330" s="575"/>
      <c r="Y1330" s="578">
        <f>IF('REF. DE PREÇOS n editavel'!W1330=0,0,IF('REF. DE PREÇOS n editavel'!W1330&gt;0,"c","b"))</f>
        <v>0</v>
      </c>
    </row>
    <row r="1331" spans="1:25" ht="22.5">
      <c r="A1331" s="317">
        <v>91967</v>
      </c>
      <c r="B1331" s="870">
        <v>91967</v>
      </c>
      <c r="C1331" s="871" t="s">
        <v>590</v>
      </c>
      <c r="D1331" s="881" t="s">
        <v>1245</v>
      </c>
      <c r="E1331" s="882">
        <f>'REF. DE PREÇOS n editavel'!E1331</f>
        <v>0</v>
      </c>
      <c r="F1331" s="883">
        <f>'REF. DE PREÇOS n editavel'!F1331</f>
        <v>0</v>
      </c>
      <c r="G1331" s="887">
        <f>'REF. DE PREÇOS n editavel'!G1331</f>
        <v>0</v>
      </c>
      <c r="H1331" s="876">
        <f>'REF. DE PREÇOS n editavel'!H1331</f>
        <v>66.55</v>
      </c>
      <c r="I1331" s="876">
        <f>'REF. DE PREÇOS n editavel'!I1331</f>
        <v>66.55</v>
      </c>
      <c r="J1331" s="877">
        <f>'REF. DE PREÇOS n editavel'!J1331</f>
        <v>81.34</v>
      </c>
      <c r="K1331" s="878" t="s">
        <v>1500</v>
      </c>
      <c r="L1331" s="1092"/>
      <c r="M1331" s="1093">
        <f t="shared" si="147"/>
        <v>0</v>
      </c>
      <c r="N1331" s="868">
        <f t="shared" si="151"/>
        <v>0</v>
      </c>
      <c r="O1331" s="880"/>
      <c r="Q1331" s="317" t="str">
        <f t="shared" si="148"/>
        <v/>
      </c>
      <c r="R1331" s="317" t="str">
        <f t="shared" si="149"/>
        <v/>
      </c>
      <c r="S1331" s="317" t="str">
        <f t="shared" si="150"/>
        <v/>
      </c>
      <c r="T1331" s="317" t="str">
        <f>'REF. DE PREÇOS n editavel'!S1331</f>
        <v/>
      </c>
      <c r="W1331" s="577">
        <v>0</v>
      </c>
      <c r="X1331" s="575"/>
      <c r="Y1331" s="578">
        <f>IF('REF. DE PREÇOS n editavel'!W1331=0,0,IF('REF. DE PREÇOS n editavel'!W1331&gt;0,"c","b"))</f>
        <v>0</v>
      </c>
    </row>
    <row r="1332" spans="1:25" ht="22.5">
      <c r="A1332" s="317">
        <v>91970</v>
      </c>
      <c r="B1332" s="870">
        <v>91970</v>
      </c>
      <c r="C1332" s="871" t="s">
        <v>590</v>
      </c>
      <c r="D1332" s="881" t="s">
        <v>1246</v>
      </c>
      <c r="E1332" s="882">
        <f>'REF. DE PREÇOS n editavel'!E1332</f>
        <v>0</v>
      </c>
      <c r="F1332" s="883">
        <f>'REF. DE PREÇOS n editavel'!F1332</f>
        <v>0</v>
      </c>
      <c r="G1332" s="887">
        <f>'REF. DE PREÇOS n editavel'!G1332</f>
        <v>0</v>
      </c>
      <c r="H1332" s="876">
        <f>'REF. DE PREÇOS n editavel'!H1332</f>
        <v>83</v>
      </c>
      <c r="I1332" s="876">
        <f>'REF. DE PREÇOS n editavel'!I1332</f>
        <v>83</v>
      </c>
      <c r="J1332" s="877">
        <f>'REF. DE PREÇOS n editavel'!J1332</f>
        <v>101.44</v>
      </c>
      <c r="K1332" s="878" t="s">
        <v>1500</v>
      </c>
      <c r="L1332" s="1092"/>
      <c r="M1332" s="1093">
        <f t="shared" si="147"/>
        <v>0</v>
      </c>
      <c r="N1332" s="868">
        <f t="shared" si="151"/>
        <v>0</v>
      </c>
      <c r="O1332" s="880"/>
      <c r="Q1332" s="317" t="str">
        <f t="shared" si="148"/>
        <v/>
      </c>
      <c r="R1332" s="317" t="str">
        <f t="shared" si="149"/>
        <v/>
      </c>
      <c r="S1332" s="317" t="str">
        <f t="shared" si="150"/>
        <v/>
      </c>
      <c r="T1332" s="317" t="str">
        <f>'REF. DE PREÇOS n editavel'!S1332</f>
        <v/>
      </c>
      <c r="W1332" s="577">
        <v>0</v>
      </c>
      <c r="X1332" s="575"/>
      <c r="Y1332" s="578">
        <f>IF('REF. DE PREÇOS n editavel'!W1332=0,0,IF('REF. DE PREÇOS n editavel'!W1332&gt;0,"c","b"))</f>
        <v>0</v>
      </c>
    </row>
    <row r="1333" spans="1:25" ht="22.5">
      <c r="A1333" s="317">
        <v>91971</v>
      </c>
      <c r="B1333" s="870">
        <v>91971</v>
      </c>
      <c r="C1333" s="871" t="s">
        <v>590</v>
      </c>
      <c r="D1333" s="881" t="s">
        <v>1247</v>
      </c>
      <c r="E1333" s="882">
        <f>'REF. DE PREÇOS n editavel'!E1333</f>
        <v>0</v>
      </c>
      <c r="F1333" s="883">
        <f>'REF. DE PREÇOS n editavel'!F1333</f>
        <v>0</v>
      </c>
      <c r="G1333" s="887">
        <f>'REF. DE PREÇOS n editavel'!G1333</f>
        <v>0</v>
      </c>
      <c r="H1333" s="876">
        <f>'REF. DE PREÇOS n editavel'!H1333</f>
        <v>97.58</v>
      </c>
      <c r="I1333" s="876">
        <f>'REF. DE PREÇOS n editavel'!I1333</f>
        <v>97.58</v>
      </c>
      <c r="J1333" s="877">
        <f>'REF. DE PREÇOS n editavel'!J1333</f>
        <v>119.26</v>
      </c>
      <c r="K1333" s="878" t="s">
        <v>1500</v>
      </c>
      <c r="L1333" s="1092"/>
      <c r="M1333" s="1093">
        <f t="shared" si="147"/>
        <v>0</v>
      </c>
      <c r="N1333" s="868">
        <f t="shared" si="151"/>
        <v>0</v>
      </c>
      <c r="O1333" s="880"/>
      <c r="Q1333" s="317" t="str">
        <f t="shared" si="148"/>
        <v/>
      </c>
      <c r="R1333" s="317" t="str">
        <f t="shared" si="149"/>
        <v/>
      </c>
      <c r="S1333" s="317" t="str">
        <f t="shared" si="150"/>
        <v/>
      </c>
      <c r="T1333" s="317" t="str">
        <f>'REF. DE PREÇOS n editavel'!S1333</f>
        <v/>
      </c>
      <c r="W1333" s="577">
        <v>0</v>
      </c>
      <c r="X1333" s="575"/>
      <c r="Y1333" s="578">
        <f>IF('REF. DE PREÇOS n editavel'!W1333=0,0,IF('REF. DE PREÇOS n editavel'!W1333&gt;0,"c","b"))</f>
        <v>0</v>
      </c>
    </row>
    <row r="1334" spans="1:25" ht="22.5">
      <c r="A1334" s="317">
        <v>91972</v>
      </c>
      <c r="B1334" s="870">
        <v>91972</v>
      </c>
      <c r="C1334" s="871" t="s">
        <v>590</v>
      </c>
      <c r="D1334" s="881" t="s">
        <v>1248</v>
      </c>
      <c r="E1334" s="882">
        <f>'REF. DE PREÇOS n editavel'!E1334</f>
        <v>0</v>
      </c>
      <c r="F1334" s="883">
        <f>'REF. DE PREÇOS n editavel'!F1334</f>
        <v>0</v>
      </c>
      <c r="G1334" s="887">
        <f>'REF. DE PREÇOS n editavel'!G1334</f>
        <v>0</v>
      </c>
      <c r="H1334" s="876">
        <f>'REF. DE PREÇOS n editavel'!H1334</f>
        <v>90.4</v>
      </c>
      <c r="I1334" s="876">
        <f>'REF. DE PREÇOS n editavel'!I1334</f>
        <v>90.4</v>
      </c>
      <c r="J1334" s="877">
        <f>'REF. DE PREÇOS n editavel'!J1334</f>
        <v>110.49</v>
      </c>
      <c r="K1334" s="878" t="s">
        <v>1500</v>
      </c>
      <c r="L1334" s="1092"/>
      <c r="M1334" s="1093">
        <f t="shared" si="147"/>
        <v>0</v>
      </c>
      <c r="N1334" s="868">
        <f t="shared" si="151"/>
        <v>0</v>
      </c>
      <c r="O1334" s="880"/>
      <c r="Q1334" s="317" t="str">
        <f t="shared" si="148"/>
        <v/>
      </c>
      <c r="R1334" s="317" t="str">
        <f t="shared" si="149"/>
        <v/>
      </c>
      <c r="S1334" s="317" t="str">
        <f t="shared" si="150"/>
        <v/>
      </c>
      <c r="T1334" s="317" t="str">
        <f>'REF. DE PREÇOS n editavel'!S1334</f>
        <v/>
      </c>
      <c r="W1334" s="577">
        <v>0</v>
      </c>
      <c r="X1334" s="575"/>
      <c r="Y1334" s="578">
        <f>IF('REF. DE PREÇOS n editavel'!W1334=0,0,IF('REF. DE PREÇOS n editavel'!W1334&gt;0,"c","b"))</f>
        <v>0</v>
      </c>
    </row>
    <row r="1335" spans="1:25" ht="22.5">
      <c r="A1335" s="317">
        <v>91973</v>
      </c>
      <c r="B1335" s="870">
        <v>91973</v>
      </c>
      <c r="C1335" s="871" t="s">
        <v>590</v>
      </c>
      <c r="D1335" s="881" t="s">
        <v>1249</v>
      </c>
      <c r="E1335" s="882">
        <f>'REF. DE PREÇOS n editavel'!E1335</f>
        <v>0</v>
      </c>
      <c r="F1335" s="883">
        <f>'REF. DE PREÇOS n editavel'!F1335</f>
        <v>0</v>
      </c>
      <c r="G1335" s="887">
        <f>'REF. DE PREÇOS n editavel'!G1335</f>
        <v>0</v>
      </c>
      <c r="H1335" s="876">
        <f>'REF. DE PREÇOS n editavel'!H1335</f>
        <v>104.98</v>
      </c>
      <c r="I1335" s="876">
        <f>'REF. DE PREÇOS n editavel'!I1335</f>
        <v>104.98</v>
      </c>
      <c r="J1335" s="877">
        <f>'REF. DE PREÇOS n editavel'!J1335</f>
        <v>128.31</v>
      </c>
      <c r="K1335" s="878" t="s">
        <v>1500</v>
      </c>
      <c r="L1335" s="1092"/>
      <c r="M1335" s="1093">
        <f t="shared" si="147"/>
        <v>0</v>
      </c>
      <c r="N1335" s="868">
        <f t="shared" si="151"/>
        <v>0</v>
      </c>
      <c r="O1335" s="880"/>
      <c r="Q1335" s="317" t="str">
        <f t="shared" si="148"/>
        <v/>
      </c>
      <c r="R1335" s="317" t="str">
        <f t="shared" si="149"/>
        <v/>
      </c>
      <c r="S1335" s="317" t="str">
        <f t="shared" si="150"/>
        <v/>
      </c>
      <c r="T1335" s="317" t="str">
        <f>'REF. DE PREÇOS n editavel'!S1335</f>
        <v/>
      </c>
      <c r="W1335" s="577">
        <v>0</v>
      </c>
      <c r="X1335" s="575"/>
      <c r="Y1335" s="578">
        <f>IF('REF. DE PREÇOS n editavel'!W1335=0,0,IF('REF. DE PREÇOS n editavel'!W1335&gt;0,"c","b"))</f>
        <v>0</v>
      </c>
    </row>
    <row r="1336" spans="1:25" ht="22.5">
      <c r="A1336" s="317">
        <v>91974</v>
      </c>
      <c r="B1336" s="870">
        <v>91974</v>
      </c>
      <c r="C1336" s="871" t="s">
        <v>590</v>
      </c>
      <c r="D1336" s="881" t="s">
        <v>1250</v>
      </c>
      <c r="E1336" s="882">
        <f>'REF. DE PREÇOS n editavel'!E1336</f>
        <v>0</v>
      </c>
      <c r="F1336" s="883">
        <f>'REF. DE PREÇOS n editavel'!F1336</f>
        <v>0</v>
      </c>
      <c r="G1336" s="887">
        <f>'REF. DE PREÇOS n editavel'!G1336</f>
        <v>0</v>
      </c>
      <c r="H1336" s="876">
        <f>'REF. DE PREÇOS n editavel'!H1336</f>
        <v>75.599999999999994</v>
      </c>
      <c r="I1336" s="876">
        <f>'REF. DE PREÇOS n editavel'!I1336</f>
        <v>75.599999999999994</v>
      </c>
      <c r="J1336" s="877">
        <f>'REF. DE PREÇOS n editavel'!J1336</f>
        <v>92.4</v>
      </c>
      <c r="K1336" s="878" t="s">
        <v>1500</v>
      </c>
      <c r="L1336" s="1092"/>
      <c r="M1336" s="1093">
        <f t="shared" si="147"/>
        <v>0</v>
      </c>
      <c r="N1336" s="868">
        <f t="shared" si="151"/>
        <v>0</v>
      </c>
      <c r="O1336" s="880"/>
      <c r="Q1336" s="317" t="str">
        <f t="shared" si="148"/>
        <v/>
      </c>
      <c r="R1336" s="317" t="str">
        <f t="shared" si="149"/>
        <v/>
      </c>
      <c r="S1336" s="317" t="str">
        <f t="shared" si="150"/>
        <v/>
      </c>
      <c r="T1336" s="317" t="str">
        <f>'REF. DE PREÇOS n editavel'!S1336</f>
        <v/>
      </c>
      <c r="W1336" s="577">
        <v>0</v>
      </c>
      <c r="X1336" s="575"/>
      <c r="Y1336" s="578">
        <f>IF('REF. DE PREÇOS n editavel'!W1336=0,0,IF('REF. DE PREÇOS n editavel'!W1336&gt;0,"c","b"))</f>
        <v>0</v>
      </c>
    </row>
    <row r="1337" spans="1:25" ht="22.5">
      <c r="A1337" s="317">
        <v>91975</v>
      </c>
      <c r="B1337" s="870">
        <v>91975</v>
      </c>
      <c r="C1337" s="871" t="s">
        <v>590</v>
      </c>
      <c r="D1337" s="881" t="s">
        <v>1251</v>
      </c>
      <c r="E1337" s="882">
        <f>'REF. DE PREÇOS n editavel'!E1337</f>
        <v>0</v>
      </c>
      <c r="F1337" s="883">
        <f>'REF. DE PREÇOS n editavel'!F1337</f>
        <v>0</v>
      </c>
      <c r="G1337" s="887">
        <f>'REF. DE PREÇOS n editavel'!G1337</f>
        <v>0</v>
      </c>
      <c r="H1337" s="876">
        <f>'REF. DE PREÇOS n editavel'!H1337</f>
        <v>90.18</v>
      </c>
      <c r="I1337" s="876">
        <f>'REF. DE PREÇOS n editavel'!I1337</f>
        <v>90.18</v>
      </c>
      <c r="J1337" s="877">
        <f>'REF. DE PREÇOS n editavel'!J1337</f>
        <v>110.22</v>
      </c>
      <c r="K1337" s="878" t="s">
        <v>1500</v>
      </c>
      <c r="L1337" s="1092"/>
      <c r="M1337" s="1093">
        <f t="shared" si="147"/>
        <v>0</v>
      </c>
      <c r="N1337" s="868">
        <f t="shared" si="151"/>
        <v>0</v>
      </c>
      <c r="O1337" s="880"/>
      <c r="Q1337" s="317" t="str">
        <f t="shared" si="148"/>
        <v/>
      </c>
      <c r="R1337" s="317" t="str">
        <f t="shared" si="149"/>
        <v/>
      </c>
      <c r="S1337" s="317" t="str">
        <f t="shared" si="150"/>
        <v/>
      </c>
      <c r="T1337" s="317" t="str">
        <f>'REF. DE PREÇOS n editavel'!S1337</f>
        <v/>
      </c>
      <c r="W1337" s="577">
        <v>0</v>
      </c>
      <c r="X1337" s="575"/>
      <c r="Y1337" s="578">
        <f>IF('REF. DE PREÇOS n editavel'!W1337=0,0,IF('REF. DE PREÇOS n editavel'!W1337&gt;0,"c","b"))</f>
        <v>0</v>
      </c>
    </row>
    <row r="1338" spans="1:25" ht="22.5">
      <c r="A1338" s="317">
        <v>91976</v>
      </c>
      <c r="B1338" s="870">
        <v>91976</v>
      </c>
      <c r="C1338" s="871" t="s">
        <v>590</v>
      </c>
      <c r="D1338" s="881" t="s">
        <v>1252</v>
      </c>
      <c r="E1338" s="882">
        <f>'REF. DE PREÇOS n editavel'!E1338</f>
        <v>0</v>
      </c>
      <c r="F1338" s="883">
        <f>'REF. DE PREÇOS n editavel'!F1338</f>
        <v>0</v>
      </c>
      <c r="G1338" s="887">
        <f>'REF. DE PREÇOS n editavel'!G1338</f>
        <v>0</v>
      </c>
      <c r="H1338" s="876">
        <f>'REF. DE PREÇOS n editavel'!H1338</f>
        <v>111.54</v>
      </c>
      <c r="I1338" s="876">
        <f>'REF. DE PREÇOS n editavel'!I1338</f>
        <v>111.54</v>
      </c>
      <c r="J1338" s="877">
        <f>'REF. DE PREÇOS n editavel'!J1338</f>
        <v>136.32</v>
      </c>
      <c r="K1338" s="878" t="s">
        <v>1500</v>
      </c>
      <c r="L1338" s="1092"/>
      <c r="M1338" s="1093">
        <f t="shared" si="147"/>
        <v>0</v>
      </c>
      <c r="N1338" s="868">
        <f t="shared" si="151"/>
        <v>0</v>
      </c>
      <c r="O1338" s="880"/>
      <c r="Q1338" s="317" t="str">
        <f t="shared" si="148"/>
        <v/>
      </c>
      <c r="R1338" s="317" t="str">
        <f t="shared" si="149"/>
        <v/>
      </c>
      <c r="S1338" s="317" t="str">
        <f t="shared" si="150"/>
        <v/>
      </c>
      <c r="T1338" s="317" t="str">
        <f>'REF. DE PREÇOS n editavel'!S1338</f>
        <v/>
      </c>
      <c r="W1338" s="577">
        <v>0</v>
      </c>
      <c r="X1338" s="575"/>
      <c r="Y1338" s="578">
        <f>IF('REF. DE PREÇOS n editavel'!W1338=0,0,IF('REF. DE PREÇOS n editavel'!W1338&gt;0,"c","b"))</f>
        <v>0</v>
      </c>
    </row>
    <row r="1339" spans="1:25" ht="22.5">
      <c r="A1339" s="317">
        <v>91977</v>
      </c>
      <c r="B1339" s="870">
        <v>91977</v>
      </c>
      <c r="C1339" s="871" t="s">
        <v>590</v>
      </c>
      <c r="D1339" s="881" t="s">
        <v>1253</v>
      </c>
      <c r="E1339" s="882">
        <f>'REF. DE PREÇOS n editavel'!E1339</f>
        <v>0</v>
      </c>
      <c r="F1339" s="883">
        <f>'REF. DE PREÇOS n editavel'!F1339</f>
        <v>0</v>
      </c>
      <c r="G1339" s="887">
        <f>'REF. DE PREÇOS n editavel'!G1339</f>
        <v>0</v>
      </c>
      <c r="H1339" s="876">
        <f>'REF. DE PREÇOS n editavel'!H1339</f>
        <v>126.12</v>
      </c>
      <c r="I1339" s="876">
        <f>'REF. DE PREÇOS n editavel'!I1339</f>
        <v>126.12</v>
      </c>
      <c r="J1339" s="877">
        <f>'REF. DE PREÇOS n editavel'!J1339</f>
        <v>154.13999999999999</v>
      </c>
      <c r="K1339" s="878" t="s">
        <v>1500</v>
      </c>
      <c r="L1339" s="1092"/>
      <c r="M1339" s="1093">
        <f t="shared" si="147"/>
        <v>0</v>
      </c>
      <c r="N1339" s="868">
        <f t="shared" si="151"/>
        <v>0</v>
      </c>
      <c r="O1339" s="880"/>
      <c r="Q1339" s="317" t="str">
        <f t="shared" si="148"/>
        <v/>
      </c>
      <c r="R1339" s="317" t="str">
        <f t="shared" si="149"/>
        <v/>
      </c>
      <c r="S1339" s="317" t="str">
        <f t="shared" si="150"/>
        <v/>
      </c>
      <c r="T1339" s="317" t="str">
        <f>'REF. DE PREÇOS n editavel'!S1339</f>
        <v/>
      </c>
      <c r="W1339" s="577">
        <v>0</v>
      </c>
      <c r="X1339" s="575"/>
      <c r="Y1339" s="578">
        <f>IF('REF. DE PREÇOS n editavel'!W1339=0,0,IF('REF. DE PREÇOS n editavel'!W1339&gt;0,"c","b"))</f>
        <v>0</v>
      </c>
    </row>
    <row r="1340" spans="1:25" ht="22.5">
      <c r="A1340" s="317">
        <v>92022</v>
      </c>
      <c r="B1340" s="870">
        <v>92022</v>
      </c>
      <c r="C1340" s="871" t="s">
        <v>590</v>
      </c>
      <c r="D1340" s="881" t="s">
        <v>1254</v>
      </c>
      <c r="E1340" s="882">
        <f>'REF. DE PREÇOS n editavel'!E1340</f>
        <v>0</v>
      </c>
      <c r="F1340" s="883">
        <f>'REF. DE PREÇOS n editavel'!F1340</f>
        <v>0</v>
      </c>
      <c r="G1340" s="887">
        <f>'REF. DE PREÇOS n editavel'!G1340</f>
        <v>0</v>
      </c>
      <c r="H1340" s="876">
        <f>'REF. DE PREÇOS n editavel'!H1340</f>
        <v>45.44</v>
      </c>
      <c r="I1340" s="876">
        <f>'REF. DE PREÇOS n editavel'!I1340</f>
        <v>45.44</v>
      </c>
      <c r="J1340" s="877">
        <f>'REF. DE PREÇOS n editavel'!J1340</f>
        <v>55.54</v>
      </c>
      <c r="K1340" s="878" t="s">
        <v>1500</v>
      </c>
      <c r="L1340" s="1092"/>
      <c r="M1340" s="1093">
        <f t="shared" si="147"/>
        <v>0</v>
      </c>
      <c r="N1340" s="868">
        <f t="shared" si="151"/>
        <v>0</v>
      </c>
      <c r="O1340" s="880"/>
      <c r="Q1340" s="317" t="str">
        <f t="shared" si="148"/>
        <v/>
      </c>
      <c r="R1340" s="317" t="str">
        <f t="shared" si="149"/>
        <v/>
      </c>
      <c r="S1340" s="317" t="str">
        <f t="shared" si="150"/>
        <v/>
      </c>
      <c r="T1340" s="317" t="str">
        <f>'REF. DE PREÇOS n editavel'!S1340</f>
        <v/>
      </c>
      <c r="W1340" s="577">
        <v>0</v>
      </c>
      <c r="X1340" s="575"/>
      <c r="Y1340" s="578">
        <f>IF('REF. DE PREÇOS n editavel'!W1340=0,0,IF('REF. DE PREÇOS n editavel'!W1340&gt;0,"c","b"))</f>
        <v>0</v>
      </c>
    </row>
    <row r="1341" spans="1:25" ht="22.5">
      <c r="A1341" s="317">
        <v>92023</v>
      </c>
      <c r="B1341" s="870">
        <v>92023</v>
      </c>
      <c r="C1341" s="871" t="s">
        <v>590</v>
      </c>
      <c r="D1341" s="881" t="s">
        <v>1255</v>
      </c>
      <c r="E1341" s="882">
        <f>'REF. DE PREÇOS n editavel'!E1341</f>
        <v>0</v>
      </c>
      <c r="F1341" s="883">
        <f>'REF. DE PREÇOS n editavel'!F1341</f>
        <v>0</v>
      </c>
      <c r="G1341" s="887">
        <f>'REF. DE PREÇOS n editavel'!G1341</f>
        <v>0</v>
      </c>
      <c r="H1341" s="876">
        <f>'REF. DE PREÇOS n editavel'!H1341</f>
        <v>54.67</v>
      </c>
      <c r="I1341" s="876">
        <f>'REF. DE PREÇOS n editavel'!I1341</f>
        <v>54.67</v>
      </c>
      <c r="J1341" s="877">
        <f>'REF. DE PREÇOS n editavel'!J1341</f>
        <v>66.819999999999993</v>
      </c>
      <c r="K1341" s="878" t="s">
        <v>1500</v>
      </c>
      <c r="L1341" s="1092"/>
      <c r="M1341" s="1093">
        <f t="shared" si="147"/>
        <v>0</v>
      </c>
      <c r="N1341" s="868">
        <f t="shared" si="151"/>
        <v>0</v>
      </c>
      <c r="O1341" s="880"/>
      <c r="Q1341" s="317" t="str">
        <f t="shared" si="148"/>
        <v/>
      </c>
      <c r="R1341" s="317" t="str">
        <f t="shared" si="149"/>
        <v/>
      </c>
      <c r="S1341" s="317" t="str">
        <f t="shared" si="150"/>
        <v/>
      </c>
      <c r="T1341" s="317" t="str">
        <f>'REF. DE PREÇOS n editavel'!S1341</f>
        <v/>
      </c>
      <c r="W1341" s="577">
        <v>0</v>
      </c>
      <c r="X1341" s="575"/>
      <c r="Y1341" s="578">
        <f>IF('REF. DE PREÇOS n editavel'!W1341=0,0,IF('REF. DE PREÇOS n editavel'!W1341&gt;0,"c","b"))</f>
        <v>0</v>
      </c>
    </row>
    <row r="1342" spans="1:25" ht="22.5">
      <c r="A1342" s="317">
        <v>92024</v>
      </c>
      <c r="B1342" s="870">
        <v>92024</v>
      </c>
      <c r="C1342" s="871" t="s">
        <v>590</v>
      </c>
      <c r="D1342" s="881" t="s">
        <v>1256</v>
      </c>
      <c r="E1342" s="882">
        <f>'REF. DE PREÇOS n editavel'!E1342</f>
        <v>0</v>
      </c>
      <c r="F1342" s="883">
        <f>'REF. DE PREÇOS n editavel'!F1342</f>
        <v>0</v>
      </c>
      <c r="G1342" s="887">
        <f>'REF. DE PREÇOS n editavel'!G1342</f>
        <v>0</v>
      </c>
      <c r="H1342" s="876">
        <f>'REF. DE PREÇOS n editavel'!H1342</f>
        <v>69.430000000000007</v>
      </c>
      <c r="I1342" s="876">
        <f>'REF. DE PREÇOS n editavel'!I1342</f>
        <v>69.430000000000007</v>
      </c>
      <c r="J1342" s="877">
        <f>'REF. DE PREÇOS n editavel'!J1342</f>
        <v>84.86</v>
      </c>
      <c r="K1342" s="878" t="s">
        <v>1500</v>
      </c>
      <c r="L1342" s="1092"/>
      <c r="M1342" s="1093">
        <f t="shared" si="147"/>
        <v>0</v>
      </c>
      <c r="N1342" s="868">
        <f t="shared" si="151"/>
        <v>0</v>
      </c>
      <c r="O1342" s="880"/>
      <c r="Q1342" s="317" t="str">
        <f t="shared" si="148"/>
        <v/>
      </c>
      <c r="R1342" s="317" t="str">
        <f t="shared" si="149"/>
        <v/>
      </c>
      <c r="S1342" s="317" t="str">
        <f t="shared" si="150"/>
        <v/>
      </c>
      <c r="T1342" s="317" t="str">
        <f>'REF. DE PREÇOS n editavel'!S1342</f>
        <v/>
      </c>
      <c r="W1342" s="577">
        <v>0</v>
      </c>
      <c r="X1342" s="575"/>
      <c r="Y1342" s="578">
        <f>IF('REF. DE PREÇOS n editavel'!W1342=0,0,IF('REF. DE PREÇOS n editavel'!W1342&gt;0,"c","b"))</f>
        <v>0</v>
      </c>
    </row>
    <row r="1343" spans="1:25" ht="22.5">
      <c r="A1343" s="317">
        <v>92025</v>
      </c>
      <c r="B1343" s="870">
        <v>92025</v>
      </c>
      <c r="C1343" s="871" t="s">
        <v>590</v>
      </c>
      <c r="D1343" s="881" t="s">
        <v>1257</v>
      </c>
      <c r="E1343" s="882">
        <f>'REF. DE PREÇOS n editavel'!E1343</f>
        <v>0</v>
      </c>
      <c r="F1343" s="883">
        <f>'REF. DE PREÇOS n editavel'!F1343</f>
        <v>0</v>
      </c>
      <c r="G1343" s="887">
        <f>'REF. DE PREÇOS n editavel'!G1343</f>
        <v>0</v>
      </c>
      <c r="H1343" s="876">
        <f>'REF. DE PREÇOS n editavel'!H1343</f>
        <v>78.66</v>
      </c>
      <c r="I1343" s="876">
        <f>'REF. DE PREÇOS n editavel'!I1343</f>
        <v>78.66</v>
      </c>
      <c r="J1343" s="877">
        <f>'REF. DE PREÇOS n editavel'!J1343</f>
        <v>96.14</v>
      </c>
      <c r="K1343" s="878" t="s">
        <v>1500</v>
      </c>
      <c r="L1343" s="1092"/>
      <c r="M1343" s="1093">
        <f t="shared" si="147"/>
        <v>0</v>
      </c>
      <c r="N1343" s="868">
        <f t="shared" si="151"/>
        <v>0</v>
      </c>
      <c r="O1343" s="880"/>
      <c r="Q1343" s="317" t="str">
        <f t="shared" si="148"/>
        <v/>
      </c>
      <c r="R1343" s="317" t="str">
        <f t="shared" si="149"/>
        <v/>
      </c>
      <c r="S1343" s="317" t="str">
        <f t="shared" si="150"/>
        <v/>
      </c>
      <c r="T1343" s="317" t="str">
        <f>'REF. DE PREÇOS n editavel'!S1343</f>
        <v/>
      </c>
      <c r="W1343" s="577">
        <v>0</v>
      </c>
      <c r="X1343" s="575"/>
      <c r="Y1343" s="578">
        <f>IF('REF. DE PREÇOS n editavel'!W1343=0,0,IF('REF. DE PREÇOS n editavel'!W1343&gt;0,"c","b"))</f>
        <v>0</v>
      </c>
    </row>
    <row r="1344" spans="1:25" ht="22.5">
      <c r="A1344" s="317">
        <v>92026</v>
      </c>
      <c r="B1344" s="870">
        <v>92026</v>
      </c>
      <c r="C1344" s="871" t="s">
        <v>590</v>
      </c>
      <c r="D1344" s="881" t="s">
        <v>1258</v>
      </c>
      <c r="E1344" s="882">
        <f>'REF. DE PREÇOS n editavel'!E1344</f>
        <v>0</v>
      </c>
      <c r="F1344" s="883">
        <f>'REF. DE PREÇOS n editavel'!F1344</f>
        <v>0</v>
      </c>
      <c r="G1344" s="887">
        <f>'REF. DE PREÇOS n editavel'!G1344</f>
        <v>0</v>
      </c>
      <c r="H1344" s="876">
        <f>'REF. DE PREÇOS n editavel'!H1344</f>
        <v>63.34</v>
      </c>
      <c r="I1344" s="876">
        <f>'REF. DE PREÇOS n editavel'!I1344</f>
        <v>63.34</v>
      </c>
      <c r="J1344" s="877">
        <f>'REF. DE PREÇOS n editavel'!J1344</f>
        <v>77.41</v>
      </c>
      <c r="K1344" s="878" t="s">
        <v>1500</v>
      </c>
      <c r="L1344" s="1092"/>
      <c r="M1344" s="1093">
        <f t="shared" si="147"/>
        <v>0</v>
      </c>
      <c r="N1344" s="868">
        <f t="shared" si="151"/>
        <v>0</v>
      </c>
      <c r="O1344" s="880"/>
      <c r="Q1344" s="317" t="str">
        <f t="shared" si="148"/>
        <v/>
      </c>
      <c r="R1344" s="317" t="str">
        <f t="shared" si="149"/>
        <v/>
      </c>
      <c r="S1344" s="317" t="str">
        <f t="shared" si="150"/>
        <v/>
      </c>
      <c r="T1344" s="317" t="str">
        <f>'REF. DE PREÇOS n editavel'!S1344</f>
        <v/>
      </c>
      <c r="W1344" s="577">
        <v>0</v>
      </c>
      <c r="X1344" s="575"/>
      <c r="Y1344" s="578">
        <f>IF('REF. DE PREÇOS n editavel'!W1344=0,0,IF('REF. DE PREÇOS n editavel'!W1344&gt;0,"c","b"))</f>
        <v>0</v>
      </c>
    </row>
    <row r="1345" spans="1:25" ht="22.5">
      <c r="A1345" s="317">
        <v>92027</v>
      </c>
      <c r="B1345" s="870">
        <v>92027</v>
      </c>
      <c r="C1345" s="871" t="s">
        <v>590</v>
      </c>
      <c r="D1345" s="881" t="s">
        <v>1259</v>
      </c>
      <c r="E1345" s="882">
        <f>'REF. DE PREÇOS n editavel'!E1345</f>
        <v>0</v>
      </c>
      <c r="F1345" s="883">
        <f>'REF. DE PREÇOS n editavel'!F1345</f>
        <v>0</v>
      </c>
      <c r="G1345" s="887">
        <f>'REF. DE PREÇOS n editavel'!G1345</f>
        <v>0</v>
      </c>
      <c r="H1345" s="876">
        <f>'REF. DE PREÇOS n editavel'!H1345</f>
        <v>72.569999999999993</v>
      </c>
      <c r="I1345" s="876">
        <f>'REF. DE PREÇOS n editavel'!I1345</f>
        <v>72.569999999999993</v>
      </c>
      <c r="J1345" s="877">
        <f>'REF. DE PREÇOS n editavel'!J1345</f>
        <v>88.7</v>
      </c>
      <c r="K1345" s="878" t="s">
        <v>1500</v>
      </c>
      <c r="L1345" s="1092"/>
      <c r="M1345" s="1093">
        <f t="shared" si="147"/>
        <v>0</v>
      </c>
      <c r="N1345" s="868">
        <f t="shared" si="151"/>
        <v>0</v>
      </c>
      <c r="O1345" s="880"/>
      <c r="Q1345" s="317" t="str">
        <f t="shared" si="148"/>
        <v/>
      </c>
      <c r="R1345" s="317" t="str">
        <f t="shared" si="149"/>
        <v/>
      </c>
      <c r="S1345" s="317" t="str">
        <f t="shared" si="150"/>
        <v/>
      </c>
      <c r="T1345" s="317" t="str">
        <f>'REF. DE PREÇOS n editavel'!S1345</f>
        <v/>
      </c>
      <c r="W1345" s="577">
        <v>0</v>
      </c>
      <c r="X1345" s="575"/>
      <c r="Y1345" s="578">
        <f>IF('REF. DE PREÇOS n editavel'!W1345=0,0,IF('REF. DE PREÇOS n editavel'!W1345&gt;0,"c","b"))</f>
        <v>0</v>
      </c>
    </row>
    <row r="1346" spans="1:25" ht="33.75">
      <c r="A1346" s="317">
        <v>92034</v>
      </c>
      <c r="B1346" s="870">
        <v>92034</v>
      </c>
      <c r="C1346" s="871" t="s">
        <v>590</v>
      </c>
      <c r="D1346" s="881" t="s">
        <v>1260</v>
      </c>
      <c r="E1346" s="882">
        <f>'REF. DE PREÇOS n editavel'!E1346</f>
        <v>0</v>
      </c>
      <c r="F1346" s="883">
        <f>'REF. DE PREÇOS n editavel'!F1346</f>
        <v>0</v>
      </c>
      <c r="G1346" s="887">
        <f>'REF. DE PREÇOS n editavel'!G1346</f>
        <v>0</v>
      </c>
      <c r="H1346" s="876">
        <f>'REF. DE PREÇOS n editavel'!H1346</f>
        <v>70.75</v>
      </c>
      <c r="I1346" s="876">
        <f>'REF. DE PREÇOS n editavel'!I1346</f>
        <v>70.75</v>
      </c>
      <c r="J1346" s="877">
        <f>'REF. DE PREÇOS n editavel'!J1346</f>
        <v>86.47</v>
      </c>
      <c r="K1346" s="878" t="s">
        <v>1500</v>
      </c>
      <c r="L1346" s="1092"/>
      <c r="M1346" s="1093">
        <f t="shared" si="147"/>
        <v>0</v>
      </c>
      <c r="N1346" s="868">
        <f t="shared" si="151"/>
        <v>0</v>
      </c>
      <c r="O1346" s="880"/>
      <c r="Q1346" s="317" t="str">
        <f t="shared" si="148"/>
        <v/>
      </c>
      <c r="R1346" s="317" t="str">
        <f t="shared" si="149"/>
        <v/>
      </c>
      <c r="S1346" s="317" t="str">
        <f t="shared" si="150"/>
        <v/>
      </c>
      <c r="T1346" s="317" t="str">
        <f>'REF. DE PREÇOS n editavel'!S1346</f>
        <v/>
      </c>
      <c r="W1346" s="577">
        <v>0</v>
      </c>
      <c r="X1346" s="575"/>
      <c r="Y1346" s="578">
        <f>IF('REF. DE PREÇOS n editavel'!W1346=0,0,IF('REF. DE PREÇOS n editavel'!W1346&gt;0,"c","b"))</f>
        <v>0</v>
      </c>
    </row>
    <row r="1347" spans="1:25" ht="33.75">
      <c r="A1347" s="317">
        <v>92035</v>
      </c>
      <c r="B1347" s="870">
        <v>92035</v>
      </c>
      <c r="C1347" s="871" t="s">
        <v>590</v>
      </c>
      <c r="D1347" s="881" t="s">
        <v>1261</v>
      </c>
      <c r="E1347" s="882">
        <f>'REF. DE PREÇOS n editavel'!E1347</f>
        <v>0</v>
      </c>
      <c r="F1347" s="883">
        <f>'REF. DE PREÇOS n editavel'!F1347</f>
        <v>0</v>
      </c>
      <c r="G1347" s="887">
        <f>'REF. DE PREÇOS n editavel'!G1347</f>
        <v>0</v>
      </c>
      <c r="H1347" s="876">
        <f>'REF. DE PREÇOS n editavel'!H1347</f>
        <v>79.98</v>
      </c>
      <c r="I1347" s="876">
        <f>'REF. DE PREÇOS n editavel'!I1347</f>
        <v>79.98</v>
      </c>
      <c r="J1347" s="877">
        <f>'REF. DE PREÇOS n editavel'!J1347</f>
        <v>97.75</v>
      </c>
      <c r="K1347" s="878" t="s">
        <v>1500</v>
      </c>
      <c r="L1347" s="1092"/>
      <c r="M1347" s="1093">
        <f t="shared" si="147"/>
        <v>0</v>
      </c>
      <c r="N1347" s="868">
        <f t="shared" si="151"/>
        <v>0</v>
      </c>
      <c r="O1347" s="880"/>
      <c r="Q1347" s="317" t="str">
        <f t="shared" si="148"/>
        <v/>
      </c>
      <c r="R1347" s="317" t="str">
        <f t="shared" si="149"/>
        <v/>
      </c>
      <c r="S1347" s="317" t="str">
        <f t="shared" si="150"/>
        <v/>
      </c>
      <c r="T1347" s="317" t="str">
        <f>'REF. DE PREÇOS n editavel'!S1347</f>
        <v/>
      </c>
      <c r="W1347" s="577">
        <v>0</v>
      </c>
      <c r="X1347" s="575"/>
      <c r="Y1347" s="578">
        <f>IF('REF. DE PREÇOS n editavel'!W1347=0,0,IF('REF. DE PREÇOS n editavel'!W1347&gt;0,"c","b"))</f>
        <v>0</v>
      </c>
    </row>
    <row r="1348" spans="1:25" ht="22.5">
      <c r="A1348" s="317">
        <v>91954</v>
      </c>
      <c r="B1348" s="870">
        <v>91954</v>
      </c>
      <c r="C1348" s="871" t="s">
        <v>590</v>
      </c>
      <c r="D1348" s="881" t="s">
        <v>1262</v>
      </c>
      <c r="E1348" s="882">
        <f>'REF. DE PREÇOS n editavel'!E1348</f>
        <v>0</v>
      </c>
      <c r="F1348" s="883">
        <f>'REF. DE PREÇOS n editavel'!F1348</f>
        <v>0</v>
      </c>
      <c r="G1348" s="887">
        <f>'REF. DE PREÇOS n editavel'!G1348</f>
        <v>0</v>
      </c>
      <c r="H1348" s="876">
        <f>'REF. DE PREÇOS n editavel'!H1348</f>
        <v>28.9</v>
      </c>
      <c r="I1348" s="876">
        <f>'REF. DE PREÇOS n editavel'!I1348</f>
        <v>28.9</v>
      </c>
      <c r="J1348" s="877">
        <f>'REF. DE PREÇOS n editavel'!J1348</f>
        <v>35.32</v>
      </c>
      <c r="K1348" s="878" t="s">
        <v>1500</v>
      </c>
      <c r="L1348" s="1092"/>
      <c r="M1348" s="1093">
        <f t="shared" si="147"/>
        <v>0</v>
      </c>
      <c r="N1348" s="868">
        <f t="shared" si="151"/>
        <v>0</v>
      </c>
      <c r="O1348" s="880"/>
      <c r="Q1348" s="317" t="str">
        <f t="shared" si="148"/>
        <v/>
      </c>
      <c r="R1348" s="317" t="str">
        <f t="shared" si="149"/>
        <v/>
      </c>
      <c r="S1348" s="317" t="str">
        <f t="shared" si="150"/>
        <v/>
      </c>
      <c r="T1348" s="317" t="str">
        <f>'REF. DE PREÇOS n editavel'!S1348</f>
        <v/>
      </c>
      <c r="W1348" s="577">
        <v>0</v>
      </c>
      <c r="X1348" s="575"/>
      <c r="Y1348" s="578">
        <f>IF('REF. DE PREÇOS n editavel'!W1348=0,0,IF('REF. DE PREÇOS n editavel'!W1348&gt;0,"c","b"))</f>
        <v>0</v>
      </c>
    </row>
    <row r="1349" spans="1:25" ht="22.5">
      <c r="A1349" s="317">
        <v>91955</v>
      </c>
      <c r="B1349" s="870">
        <v>91955</v>
      </c>
      <c r="C1349" s="871" t="s">
        <v>590</v>
      </c>
      <c r="D1349" s="881" t="s">
        <v>1263</v>
      </c>
      <c r="E1349" s="882">
        <f>'REF. DE PREÇOS n editavel'!E1349</f>
        <v>0</v>
      </c>
      <c r="F1349" s="883">
        <f>'REF. DE PREÇOS n editavel'!F1349</f>
        <v>0</v>
      </c>
      <c r="G1349" s="887">
        <f>'REF. DE PREÇOS n editavel'!G1349</f>
        <v>0</v>
      </c>
      <c r="H1349" s="876">
        <f>'REF. DE PREÇOS n editavel'!H1349</f>
        <v>38.130000000000003</v>
      </c>
      <c r="I1349" s="876">
        <f>'REF. DE PREÇOS n editavel'!I1349</f>
        <v>38.130000000000003</v>
      </c>
      <c r="J1349" s="877">
        <f>'REF. DE PREÇOS n editavel'!J1349</f>
        <v>46.6</v>
      </c>
      <c r="K1349" s="878" t="s">
        <v>1500</v>
      </c>
      <c r="L1349" s="1092"/>
      <c r="M1349" s="1093">
        <f t="shared" si="147"/>
        <v>0</v>
      </c>
      <c r="N1349" s="868">
        <f t="shared" si="151"/>
        <v>0</v>
      </c>
      <c r="O1349" s="880"/>
      <c r="Q1349" s="317" t="str">
        <f t="shared" si="148"/>
        <v/>
      </c>
      <c r="R1349" s="317" t="str">
        <f t="shared" si="149"/>
        <v/>
      </c>
      <c r="S1349" s="317" t="str">
        <f t="shared" si="150"/>
        <v/>
      </c>
      <c r="T1349" s="317" t="str">
        <f>'REF. DE PREÇOS n editavel'!S1349</f>
        <v/>
      </c>
      <c r="W1349" s="577">
        <v>0</v>
      </c>
      <c r="X1349" s="575"/>
      <c r="Y1349" s="578">
        <f>IF('REF. DE PREÇOS n editavel'!W1349=0,0,IF('REF. DE PREÇOS n editavel'!W1349&gt;0,"c","b"))</f>
        <v>0</v>
      </c>
    </row>
    <row r="1350" spans="1:25" ht="22.5">
      <c r="A1350" s="317">
        <v>91960</v>
      </c>
      <c r="B1350" s="870">
        <v>91960</v>
      </c>
      <c r="C1350" s="871" t="s">
        <v>590</v>
      </c>
      <c r="D1350" s="881" t="s">
        <v>1264</v>
      </c>
      <c r="E1350" s="882">
        <f>'REF. DE PREÇOS n editavel'!E1350</f>
        <v>0</v>
      </c>
      <c r="F1350" s="883">
        <f>'REF. DE PREÇOS n editavel'!F1350</f>
        <v>0</v>
      </c>
      <c r="G1350" s="887">
        <f>'REF. DE PREÇOS n editavel'!G1350</f>
        <v>0</v>
      </c>
      <c r="H1350" s="876">
        <f>'REF. DE PREÇOS n editavel'!H1350</f>
        <v>54.15</v>
      </c>
      <c r="I1350" s="876">
        <f>'REF. DE PREÇOS n editavel'!I1350</f>
        <v>54.15</v>
      </c>
      <c r="J1350" s="877">
        <f>'REF. DE PREÇOS n editavel'!J1350</f>
        <v>66.180000000000007</v>
      </c>
      <c r="K1350" s="878" t="s">
        <v>1500</v>
      </c>
      <c r="L1350" s="1092"/>
      <c r="M1350" s="1093">
        <f t="shared" ref="M1350:M1413" si="152">IF(L1350=0,0,ROUND(J1350,2))</f>
        <v>0</v>
      </c>
      <c r="N1350" s="868">
        <f t="shared" si="151"/>
        <v>0</v>
      </c>
      <c r="O1350" s="880"/>
      <c r="Q1350" s="317" t="str">
        <f t="shared" si="148"/>
        <v/>
      </c>
      <c r="R1350" s="317" t="str">
        <f t="shared" si="149"/>
        <v/>
      </c>
      <c r="S1350" s="317" t="str">
        <f t="shared" si="150"/>
        <v/>
      </c>
      <c r="T1350" s="317" t="str">
        <f>'REF. DE PREÇOS n editavel'!S1350</f>
        <v/>
      </c>
      <c r="W1350" s="577">
        <v>0</v>
      </c>
      <c r="X1350" s="575"/>
      <c r="Y1350" s="578">
        <f>IF('REF. DE PREÇOS n editavel'!W1350=0,0,IF('REF. DE PREÇOS n editavel'!W1350&gt;0,"c","b"))</f>
        <v>0</v>
      </c>
    </row>
    <row r="1351" spans="1:25" ht="22.5">
      <c r="A1351" s="317">
        <v>91961</v>
      </c>
      <c r="B1351" s="870">
        <v>91961</v>
      </c>
      <c r="C1351" s="871" t="s">
        <v>590</v>
      </c>
      <c r="D1351" s="881" t="s">
        <v>1265</v>
      </c>
      <c r="E1351" s="882">
        <f>'REF. DE PREÇOS n editavel'!E1351</f>
        <v>0</v>
      </c>
      <c r="F1351" s="883">
        <f>'REF. DE PREÇOS n editavel'!F1351</f>
        <v>0</v>
      </c>
      <c r="G1351" s="887">
        <f>'REF. DE PREÇOS n editavel'!G1351</f>
        <v>0</v>
      </c>
      <c r="H1351" s="876">
        <f>'REF. DE PREÇOS n editavel'!H1351</f>
        <v>63.38</v>
      </c>
      <c r="I1351" s="876">
        <f>'REF. DE PREÇOS n editavel'!I1351</f>
        <v>63.38</v>
      </c>
      <c r="J1351" s="877">
        <f>'REF. DE PREÇOS n editavel'!J1351</f>
        <v>77.459999999999994</v>
      </c>
      <c r="K1351" s="878" t="s">
        <v>1500</v>
      </c>
      <c r="L1351" s="1092"/>
      <c r="M1351" s="1093">
        <f t="shared" si="152"/>
        <v>0</v>
      </c>
      <c r="N1351" s="868">
        <f t="shared" si="151"/>
        <v>0</v>
      </c>
      <c r="O1351" s="880"/>
      <c r="Q1351" s="317" t="str">
        <f t="shared" si="148"/>
        <v/>
      </c>
      <c r="R1351" s="317" t="str">
        <f t="shared" si="149"/>
        <v/>
      </c>
      <c r="S1351" s="317" t="str">
        <f t="shared" si="150"/>
        <v/>
      </c>
      <c r="T1351" s="317" t="str">
        <f>'REF. DE PREÇOS n editavel'!S1351</f>
        <v/>
      </c>
      <c r="W1351" s="577">
        <v>0</v>
      </c>
      <c r="X1351" s="575"/>
      <c r="Y1351" s="578">
        <f>IF('REF. DE PREÇOS n editavel'!W1351=0,0,IF('REF. DE PREÇOS n editavel'!W1351&gt;0,"c","b"))</f>
        <v>0</v>
      </c>
    </row>
    <row r="1352" spans="1:25" ht="22.5">
      <c r="A1352" s="317">
        <v>91968</v>
      </c>
      <c r="B1352" s="870">
        <v>91968</v>
      </c>
      <c r="C1352" s="871" t="s">
        <v>590</v>
      </c>
      <c r="D1352" s="881" t="s">
        <v>1266</v>
      </c>
      <c r="E1352" s="882">
        <f>'REF. DE PREÇOS n editavel'!E1352</f>
        <v>0</v>
      </c>
      <c r="F1352" s="883">
        <f>'REF. DE PREÇOS n editavel'!F1352</f>
        <v>0</v>
      </c>
      <c r="G1352" s="887">
        <f>'REF. DE PREÇOS n editavel'!G1352</f>
        <v>0</v>
      </c>
      <c r="H1352" s="876">
        <f>'REF. DE PREÇOS n editavel'!H1352</f>
        <v>79.41</v>
      </c>
      <c r="I1352" s="876">
        <f>'REF. DE PREÇOS n editavel'!I1352</f>
        <v>79.41</v>
      </c>
      <c r="J1352" s="877">
        <f>'REF. DE PREÇOS n editavel'!J1352</f>
        <v>97.05</v>
      </c>
      <c r="K1352" s="878" t="s">
        <v>1500</v>
      </c>
      <c r="L1352" s="1092"/>
      <c r="M1352" s="1093">
        <f t="shared" si="152"/>
        <v>0</v>
      </c>
      <c r="N1352" s="868">
        <f t="shared" si="151"/>
        <v>0</v>
      </c>
      <c r="O1352" s="880"/>
      <c r="Q1352" s="317" t="str">
        <f t="shared" si="148"/>
        <v/>
      </c>
      <c r="R1352" s="317" t="str">
        <f t="shared" si="149"/>
        <v/>
      </c>
      <c r="S1352" s="317" t="str">
        <f t="shared" si="150"/>
        <v/>
      </c>
      <c r="T1352" s="317" t="str">
        <f>'REF. DE PREÇOS n editavel'!S1352</f>
        <v/>
      </c>
      <c r="W1352" s="577">
        <v>0</v>
      </c>
      <c r="X1352" s="575"/>
      <c r="Y1352" s="578">
        <f>IF('REF. DE PREÇOS n editavel'!W1352=0,0,IF('REF. DE PREÇOS n editavel'!W1352&gt;0,"c","b"))</f>
        <v>0</v>
      </c>
    </row>
    <row r="1353" spans="1:25" ht="22.5">
      <c r="A1353" s="317">
        <v>91969</v>
      </c>
      <c r="B1353" s="870">
        <v>91969</v>
      </c>
      <c r="C1353" s="871" t="s">
        <v>590</v>
      </c>
      <c r="D1353" s="881" t="s">
        <v>1267</v>
      </c>
      <c r="E1353" s="882">
        <f>'REF. DE PREÇOS n editavel'!E1353</f>
        <v>0</v>
      </c>
      <c r="F1353" s="883">
        <f>'REF. DE PREÇOS n editavel'!F1353</f>
        <v>0</v>
      </c>
      <c r="G1353" s="887">
        <f>'REF. DE PREÇOS n editavel'!G1353</f>
        <v>0</v>
      </c>
      <c r="H1353" s="876">
        <f>'REF. DE PREÇOS n editavel'!H1353</f>
        <v>88.64</v>
      </c>
      <c r="I1353" s="876">
        <f>'REF. DE PREÇOS n editavel'!I1353</f>
        <v>88.64</v>
      </c>
      <c r="J1353" s="877">
        <f>'REF. DE PREÇOS n editavel'!J1353</f>
        <v>108.34</v>
      </c>
      <c r="K1353" s="878" t="s">
        <v>1500</v>
      </c>
      <c r="L1353" s="1092"/>
      <c r="M1353" s="1093">
        <f t="shared" si="152"/>
        <v>0</v>
      </c>
      <c r="N1353" s="868">
        <f t="shared" si="151"/>
        <v>0</v>
      </c>
      <c r="O1353" s="880"/>
      <c r="Q1353" s="317" t="str">
        <f t="shared" si="148"/>
        <v/>
      </c>
      <c r="R1353" s="317" t="str">
        <f t="shared" si="149"/>
        <v/>
      </c>
      <c r="S1353" s="317" t="str">
        <f t="shared" si="150"/>
        <v/>
      </c>
      <c r="T1353" s="317" t="str">
        <f>'REF. DE PREÇOS n editavel'!S1353</f>
        <v/>
      </c>
      <c r="W1353" s="577">
        <v>0</v>
      </c>
      <c r="X1353" s="575"/>
      <c r="Y1353" s="578">
        <f>IF('REF. DE PREÇOS n editavel'!W1353=0,0,IF('REF. DE PREÇOS n editavel'!W1353&gt;0,"c","b"))</f>
        <v>0</v>
      </c>
    </row>
    <row r="1354" spans="1:25" ht="22.5">
      <c r="A1354" s="317">
        <v>92028</v>
      </c>
      <c r="B1354" s="870">
        <v>92028</v>
      </c>
      <c r="C1354" s="871" t="s">
        <v>590</v>
      </c>
      <c r="D1354" s="881" t="s">
        <v>1268</v>
      </c>
      <c r="E1354" s="882">
        <f>'REF. DE PREÇOS n editavel'!E1354</f>
        <v>0</v>
      </c>
      <c r="F1354" s="883">
        <f>'REF. DE PREÇOS n editavel'!F1354</f>
        <v>0</v>
      </c>
      <c r="G1354" s="887">
        <f>'REF. DE PREÇOS n editavel'!G1354</f>
        <v>0</v>
      </c>
      <c r="H1354" s="876">
        <f>'REF. DE PREÇOS n editavel'!H1354</f>
        <v>52.83</v>
      </c>
      <c r="I1354" s="876">
        <f>'REF. DE PREÇOS n editavel'!I1354</f>
        <v>52.83</v>
      </c>
      <c r="J1354" s="877">
        <f>'REF. DE PREÇOS n editavel'!J1354</f>
        <v>64.569999999999993</v>
      </c>
      <c r="K1354" s="878" t="s">
        <v>1500</v>
      </c>
      <c r="L1354" s="1092"/>
      <c r="M1354" s="1093">
        <f t="shared" si="152"/>
        <v>0</v>
      </c>
      <c r="N1354" s="868">
        <f t="shared" si="151"/>
        <v>0</v>
      </c>
      <c r="O1354" s="880"/>
      <c r="Q1354" s="317" t="str">
        <f t="shared" si="148"/>
        <v/>
      </c>
      <c r="R1354" s="317" t="str">
        <f t="shared" si="149"/>
        <v/>
      </c>
      <c r="S1354" s="317" t="str">
        <f t="shared" si="150"/>
        <v/>
      </c>
      <c r="T1354" s="317" t="str">
        <f>'REF. DE PREÇOS n editavel'!S1354</f>
        <v/>
      </c>
      <c r="W1354" s="577">
        <v>0</v>
      </c>
      <c r="X1354" s="575"/>
      <c r="Y1354" s="578">
        <f>IF('REF. DE PREÇOS n editavel'!W1354=0,0,IF('REF. DE PREÇOS n editavel'!W1354&gt;0,"c","b"))</f>
        <v>0</v>
      </c>
    </row>
    <row r="1355" spans="1:25" ht="22.5">
      <c r="A1355" s="317">
        <v>92029</v>
      </c>
      <c r="B1355" s="870">
        <v>92029</v>
      </c>
      <c r="C1355" s="871" t="s">
        <v>590</v>
      </c>
      <c r="D1355" s="881" t="s">
        <v>1269</v>
      </c>
      <c r="E1355" s="882">
        <f>'REF. DE PREÇOS n editavel'!E1355</f>
        <v>0</v>
      </c>
      <c r="F1355" s="883">
        <f>'REF. DE PREÇOS n editavel'!F1355</f>
        <v>0</v>
      </c>
      <c r="G1355" s="887">
        <f>'REF. DE PREÇOS n editavel'!G1355</f>
        <v>0</v>
      </c>
      <c r="H1355" s="876">
        <f>'REF. DE PREÇOS n editavel'!H1355</f>
        <v>62.06</v>
      </c>
      <c r="I1355" s="876">
        <f>'REF. DE PREÇOS n editavel'!I1355</f>
        <v>62.06</v>
      </c>
      <c r="J1355" s="877">
        <f>'REF. DE PREÇOS n editavel'!J1355</f>
        <v>75.849999999999994</v>
      </c>
      <c r="K1355" s="878" t="s">
        <v>1500</v>
      </c>
      <c r="L1355" s="1092"/>
      <c r="M1355" s="1093">
        <f t="shared" si="152"/>
        <v>0</v>
      </c>
      <c r="N1355" s="868">
        <f t="shared" si="151"/>
        <v>0</v>
      </c>
      <c r="O1355" s="880"/>
      <c r="Q1355" s="317" t="str">
        <f t="shared" si="148"/>
        <v/>
      </c>
      <c r="R1355" s="317" t="str">
        <f t="shared" si="149"/>
        <v/>
      </c>
      <c r="S1355" s="317" t="str">
        <f t="shared" si="150"/>
        <v/>
      </c>
      <c r="T1355" s="317" t="str">
        <f>'REF. DE PREÇOS n editavel'!S1355</f>
        <v/>
      </c>
      <c r="W1355" s="577">
        <v>0</v>
      </c>
      <c r="X1355" s="575"/>
      <c r="Y1355" s="578">
        <f>IF('REF. DE PREÇOS n editavel'!W1355=0,0,IF('REF. DE PREÇOS n editavel'!W1355&gt;0,"c","b"))</f>
        <v>0</v>
      </c>
    </row>
    <row r="1356" spans="1:25" ht="22.5">
      <c r="A1356" s="317">
        <v>92030</v>
      </c>
      <c r="B1356" s="870">
        <v>92030</v>
      </c>
      <c r="C1356" s="871" t="s">
        <v>590</v>
      </c>
      <c r="D1356" s="881" t="s">
        <v>1270</v>
      </c>
      <c r="E1356" s="882">
        <f>'REF. DE PREÇOS n editavel'!E1356</f>
        <v>0</v>
      </c>
      <c r="F1356" s="883">
        <f>'REF. DE PREÇOS n editavel'!F1356</f>
        <v>0</v>
      </c>
      <c r="G1356" s="887">
        <f>'REF. DE PREÇOS n editavel'!G1356</f>
        <v>0</v>
      </c>
      <c r="H1356" s="876">
        <f>'REF. DE PREÇOS n editavel'!H1356</f>
        <v>76.77</v>
      </c>
      <c r="I1356" s="876">
        <f>'REF. DE PREÇOS n editavel'!I1356</f>
        <v>76.77</v>
      </c>
      <c r="J1356" s="877">
        <f>'REF. DE PREÇOS n editavel'!J1356</f>
        <v>93.83</v>
      </c>
      <c r="K1356" s="878" t="s">
        <v>1500</v>
      </c>
      <c r="L1356" s="1092"/>
      <c r="M1356" s="1093">
        <f t="shared" si="152"/>
        <v>0</v>
      </c>
      <c r="N1356" s="868">
        <f t="shared" si="151"/>
        <v>0</v>
      </c>
      <c r="O1356" s="880"/>
      <c r="Q1356" s="317" t="str">
        <f t="shared" si="148"/>
        <v/>
      </c>
      <c r="R1356" s="317" t="str">
        <f t="shared" si="149"/>
        <v/>
      </c>
      <c r="S1356" s="317" t="str">
        <f t="shared" si="150"/>
        <v/>
      </c>
      <c r="T1356" s="317" t="str">
        <f>'REF. DE PREÇOS n editavel'!S1356</f>
        <v/>
      </c>
      <c r="W1356" s="577">
        <v>0</v>
      </c>
      <c r="X1356" s="575"/>
      <c r="Y1356" s="578">
        <f>IF('REF. DE PREÇOS n editavel'!W1356=0,0,IF('REF. DE PREÇOS n editavel'!W1356&gt;0,"c","b"))</f>
        <v>0</v>
      </c>
    </row>
    <row r="1357" spans="1:25" ht="22.5">
      <c r="A1357" s="317">
        <v>92031</v>
      </c>
      <c r="B1357" s="870">
        <v>92031</v>
      </c>
      <c r="C1357" s="871" t="s">
        <v>590</v>
      </c>
      <c r="D1357" s="881" t="s">
        <v>1271</v>
      </c>
      <c r="E1357" s="882">
        <f>'REF. DE PREÇOS n editavel'!E1357</f>
        <v>0</v>
      </c>
      <c r="F1357" s="883">
        <f>'REF. DE PREÇOS n editavel'!F1357</f>
        <v>0</v>
      </c>
      <c r="G1357" s="887">
        <f>'REF. DE PREÇOS n editavel'!G1357</f>
        <v>0</v>
      </c>
      <c r="H1357" s="876">
        <f>'REF. DE PREÇOS n editavel'!H1357</f>
        <v>86</v>
      </c>
      <c r="I1357" s="876">
        <f>'REF. DE PREÇOS n editavel'!I1357</f>
        <v>86</v>
      </c>
      <c r="J1357" s="877">
        <f>'REF. DE PREÇOS n editavel'!J1357</f>
        <v>105.11</v>
      </c>
      <c r="K1357" s="878" t="s">
        <v>1500</v>
      </c>
      <c r="L1357" s="1092"/>
      <c r="M1357" s="1093">
        <f t="shared" si="152"/>
        <v>0</v>
      </c>
      <c r="N1357" s="868">
        <f t="shared" si="151"/>
        <v>0</v>
      </c>
      <c r="O1357" s="880"/>
      <c r="Q1357" s="317" t="str">
        <f t="shared" si="148"/>
        <v/>
      </c>
      <c r="R1357" s="317" t="str">
        <f t="shared" si="149"/>
        <v/>
      </c>
      <c r="S1357" s="317" t="str">
        <f t="shared" si="150"/>
        <v/>
      </c>
      <c r="T1357" s="317" t="str">
        <f>'REF. DE PREÇOS n editavel'!S1357</f>
        <v/>
      </c>
      <c r="W1357" s="577">
        <v>0</v>
      </c>
      <c r="X1357" s="575"/>
      <c r="Y1357" s="578">
        <f>IF('REF. DE PREÇOS n editavel'!W1357=0,0,IF('REF. DE PREÇOS n editavel'!W1357&gt;0,"c","b"))</f>
        <v>0</v>
      </c>
    </row>
    <row r="1358" spans="1:25" ht="22.5">
      <c r="A1358" s="317">
        <v>92032</v>
      </c>
      <c r="B1358" s="870">
        <v>92032</v>
      </c>
      <c r="C1358" s="871" t="s">
        <v>590</v>
      </c>
      <c r="D1358" s="881" t="s">
        <v>1272</v>
      </c>
      <c r="E1358" s="882">
        <f>'REF. DE PREÇOS n editavel'!E1358</f>
        <v>0</v>
      </c>
      <c r="F1358" s="883">
        <f>'REF. DE PREÇOS n editavel'!F1358</f>
        <v>0</v>
      </c>
      <c r="G1358" s="887">
        <f>'REF. DE PREÇOS n editavel'!G1358</f>
        <v>0</v>
      </c>
      <c r="H1358" s="876">
        <f>'REF. DE PREÇOS n editavel'!H1358</f>
        <v>78.09</v>
      </c>
      <c r="I1358" s="876">
        <f>'REF. DE PREÇOS n editavel'!I1358</f>
        <v>78.09</v>
      </c>
      <c r="J1358" s="877">
        <f>'REF. DE PREÇOS n editavel'!J1358</f>
        <v>95.44</v>
      </c>
      <c r="K1358" s="878" t="s">
        <v>1500</v>
      </c>
      <c r="L1358" s="1092"/>
      <c r="M1358" s="1093">
        <f t="shared" si="152"/>
        <v>0</v>
      </c>
      <c r="N1358" s="868">
        <f t="shared" si="151"/>
        <v>0</v>
      </c>
      <c r="O1358" s="880"/>
      <c r="Q1358" s="317" t="str">
        <f t="shared" si="148"/>
        <v/>
      </c>
      <c r="R1358" s="317" t="str">
        <f t="shared" si="149"/>
        <v/>
      </c>
      <c r="S1358" s="317" t="str">
        <f t="shared" si="150"/>
        <v/>
      </c>
      <c r="T1358" s="317" t="str">
        <f>'REF. DE PREÇOS n editavel'!S1358</f>
        <v/>
      </c>
      <c r="W1358" s="577">
        <v>0</v>
      </c>
      <c r="X1358" s="575"/>
      <c r="Y1358" s="578">
        <f>IF('REF. DE PREÇOS n editavel'!W1358=0,0,IF('REF. DE PREÇOS n editavel'!W1358&gt;0,"c","b"))</f>
        <v>0</v>
      </c>
    </row>
    <row r="1359" spans="1:25" ht="22.5">
      <c r="A1359" s="317">
        <v>92033</v>
      </c>
      <c r="B1359" s="870">
        <v>92033</v>
      </c>
      <c r="C1359" s="871" t="s">
        <v>590</v>
      </c>
      <c r="D1359" s="881" t="s">
        <v>1273</v>
      </c>
      <c r="E1359" s="882">
        <f>'REF. DE PREÇOS n editavel'!E1359</f>
        <v>0</v>
      </c>
      <c r="F1359" s="883">
        <f>'REF. DE PREÇOS n editavel'!F1359</f>
        <v>0</v>
      </c>
      <c r="G1359" s="887">
        <f>'REF. DE PREÇOS n editavel'!G1359</f>
        <v>0</v>
      </c>
      <c r="H1359" s="876">
        <f>'REF. DE PREÇOS n editavel'!H1359</f>
        <v>87.32</v>
      </c>
      <c r="I1359" s="876">
        <f>'REF. DE PREÇOS n editavel'!I1359</f>
        <v>87.32</v>
      </c>
      <c r="J1359" s="877">
        <f>'REF. DE PREÇOS n editavel'!J1359</f>
        <v>106.72</v>
      </c>
      <c r="K1359" s="878" t="s">
        <v>1500</v>
      </c>
      <c r="L1359" s="1092"/>
      <c r="M1359" s="1093">
        <f t="shared" si="152"/>
        <v>0</v>
      </c>
      <c r="N1359" s="868">
        <f t="shared" si="151"/>
        <v>0</v>
      </c>
      <c r="O1359" s="880"/>
      <c r="Q1359" s="317" t="str">
        <f t="shared" si="148"/>
        <v/>
      </c>
      <c r="R1359" s="317" t="str">
        <f t="shared" si="149"/>
        <v/>
      </c>
      <c r="S1359" s="317" t="str">
        <f t="shared" si="150"/>
        <v/>
      </c>
      <c r="T1359" s="317" t="str">
        <f>'REF. DE PREÇOS n editavel'!S1359</f>
        <v/>
      </c>
      <c r="W1359" s="577">
        <v>0</v>
      </c>
      <c r="X1359" s="575"/>
      <c r="Y1359" s="578">
        <f>IF('REF. DE PREÇOS n editavel'!W1359=0,0,IF('REF. DE PREÇOS n editavel'!W1359&gt;0,"c","b"))</f>
        <v>0</v>
      </c>
    </row>
    <row r="1360" spans="1:25" ht="22.5">
      <c r="A1360" s="317">
        <v>91978</v>
      </c>
      <c r="B1360" s="870">
        <v>91978</v>
      </c>
      <c r="C1360" s="871" t="s">
        <v>590</v>
      </c>
      <c r="D1360" s="881" t="s">
        <v>1274</v>
      </c>
      <c r="E1360" s="882">
        <f>'REF. DE PREÇOS n editavel'!E1360</f>
        <v>0</v>
      </c>
      <c r="F1360" s="883">
        <f>'REF. DE PREÇOS n editavel'!F1360</f>
        <v>0</v>
      </c>
      <c r="G1360" s="887">
        <f>'REF. DE PREÇOS n editavel'!G1360</f>
        <v>0</v>
      </c>
      <c r="H1360" s="876">
        <f>'REF. DE PREÇOS n editavel'!H1360</f>
        <v>45.56</v>
      </c>
      <c r="I1360" s="876">
        <f>'REF. DE PREÇOS n editavel'!I1360</f>
        <v>45.56</v>
      </c>
      <c r="J1360" s="877">
        <f>'REF. DE PREÇOS n editavel'!J1360</f>
        <v>55.68</v>
      </c>
      <c r="K1360" s="878" t="s">
        <v>1500</v>
      </c>
      <c r="L1360" s="1092"/>
      <c r="M1360" s="1093">
        <f t="shared" si="152"/>
        <v>0</v>
      </c>
      <c r="N1360" s="868">
        <f t="shared" si="151"/>
        <v>0</v>
      </c>
      <c r="O1360" s="880"/>
      <c r="Q1360" s="317" t="str">
        <f t="shared" si="148"/>
        <v/>
      </c>
      <c r="R1360" s="317" t="str">
        <f t="shared" si="149"/>
        <v/>
      </c>
      <c r="S1360" s="317" t="str">
        <f t="shared" si="150"/>
        <v/>
      </c>
      <c r="T1360" s="317" t="str">
        <f>'REF. DE PREÇOS n editavel'!S1360</f>
        <v/>
      </c>
      <c r="W1360" s="577">
        <v>0</v>
      </c>
      <c r="X1360" s="575"/>
      <c r="Y1360" s="578">
        <f>IF('REF. DE PREÇOS n editavel'!W1360=0,0,IF('REF. DE PREÇOS n editavel'!W1360&gt;0,"c","b"))</f>
        <v>0</v>
      </c>
    </row>
    <row r="1361" spans="1:25" ht="22.5">
      <c r="A1361" s="317">
        <v>91979</v>
      </c>
      <c r="B1361" s="870">
        <v>91979</v>
      </c>
      <c r="C1361" s="871" t="s">
        <v>590</v>
      </c>
      <c r="D1361" s="881" t="s">
        <v>1275</v>
      </c>
      <c r="E1361" s="882">
        <f>'REF. DE PREÇOS n editavel'!E1361</f>
        <v>0</v>
      </c>
      <c r="F1361" s="883">
        <f>'REF. DE PREÇOS n editavel'!F1361</f>
        <v>0</v>
      </c>
      <c r="G1361" s="887">
        <f>'REF. DE PREÇOS n editavel'!G1361</f>
        <v>0</v>
      </c>
      <c r="H1361" s="876">
        <f>'REF. DE PREÇOS n editavel'!H1361</f>
        <v>54.79</v>
      </c>
      <c r="I1361" s="876">
        <f>'REF. DE PREÇOS n editavel'!I1361</f>
        <v>54.79</v>
      </c>
      <c r="J1361" s="877">
        <f>'REF. DE PREÇOS n editavel'!J1361</f>
        <v>66.959999999999994</v>
      </c>
      <c r="K1361" s="878" t="s">
        <v>1500</v>
      </c>
      <c r="L1361" s="1092"/>
      <c r="M1361" s="1093">
        <f t="shared" si="152"/>
        <v>0</v>
      </c>
      <c r="N1361" s="868">
        <f t="shared" si="151"/>
        <v>0</v>
      </c>
      <c r="O1361" s="880"/>
      <c r="Q1361" s="317" t="str">
        <f t="shared" ref="Q1361:Q1424" si="153">IF(P1361="X","x",IF(P1361="xx","x",IF(P1361="xy","x",IF(P1361="y","x",IF(OR(N1361&gt;0,N1361&gt;0),"x","")))))</f>
        <v/>
      </c>
      <c r="R1361" s="317" t="str">
        <f t="shared" si="149"/>
        <v/>
      </c>
      <c r="S1361" s="317" t="str">
        <f t="shared" si="150"/>
        <v/>
      </c>
      <c r="T1361" s="317" t="str">
        <f>'REF. DE PREÇOS n editavel'!S1361</f>
        <v/>
      </c>
      <c r="W1361" s="577">
        <v>0</v>
      </c>
      <c r="X1361" s="575"/>
      <c r="Y1361" s="578">
        <f>IF('REF. DE PREÇOS n editavel'!W1361=0,0,IF('REF. DE PREÇOS n editavel'!W1361&gt;0,"c","b"))</f>
        <v>0</v>
      </c>
    </row>
    <row r="1362" spans="1:25" ht="22.5">
      <c r="A1362" s="317">
        <v>91980</v>
      </c>
      <c r="B1362" s="870">
        <v>91980</v>
      </c>
      <c r="C1362" s="871" t="s">
        <v>590</v>
      </c>
      <c r="D1362" s="881" t="s">
        <v>1276</v>
      </c>
      <c r="E1362" s="882">
        <f>'REF. DE PREÇOS n editavel'!E1362</f>
        <v>0</v>
      </c>
      <c r="F1362" s="883">
        <f>'REF. DE PREÇOS n editavel'!F1362</f>
        <v>0</v>
      </c>
      <c r="G1362" s="887">
        <f>'REF. DE PREÇOS n editavel'!G1362</f>
        <v>0</v>
      </c>
      <c r="H1362" s="876">
        <f>'REF. DE PREÇOS n editavel'!H1362</f>
        <v>44.15</v>
      </c>
      <c r="I1362" s="876">
        <f>'REF. DE PREÇOS n editavel'!I1362</f>
        <v>44.15</v>
      </c>
      <c r="J1362" s="877">
        <f>'REF. DE PREÇOS n editavel'!J1362</f>
        <v>53.96</v>
      </c>
      <c r="K1362" s="878" t="s">
        <v>1500</v>
      </c>
      <c r="L1362" s="1092"/>
      <c r="M1362" s="1093">
        <f t="shared" si="152"/>
        <v>0</v>
      </c>
      <c r="N1362" s="868">
        <f t="shared" si="151"/>
        <v>0</v>
      </c>
      <c r="O1362" s="880"/>
      <c r="Q1362" s="317" t="str">
        <f t="shared" si="153"/>
        <v/>
      </c>
      <c r="R1362" s="317" t="str">
        <f t="shared" si="149"/>
        <v/>
      </c>
      <c r="S1362" s="317" t="str">
        <f t="shared" si="150"/>
        <v/>
      </c>
      <c r="T1362" s="317" t="str">
        <f>'REF. DE PREÇOS n editavel'!S1362</f>
        <v/>
      </c>
      <c r="W1362" s="577">
        <v>0</v>
      </c>
      <c r="X1362" s="575"/>
      <c r="Y1362" s="578">
        <f>IF('REF. DE PREÇOS n editavel'!W1362=0,0,IF('REF. DE PREÇOS n editavel'!W1362&gt;0,"c","b"))</f>
        <v>0</v>
      </c>
    </row>
    <row r="1363" spans="1:25" ht="22.5">
      <c r="A1363" s="317">
        <v>91981</v>
      </c>
      <c r="B1363" s="870">
        <v>91981</v>
      </c>
      <c r="C1363" s="871" t="s">
        <v>590</v>
      </c>
      <c r="D1363" s="881" t="s">
        <v>1277</v>
      </c>
      <c r="E1363" s="882">
        <f>'REF. DE PREÇOS n editavel'!E1363</f>
        <v>0</v>
      </c>
      <c r="F1363" s="883">
        <f>'REF. DE PREÇOS n editavel'!F1363</f>
        <v>0</v>
      </c>
      <c r="G1363" s="887">
        <f>'REF. DE PREÇOS n editavel'!G1363</f>
        <v>0</v>
      </c>
      <c r="H1363" s="876">
        <f>'REF. DE PREÇOS n editavel'!H1363</f>
        <v>53.38</v>
      </c>
      <c r="I1363" s="876">
        <f>'REF. DE PREÇOS n editavel'!I1363</f>
        <v>53.38</v>
      </c>
      <c r="J1363" s="877">
        <f>'REF. DE PREÇOS n editavel'!J1363</f>
        <v>65.239999999999995</v>
      </c>
      <c r="K1363" s="878" t="s">
        <v>1500</v>
      </c>
      <c r="L1363" s="1092"/>
      <c r="M1363" s="1093">
        <f t="shared" si="152"/>
        <v>0</v>
      </c>
      <c r="N1363" s="868">
        <f t="shared" si="151"/>
        <v>0</v>
      </c>
      <c r="O1363" s="880"/>
      <c r="Q1363" s="317" t="str">
        <f t="shared" si="153"/>
        <v/>
      </c>
      <c r="R1363" s="317" t="str">
        <f t="shared" ref="R1363:R1426" si="154">IF(P1363="X","x",IF(P1363="y","x",IF(P1363="xx","x",IF(N1363&gt;0,"x",""))))</f>
        <v/>
      </c>
      <c r="S1363" s="317" t="str">
        <f t="shared" ref="S1363:S1426" si="155">IF(P1363="X","x",IF(N1363&gt;0,"x",""))</f>
        <v/>
      </c>
      <c r="T1363" s="317" t="str">
        <f>'REF. DE PREÇOS n editavel'!S1363</f>
        <v/>
      </c>
      <c r="W1363" s="577">
        <v>0</v>
      </c>
      <c r="X1363" s="575"/>
      <c r="Y1363" s="578">
        <f>IF('REF. DE PREÇOS n editavel'!W1363=0,0,IF('REF. DE PREÇOS n editavel'!W1363&gt;0,"c","b"))</f>
        <v>0</v>
      </c>
    </row>
    <row r="1364" spans="1:25" ht="22.5">
      <c r="A1364" s="317">
        <v>91978</v>
      </c>
      <c r="B1364" s="870">
        <v>91978</v>
      </c>
      <c r="C1364" s="871" t="s">
        <v>590</v>
      </c>
      <c r="D1364" s="881" t="s">
        <v>1274</v>
      </c>
      <c r="E1364" s="882">
        <f>'REF. DE PREÇOS n editavel'!E1364</f>
        <v>0</v>
      </c>
      <c r="F1364" s="883">
        <f>'REF. DE PREÇOS n editavel'!F1364</f>
        <v>0</v>
      </c>
      <c r="G1364" s="887">
        <f>'REF. DE PREÇOS n editavel'!G1364</f>
        <v>0</v>
      </c>
      <c r="H1364" s="876">
        <f>'REF. DE PREÇOS n editavel'!H1364</f>
        <v>45.56</v>
      </c>
      <c r="I1364" s="876">
        <f>'REF. DE PREÇOS n editavel'!I1364</f>
        <v>45.56</v>
      </c>
      <c r="J1364" s="877">
        <f>'REF. DE PREÇOS n editavel'!J1364</f>
        <v>55.68</v>
      </c>
      <c r="K1364" s="878" t="s">
        <v>1500</v>
      </c>
      <c r="L1364" s="1092"/>
      <c r="M1364" s="1093">
        <f t="shared" si="152"/>
        <v>0</v>
      </c>
      <c r="N1364" s="868">
        <f t="shared" si="151"/>
        <v>0</v>
      </c>
      <c r="O1364" s="880"/>
      <c r="Q1364" s="317" t="str">
        <f t="shared" si="153"/>
        <v/>
      </c>
      <c r="R1364" s="317" t="str">
        <f t="shared" si="154"/>
        <v/>
      </c>
      <c r="S1364" s="317" t="str">
        <f t="shared" si="155"/>
        <v/>
      </c>
      <c r="T1364" s="317" t="str">
        <f>'REF. DE PREÇOS n editavel'!S1364</f>
        <v/>
      </c>
      <c r="W1364" s="577">
        <v>0</v>
      </c>
      <c r="X1364" s="575"/>
      <c r="Y1364" s="578">
        <f>IF('REF. DE PREÇOS n editavel'!W1364=0,0,IF('REF. DE PREÇOS n editavel'!W1364&gt;0,"c","b"))</f>
        <v>0</v>
      </c>
    </row>
    <row r="1365" spans="1:25" ht="22.5">
      <c r="A1365" s="317">
        <v>91979</v>
      </c>
      <c r="B1365" s="870">
        <v>91979</v>
      </c>
      <c r="C1365" s="871" t="s">
        <v>590</v>
      </c>
      <c r="D1365" s="881" t="s">
        <v>1275</v>
      </c>
      <c r="E1365" s="882">
        <f>'REF. DE PREÇOS n editavel'!E1365</f>
        <v>0</v>
      </c>
      <c r="F1365" s="883">
        <f>'REF. DE PREÇOS n editavel'!F1365</f>
        <v>0</v>
      </c>
      <c r="G1365" s="887">
        <f>'REF. DE PREÇOS n editavel'!G1365</f>
        <v>0</v>
      </c>
      <c r="H1365" s="876">
        <f>'REF. DE PREÇOS n editavel'!H1365</f>
        <v>54.79</v>
      </c>
      <c r="I1365" s="876">
        <f>'REF. DE PREÇOS n editavel'!I1365</f>
        <v>54.79</v>
      </c>
      <c r="J1365" s="877">
        <f>'REF. DE PREÇOS n editavel'!J1365</f>
        <v>66.959999999999994</v>
      </c>
      <c r="K1365" s="878" t="s">
        <v>1500</v>
      </c>
      <c r="L1365" s="1092"/>
      <c r="M1365" s="1093">
        <f t="shared" si="152"/>
        <v>0</v>
      </c>
      <c r="N1365" s="868">
        <f t="shared" si="151"/>
        <v>0</v>
      </c>
      <c r="O1365" s="880"/>
      <c r="Q1365" s="317" t="str">
        <f t="shared" si="153"/>
        <v/>
      </c>
      <c r="R1365" s="317" t="str">
        <f t="shared" si="154"/>
        <v/>
      </c>
      <c r="S1365" s="317" t="str">
        <f t="shared" si="155"/>
        <v/>
      </c>
      <c r="T1365" s="317" t="str">
        <f>'REF. DE PREÇOS n editavel'!S1365</f>
        <v/>
      </c>
      <c r="W1365" s="577">
        <v>0</v>
      </c>
      <c r="X1365" s="575"/>
      <c r="Y1365" s="578">
        <f>IF('REF. DE PREÇOS n editavel'!W1365=0,0,IF('REF. DE PREÇOS n editavel'!W1365&gt;0,"c","b"))</f>
        <v>0</v>
      </c>
    </row>
    <row r="1366" spans="1:25" ht="22.5">
      <c r="A1366" s="317">
        <v>91980</v>
      </c>
      <c r="B1366" s="870">
        <v>91980</v>
      </c>
      <c r="C1366" s="871" t="s">
        <v>590</v>
      </c>
      <c r="D1366" s="881" t="s">
        <v>1276</v>
      </c>
      <c r="E1366" s="882">
        <f>'REF. DE PREÇOS n editavel'!E1366</f>
        <v>0</v>
      </c>
      <c r="F1366" s="883">
        <f>'REF. DE PREÇOS n editavel'!F1366</f>
        <v>0</v>
      </c>
      <c r="G1366" s="887">
        <f>'REF. DE PREÇOS n editavel'!G1366</f>
        <v>0</v>
      </c>
      <c r="H1366" s="876">
        <f>'REF. DE PREÇOS n editavel'!H1366</f>
        <v>44.15</v>
      </c>
      <c r="I1366" s="876">
        <f>'REF. DE PREÇOS n editavel'!I1366</f>
        <v>44.15</v>
      </c>
      <c r="J1366" s="877">
        <f>'REF. DE PREÇOS n editavel'!J1366</f>
        <v>53.96</v>
      </c>
      <c r="K1366" s="878" t="s">
        <v>1500</v>
      </c>
      <c r="L1366" s="1092"/>
      <c r="M1366" s="1093">
        <f t="shared" si="152"/>
        <v>0</v>
      </c>
      <c r="N1366" s="868">
        <f t="shared" si="151"/>
        <v>0</v>
      </c>
      <c r="O1366" s="880"/>
      <c r="Q1366" s="317" t="str">
        <f t="shared" si="153"/>
        <v/>
      </c>
      <c r="R1366" s="317" t="str">
        <f t="shared" si="154"/>
        <v/>
      </c>
      <c r="S1366" s="317" t="str">
        <f t="shared" si="155"/>
        <v/>
      </c>
      <c r="T1366" s="317" t="str">
        <f>'REF. DE PREÇOS n editavel'!S1366</f>
        <v/>
      </c>
      <c r="W1366" s="577">
        <v>0</v>
      </c>
      <c r="X1366" s="575"/>
      <c r="Y1366" s="578">
        <f>IF('REF. DE PREÇOS n editavel'!W1366=0,0,IF('REF. DE PREÇOS n editavel'!W1366&gt;0,"c","b"))</f>
        <v>0</v>
      </c>
    </row>
    <row r="1367" spans="1:25" ht="22.5">
      <c r="A1367" s="317">
        <v>91981</v>
      </c>
      <c r="B1367" s="870">
        <v>91981</v>
      </c>
      <c r="C1367" s="871" t="s">
        <v>590</v>
      </c>
      <c r="D1367" s="881" t="s">
        <v>1277</v>
      </c>
      <c r="E1367" s="882">
        <f>'REF. DE PREÇOS n editavel'!E1367</f>
        <v>0</v>
      </c>
      <c r="F1367" s="883">
        <f>'REF. DE PREÇOS n editavel'!F1367</f>
        <v>0</v>
      </c>
      <c r="G1367" s="887">
        <f>'REF. DE PREÇOS n editavel'!G1367</f>
        <v>0</v>
      </c>
      <c r="H1367" s="876">
        <f>'REF. DE PREÇOS n editavel'!H1367</f>
        <v>53.38</v>
      </c>
      <c r="I1367" s="876">
        <f>'REF. DE PREÇOS n editavel'!I1367</f>
        <v>53.38</v>
      </c>
      <c r="J1367" s="877">
        <f>'REF. DE PREÇOS n editavel'!J1367</f>
        <v>65.239999999999995</v>
      </c>
      <c r="K1367" s="878" t="s">
        <v>1500</v>
      </c>
      <c r="L1367" s="1092"/>
      <c r="M1367" s="1093">
        <f t="shared" si="152"/>
        <v>0</v>
      </c>
      <c r="N1367" s="868">
        <f t="shared" ref="N1367:N1430" si="156">IF(ISBLANK(L1367),0,IF(W1367=0,ROUND(L1367*M1367,2),IF(W1367="b",ROUNDDOWN(L1367*M1367,2),ROUNDUP(L1367*M1367,2))))</f>
        <v>0</v>
      </c>
      <c r="O1367" s="880"/>
      <c r="Q1367" s="317" t="str">
        <f t="shared" si="153"/>
        <v/>
      </c>
      <c r="R1367" s="317" t="str">
        <f t="shared" si="154"/>
        <v/>
      </c>
      <c r="S1367" s="317" t="str">
        <f t="shared" si="155"/>
        <v/>
      </c>
      <c r="T1367" s="317" t="str">
        <f>'REF. DE PREÇOS n editavel'!S1367</f>
        <v/>
      </c>
      <c r="W1367" s="577">
        <v>0</v>
      </c>
      <c r="X1367" s="575"/>
      <c r="Y1367" s="578">
        <f>IF('REF. DE PREÇOS n editavel'!W1367=0,0,IF('REF. DE PREÇOS n editavel'!W1367&gt;0,"c","b"))</f>
        <v>0</v>
      </c>
    </row>
    <row r="1368" spans="1:25" ht="22.5">
      <c r="A1368" s="317">
        <v>91982</v>
      </c>
      <c r="B1368" s="870">
        <v>91982</v>
      </c>
      <c r="C1368" s="871" t="s">
        <v>590</v>
      </c>
      <c r="D1368" s="881" t="s">
        <v>1278</v>
      </c>
      <c r="E1368" s="882">
        <f>'REF. DE PREÇOS n editavel'!E1368</f>
        <v>0</v>
      </c>
      <c r="F1368" s="883">
        <f>'REF. DE PREÇOS n editavel'!F1368</f>
        <v>0</v>
      </c>
      <c r="G1368" s="887">
        <f>'REF. DE PREÇOS n editavel'!G1368</f>
        <v>0</v>
      </c>
      <c r="H1368" s="876">
        <f>'REF. DE PREÇOS n editavel'!H1368</f>
        <v>102.63</v>
      </c>
      <c r="I1368" s="876">
        <f>'REF. DE PREÇOS n editavel'!I1368</f>
        <v>102.63</v>
      </c>
      <c r="J1368" s="877">
        <f>'REF. DE PREÇOS n editavel'!J1368</f>
        <v>125.43</v>
      </c>
      <c r="K1368" s="878" t="s">
        <v>1500</v>
      </c>
      <c r="L1368" s="1092"/>
      <c r="M1368" s="1093">
        <f t="shared" si="152"/>
        <v>0</v>
      </c>
      <c r="N1368" s="868">
        <f t="shared" si="156"/>
        <v>0</v>
      </c>
      <c r="O1368" s="880"/>
      <c r="Q1368" s="317" t="str">
        <f t="shared" si="153"/>
        <v/>
      </c>
      <c r="R1368" s="317" t="str">
        <f t="shared" si="154"/>
        <v/>
      </c>
      <c r="S1368" s="317" t="str">
        <f t="shared" si="155"/>
        <v/>
      </c>
      <c r="T1368" s="317" t="str">
        <f>'REF. DE PREÇOS n editavel'!S1368</f>
        <v/>
      </c>
      <c r="W1368" s="577">
        <v>0</v>
      </c>
      <c r="X1368" s="575"/>
      <c r="Y1368" s="578">
        <f>IF('REF. DE PREÇOS n editavel'!W1368=0,0,IF('REF. DE PREÇOS n editavel'!W1368&gt;0,"c","b"))</f>
        <v>0</v>
      </c>
    </row>
    <row r="1369" spans="1:25" ht="22.5">
      <c r="A1369" s="317">
        <v>91983</v>
      </c>
      <c r="B1369" s="870">
        <v>91983</v>
      </c>
      <c r="C1369" s="871" t="s">
        <v>590</v>
      </c>
      <c r="D1369" s="881" t="s">
        <v>1279</v>
      </c>
      <c r="E1369" s="882">
        <f>'REF. DE PREÇOS n editavel'!E1369</f>
        <v>0</v>
      </c>
      <c r="F1369" s="883">
        <f>'REF. DE PREÇOS n editavel'!F1369</f>
        <v>0</v>
      </c>
      <c r="G1369" s="887">
        <f>'REF. DE PREÇOS n editavel'!G1369</f>
        <v>0</v>
      </c>
      <c r="H1369" s="876">
        <f>'REF. DE PREÇOS n editavel'!H1369</f>
        <v>111.86</v>
      </c>
      <c r="I1369" s="876">
        <f>'REF. DE PREÇOS n editavel'!I1369</f>
        <v>111.86</v>
      </c>
      <c r="J1369" s="877">
        <f>'REF. DE PREÇOS n editavel'!J1369</f>
        <v>136.72</v>
      </c>
      <c r="K1369" s="878" t="s">
        <v>1500</v>
      </c>
      <c r="L1369" s="1092"/>
      <c r="M1369" s="1093">
        <f t="shared" si="152"/>
        <v>0</v>
      </c>
      <c r="N1369" s="868">
        <f t="shared" si="156"/>
        <v>0</v>
      </c>
      <c r="O1369" s="880"/>
      <c r="Q1369" s="317" t="str">
        <f t="shared" si="153"/>
        <v/>
      </c>
      <c r="R1369" s="317" t="str">
        <f t="shared" si="154"/>
        <v/>
      </c>
      <c r="S1369" s="317" t="str">
        <f t="shared" si="155"/>
        <v/>
      </c>
      <c r="T1369" s="317" t="str">
        <f>'REF. DE PREÇOS n editavel'!S1369</f>
        <v/>
      </c>
      <c r="W1369" s="577">
        <v>0</v>
      </c>
      <c r="X1369" s="575"/>
      <c r="Y1369" s="578">
        <f>IF('REF. DE PREÇOS n editavel'!W1369=0,0,IF('REF. DE PREÇOS n editavel'!W1369&gt;0,"c","b"))</f>
        <v>0</v>
      </c>
    </row>
    <row r="1370" spans="1:25" ht="22.5">
      <c r="A1370" s="317">
        <v>91984</v>
      </c>
      <c r="B1370" s="870">
        <v>91984</v>
      </c>
      <c r="C1370" s="871" t="s">
        <v>590</v>
      </c>
      <c r="D1370" s="881" t="s">
        <v>1280</v>
      </c>
      <c r="E1370" s="882">
        <f>'REF. DE PREÇOS n editavel'!E1370</f>
        <v>0</v>
      </c>
      <c r="F1370" s="883">
        <f>'REF. DE PREÇOS n editavel'!F1370</f>
        <v>0</v>
      </c>
      <c r="G1370" s="887">
        <f>'REF. DE PREÇOS n editavel'!G1370</f>
        <v>0</v>
      </c>
      <c r="H1370" s="876">
        <f>'REF. DE PREÇOS n editavel'!H1370</f>
        <v>20.2</v>
      </c>
      <c r="I1370" s="876">
        <f>'REF. DE PREÇOS n editavel'!I1370</f>
        <v>20.2</v>
      </c>
      <c r="J1370" s="877">
        <f>'REF. DE PREÇOS n editavel'!J1370</f>
        <v>24.69</v>
      </c>
      <c r="K1370" s="878" t="s">
        <v>1500</v>
      </c>
      <c r="L1370" s="1092"/>
      <c r="M1370" s="1093">
        <f t="shared" si="152"/>
        <v>0</v>
      </c>
      <c r="N1370" s="868">
        <f t="shared" si="156"/>
        <v>0</v>
      </c>
      <c r="O1370" s="880"/>
      <c r="Q1370" s="317" t="str">
        <f t="shared" si="153"/>
        <v/>
      </c>
      <c r="R1370" s="317" t="str">
        <f t="shared" si="154"/>
        <v/>
      </c>
      <c r="S1370" s="317" t="str">
        <f t="shared" si="155"/>
        <v/>
      </c>
      <c r="T1370" s="317" t="str">
        <f>'REF. DE PREÇOS n editavel'!S1370</f>
        <v/>
      </c>
      <c r="W1370" s="577">
        <v>0</v>
      </c>
      <c r="X1370" s="575"/>
      <c r="Y1370" s="578">
        <f>IF('REF. DE PREÇOS n editavel'!W1370=0,0,IF('REF. DE PREÇOS n editavel'!W1370&gt;0,"c","b"))</f>
        <v>0</v>
      </c>
    </row>
    <row r="1371" spans="1:25" ht="22.5">
      <c r="A1371" s="317">
        <v>91985</v>
      </c>
      <c r="B1371" s="870">
        <v>91985</v>
      </c>
      <c r="C1371" s="871" t="s">
        <v>590</v>
      </c>
      <c r="D1371" s="881" t="s">
        <v>1281</v>
      </c>
      <c r="E1371" s="882">
        <f>'REF. DE PREÇOS n editavel'!E1371</f>
        <v>0</v>
      </c>
      <c r="F1371" s="883">
        <f>'REF. DE PREÇOS n editavel'!F1371</f>
        <v>0</v>
      </c>
      <c r="G1371" s="887">
        <f>'REF. DE PREÇOS n editavel'!G1371</f>
        <v>0</v>
      </c>
      <c r="H1371" s="876">
        <f>'REF. DE PREÇOS n editavel'!H1371</f>
        <v>29.43</v>
      </c>
      <c r="I1371" s="876">
        <f>'REF. DE PREÇOS n editavel'!I1371</f>
        <v>29.43</v>
      </c>
      <c r="J1371" s="877">
        <f>'REF. DE PREÇOS n editavel'!J1371</f>
        <v>35.97</v>
      </c>
      <c r="K1371" s="878" t="s">
        <v>1500</v>
      </c>
      <c r="L1371" s="1092"/>
      <c r="M1371" s="1093">
        <f t="shared" si="152"/>
        <v>0</v>
      </c>
      <c r="N1371" s="868">
        <f t="shared" si="156"/>
        <v>0</v>
      </c>
      <c r="O1371" s="880"/>
      <c r="Q1371" s="317" t="str">
        <f t="shared" si="153"/>
        <v/>
      </c>
      <c r="R1371" s="317" t="str">
        <f t="shared" si="154"/>
        <v/>
      </c>
      <c r="S1371" s="317" t="str">
        <f t="shared" si="155"/>
        <v/>
      </c>
      <c r="T1371" s="317" t="str">
        <f>'REF. DE PREÇOS n editavel'!S1371</f>
        <v/>
      </c>
      <c r="W1371" s="577">
        <v>0</v>
      </c>
      <c r="X1371" s="575"/>
      <c r="Y1371" s="578">
        <f>IF('REF. DE PREÇOS n editavel'!W1371=0,0,IF('REF. DE PREÇOS n editavel'!W1371&gt;0,"c","b"))</f>
        <v>0</v>
      </c>
    </row>
    <row r="1372" spans="1:25" ht="22.5">
      <c r="A1372" s="317">
        <v>91986</v>
      </c>
      <c r="B1372" s="870">
        <v>91986</v>
      </c>
      <c r="C1372" s="871" t="s">
        <v>590</v>
      </c>
      <c r="D1372" s="881" t="s">
        <v>1282</v>
      </c>
      <c r="E1372" s="882">
        <f>'REF. DE PREÇOS n editavel'!E1372</f>
        <v>0</v>
      </c>
      <c r="F1372" s="883">
        <f>'REF. DE PREÇOS n editavel'!F1372</f>
        <v>0</v>
      </c>
      <c r="G1372" s="887">
        <f>'REF. DE PREÇOS n editavel'!G1372</f>
        <v>0</v>
      </c>
      <c r="H1372" s="876">
        <f>'REF. DE PREÇOS n editavel'!H1372</f>
        <v>42.51</v>
      </c>
      <c r="I1372" s="876">
        <f>'REF. DE PREÇOS n editavel'!I1372</f>
        <v>42.51</v>
      </c>
      <c r="J1372" s="877">
        <f>'REF. DE PREÇOS n editavel'!J1372</f>
        <v>51.96</v>
      </c>
      <c r="K1372" s="878" t="s">
        <v>1500</v>
      </c>
      <c r="L1372" s="1092"/>
      <c r="M1372" s="1093">
        <f t="shared" si="152"/>
        <v>0</v>
      </c>
      <c r="N1372" s="868">
        <f t="shared" si="156"/>
        <v>0</v>
      </c>
      <c r="O1372" s="880"/>
      <c r="Q1372" s="317" t="str">
        <f t="shared" si="153"/>
        <v/>
      </c>
      <c r="R1372" s="317" t="str">
        <f t="shared" si="154"/>
        <v/>
      </c>
      <c r="S1372" s="317" t="str">
        <f t="shared" si="155"/>
        <v/>
      </c>
      <c r="T1372" s="317" t="str">
        <f>'REF. DE PREÇOS n editavel'!S1372</f>
        <v/>
      </c>
      <c r="W1372" s="577">
        <v>0</v>
      </c>
      <c r="X1372" s="575"/>
      <c r="Y1372" s="578">
        <f>IF('REF. DE PREÇOS n editavel'!W1372=0,0,IF('REF. DE PREÇOS n editavel'!W1372&gt;0,"c","b"))</f>
        <v>0</v>
      </c>
    </row>
    <row r="1373" spans="1:25" ht="22.5">
      <c r="A1373" s="317">
        <v>91987</v>
      </c>
      <c r="B1373" s="870">
        <v>91987</v>
      </c>
      <c r="C1373" s="871" t="s">
        <v>590</v>
      </c>
      <c r="D1373" s="881" t="s">
        <v>1283</v>
      </c>
      <c r="E1373" s="882">
        <f>'REF. DE PREÇOS n editavel'!E1373</f>
        <v>0</v>
      </c>
      <c r="F1373" s="883">
        <f>'REF. DE PREÇOS n editavel'!F1373</f>
        <v>0</v>
      </c>
      <c r="G1373" s="887">
        <f>'REF. DE PREÇOS n editavel'!G1373</f>
        <v>0</v>
      </c>
      <c r="H1373" s="876">
        <f>'REF. DE PREÇOS n editavel'!H1373</f>
        <v>51.74</v>
      </c>
      <c r="I1373" s="876">
        <f>'REF. DE PREÇOS n editavel'!I1373</f>
        <v>51.74</v>
      </c>
      <c r="J1373" s="877">
        <f>'REF. DE PREÇOS n editavel'!J1373</f>
        <v>63.24</v>
      </c>
      <c r="K1373" s="878" t="s">
        <v>1500</v>
      </c>
      <c r="L1373" s="1092"/>
      <c r="M1373" s="1093">
        <f t="shared" si="152"/>
        <v>0</v>
      </c>
      <c r="N1373" s="868">
        <f t="shared" si="156"/>
        <v>0</v>
      </c>
      <c r="O1373" s="880"/>
      <c r="Q1373" s="317" t="str">
        <f t="shared" si="153"/>
        <v/>
      </c>
      <c r="R1373" s="317" t="str">
        <f t="shared" si="154"/>
        <v/>
      </c>
      <c r="S1373" s="317" t="str">
        <f t="shared" si="155"/>
        <v/>
      </c>
      <c r="T1373" s="317" t="str">
        <f>'REF. DE PREÇOS n editavel'!S1373</f>
        <v/>
      </c>
      <c r="W1373" s="577">
        <v>0</v>
      </c>
      <c r="X1373" s="575"/>
      <c r="Y1373" s="578">
        <f>IF('REF. DE PREÇOS n editavel'!W1373=0,0,IF('REF. DE PREÇOS n editavel'!W1373&gt;0,"c","b"))</f>
        <v>0</v>
      </c>
    </row>
    <row r="1374" spans="1:25" ht="22.5">
      <c r="A1374" s="317">
        <v>91988</v>
      </c>
      <c r="B1374" s="870">
        <v>91988</v>
      </c>
      <c r="C1374" s="871" t="s">
        <v>590</v>
      </c>
      <c r="D1374" s="881" t="s">
        <v>1284</v>
      </c>
      <c r="E1374" s="882">
        <f>'REF. DE PREÇOS n editavel'!E1374</f>
        <v>0</v>
      </c>
      <c r="F1374" s="883">
        <f>'REF. DE PREÇOS n editavel'!F1374</f>
        <v>0</v>
      </c>
      <c r="G1374" s="887">
        <f>'REF. DE PREÇOS n editavel'!G1374</f>
        <v>0</v>
      </c>
      <c r="H1374" s="876">
        <f>'REF. DE PREÇOS n editavel'!H1374</f>
        <v>24.92</v>
      </c>
      <c r="I1374" s="876">
        <f>'REF. DE PREÇOS n editavel'!I1374</f>
        <v>24.92</v>
      </c>
      <c r="J1374" s="877">
        <f>'REF. DE PREÇOS n editavel'!J1374</f>
        <v>30.46</v>
      </c>
      <c r="K1374" s="878" t="s">
        <v>1500</v>
      </c>
      <c r="L1374" s="1092"/>
      <c r="M1374" s="1093">
        <f t="shared" si="152"/>
        <v>0</v>
      </c>
      <c r="N1374" s="868">
        <f t="shared" si="156"/>
        <v>0</v>
      </c>
      <c r="O1374" s="880"/>
      <c r="Q1374" s="317" t="str">
        <f t="shared" si="153"/>
        <v/>
      </c>
      <c r="R1374" s="317" t="str">
        <f t="shared" si="154"/>
        <v/>
      </c>
      <c r="S1374" s="317" t="str">
        <f t="shared" si="155"/>
        <v/>
      </c>
      <c r="T1374" s="317" t="str">
        <f>'REF. DE PREÇOS n editavel'!S1374</f>
        <v/>
      </c>
      <c r="W1374" s="577">
        <v>0</v>
      </c>
      <c r="X1374" s="575"/>
      <c r="Y1374" s="578">
        <f>IF('REF. DE PREÇOS n editavel'!W1374=0,0,IF('REF. DE PREÇOS n editavel'!W1374&gt;0,"c","b"))</f>
        <v>0</v>
      </c>
    </row>
    <row r="1375" spans="1:25" ht="22.5">
      <c r="A1375" s="317">
        <v>91989</v>
      </c>
      <c r="B1375" s="870">
        <v>91989</v>
      </c>
      <c r="C1375" s="871" t="s">
        <v>590</v>
      </c>
      <c r="D1375" s="881" t="s">
        <v>1285</v>
      </c>
      <c r="E1375" s="882">
        <f>'REF. DE PREÇOS n editavel'!E1375</f>
        <v>0</v>
      </c>
      <c r="F1375" s="883">
        <f>'REF. DE PREÇOS n editavel'!F1375</f>
        <v>0</v>
      </c>
      <c r="G1375" s="887">
        <f>'REF. DE PREÇOS n editavel'!G1375</f>
        <v>0</v>
      </c>
      <c r="H1375" s="876">
        <f>'REF. DE PREÇOS n editavel'!H1375</f>
        <v>34.15</v>
      </c>
      <c r="I1375" s="876">
        <f>'REF. DE PREÇOS n editavel'!I1375</f>
        <v>34.15</v>
      </c>
      <c r="J1375" s="877">
        <f>'REF. DE PREÇOS n editavel'!J1375</f>
        <v>41.74</v>
      </c>
      <c r="K1375" s="878" t="s">
        <v>1500</v>
      </c>
      <c r="L1375" s="1092"/>
      <c r="M1375" s="1093">
        <f t="shared" si="152"/>
        <v>0</v>
      </c>
      <c r="N1375" s="868">
        <f t="shared" si="156"/>
        <v>0</v>
      </c>
      <c r="O1375" s="880"/>
      <c r="Q1375" s="317" t="str">
        <f t="shared" si="153"/>
        <v/>
      </c>
      <c r="R1375" s="317" t="str">
        <f t="shared" si="154"/>
        <v/>
      </c>
      <c r="S1375" s="317" t="str">
        <f t="shared" si="155"/>
        <v/>
      </c>
      <c r="T1375" s="317" t="str">
        <f>'REF. DE PREÇOS n editavel'!S1375</f>
        <v/>
      </c>
      <c r="W1375" s="577">
        <v>0</v>
      </c>
      <c r="X1375" s="575"/>
      <c r="Y1375" s="578">
        <f>IF('REF. DE PREÇOS n editavel'!W1375=0,0,IF('REF. DE PREÇOS n editavel'!W1375&gt;0,"c","b"))</f>
        <v>0</v>
      </c>
    </row>
    <row r="1376" spans="1:25" ht="22.5">
      <c r="A1376" s="317">
        <v>91990</v>
      </c>
      <c r="B1376" s="870">
        <v>91990</v>
      </c>
      <c r="C1376" s="871" t="s">
        <v>590</v>
      </c>
      <c r="D1376" s="881" t="s">
        <v>1286</v>
      </c>
      <c r="E1376" s="882">
        <f>'REF. DE PREÇOS n editavel'!E1376</f>
        <v>0</v>
      </c>
      <c r="F1376" s="883">
        <f>'REF. DE PREÇOS n editavel'!F1376</f>
        <v>0</v>
      </c>
      <c r="G1376" s="887">
        <f>'REF. DE PREÇOS n editavel'!G1376</f>
        <v>0</v>
      </c>
      <c r="H1376" s="876">
        <f>'REF. DE PREÇOS n editavel'!H1376</f>
        <v>38.869999999999997</v>
      </c>
      <c r="I1376" s="876">
        <f>'REF. DE PREÇOS n editavel'!I1376</f>
        <v>38.869999999999997</v>
      </c>
      <c r="J1376" s="877">
        <f>'REF. DE PREÇOS n editavel'!J1376</f>
        <v>47.51</v>
      </c>
      <c r="K1376" s="878" t="s">
        <v>1500</v>
      </c>
      <c r="L1376" s="1092"/>
      <c r="M1376" s="1093">
        <f t="shared" si="152"/>
        <v>0</v>
      </c>
      <c r="N1376" s="868">
        <f t="shared" si="156"/>
        <v>0</v>
      </c>
      <c r="O1376" s="880"/>
      <c r="Q1376" s="317" t="str">
        <f t="shared" si="153"/>
        <v/>
      </c>
      <c r="R1376" s="317" t="str">
        <f t="shared" si="154"/>
        <v/>
      </c>
      <c r="S1376" s="317" t="str">
        <f t="shared" si="155"/>
        <v/>
      </c>
      <c r="T1376" s="317" t="str">
        <f>'REF. DE PREÇOS n editavel'!S1376</f>
        <v/>
      </c>
      <c r="W1376" s="577">
        <v>0</v>
      </c>
      <c r="X1376" s="575"/>
      <c r="Y1376" s="578">
        <f>IF('REF. DE PREÇOS n editavel'!W1376=0,0,IF('REF. DE PREÇOS n editavel'!W1376&gt;0,"c","b"))</f>
        <v>0</v>
      </c>
    </row>
    <row r="1377" spans="1:25" ht="22.5">
      <c r="A1377" s="317">
        <v>91991</v>
      </c>
      <c r="B1377" s="870">
        <v>91991</v>
      </c>
      <c r="C1377" s="871" t="s">
        <v>590</v>
      </c>
      <c r="D1377" s="881" t="s">
        <v>1287</v>
      </c>
      <c r="E1377" s="882">
        <f>'REF. DE PREÇOS n editavel'!E1377</f>
        <v>0</v>
      </c>
      <c r="F1377" s="883">
        <f>'REF. DE PREÇOS n editavel'!F1377</f>
        <v>0</v>
      </c>
      <c r="G1377" s="887">
        <f>'REF. DE PREÇOS n editavel'!G1377</f>
        <v>0</v>
      </c>
      <c r="H1377" s="876">
        <f>'REF. DE PREÇOS n editavel'!H1377</f>
        <v>41.42</v>
      </c>
      <c r="I1377" s="876">
        <f>'REF. DE PREÇOS n editavel'!I1377</f>
        <v>41.42</v>
      </c>
      <c r="J1377" s="877">
        <f>'REF. DE PREÇOS n editavel'!J1377</f>
        <v>50.62</v>
      </c>
      <c r="K1377" s="878" t="s">
        <v>1500</v>
      </c>
      <c r="L1377" s="1092"/>
      <c r="M1377" s="1093">
        <f t="shared" si="152"/>
        <v>0</v>
      </c>
      <c r="N1377" s="868">
        <f t="shared" si="156"/>
        <v>0</v>
      </c>
      <c r="O1377" s="880"/>
      <c r="Q1377" s="317" t="str">
        <f t="shared" si="153"/>
        <v/>
      </c>
      <c r="R1377" s="317" t="str">
        <f t="shared" si="154"/>
        <v/>
      </c>
      <c r="S1377" s="317" t="str">
        <f t="shared" si="155"/>
        <v/>
      </c>
      <c r="T1377" s="317" t="str">
        <f>'REF. DE PREÇOS n editavel'!S1377</f>
        <v/>
      </c>
      <c r="W1377" s="577">
        <v>0</v>
      </c>
      <c r="X1377" s="575"/>
      <c r="Y1377" s="578">
        <f>IF('REF. DE PREÇOS n editavel'!W1377=0,0,IF('REF. DE PREÇOS n editavel'!W1377&gt;0,"c","b"))</f>
        <v>0</v>
      </c>
    </row>
    <row r="1378" spans="1:25" ht="22.5">
      <c r="A1378" s="317">
        <v>91992</v>
      </c>
      <c r="B1378" s="870">
        <v>91992</v>
      </c>
      <c r="C1378" s="871" t="s">
        <v>590</v>
      </c>
      <c r="D1378" s="881" t="s">
        <v>1288</v>
      </c>
      <c r="E1378" s="882">
        <f>'REF. DE PREÇOS n editavel'!E1378</f>
        <v>0</v>
      </c>
      <c r="F1378" s="883">
        <f>'REF. DE PREÇOS n editavel'!F1378</f>
        <v>0</v>
      </c>
      <c r="G1378" s="887">
        <f>'REF. DE PREÇOS n editavel'!G1378</f>
        <v>0</v>
      </c>
      <c r="H1378" s="876">
        <f>'REF. DE PREÇOS n editavel'!H1378</f>
        <v>48.1</v>
      </c>
      <c r="I1378" s="876">
        <f>'REF. DE PREÇOS n editavel'!I1378</f>
        <v>48.1</v>
      </c>
      <c r="J1378" s="877">
        <f>'REF. DE PREÇOS n editavel'!J1378</f>
        <v>58.79</v>
      </c>
      <c r="K1378" s="878" t="s">
        <v>1500</v>
      </c>
      <c r="L1378" s="1092"/>
      <c r="M1378" s="1093">
        <f t="shared" si="152"/>
        <v>0</v>
      </c>
      <c r="N1378" s="868">
        <f t="shared" si="156"/>
        <v>0</v>
      </c>
      <c r="O1378" s="880"/>
      <c r="Q1378" s="317" t="str">
        <f t="shared" si="153"/>
        <v/>
      </c>
      <c r="R1378" s="317" t="str">
        <f t="shared" si="154"/>
        <v/>
      </c>
      <c r="S1378" s="317" t="str">
        <f t="shared" si="155"/>
        <v/>
      </c>
      <c r="T1378" s="317" t="str">
        <f>'REF. DE PREÇOS n editavel'!S1378</f>
        <v/>
      </c>
      <c r="W1378" s="577">
        <v>0</v>
      </c>
      <c r="X1378" s="575"/>
      <c r="Y1378" s="578">
        <f>IF('REF. DE PREÇOS n editavel'!W1378=0,0,IF('REF. DE PREÇOS n editavel'!W1378&gt;0,"c","b"))</f>
        <v>0</v>
      </c>
    </row>
    <row r="1379" spans="1:25" ht="22.5">
      <c r="A1379" s="317">
        <v>91993</v>
      </c>
      <c r="B1379" s="870">
        <v>91993</v>
      </c>
      <c r="C1379" s="871" t="s">
        <v>590</v>
      </c>
      <c r="D1379" s="881" t="s">
        <v>1289</v>
      </c>
      <c r="E1379" s="882">
        <f>'REF. DE PREÇOS n editavel'!E1379</f>
        <v>0</v>
      </c>
      <c r="F1379" s="883">
        <f>'REF. DE PREÇOS n editavel'!F1379</f>
        <v>0</v>
      </c>
      <c r="G1379" s="887">
        <f>'REF. DE PREÇOS n editavel'!G1379</f>
        <v>0</v>
      </c>
      <c r="H1379" s="876">
        <f>'REF. DE PREÇOS n editavel'!H1379</f>
        <v>50.65</v>
      </c>
      <c r="I1379" s="876">
        <f>'REF. DE PREÇOS n editavel'!I1379</f>
        <v>50.65</v>
      </c>
      <c r="J1379" s="877">
        <f>'REF. DE PREÇOS n editavel'!J1379</f>
        <v>61.9</v>
      </c>
      <c r="K1379" s="878" t="s">
        <v>1500</v>
      </c>
      <c r="L1379" s="1092"/>
      <c r="M1379" s="1093">
        <f t="shared" si="152"/>
        <v>0</v>
      </c>
      <c r="N1379" s="868">
        <f t="shared" si="156"/>
        <v>0</v>
      </c>
      <c r="O1379" s="880"/>
      <c r="Q1379" s="317" t="str">
        <f t="shared" si="153"/>
        <v/>
      </c>
      <c r="R1379" s="317" t="str">
        <f t="shared" si="154"/>
        <v/>
      </c>
      <c r="S1379" s="317" t="str">
        <f t="shared" si="155"/>
        <v/>
      </c>
      <c r="T1379" s="317" t="str">
        <f>'REF. DE PREÇOS n editavel'!S1379</f>
        <v/>
      </c>
      <c r="W1379" s="577">
        <v>0</v>
      </c>
      <c r="X1379" s="575"/>
      <c r="Y1379" s="578">
        <f>IF('REF. DE PREÇOS n editavel'!W1379=0,0,IF('REF. DE PREÇOS n editavel'!W1379&gt;0,"c","b"))</f>
        <v>0</v>
      </c>
    </row>
    <row r="1380" spans="1:25" ht="22.5">
      <c r="A1380" s="317">
        <v>91994</v>
      </c>
      <c r="B1380" s="870">
        <v>91994</v>
      </c>
      <c r="C1380" s="871" t="s">
        <v>590</v>
      </c>
      <c r="D1380" s="881" t="s">
        <v>1290</v>
      </c>
      <c r="E1380" s="882">
        <f>'REF. DE PREÇOS n editavel'!E1380</f>
        <v>0</v>
      </c>
      <c r="F1380" s="883">
        <f>'REF. DE PREÇOS n editavel'!F1380</f>
        <v>0</v>
      </c>
      <c r="G1380" s="887">
        <f>'REF. DE PREÇOS n editavel'!G1380</f>
        <v>0</v>
      </c>
      <c r="H1380" s="876">
        <f>'REF. DE PREÇOS n editavel'!H1380</f>
        <v>27.58</v>
      </c>
      <c r="I1380" s="876">
        <f>'REF. DE PREÇOS n editavel'!I1380</f>
        <v>27.58</v>
      </c>
      <c r="J1380" s="877">
        <f>'REF. DE PREÇOS n editavel'!J1380</f>
        <v>33.71</v>
      </c>
      <c r="K1380" s="878" t="s">
        <v>1500</v>
      </c>
      <c r="L1380" s="1092"/>
      <c r="M1380" s="1093">
        <f t="shared" si="152"/>
        <v>0</v>
      </c>
      <c r="N1380" s="868">
        <f t="shared" si="156"/>
        <v>0</v>
      </c>
      <c r="O1380" s="880"/>
      <c r="Q1380" s="317" t="str">
        <f t="shared" si="153"/>
        <v/>
      </c>
      <c r="R1380" s="317" t="str">
        <f t="shared" si="154"/>
        <v/>
      </c>
      <c r="S1380" s="317" t="str">
        <f t="shared" si="155"/>
        <v/>
      </c>
      <c r="T1380" s="317" t="str">
        <f>'REF. DE PREÇOS n editavel'!S1380</f>
        <v/>
      </c>
      <c r="W1380" s="577">
        <v>0</v>
      </c>
      <c r="X1380" s="575"/>
      <c r="Y1380" s="578">
        <f>IF('REF. DE PREÇOS n editavel'!W1380=0,0,IF('REF. DE PREÇOS n editavel'!W1380&gt;0,"c","b"))</f>
        <v>0</v>
      </c>
    </row>
    <row r="1381" spans="1:25" ht="22.5">
      <c r="A1381" s="317">
        <v>91995</v>
      </c>
      <c r="B1381" s="870">
        <v>91995</v>
      </c>
      <c r="C1381" s="871" t="s">
        <v>590</v>
      </c>
      <c r="D1381" s="881" t="s">
        <v>1291</v>
      </c>
      <c r="E1381" s="882">
        <f>'REF. DE PREÇOS n editavel'!E1381</f>
        <v>0</v>
      </c>
      <c r="F1381" s="883">
        <f>'REF. DE PREÇOS n editavel'!F1381</f>
        <v>0</v>
      </c>
      <c r="G1381" s="887">
        <f>'REF. DE PREÇOS n editavel'!G1381</f>
        <v>0</v>
      </c>
      <c r="H1381" s="876">
        <f>'REF. DE PREÇOS n editavel'!H1381</f>
        <v>30.13</v>
      </c>
      <c r="I1381" s="876">
        <f>'REF. DE PREÇOS n editavel'!I1381</f>
        <v>30.13</v>
      </c>
      <c r="J1381" s="877">
        <f>'REF. DE PREÇOS n editavel'!J1381</f>
        <v>36.82</v>
      </c>
      <c r="K1381" s="878" t="s">
        <v>1500</v>
      </c>
      <c r="L1381" s="1092"/>
      <c r="M1381" s="1093">
        <f t="shared" si="152"/>
        <v>0</v>
      </c>
      <c r="N1381" s="868">
        <f t="shared" si="156"/>
        <v>0</v>
      </c>
      <c r="O1381" s="880"/>
      <c r="Q1381" s="317" t="str">
        <f t="shared" si="153"/>
        <v/>
      </c>
      <c r="R1381" s="317" t="str">
        <f t="shared" si="154"/>
        <v/>
      </c>
      <c r="S1381" s="317" t="str">
        <f t="shared" si="155"/>
        <v/>
      </c>
      <c r="T1381" s="317" t="str">
        <f>'REF. DE PREÇOS n editavel'!S1381</f>
        <v/>
      </c>
      <c r="W1381" s="577">
        <v>0</v>
      </c>
      <c r="X1381" s="575"/>
      <c r="Y1381" s="578">
        <f>IF('REF. DE PREÇOS n editavel'!W1381=0,0,IF('REF. DE PREÇOS n editavel'!W1381&gt;0,"c","b"))</f>
        <v>0</v>
      </c>
    </row>
    <row r="1382" spans="1:25" ht="22.5">
      <c r="A1382" s="317">
        <v>91996</v>
      </c>
      <c r="B1382" s="870">
        <v>91996</v>
      </c>
      <c r="C1382" s="871" t="s">
        <v>590</v>
      </c>
      <c r="D1382" s="881" t="s">
        <v>1292</v>
      </c>
      <c r="E1382" s="882">
        <f>'REF. DE PREÇOS n editavel'!E1382</f>
        <v>0</v>
      </c>
      <c r="F1382" s="883">
        <f>'REF. DE PREÇOS n editavel'!F1382</f>
        <v>0</v>
      </c>
      <c r="G1382" s="887">
        <f>'REF. DE PREÇOS n editavel'!G1382</f>
        <v>0</v>
      </c>
      <c r="H1382" s="876">
        <f>'REF. DE PREÇOS n editavel'!H1382</f>
        <v>36.81</v>
      </c>
      <c r="I1382" s="876">
        <f>'REF. DE PREÇOS n editavel'!I1382</f>
        <v>36.81</v>
      </c>
      <c r="J1382" s="877">
        <f>'REF. DE PREÇOS n editavel'!J1382</f>
        <v>44.99</v>
      </c>
      <c r="K1382" s="878" t="s">
        <v>1500</v>
      </c>
      <c r="L1382" s="1092"/>
      <c r="M1382" s="1093">
        <f t="shared" si="152"/>
        <v>0</v>
      </c>
      <c r="N1382" s="868">
        <f t="shared" si="156"/>
        <v>0</v>
      </c>
      <c r="O1382" s="880"/>
      <c r="Q1382" s="317" t="str">
        <f t="shared" si="153"/>
        <v/>
      </c>
      <c r="R1382" s="317" t="str">
        <f t="shared" si="154"/>
        <v/>
      </c>
      <c r="S1382" s="317" t="str">
        <f t="shared" si="155"/>
        <v/>
      </c>
      <c r="T1382" s="317" t="str">
        <f>'REF. DE PREÇOS n editavel'!S1382</f>
        <v/>
      </c>
      <c r="W1382" s="577">
        <v>0</v>
      </c>
      <c r="X1382" s="575"/>
      <c r="Y1382" s="578">
        <f>IF('REF. DE PREÇOS n editavel'!W1382=0,0,IF('REF. DE PREÇOS n editavel'!W1382&gt;0,"c","b"))</f>
        <v>0</v>
      </c>
    </row>
    <row r="1383" spans="1:25" ht="22.5">
      <c r="A1383" s="317">
        <v>91997</v>
      </c>
      <c r="B1383" s="870">
        <v>91997</v>
      </c>
      <c r="C1383" s="871" t="s">
        <v>590</v>
      </c>
      <c r="D1383" s="881" t="s">
        <v>1293</v>
      </c>
      <c r="E1383" s="882">
        <f>'REF. DE PREÇOS n editavel'!E1383</f>
        <v>0</v>
      </c>
      <c r="F1383" s="883">
        <f>'REF. DE PREÇOS n editavel'!F1383</f>
        <v>0</v>
      </c>
      <c r="G1383" s="887">
        <f>'REF. DE PREÇOS n editavel'!G1383</f>
        <v>0</v>
      </c>
      <c r="H1383" s="876">
        <f>'REF. DE PREÇOS n editavel'!H1383</f>
        <v>39.36</v>
      </c>
      <c r="I1383" s="876">
        <f>'REF. DE PREÇOS n editavel'!I1383</f>
        <v>39.36</v>
      </c>
      <c r="J1383" s="877">
        <f>'REF. DE PREÇOS n editavel'!J1383</f>
        <v>48.11</v>
      </c>
      <c r="K1383" s="878" t="s">
        <v>1500</v>
      </c>
      <c r="L1383" s="1092"/>
      <c r="M1383" s="1093">
        <f t="shared" si="152"/>
        <v>0</v>
      </c>
      <c r="N1383" s="868">
        <f t="shared" si="156"/>
        <v>0</v>
      </c>
      <c r="O1383" s="880"/>
      <c r="Q1383" s="317" t="str">
        <f t="shared" si="153"/>
        <v/>
      </c>
      <c r="R1383" s="317" t="str">
        <f t="shared" si="154"/>
        <v/>
      </c>
      <c r="S1383" s="317" t="str">
        <f t="shared" si="155"/>
        <v/>
      </c>
      <c r="T1383" s="317" t="str">
        <f>'REF. DE PREÇOS n editavel'!S1383</f>
        <v/>
      </c>
      <c r="W1383" s="577">
        <v>0</v>
      </c>
      <c r="X1383" s="575"/>
      <c r="Y1383" s="578">
        <f>IF('REF. DE PREÇOS n editavel'!W1383=0,0,IF('REF. DE PREÇOS n editavel'!W1383&gt;0,"c","b"))</f>
        <v>0</v>
      </c>
    </row>
    <row r="1384" spans="1:25" ht="22.5">
      <c r="A1384" s="317">
        <v>91998</v>
      </c>
      <c r="B1384" s="870">
        <v>91998</v>
      </c>
      <c r="C1384" s="871" t="s">
        <v>590</v>
      </c>
      <c r="D1384" s="881" t="s">
        <v>1294</v>
      </c>
      <c r="E1384" s="882">
        <f>'REF. DE PREÇOS n editavel'!E1384</f>
        <v>0</v>
      </c>
      <c r="F1384" s="883">
        <f>'REF. DE PREÇOS n editavel'!F1384</f>
        <v>0</v>
      </c>
      <c r="G1384" s="887">
        <f>'REF. DE PREÇOS n editavel'!G1384</f>
        <v>0</v>
      </c>
      <c r="H1384" s="876">
        <f>'REF. DE PREÇOS n editavel'!H1384</f>
        <v>23.2</v>
      </c>
      <c r="I1384" s="876">
        <f>'REF. DE PREÇOS n editavel'!I1384</f>
        <v>23.2</v>
      </c>
      <c r="J1384" s="877">
        <f>'REF. DE PREÇOS n editavel'!J1384</f>
        <v>28.36</v>
      </c>
      <c r="K1384" s="878" t="s">
        <v>1500</v>
      </c>
      <c r="L1384" s="1092"/>
      <c r="M1384" s="1093">
        <f t="shared" si="152"/>
        <v>0</v>
      </c>
      <c r="N1384" s="868">
        <f t="shared" si="156"/>
        <v>0</v>
      </c>
      <c r="O1384" s="880"/>
      <c r="Q1384" s="317" t="str">
        <f t="shared" si="153"/>
        <v/>
      </c>
      <c r="R1384" s="317" t="str">
        <f t="shared" si="154"/>
        <v/>
      </c>
      <c r="S1384" s="317" t="str">
        <f t="shared" si="155"/>
        <v/>
      </c>
      <c r="T1384" s="317" t="str">
        <f>'REF. DE PREÇOS n editavel'!S1384</f>
        <v/>
      </c>
      <c r="W1384" s="577">
        <v>0</v>
      </c>
      <c r="X1384" s="575"/>
      <c r="Y1384" s="578">
        <f>IF('REF. DE PREÇOS n editavel'!W1384=0,0,IF('REF. DE PREÇOS n editavel'!W1384&gt;0,"c","b"))</f>
        <v>0</v>
      </c>
    </row>
    <row r="1385" spans="1:25" ht="22.5">
      <c r="A1385" s="317">
        <v>91999</v>
      </c>
      <c r="B1385" s="870">
        <v>91999</v>
      </c>
      <c r="C1385" s="871" t="s">
        <v>590</v>
      </c>
      <c r="D1385" s="881" t="s">
        <v>1295</v>
      </c>
      <c r="E1385" s="882">
        <f>'REF. DE PREÇOS n editavel'!E1385</f>
        <v>0</v>
      </c>
      <c r="F1385" s="883">
        <f>'REF. DE PREÇOS n editavel'!F1385</f>
        <v>0</v>
      </c>
      <c r="G1385" s="887">
        <f>'REF. DE PREÇOS n editavel'!G1385</f>
        <v>0</v>
      </c>
      <c r="H1385" s="876">
        <f>'REF. DE PREÇOS n editavel'!H1385</f>
        <v>25.75</v>
      </c>
      <c r="I1385" s="876">
        <f>'REF. DE PREÇOS n editavel'!I1385</f>
        <v>25.75</v>
      </c>
      <c r="J1385" s="877">
        <f>'REF. DE PREÇOS n editavel'!J1385</f>
        <v>31.47</v>
      </c>
      <c r="K1385" s="878" t="s">
        <v>1500</v>
      </c>
      <c r="L1385" s="1092"/>
      <c r="M1385" s="1093">
        <f t="shared" si="152"/>
        <v>0</v>
      </c>
      <c r="N1385" s="868">
        <f t="shared" si="156"/>
        <v>0</v>
      </c>
      <c r="O1385" s="880"/>
      <c r="Q1385" s="317" t="str">
        <f t="shared" si="153"/>
        <v/>
      </c>
      <c r="R1385" s="317" t="str">
        <f t="shared" si="154"/>
        <v/>
      </c>
      <c r="S1385" s="317" t="str">
        <f t="shared" si="155"/>
        <v/>
      </c>
      <c r="T1385" s="317" t="str">
        <f>'REF. DE PREÇOS n editavel'!S1385</f>
        <v/>
      </c>
      <c r="W1385" s="577">
        <v>0</v>
      </c>
      <c r="X1385" s="575"/>
      <c r="Y1385" s="578">
        <f>IF('REF. DE PREÇOS n editavel'!W1385=0,0,IF('REF. DE PREÇOS n editavel'!W1385&gt;0,"c","b"))</f>
        <v>0</v>
      </c>
    </row>
    <row r="1386" spans="1:25" ht="22.5">
      <c r="A1386" s="317">
        <v>92000</v>
      </c>
      <c r="B1386" s="870">
        <v>92000</v>
      </c>
      <c r="C1386" s="871" t="s">
        <v>590</v>
      </c>
      <c r="D1386" s="881" t="s">
        <v>1296</v>
      </c>
      <c r="E1386" s="882">
        <f>'REF. DE PREÇOS n editavel'!E1386</f>
        <v>0</v>
      </c>
      <c r="F1386" s="883">
        <f>'REF. DE PREÇOS n editavel'!F1386</f>
        <v>0</v>
      </c>
      <c r="G1386" s="887">
        <f>'REF. DE PREÇOS n editavel'!G1386</f>
        <v>0</v>
      </c>
      <c r="H1386" s="876">
        <f>'REF. DE PREÇOS n editavel'!H1386</f>
        <v>32.43</v>
      </c>
      <c r="I1386" s="876">
        <f>'REF. DE PREÇOS n editavel'!I1386</f>
        <v>32.43</v>
      </c>
      <c r="J1386" s="877">
        <f>'REF. DE PREÇOS n editavel'!J1386</f>
        <v>39.64</v>
      </c>
      <c r="K1386" s="878" t="s">
        <v>1500</v>
      </c>
      <c r="L1386" s="1092"/>
      <c r="M1386" s="1093">
        <f t="shared" si="152"/>
        <v>0</v>
      </c>
      <c r="N1386" s="868">
        <f t="shared" si="156"/>
        <v>0</v>
      </c>
      <c r="O1386" s="880"/>
      <c r="Q1386" s="317" t="str">
        <f t="shared" si="153"/>
        <v/>
      </c>
      <c r="R1386" s="317" t="str">
        <f t="shared" si="154"/>
        <v/>
      </c>
      <c r="S1386" s="317" t="str">
        <f t="shared" si="155"/>
        <v/>
      </c>
      <c r="T1386" s="317" t="str">
        <f>'REF. DE PREÇOS n editavel'!S1386</f>
        <v/>
      </c>
      <c r="W1386" s="577">
        <v>0</v>
      </c>
      <c r="X1386" s="575"/>
      <c r="Y1386" s="578">
        <f>IF('REF. DE PREÇOS n editavel'!W1386=0,0,IF('REF. DE PREÇOS n editavel'!W1386&gt;0,"c","b"))</f>
        <v>0</v>
      </c>
    </row>
    <row r="1387" spans="1:25" ht="22.5">
      <c r="A1387" s="317">
        <v>92001</v>
      </c>
      <c r="B1387" s="870">
        <v>92001</v>
      </c>
      <c r="C1387" s="871" t="s">
        <v>590</v>
      </c>
      <c r="D1387" s="881" t="s">
        <v>1297</v>
      </c>
      <c r="E1387" s="882">
        <f>'REF. DE PREÇOS n editavel'!E1387</f>
        <v>0</v>
      </c>
      <c r="F1387" s="883">
        <f>'REF. DE PREÇOS n editavel'!F1387</f>
        <v>0</v>
      </c>
      <c r="G1387" s="887">
        <f>'REF. DE PREÇOS n editavel'!G1387</f>
        <v>0</v>
      </c>
      <c r="H1387" s="876">
        <f>'REF. DE PREÇOS n editavel'!H1387</f>
        <v>34.979999999999997</v>
      </c>
      <c r="I1387" s="876">
        <f>'REF. DE PREÇOS n editavel'!I1387</f>
        <v>34.979999999999997</v>
      </c>
      <c r="J1387" s="877">
        <f>'REF. DE PREÇOS n editavel'!J1387</f>
        <v>42.75</v>
      </c>
      <c r="K1387" s="878" t="s">
        <v>1500</v>
      </c>
      <c r="L1387" s="1092"/>
      <c r="M1387" s="1093">
        <f t="shared" si="152"/>
        <v>0</v>
      </c>
      <c r="N1387" s="868">
        <f t="shared" si="156"/>
        <v>0</v>
      </c>
      <c r="O1387" s="880"/>
      <c r="Q1387" s="317" t="str">
        <f t="shared" si="153"/>
        <v/>
      </c>
      <c r="R1387" s="317" t="str">
        <f t="shared" si="154"/>
        <v/>
      </c>
      <c r="S1387" s="317" t="str">
        <f t="shared" si="155"/>
        <v/>
      </c>
      <c r="T1387" s="317" t="str">
        <f>'REF. DE PREÇOS n editavel'!S1387</f>
        <v/>
      </c>
      <c r="W1387" s="577">
        <v>0</v>
      </c>
      <c r="X1387" s="575"/>
      <c r="Y1387" s="578">
        <f>IF('REF. DE PREÇOS n editavel'!W1387=0,0,IF('REF. DE PREÇOS n editavel'!W1387&gt;0,"c","b"))</f>
        <v>0</v>
      </c>
    </row>
    <row r="1388" spans="1:25" ht="22.5">
      <c r="A1388" s="317">
        <v>92002</v>
      </c>
      <c r="B1388" s="870">
        <v>92002</v>
      </c>
      <c r="C1388" s="871" t="s">
        <v>590</v>
      </c>
      <c r="D1388" s="881" t="s">
        <v>1298</v>
      </c>
      <c r="E1388" s="882">
        <f>'REF. DE PREÇOS n editavel'!E1388</f>
        <v>0</v>
      </c>
      <c r="F1388" s="883">
        <f>'REF. DE PREÇOS n editavel'!F1388</f>
        <v>0</v>
      </c>
      <c r="G1388" s="887">
        <f>'REF. DE PREÇOS n editavel'!G1388</f>
        <v>0</v>
      </c>
      <c r="H1388" s="876">
        <f>'REF. DE PREÇOS n editavel'!H1388</f>
        <v>51.51</v>
      </c>
      <c r="I1388" s="876">
        <f>'REF. DE PREÇOS n editavel'!I1388</f>
        <v>51.51</v>
      </c>
      <c r="J1388" s="877">
        <f>'REF. DE PREÇOS n editavel'!J1388</f>
        <v>62.96</v>
      </c>
      <c r="K1388" s="878" t="s">
        <v>1500</v>
      </c>
      <c r="L1388" s="1092"/>
      <c r="M1388" s="1093">
        <f t="shared" si="152"/>
        <v>0</v>
      </c>
      <c r="N1388" s="868">
        <f t="shared" si="156"/>
        <v>0</v>
      </c>
      <c r="O1388" s="880"/>
      <c r="Q1388" s="317" t="str">
        <f t="shared" si="153"/>
        <v/>
      </c>
      <c r="R1388" s="317" t="str">
        <f t="shared" si="154"/>
        <v/>
      </c>
      <c r="S1388" s="317" t="str">
        <f t="shared" si="155"/>
        <v/>
      </c>
      <c r="T1388" s="317" t="str">
        <f>'REF. DE PREÇOS n editavel'!S1388</f>
        <v/>
      </c>
      <c r="W1388" s="577">
        <v>0</v>
      </c>
      <c r="X1388" s="575"/>
      <c r="Y1388" s="578">
        <f>IF('REF. DE PREÇOS n editavel'!W1388=0,0,IF('REF. DE PREÇOS n editavel'!W1388&gt;0,"c","b"))</f>
        <v>0</v>
      </c>
    </row>
    <row r="1389" spans="1:25" ht="22.5">
      <c r="A1389" s="317">
        <v>92003</v>
      </c>
      <c r="B1389" s="870">
        <v>92003</v>
      </c>
      <c r="C1389" s="871" t="s">
        <v>590</v>
      </c>
      <c r="D1389" s="881" t="s">
        <v>1299</v>
      </c>
      <c r="E1389" s="882">
        <f>'REF. DE PREÇOS n editavel'!E1389</f>
        <v>0</v>
      </c>
      <c r="F1389" s="883">
        <f>'REF. DE PREÇOS n editavel'!F1389</f>
        <v>0</v>
      </c>
      <c r="G1389" s="887">
        <f>'REF. DE PREÇOS n editavel'!G1389</f>
        <v>0</v>
      </c>
      <c r="H1389" s="876">
        <f>'REF. DE PREÇOS n editavel'!H1389</f>
        <v>56.61</v>
      </c>
      <c r="I1389" s="876">
        <f>'REF. DE PREÇOS n editavel'!I1389</f>
        <v>56.61</v>
      </c>
      <c r="J1389" s="877">
        <f>'REF. DE PREÇOS n editavel'!J1389</f>
        <v>69.19</v>
      </c>
      <c r="K1389" s="878" t="s">
        <v>1500</v>
      </c>
      <c r="L1389" s="1092"/>
      <c r="M1389" s="1093">
        <f t="shared" si="152"/>
        <v>0</v>
      </c>
      <c r="N1389" s="868">
        <f t="shared" si="156"/>
        <v>0</v>
      </c>
      <c r="O1389" s="880"/>
      <c r="Q1389" s="317" t="str">
        <f t="shared" si="153"/>
        <v/>
      </c>
      <c r="R1389" s="317" t="str">
        <f t="shared" si="154"/>
        <v/>
      </c>
      <c r="S1389" s="317" t="str">
        <f t="shared" si="155"/>
        <v/>
      </c>
      <c r="T1389" s="317" t="str">
        <f>'REF. DE PREÇOS n editavel'!S1389</f>
        <v/>
      </c>
      <c r="W1389" s="577">
        <v>0</v>
      </c>
      <c r="X1389" s="575"/>
      <c r="Y1389" s="578">
        <f>IF('REF. DE PREÇOS n editavel'!W1389=0,0,IF('REF. DE PREÇOS n editavel'!W1389&gt;0,"c","b"))</f>
        <v>0</v>
      </c>
    </row>
    <row r="1390" spans="1:25" ht="22.5">
      <c r="A1390" s="317">
        <v>92004</v>
      </c>
      <c r="B1390" s="870">
        <v>92004</v>
      </c>
      <c r="C1390" s="871" t="s">
        <v>590</v>
      </c>
      <c r="D1390" s="881" t="s">
        <v>1300</v>
      </c>
      <c r="E1390" s="882">
        <f>'REF. DE PREÇOS n editavel'!E1390</f>
        <v>0</v>
      </c>
      <c r="F1390" s="883">
        <f>'REF. DE PREÇOS n editavel'!F1390</f>
        <v>0</v>
      </c>
      <c r="G1390" s="887">
        <f>'REF. DE PREÇOS n editavel'!G1390</f>
        <v>0</v>
      </c>
      <c r="H1390" s="876">
        <f>'REF. DE PREÇOS n editavel'!H1390</f>
        <v>60.74</v>
      </c>
      <c r="I1390" s="876">
        <f>'REF. DE PREÇOS n editavel'!I1390</f>
        <v>60.74</v>
      </c>
      <c r="J1390" s="877">
        <f>'REF. DE PREÇOS n editavel'!J1390</f>
        <v>74.239999999999995</v>
      </c>
      <c r="K1390" s="878" t="s">
        <v>1500</v>
      </c>
      <c r="L1390" s="1092"/>
      <c r="M1390" s="1093">
        <f t="shared" si="152"/>
        <v>0</v>
      </c>
      <c r="N1390" s="868">
        <f t="shared" si="156"/>
        <v>0</v>
      </c>
      <c r="O1390" s="880"/>
      <c r="Q1390" s="317" t="str">
        <f t="shared" si="153"/>
        <v/>
      </c>
      <c r="R1390" s="317" t="str">
        <f t="shared" si="154"/>
        <v/>
      </c>
      <c r="S1390" s="317" t="str">
        <f t="shared" si="155"/>
        <v/>
      </c>
      <c r="T1390" s="317" t="str">
        <f>'REF. DE PREÇOS n editavel'!S1390</f>
        <v/>
      </c>
      <c r="W1390" s="577">
        <v>0</v>
      </c>
      <c r="X1390" s="575"/>
      <c r="Y1390" s="578">
        <f>IF('REF. DE PREÇOS n editavel'!W1390=0,0,IF('REF. DE PREÇOS n editavel'!W1390&gt;0,"c","b"))</f>
        <v>0</v>
      </c>
    </row>
    <row r="1391" spans="1:25" ht="22.5">
      <c r="A1391" s="317">
        <v>92005</v>
      </c>
      <c r="B1391" s="870">
        <v>92005</v>
      </c>
      <c r="C1391" s="871" t="s">
        <v>590</v>
      </c>
      <c r="D1391" s="881" t="s">
        <v>1301</v>
      </c>
      <c r="E1391" s="882">
        <f>'REF. DE PREÇOS n editavel'!E1391</f>
        <v>0</v>
      </c>
      <c r="F1391" s="883">
        <f>'REF. DE PREÇOS n editavel'!F1391</f>
        <v>0</v>
      </c>
      <c r="G1391" s="887">
        <f>'REF. DE PREÇOS n editavel'!G1391</f>
        <v>0</v>
      </c>
      <c r="H1391" s="876">
        <f>'REF. DE PREÇOS n editavel'!H1391</f>
        <v>65.84</v>
      </c>
      <c r="I1391" s="876">
        <f>'REF. DE PREÇOS n editavel'!I1391</f>
        <v>65.84</v>
      </c>
      <c r="J1391" s="877">
        <f>'REF. DE PREÇOS n editavel'!J1391</f>
        <v>80.47</v>
      </c>
      <c r="K1391" s="878" t="s">
        <v>1500</v>
      </c>
      <c r="L1391" s="1092"/>
      <c r="M1391" s="1093">
        <f t="shared" si="152"/>
        <v>0</v>
      </c>
      <c r="N1391" s="868">
        <f t="shared" si="156"/>
        <v>0</v>
      </c>
      <c r="O1391" s="880"/>
      <c r="Q1391" s="317" t="str">
        <f t="shared" si="153"/>
        <v/>
      </c>
      <c r="R1391" s="317" t="str">
        <f t="shared" si="154"/>
        <v/>
      </c>
      <c r="S1391" s="317" t="str">
        <f t="shared" si="155"/>
        <v/>
      </c>
      <c r="T1391" s="317" t="str">
        <f>'REF. DE PREÇOS n editavel'!S1391</f>
        <v/>
      </c>
      <c r="W1391" s="577">
        <v>0</v>
      </c>
      <c r="X1391" s="575"/>
      <c r="Y1391" s="578">
        <f>IF('REF. DE PREÇOS n editavel'!W1391=0,0,IF('REF. DE PREÇOS n editavel'!W1391&gt;0,"c","b"))</f>
        <v>0</v>
      </c>
    </row>
    <row r="1392" spans="1:25" ht="22.5">
      <c r="A1392" s="317">
        <v>92006</v>
      </c>
      <c r="B1392" s="870">
        <v>92006</v>
      </c>
      <c r="C1392" s="871" t="s">
        <v>590</v>
      </c>
      <c r="D1392" s="881" t="s">
        <v>1302</v>
      </c>
      <c r="E1392" s="882">
        <f>'REF. DE PREÇOS n editavel'!E1392</f>
        <v>0</v>
      </c>
      <c r="F1392" s="883">
        <f>'REF. DE PREÇOS n editavel'!F1392</f>
        <v>0</v>
      </c>
      <c r="G1392" s="887">
        <f>'REF. DE PREÇOS n editavel'!G1392</f>
        <v>0</v>
      </c>
      <c r="H1392" s="876">
        <f>'REF. DE PREÇOS n editavel'!H1392</f>
        <v>42.75</v>
      </c>
      <c r="I1392" s="876">
        <f>'REF. DE PREÇOS n editavel'!I1392</f>
        <v>42.75</v>
      </c>
      <c r="J1392" s="877">
        <f>'REF. DE PREÇOS n editavel'!J1392</f>
        <v>52.25</v>
      </c>
      <c r="K1392" s="878" t="s">
        <v>1500</v>
      </c>
      <c r="L1392" s="1092"/>
      <c r="M1392" s="1093">
        <f t="shared" si="152"/>
        <v>0</v>
      </c>
      <c r="N1392" s="868">
        <f t="shared" si="156"/>
        <v>0</v>
      </c>
      <c r="O1392" s="880"/>
      <c r="Q1392" s="317" t="str">
        <f t="shared" si="153"/>
        <v/>
      </c>
      <c r="R1392" s="317" t="str">
        <f t="shared" si="154"/>
        <v/>
      </c>
      <c r="S1392" s="317" t="str">
        <f t="shared" si="155"/>
        <v/>
      </c>
      <c r="T1392" s="317" t="str">
        <f>'REF. DE PREÇOS n editavel'!S1392</f>
        <v/>
      </c>
      <c r="W1392" s="577">
        <v>0</v>
      </c>
      <c r="X1392" s="575"/>
      <c r="Y1392" s="578">
        <f>IF('REF. DE PREÇOS n editavel'!W1392=0,0,IF('REF. DE PREÇOS n editavel'!W1392&gt;0,"c","b"))</f>
        <v>0</v>
      </c>
    </row>
    <row r="1393" spans="1:25" ht="22.5">
      <c r="A1393" s="317">
        <v>92007</v>
      </c>
      <c r="B1393" s="870">
        <v>92007</v>
      </c>
      <c r="C1393" s="871" t="s">
        <v>590</v>
      </c>
      <c r="D1393" s="881" t="s">
        <v>1303</v>
      </c>
      <c r="E1393" s="882">
        <f>'REF. DE PREÇOS n editavel'!E1393</f>
        <v>0</v>
      </c>
      <c r="F1393" s="883">
        <f>'REF. DE PREÇOS n editavel'!F1393</f>
        <v>0</v>
      </c>
      <c r="G1393" s="887">
        <f>'REF. DE PREÇOS n editavel'!G1393</f>
        <v>0</v>
      </c>
      <c r="H1393" s="876">
        <f>'REF. DE PREÇOS n editavel'!H1393</f>
        <v>47.85</v>
      </c>
      <c r="I1393" s="876">
        <f>'REF. DE PREÇOS n editavel'!I1393</f>
        <v>47.85</v>
      </c>
      <c r="J1393" s="877">
        <f>'REF. DE PREÇOS n editavel'!J1393</f>
        <v>58.48</v>
      </c>
      <c r="K1393" s="878" t="s">
        <v>1500</v>
      </c>
      <c r="L1393" s="1092"/>
      <c r="M1393" s="1093">
        <f t="shared" si="152"/>
        <v>0</v>
      </c>
      <c r="N1393" s="868">
        <f t="shared" si="156"/>
        <v>0</v>
      </c>
      <c r="O1393" s="880"/>
      <c r="Q1393" s="317" t="str">
        <f t="shared" si="153"/>
        <v/>
      </c>
      <c r="R1393" s="317" t="str">
        <f t="shared" si="154"/>
        <v/>
      </c>
      <c r="S1393" s="317" t="str">
        <f t="shared" si="155"/>
        <v/>
      </c>
      <c r="T1393" s="317" t="str">
        <f>'REF. DE PREÇOS n editavel'!S1393</f>
        <v/>
      </c>
      <c r="W1393" s="577">
        <v>0</v>
      </c>
      <c r="X1393" s="575"/>
      <c r="Y1393" s="578">
        <f>IF('REF. DE PREÇOS n editavel'!W1393=0,0,IF('REF. DE PREÇOS n editavel'!W1393&gt;0,"c","b"))</f>
        <v>0</v>
      </c>
    </row>
    <row r="1394" spans="1:25" ht="22.5">
      <c r="A1394" s="317">
        <v>92008</v>
      </c>
      <c r="B1394" s="870">
        <v>92008</v>
      </c>
      <c r="C1394" s="871" t="s">
        <v>590</v>
      </c>
      <c r="D1394" s="881" t="s">
        <v>1304</v>
      </c>
      <c r="E1394" s="882">
        <f>'REF. DE PREÇOS n editavel'!E1394</f>
        <v>0</v>
      </c>
      <c r="F1394" s="883">
        <f>'REF. DE PREÇOS n editavel'!F1394</f>
        <v>0</v>
      </c>
      <c r="G1394" s="887">
        <f>'REF. DE PREÇOS n editavel'!G1394</f>
        <v>0</v>
      </c>
      <c r="H1394" s="876">
        <f>'REF. DE PREÇOS n editavel'!H1394</f>
        <v>51.98</v>
      </c>
      <c r="I1394" s="876">
        <f>'REF. DE PREÇOS n editavel'!I1394</f>
        <v>51.98</v>
      </c>
      <c r="J1394" s="877">
        <f>'REF. DE PREÇOS n editavel'!J1394</f>
        <v>63.53</v>
      </c>
      <c r="K1394" s="878" t="s">
        <v>1500</v>
      </c>
      <c r="L1394" s="1092"/>
      <c r="M1394" s="1093">
        <f t="shared" si="152"/>
        <v>0</v>
      </c>
      <c r="N1394" s="868">
        <f t="shared" si="156"/>
        <v>0</v>
      </c>
      <c r="O1394" s="880"/>
      <c r="Q1394" s="317" t="str">
        <f t="shared" si="153"/>
        <v/>
      </c>
      <c r="R1394" s="317" t="str">
        <f t="shared" si="154"/>
        <v/>
      </c>
      <c r="S1394" s="317" t="str">
        <f t="shared" si="155"/>
        <v/>
      </c>
      <c r="T1394" s="317" t="str">
        <f>'REF. DE PREÇOS n editavel'!S1394</f>
        <v/>
      </c>
      <c r="W1394" s="577">
        <v>0</v>
      </c>
      <c r="X1394" s="575"/>
      <c r="Y1394" s="578">
        <f>IF('REF. DE PREÇOS n editavel'!W1394=0,0,IF('REF. DE PREÇOS n editavel'!W1394&gt;0,"c","b"))</f>
        <v>0</v>
      </c>
    </row>
    <row r="1395" spans="1:25" ht="22.5">
      <c r="A1395" s="317">
        <v>92009</v>
      </c>
      <c r="B1395" s="870">
        <v>92009</v>
      </c>
      <c r="C1395" s="871" t="s">
        <v>590</v>
      </c>
      <c r="D1395" s="881" t="s">
        <v>1305</v>
      </c>
      <c r="E1395" s="882">
        <f>'REF. DE PREÇOS n editavel'!E1395</f>
        <v>0</v>
      </c>
      <c r="F1395" s="883">
        <f>'REF. DE PREÇOS n editavel'!F1395</f>
        <v>0</v>
      </c>
      <c r="G1395" s="887">
        <f>'REF. DE PREÇOS n editavel'!G1395</f>
        <v>0</v>
      </c>
      <c r="H1395" s="876">
        <f>'REF. DE PREÇOS n editavel'!H1395</f>
        <v>57.08</v>
      </c>
      <c r="I1395" s="876">
        <f>'REF. DE PREÇOS n editavel'!I1395</f>
        <v>57.08</v>
      </c>
      <c r="J1395" s="877">
        <f>'REF. DE PREÇOS n editavel'!J1395</f>
        <v>69.760000000000005</v>
      </c>
      <c r="K1395" s="878" t="s">
        <v>1500</v>
      </c>
      <c r="L1395" s="1092"/>
      <c r="M1395" s="1093">
        <f t="shared" si="152"/>
        <v>0</v>
      </c>
      <c r="N1395" s="868">
        <f t="shared" si="156"/>
        <v>0</v>
      </c>
      <c r="O1395" s="880"/>
      <c r="Q1395" s="317" t="str">
        <f t="shared" si="153"/>
        <v/>
      </c>
      <c r="R1395" s="317" t="str">
        <f t="shared" si="154"/>
        <v/>
      </c>
      <c r="S1395" s="317" t="str">
        <f t="shared" si="155"/>
        <v/>
      </c>
      <c r="T1395" s="317" t="str">
        <f>'REF. DE PREÇOS n editavel'!S1395</f>
        <v/>
      </c>
      <c r="W1395" s="577">
        <v>0</v>
      </c>
      <c r="X1395" s="575"/>
      <c r="Y1395" s="578">
        <f>IF('REF. DE PREÇOS n editavel'!W1395=0,0,IF('REF. DE PREÇOS n editavel'!W1395&gt;0,"c","b"))</f>
        <v>0</v>
      </c>
    </row>
    <row r="1396" spans="1:25" ht="22.5">
      <c r="A1396" s="317">
        <v>92010</v>
      </c>
      <c r="B1396" s="870">
        <v>92010</v>
      </c>
      <c r="C1396" s="871" t="s">
        <v>590</v>
      </c>
      <c r="D1396" s="881" t="s">
        <v>1306</v>
      </c>
      <c r="E1396" s="882">
        <f>'REF. DE PREÇOS n editavel'!E1396</f>
        <v>0</v>
      </c>
      <c r="F1396" s="883">
        <f>'REF. DE PREÇOS n editavel'!F1396</f>
        <v>0</v>
      </c>
      <c r="G1396" s="887">
        <f>'REF. DE PREÇOS n editavel'!G1396</f>
        <v>0</v>
      </c>
      <c r="H1396" s="876">
        <f>'REF. DE PREÇOS n editavel'!H1396</f>
        <v>75.45</v>
      </c>
      <c r="I1396" s="876">
        <f>'REF. DE PREÇOS n editavel'!I1396</f>
        <v>75.45</v>
      </c>
      <c r="J1396" s="877">
        <f>'REF. DE PREÇOS n editavel'!J1396</f>
        <v>92.21</v>
      </c>
      <c r="K1396" s="878" t="s">
        <v>1500</v>
      </c>
      <c r="L1396" s="1092"/>
      <c r="M1396" s="1093">
        <f t="shared" si="152"/>
        <v>0</v>
      </c>
      <c r="N1396" s="868">
        <f t="shared" si="156"/>
        <v>0</v>
      </c>
      <c r="O1396" s="880"/>
      <c r="Q1396" s="317" t="str">
        <f t="shared" si="153"/>
        <v/>
      </c>
      <c r="R1396" s="317" t="str">
        <f t="shared" si="154"/>
        <v/>
      </c>
      <c r="S1396" s="317" t="str">
        <f t="shared" si="155"/>
        <v/>
      </c>
      <c r="T1396" s="317" t="str">
        <f>'REF. DE PREÇOS n editavel'!S1396</f>
        <v/>
      </c>
      <c r="W1396" s="577">
        <v>0</v>
      </c>
      <c r="X1396" s="575"/>
      <c r="Y1396" s="578">
        <f>IF('REF. DE PREÇOS n editavel'!W1396=0,0,IF('REF. DE PREÇOS n editavel'!W1396&gt;0,"c","b"))</f>
        <v>0</v>
      </c>
    </row>
    <row r="1397" spans="1:25" ht="22.5">
      <c r="A1397" s="317">
        <v>92011</v>
      </c>
      <c r="B1397" s="870">
        <v>92011</v>
      </c>
      <c r="C1397" s="871" t="s">
        <v>590</v>
      </c>
      <c r="D1397" s="881" t="s">
        <v>1307</v>
      </c>
      <c r="E1397" s="882">
        <f>'REF. DE PREÇOS n editavel'!E1397</f>
        <v>0</v>
      </c>
      <c r="F1397" s="883">
        <f>'REF. DE PREÇOS n editavel'!F1397</f>
        <v>0</v>
      </c>
      <c r="G1397" s="887">
        <f>'REF. DE PREÇOS n editavel'!G1397</f>
        <v>0</v>
      </c>
      <c r="H1397" s="876">
        <f>'REF. DE PREÇOS n editavel'!H1397</f>
        <v>83.1</v>
      </c>
      <c r="I1397" s="876">
        <f>'REF. DE PREÇOS n editavel'!I1397</f>
        <v>83.1</v>
      </c>
      <c r="J1397" s="877">
        <f>'REF. DE PREÇOS n editavel'!J1397</f>
        <v>101.56</v>
      </c>
      <c r="K1397" s="878" t="s">
        <v>1500</v>
      </c>
      <c r="L1397" s="1092"/>
      <c r="M1397" s="1093">
        <f t="shared" si="152"/>
        <v>0</v>
      </c>
      <c r="N1397" s="868">
        <f t="shared" si="156"/>
        <v>0</v>
      </c>
      <c r="O1397" s="880"/>
      <c r="Q1397" s="317" t="str">
        <f t="shared" si="153"/>
        <v/>
      </c>
      <c r="R1397" s="317" t="str">
        <f t="shared" si="154"/>
        <v/>
      </c>
      <c r="S1397" s="317" t="str">
        <f t="shared" si="155"/>
        <v/>
      </c>
      <c r="T1397" s="317" t="str">
        <f>'REF. DE PREÇOS n editavel'!S1397</f>
        <v/>
      </c>
      <c r="W1397" s="577">
        <v>0</v>
      </c>
      <c r="X1397" s="575"/>
      <c r="Y1397" s="578">
        <f>IF('REF. DE PREÇOS n editavel'!W1397=0,0,IF('REF. DE PREÇOS n editavel'!W1397&gt;0,"c","b"))</f>
        <v>0</v>
      </c>
    </row>
    <row r="1398" spans="1:25" ht="22.5">
      <c r="A1398" s="317">
        <v>92012</v>
      </c>
      <c r="B1398" s="870">
        <v>92012</v>
      </c>
      <c r="C1398" s="871" t="s">
        <v>590</v>
      </c>
      <c r="D1398" s="881" t="s">
        <v>1308</v>
      </c>
      <c r="E1398" s="882">
        <f>'REF. DE PREÇOS n editavel'!E1398</f>
        <v>0</v>
      </c>
      <c r="F1398" s="883">
        <f>'REF. DE PREÇOS n editavel'!F1398</f>
        <v>0</v>
      </c>
      <c r="G1398" s="887">
        <f>'REF. DE PREÇOS n editavel'!G1398</f>
        <v>0</v>
      </c>
      <c r="H1398" s="876">
        <f>'REF. DE PREÇOS n editavel'!H1398</f>
        <v>84.68</v>
      </c>
      <c r="I1398" s="876">
        <f>'REF. DE PREÇOS n editavel'!I1398</f>
        <v>84.68</v>
      </c>
      <c r="J1398" s="877">
        <f>'REF. DE PREÇOS n editavel'!J1398</f>
        <v>103.5</v>
      </c>
      <c r="K1398" s="878" t="s">
        <v>1500</v>
      </c>
      <c r="L1398" s="1092"/>
      <c r="M1398" s="1093">
        <f t="shared" si="152"/>
        <v>0</v>
      </c>
      <c r="N1398" s="868">
        <f t="shared" si="156"/>
        <v>0</v>
      </c>
      <c r="O1398" s="880"/>
      <c r="Q1398" s="317" t="str">
        <f t="shared" si="153"/>
        <v/>
      </c>
      <c r="R1398" s="317" t="str">
        <f t="shared" si="154"/>
        <v/>
      </c>
      <c r="S1398" s="317" t="str">
        <f t="shared" si="155"/>
        <v/>
      </c>
      <c r="T1398" s="317" t="str">
        <f>'REF. DE PREÇOS n editavel'!S1398</f>
        <v/>
      </c>
      <c r="W1398" s="577">
        <v>0</v>
      </c>
      <c r="X1398" s="575"/>
      <c r="Y1398" s="578">
        <f>IF('REF. DE PREÇOS n editavel'!W1398=0,0,IF('REF. DE PREÇOS n editavel'!W1398&gt;0,"c","b"))</f>
        <v>0</v>
      </c>
    </row>
    <row r="1399" spans="1:25" ht="22.5">
      <c r="A1399" s="317">
        <v>92013</v>
      </c>
      <c r="B1399" s="870">
        <v>92013</v>
      </c>
      <c r="C1399" s="871" t="s">
        <v>590</v>
      </c>
      <c r="D1399" s="881" t="s">
        <v>1309</v>
      </c>
      <c r="E1399" s="882">
        <f>'REF. DE PREÇOS n editavel'!E1399</f>
        <v>0</v>
      </c>
      <c r="F1399" s="883">
        <f>'REF. DE PREÇOS n editavel'!F1399</f>
        <v>0</v>
      </c>
      <c r="G1399" s="887">
        <f>'REF. DE PREÇOS n editavel'!G1399</f>
        <v>0</v>
      </c>
      <c r="H1399" s="876">
        <f>'REF. DE PREÇOS n editavel'!H1399</f>
        <v>92.33</v>
      </c>
      <c r="I1399" s="876">
        <f>'REF. DE PREÇOS n editavel'!I1399</f>
        <v>92.33</v>
      </c>
      <c r="J1399" s="877">
        <f>'REF. DE PREÇOS n editavel'!J1399</f>
        <v>112.85</v>
      </c>
      <c r="K1399" s="878" t="s">
        <v>1500</v>
      </c>
      <c r="L1399" s="1092"/>
      <c r="M1399" s="1093">
        <f t="shared" si="152"/>
        <v>0</v>
      </c>
      <c r="N1399" s="868">
        <f t="shared" si="156"/>
        <v>0</v>
      </c>
      <c r="O1399" s="880"/>
      <c r="Q1399" s="317" t="str">
        <f t="shared" si="153"/>
        <v/>
      </c>
      <c r="R1399" s="317" t="str">
        <f t="shared" si="154"/>
        <v/>
      </c>
      <c r="S1399" s="317" t="str">
        <f t="shared" si="155"/>
        <v/>
      </c>
      <c r="T1399" s="317" t="str">
        <f>'REF. DE PREÇOS n editavel'!S1399</f>
        <v/>
      </c>
      <c r="W1399" s="577">
        <v>0</v>
      </c>
      <c r="X1399" s="575"/>
      <c r="Y1399" s="578">
        <f>IF('REF. DE PREÇOS n editavel'!W1399=0,0,IF('REF. DE PREÇOS n editavel'!W1399&gt;0,"c","b"))</f>
        <v>0</v>
      </c>
    </row>
    <row r="1400" spans="1:25" ht="22.5">
      <c r="A1400" s="317">
        <v>92014</v>
      </c>
      <c r="B1400" s="870">
        <v>92014</v>
      </c>
      <c r="C1400" s="871" t="s">
        <v>590</v>
      </c>
      <c r="D1400" s="881" t="s">
        <v>1310</v>
      </c>
      <c r="E1400" s="882">
        <f>'REF. DE PREÇOS n editavel'!E1400</f>
        <v>0</v>
      </c>
      <c r="F1400" s="883">
        <f>'REF. DE PREÇOS n editavel'!F1400</f>
        <v>0</v>
      </c>
      <c r="G1400" s="887">
        <f>'REF. DE PREÇOS n editavel'!G1400</f>
        <v>0</v>
      </c>
      <c r="H1400" s="876">
        <f>'REF. DE PREÇOS n editavel'!H1400</f>
        <v>62.3</v>
      </c>
      <c r="I1400" s="876">
        <f>'REF. DE PREÇOS n editavel'!I1400</f>
        <v>62.3</v>
      </c>
      <c r="J1400" s="877">
        <f>'REF. DE PREÇOS n editavel'!J1400</f>
        <v>76.14</v>
      </c>
      <c r="K1400" s="878" t="s">
        <v>1500</v>
      </c>
      <c r="L1400" s="1092"/>
      <c r="M1400" s="1093">
        <f t="shared" si="152"/>
        <v>0</v>
      </c>
      <c r="N1400" s="868">
        <f t="shared" si="156"/>
        <v>0</v>
      </c>
      <c r="O1400" s="880"/>
      <c r="Q1400" s="317" t="str">
        <f t="shared" si="153"/>
        <v/>
      </c>
      <c r="R1400" s="317" t="str">
        <f t="shared" si="154"/>
        <v/>
      </c>
      <c r="S1400" s="317" t="str">
        <f t="shared" si="155"/>
        <v/>
      </c>
      <c r="T1400" s="317" t="str">
        <f>'REF. DE PREÇOS n editavel'!S1400</f>
        <v/>
      </c>
      <c r="W1400" s="577">
        <v>0</v>
      </c>
      <c r="X1400" s="575"/>
      <c r="Y1400" s="578">
        <f>IF('REF. DE PREÇOS n editavel'!W1400=0,0,IF('REF. DE PREÇOS n editavel'!W1400&gt;0,"c","b"))</f>
        <v>0</v>
      </c>
    </row>
    <row r="1401" spans="1:25" ht="22.5">
      <c r="A1401" s="317">
        <v>92015</v>
      </c>
      <c r="B1401" s="870">
        <v>92015</v>
      </c>
      <c r="C1401" s="871" t="s">
        <v>590</v>
      </c>
      <c r="D1401" s="881" t="s">
        <v>1311</v>
      </c>
      <c r="E1401" s="882">
        <f>'REF. DE PREÇOS n editavel'!E1401</f>
        <v>0</v>
      </c>
      <c r="F1401" s="883">
        <f>'REF. DE PREÇOS n editavel'!F1401</f>
        <v>0</v>
      </c>
      <c r="G1401" s="887">
        <f>'REF. DE PREÇOS n editavel'!G1401</f>
        <v>0</v>
      </c>
      <c r="H1401" s="876">
        <f>'REF. DE PREÇOS n editavel'!H1401</f>
        <v>69.95</v>
      </c>
      <c r="I1401" s="876">
        <f>'REF. DE PREÇOS n editavel'!I1401</f>
        <v>69.95</v>
      </c>
      <c r="J1401" s="877">
        <f>'REF. DE PREÇOS n editavel'!J1401</f>
        <v>85.49</v>
      </c>
      <c r="K1401" s="878" t="s">
        <v>1500</v>
      </c>
      <c r="L1401" s="1092"/>
      <c r="M1401" s="1093">
        <f t="shared" si="152"/>
        <v>0</v>
      </c>
      <c r="N1401" s="868">
        <f t="shared" si="156"/>
        <v>0</v>
      </c>
      <c r="O1401" s="880"/>
      <c r="Q1401" s="317" t="str">
        <f t="shared" si="153"/>
        <v/>
      </c>
      <c r="R1401" s="317" t="str">
        <f t="shared" si="154"/>
        <v/>
      </c>
      <c r="S1401" s="317" t="str">
        <f t="shared" si="155"/>
        <v/>
      </c>
      <c r="T1401" s="317" t="str">
        <f>'REF. DE PREÇOS n editavel'!S1401</f>
        <v/>
      </c>
      <c r="W1401" s="577">
        <v>0</v>
      </c>
      <c r="X1401" s="575"/>
      <c r="Y1401" s="578">
        <f>IF('REF. DE PREÇOS n editavel'!W1401=0,0,IF('REF. DE PREÇOS n editavel'!W1401&gt;0,"c","b"))</f>
        <v>0</v>
      </c>
    </row>
    <row r="1402" spans="1:25" ht="22.5">
      <c r="A1402" s="317">
        <v>92016</v>
      </c>
      <c r="B1402" s="870">
        <v>92016</v>
      </c>
      <c r="C1402" s="871" t="s">
        <v>590</v>
      </c>
      <c r="D1402" s="881" t="s">
        <v>1312</v>
      </c>
      <c r="E1402" s="882">
        <f>'REF. DE PREÇOS n editavel'!E1402</f>
        <v>0</v>
      </c>
      <c r="F1402" s="883">
        <f>'REF. DE PREÇOS n editavel'!F1402</f>
        <v>0</v>
      </c>
      <c r="G1402" s="887">
        <f>'REF. DE PREÇOS n editavel'!G1402</f>
        <v>0</v>
      </c>
      <c r="H1402" s="876">
        <f>'REF. DE PREÇOS n editavel'!H1402</f>
        <v>71.53</v>
      </c>
      <c r="I1402" s="876">
        <f>'REF. DE PREÇOS n editavel'!I1402</f>
        <v>71.53</v>
      </c>
      <c r="J1402" s="877">
        <f>'REF. DE PREÇOS n editavel'!J1402</f>
        <v>87.42</v>
      </c>
      <c r="K1402" s="878" t="s">
        <v>1500</v>
      </c>
      <c r="L1402" s="1092"/>
      <c r="M1402" s="1093">
        <f t="shared" si="152"/>
        <v>0</v>
      </c>
      <c r="N1402" s="868">
        <f t="shared" si="156"/>
        <v>0</v>
      </c>
      <c r="O1402" s="880"/>
      <c r="Q1402" s="317" t="str">
        <f t="shared" si="153"/>
        <v/>
      </c>
      <c r="R1402" s="317" t="str">
        <f t="shared" si="154"/>
        <v/>
      </c>
      <c r="S1402" s="317" t="str">
        <f t="shared" si="155"/>
        <v/>
      </c>
      <c r="T1402" s="317" t="str">
        <f>'REF. DE PREÇOS n editavel'!S1402</f>
        <v/>
      </c>
      <c r="W1402" s="577">
        <v>0</v>
      </c>
      <c r="X1402" s="575"/>
      <c r="Y1402" s="578">
        <f>IF('REF. DE PREÇOS n editavel'!W1402=0,0,IF('REF. DE PREÇOS n editavel'!W1402&gt;0,"c","b"))</f>
        <v>0</v>
      </c>
    </row>
    <row r="1403" spans="1:25" ht="22.5">
      <c r="A1403" s="317">
        <v>92017</v>
      </c>
      <c r="B1403" s="870">
        <v>92017</v>
      </c>
      <c r="C1403" s="871" t="s">
        <v>590</v>
      </c>
      <c r="D1403" s="881" t="s">
        <v>1313</v>
      </c>
      <c r="E1403" s="882">
        <f>'REF. DE PREÇOS n editavel'!E1403</f>
        <v>0</v>
      </c>
      <c r="F1403" s="883">
        <f>'REF. DE PREÇOS n editavel'!F1403</f>
        <v>0</v>
      </c>
      <c r="G1403" s="887">
        <f>'REF. DE PREÇOS n editavel'!G1403</f>
        <v>0</v>
      </c>
      <c r="H1403" s="876">
        <f>'REF. DE PREÇOS n editavel'!H1403</f>
        <v>79.180000000000007</v>
      </c>
      <c r="I1403" s="876">
        <f>'REF. DE PREÇOS n editavel'!I1403</f>
        <v>79.180000000000007</v>
      </c>
      <c r="J1403" s="877">
        <f>'REF. DE PREÇOS n editavel'!J1403</f>
        <v>96.77</v>
      </c>
      <c r="K1403" s="878" t="s">
        <v>1500</v>
      </c>
      <c r="L1403" s="1092"/>
      <c r="M1403" s="1093">
        <f t="shared" si="152"/>
        <v>0</v>
      </c>
      <c r="N1403" s="868">
        <f t="shared" si="156"/>
        <v>0</v>
      </c>
      <c r="O1403" s="880"/>
      <c r="Q1403" s="317" t="str">
        <f t="shared" si="153"/>
        <v/>
      </c>
      <c r="R1403" s="317" t="str">
        <f t="shared" si="154"/>
        <v/>
      </c>
      <c r="S1403" s="317" t="str">
        <f t="shared" si="155"/>
        <v/>
      </c>
      <c r="T1403" s="317" t="str">
        <f>'REF. DE PREÇOS n editavel'!S1403</f>
        <v/>
      </c>
      <c r="W1403" s="577">
        <v>0</v>
      </c>
      <c r="X1403" s="575"/>
      <c r="Y1403" s="578">
        <f>IF('REF. DE PREÇOS n editavel'!W1403=0,0,IF('REF. DE PREÇOS n editavel'!W1403&gt;0,"c","b"))</f>
        <v>0</v>
      </c>
    </row>
    <row r="1404" spans="1:25" ht="22.5">
      <c r="A1404" s="317">
        <v>92018</v>
      </c>
      <c r="B1404" s="870">
        <v>92018</v>
      </c>
      <c r="C1404" s="871" t="s">
        <v>590</v>
      </c>
      <c r="D1404" s="881" t="s">
        <v>1314</v>
      </c>
      <c r="E1404" s="882">
        <f>'REF. DE PREÇOS n editavel'!E1404</f>
        <v>0</v>
      </c>
      <c r="F1404" s="883">
        <f>'REF. DE PREÇOS n editavel'!F1404</f>
        <v>0</v>
      </c>
      <c r="G1404" s="887">
        <f>'REF. DE PREÇOS n editavel'!G1404</f>
        <v>0</v>
      </c>
      <c r="H1404" s="876">
        <f>'REF. DE PREÇOS n editavel'!H1404</f>
        <v>82.46</v>
      </c>
      <c r="I1404" s="876">
        <f>'REF. DE PREÇOS n editavel'!I1404</f>
        <v>82.46</v>
      </c>
      <c r="J1404" s="877">
        <f>'REF. DE PREÇOS n editavel'!J1404</f>
        <v>100.78</v>
      </c>
      <c r="K1404" s="878" t="s">
        <v>1500</v>
      </c>
      <c r="L1404" s="1092"/>
      <c r="M1404" s="1093">
        <f t="shared" si="152"/>
        <v>0</v>
      </c>
      <c r="N1404" s="868">
        <f t="shared" si="156"/>
        <v>0</v>
      </c>
      <c r="O1404" s="880"/>
      <c r="Q1404" s="317" t="str">
        <f t="shared" si="153"/>
        <v/>
      </c>
      <c r="R1404" s="317" t="str">
        <f t="shared" si="154"/>
        <v/>
      </c>
      <c r="S1404" s="317" t="str">
        <f t="shared" si="155"/>
        <v/>
      </c>
      <c r="T1404" s="317" t="str">
        <f>'REF. DE PREÇOS n editavel'!S1404</f>
        <v/>
      </c>
      <c r="W1404" s="577">
        <v>0</v>
      </c>
      <c r="X1404" s="575"/>
      <c r="Y1404" s="578">
        <f>IF('REF. DE PREÇOS n editavel'!W1404=0,0,IF('REF. DE PREÇOS n editavel'!W1404&gt;0,"c","b"))</f>
        <v>0</v>
      </c>
    </row>
    <row r="1405" spans="1:25" ht="22.5">
      <c r="A1405" s="317">
        <v>92019</v>
      </c>
      <c r="B1405" s="870">
        <v>92019</v>
      </c>
      <c r="C1405" s="871" t="s">
        <v>590</v>
      </c>
      <c r="D1405" s="881" t="s">
        <v>1315</v>
      </c>
      <c r="E1405" s="882">
        <f>'REF. DE PREÇOS n editavel'!E1405</f>
        <v>0</v>
      </c>
      <c r="F1405" s="883">
        <f>'REF. DE PREÇOS n editavel'!F1405</f>
        <v>0</v>
      </c>
      <c r="G1405" s="887">
        <f>'REF. DE PREÇOS n editavel'!G1405</f>
        <v>0</v>
      </c>
      <c r="H1405" s="876">
        <f>'REF. DE PREÇOS n editavel'!H1405</f>
        <v>97.04</v>
      </c>
      <c r="I1405" s="876">
        <f>'REF. DE PREÇOS n editavel'!I1405</f>
        <v>97.04</v>
      </c>
      <c r="J1405" s="877">
        <f>'REF. DE PREÇOS n editavel'!J1405</f>
        <v>118.6</v>
      </c>
      <c r="K1405" s="878" t="s">
        <v>1500</v>
      </c>
      <c r="L1405" s="1092"/>
      <c r="M1405" s="1093">
        <f t="shared" si="152"/>
        <v>0</v>
      </c>
      <c r="N1405" s="868">
        <f t="shared" si="156"/>
        <v>0</v>
      </c>
      <c r="O1405" s="880"/>
      <c r="Q1405" s="317" t="str">
        <f t="shared" si="153"/>
        <v/>
      </c>
      <c r="R1405" s="317" t="str">
        <f t="shared" si="154"/>
        <v/>
      </c>
      <c r="S1405" s="317" t="str">
        <f t="shared" si="155"/>
        <v/>
      </c>
      <c r="T1405" s="317" t="str">
        <f>'REF. DE PREÇOS n editavel'!S1405</f>
        <v/>
      </c>
      <c r="W1405" s="577">
        <v>0</v>
      </c>
      <c r="X1405" s="575"/>
      <c r="Y1405" s="578">
        <f>IF('REF. DE PREÇOS n editavel'!W1405=0,0,IF('REF. DE PREÇOS n editavel'!W1405&gt;0,"c","b"))</f>
        <v>0</v>
      </c>
    </row>
    <row r="1406" spans="1:25" ht="22.5">
      <c r="A1406" s="317">
        <v>92020</v>
      </c>
      <c r="B1406" s="870">
        <v>92020</v>
      </c>
      <c r="C1406" s="871" t="s">
        <v>590</v>
      </c>
      <c r="D1406" s="881" t="s">
        <v>1316</v>
      </c>
      <c r="E1406" s="882">
        <f>'REF. DE PREÇOS n editavel'!E1406</f>
        <v>0</v>
      </c>
      <c r="F1406" s="883">
        <f>'REF. DE PREÇOS n editavel'!F1406</f>
        <v>0</v>
      </c>
      <c r="G1406" s="887">
        <f>'REF. DE PREÇOS n editavel'!G1406</f>
        <v>0</v>
      </c>
      <c r="H1406" s="876">
        <f>'REF. DE PREÇOS n editavel'!H1406</f>
        <v>121.86</v>
      </c>
      <c r="I1406" s="876">
        <f>'REF. DE PREÇOS n editavel'!I1406</f>
        <v>121.86</v>
      </c>
      <c r="J1406" s="877">
        <f>'REF. DE PREÇOS n editavel'!J1406</f>
        <v>148.94</v>
      </c>
      <c r="K1406" s="878" t="s">
        <v>1500</v>
      </c>
      <c r="L1406" s="1092"/>
      <c r="M1406" s="1093">
        <f t="shared" si="152"/>
        <v>0</v>
      </c>
      <c r="N1406" s="868">
        <f t="shared" si="156"/>
        <v>0</v>
      </c>
      <c r="O1406" s="880"/>
      <c r="Q1406" s="317" t="str">
        <f t="shared" si="153"/>
        <v/>
      </c>
      <c r="R1406" s="317" t="str">
        <f t="shared" si="154"/>
        <v/>
      </c>
      <c r="S1406" s="317" t="str">
        <f t="shared" si="155"/>
        <v/>
      </c>
      <c r="T1406" s="317" t="str">
        <f>'REF. DE PREÇOS n editavel'!S1406</f>
        <v/>
      </c>
      <c r="W1406" s="577">
        <v>0</v>
      </c>
      <c r="X1406" s="575"/>
      <c r="Y1406" s="578">
        <f>IF('REF. DE PREÇOS n editavel'!W1406=0,0,IF('REF. DE PREÇOS n editavel'!W1406&gt;0,"c","b"))</f>
        <v>0</v>
      </c>
    </row>
    <row r="1407" spans="1:25" ht="22.5">
      <c r="A1407" s="317">
        <v>92021</v>
      </c>
      <c r="B1407" s="870">
        <v>92021</v>
      </c>
      <c r="C1407" s="871" t="s">
        <v>590</v>
      </c>
      <c r="D1407" s="881" t="s">
        <v>1317</v>
      </c>
      <c r="E1407" s="882">
        <f>'REF. DE PREÇOS n editavel'!E1407</f>
        <v>0</v>
      </c>
      <c r="F1407" s="883">
        <f>'REF. DE PREÇOS n editavel'!F1407</f>
        <v>0</v>
      </c>
      <c r="G1407" s="887">
        <f>'REF. DE PREÇOS n editavel'!G1407</f>
        <v>0</v>
      </c>
      <c r="H1407" s="876">
        <f>'REF. DE PREÇOS n editavel'!H1407</f>
        <v>136.44</v>
      </c>
      <c r="I1407" s="876">
        <f>'REF. DE PREÇOS n editavel'!I1407</f>
        <v>136.44</v>
      </c>
      <c r="J1407" s="877">
        <f>'REF. DE PREÇOS n editavel'!J1407</f>
        <v>166.76</v>
      </c>
      <c r="K1407" s="878" t="s">
        <v>1500</v>
      </c>
      <c r="L1407" s="1092"/>
      <c r="M1407" s="1093">
        <f t="shared" si="152"/>
        <v>0</v>
      </c>
      <c r="N1407" s="868">
        <f t="shared" si="156"/>
        <v>0</v>
      </c>
      <c r="O1407" s="880"/>
      <c r="Q1407" s="317" t="str">
        <f t="shared" si="153"/>
        <v/>
      </c>
      <c r="R1407" s="317" t="str">
        <f t="shared" si="154"/>
        <v/>
      </c>
      <c r="S1407" s="317" t="str">
        <f t="shared" si="155"/>
        <v/>
      </c>
      <c r="T1407" s="317" t="str">
        <f>'REF. DE PREÇOS n editavel'!S1407</f>
        <v/>
      </c>
      <c r="W1407" s="577">
        <v>0</v>
      </c>
      <c r="X1407" s="575"/>
      <c r="Y1407" s="578">
        <f>IF('REF. DE PREÇOS n editavel'!W1407=0,0,IF('REF. DE PREÇOS n editavel'!W1407&gt;0,"c","b"))</f>
        <v>0</v>
      </c>
    </row>
    <row r="1408" spans="1:25" ht="22.5">
      <c r="A1408" s="317">
        <v>93141</v>
      </c>
      <c r="B1408" s="870">
        <v>93141</v>
      </c>
      <c r="C1408" s="871" t="s">
        <v>590</v>
      </c>
      <c r="D1408" s="881" t="s">
        <v>1318</v>
      </c>
      <c r="E1408" s="882">
        <f>'REF. DE PREÇOS n editavel'!E1408</f>
        <v>0</v>
      </c>
      <c r="F1408" s="883">
        <f>'REF. DE PREÇOS n editavel'!F1408</f>
        <v>0</v>
      </c>
      <c r="G1408" s="887">
        <f>'REF. DE PREÇOS n editavel'!G1408</f>
        <v>0</v>
      </c>
      <c r="H1408" s="876">
        <f>'REF. DE PREÇOS n editavel'!H1408</f>
        <v>200.2</v>
      </c>
      <c r="I1408" s="876">
        <f>'REF. DE PREÇOS n editavel'!I1408</f>
        <v>200.2</v>
      </c>
      <c r="J1408" s="877">
        <f>'REF. DE PREÇOS n editavel'!J1408</f>
        <v>244.68</v>
      </c>
      <c r="K1408" s="878" t="s">
        <v>1500</v>
      </c>
      <c r="L1408" s="1092"/>
      <c r="M1408" s="1093">
        <f t="shared" si="152"/>
        <v>0</v>
      </c>
      <c r="N1408" s="868">
        <f t="shared" si="156"/>
        <v>0</v>
      </c>
      <c r="O1408" s="880"/>
      <c r="Q1408" s="317" t="str">
        <f t="shared" si="153"/>
        <v/>
      </c>
      <c r="R1408" s="317" t="str">
        <f t="shared" si="154"/>
        <v/>
      </c>
      <c r="S1408" s="317" t="str">
        <f t="shared" si="155"/>
        <v/>
      </c>
      <c r="T1408" s="317" t="str">
        <f>'REF. DE PREÇOS n editavel'!S1408</f>
        <v/>
      </c>
      <c r="W1408" s="577">
        <v>0</v>
      </c>
      <c r="X1408" s="575"/>
      <c r="Y1408" s="578">
        <f>IF('REF. DE PREÇOS n editavel'!W1408=0,0,IF('REF. DE PREÇOS n editavel'!W1408&gt;0,"c","b"))</f>
        <v>0</v>
      </c>
    </row>
    <row r="1409" spans="1:25" ht="22.5">
      <c r="A1409" s="317">
        <v>93142</v>
      </c>
      <c r="B1409" s="870">
        <v>93142</v>
      </c>
      <c r="C1409" s="871" t="s">
        <v>590</v>
      </c>
      <c r="D1409" s="881" t="s">
        <v>1319</v>
      </c>
      <c r="E1409" s="882">
        <f>'REF. DE PREÇOS n editavel'!E1409</f>
        <v>0</v>
      </c>
      <c r="F1409" s="883">
        <f>'REF. DE PREÇOS n editavel'!F1409</f>
        <v>0</v>
      </c>
      <c r="G1409" s="887">
        <f>'REF. DE PREÇOS n editavel'!G1409</f>
        <v>0</v>
      </c>
      <c r="H1409" s="876">
        <f>'REF. DE PREÇOS n editavel'!H1409</f>
        <v>224.18</v>
      </c>
      <c r="I1409" s="876">
        <f>'REF. DE PREÇOS n editavel'!I1409</f>
        <v>224.18</v>
      </c>
      <c r="J1409" s="877">
        <f>'REF. DE PREÇOS n editavel'!J1409</f>
        <v>273.99</v>
      </c>
      <c r="K1409" s="878" t="s">
        <v>1500</v>
      </c>
      <c r="L1409" s="1092"/>
      <c r="M1409" s="1093">
        <f t="shared" si="152"/>
        <v>0</v>
      </c>
      <c r="N1409" s="868">
        <f t="shared" si="156"/>
        <v>0</v>
      </c>
      <c r="O1409" s="880"/>
      <c r="Q1409" s="317" t="str">
        <f t="shared" si="153"/>
        <v/>
      </c>
      <c r="R1409" s="317" t="str">
        <f t="shared" si="154"/>
        <v/>
      </c>
      <c r="S1409" s="317" t="str">
        <f t="shared" si="155"/>
        <v/>
      </c>
      <c r="T1409" s="317" t="str">
        <f>'REF. DE PREÇOS n editavel'!S1409</f>
        <v/>
      </c>
      <c r="W1409" s="577">
        <v>0</v>
      </c>
      <c r="X1409" s="575"/>
      <c r="Y1409" s="578">
        <f>IF('REF. DE PREÇOS n editavel'!W1409=0,0,IF('REF. DE PREÇOS n editavel'!W1409&gt;0,"c","b"))</f>
        <v>0</v>
      </c>
    </row>
    <row r="1410" spans="1:25" ht="22.5">
      <c r="A1410" s="317">
        <v>93143</v>
      </c>
      <c r="B1410" s="870">
        <v>93143</v>
      </c>
      <c r="C1410" s="871" t="s">
        <v>590</v>
      </c>
      <c r="D1410" s="881" t="s">
        <v>1320</v>
      </c>
      <c r="E1410" s="882">
        <f>'REF. DE PREÇOS n editavel'!E1410</f>
        <v>0</v>
      </c>
      <c r="F1410" s="883">
        <f>'REF. DE PREÇOS n editavel'!F1410</f>
        <v>0</v>
      </c>
      <c r="G1410" s="887">
        <f>'REF. DE PREÇOS n editavel'!G1410</f>
        <v>0</v>
      </c>
      <c r="H1410" s="876">
        <f>'REF. DE PREÇOS n editavel'!H1410</f>
        <v>203.26</v>
      </c>
      <c r="I1410" s="876">
        <f>'REF. DE PREÇOS n editavel'!I1410</f>
        <v>203.26</v>
      </c>
      <c r="J1410" s="877">
        <f>'REF. DE PREÇOS n editavel'!J1410</f>
        <v>248.42</v>
      </c>
      <c r="K1410" s="878" t="s">
        <v>1500</v>
      </c>
      <c r="L1410" s="1092"/>
      <c r="M1410" s="1093">
        <f t="shared" si="152"/>
        <v>0</v>
      </c>
      <c r="N1410" s="868">
        <f t="shared" si="156"/>
        <v>0</v>
      </c>
      <c r="O1410" s="880"/>
      <c r="Q1410" s="317" t="str">
        <f t="shared" si="153"/>
        <v/>
      </c>
      <c r="R1410" s="317" t="str">
        <f t="shared" si="154"/>
        <v/>
      </c>
      <c r="S1410" s="317" t="str">
        <f t="shared" si="155"/>
        <v/>
      </c>
      <c r="T1410" s="317" t="str">
        <f>'REF. DE PREÇOS n editavel'!S1410</f>
        <v/>
      </c>
      <c r="W1410" s="577">
        <v>0</v>
      </c>
      <c r="X1410" s="575"/>
      <c r="Y1410" s="578">
        <f>IF('REF. DE PREÇOS n editavel'!W1410=0,0,IF('REF. DE PREÇOS n editavel'!W1410&gt;0,"c","b"))</f>
        <v>0</v>
      </c>
    </row>
    <row r="1411" spans="1:25" ht="33.75">
      <c r="A1411" s="317">
        <v>93144</v>
      </c>
      <c r="B1411" s="870">
        <v>93144</v>
      </c>
      <c r="C1411" s="871" t="s">
        <v>590</v>
      </c>
      <c r="D1411" s="881" t="s">
        <v>1321</v>
      </c>
      <c r="E1411" s="882">
        <f>'REF. DE PREÇOS n editavel'!E1411</f>
        <v>0</v>
      </c>
      <c r="F1411" s="883">
        <f>'REF. DE PREÇOS n editavel'!F1411</f>
        <v>0</v>
      </c>
      <c r="G1411" s="887">
        <f>'REF. DE PREÇOS n editavel'!G1411</f>
        <v>0</v>
      </c>
      <c r="H1411" s="876">
        <f>'REF. DE PREÇOS n editavel'!H1411</f>
        <v>258.51</v>
      </c>
      <c r="I1411" s="876">
        <f>'REF. DE PREÇOS n editavel'!I1411</f>
        <v>258.51</v>
      </c>
      <c r="J1411" s="877">
        <f>'REF. DE PREÇOS n editavel'!J1411</f>
        <v>315.95</v>
      </c>
      <c r="K1411" s="878" t="s">
        <v>1500</v>
      </c>
      <c r="L1411" s="1092"/>
      <c r="M1411" s="1093">
        <f t="shared" si="152"/>
        <v>0</v>
      </c>
      <c r="N1411" s="868">
        <f t="shared" si="156"/>
        <v>0</v>
      </c>
      <c r="O1411" s="880"/>
      <c r="Q1411" s="317" t="str">
        <f t="shared" si="153"/>
        <v/>
      </c>
      <c r="R1411" s="317" t="str">
        <f t="shared" si="154"/>
        <v/>
      </c>
      <c r="S1411" s="317" t="str">
        <f t="shared" si="155"/>
        <v/>
      </c>
      <c r="T1411" s="317" t="str">
        <f>'REF. DE PREÇOS n editavel'!S1411</f>
        <v/>
      </c>
      <c r="W1411" s="577">
        <v>0</v>
      </c>
      <c r="X1411" s="575"/>
      <c r="Y1411" s="578">
        <f>IF('REF. DE PREÇOS n editavel'!W1411=0,0,IF('REF. DE PREÇOS n editavel'!W1411&gt;0,"c","b"))</f>
        <v>0</v>
      </c>
    </row>
    <row r="1412" spans="1:25" ht="33.75">
      <c r="A1412" s="317">
        <v>93145</v>
      </c>
      <c r="B1412" s="870">
        <v>93145</v>
      </c>
      <c r="C1412" s="871" t="s">
        <v>590</v>
      </c>
      <c r="D1412" s="881" t="s">
        <v>1322</v>
      </c>
      <c r="E1412" s="882">
        <f>'REF. DE PREÇOS n editavel'!E1412</f>
        <v>0</v>
      </c>
      <c r="F1412" s="883">
        <f>'REF. DE PREÇOS n editavel'!F1412</f>
        <v>0</v>
      </c>
      <c r="G1412" s="887">
        <f>'REF. DE PREÇOS n editavel'!G1412</f>
        <v>0</v>
      </c>
      <c r="H1412" s="876">
        <f>'REF. DE PREÇOS n editavel'!H1412</f>
        <v>243.22</v>
      </c>
      <c r="I1412" s="876">
        <f>'REF. DE PREÇOS n editavel'!I1412</f>
        <v>243.22</v>
      </c>
      <c r="J1412" s="877">
        <f>'REF. DE PREÇOS n editavel'!J1412</f>
        <v>297.26</v>
      </c>
      <c r="K1412" s="878" t="s">
        <v>1500</v>
      </c>
      <c r="L1412" s="1092"/>
      <c r="M1412" s="1093">
        <f t="shared" si="152"/>
        <v>0</v>
      </c>
      <c r="N1412" s="868">
        <f t="shared" si="156"/>
        <v>0</v>
      </c>
      <c r="O1412" s="880"/>
      <c r="Q1412" s="317" t="str">
        <f t="shared" si="153"/>
        <v/>
      </c>
      <c r="R1412" s="317" t="str">
        <f t="shared" si="154"/>
        <v/>
      </c>
      <c r="S1412" s="317" t="str">
        <f t="shared" si="155"/>
        <v/>
      </c>
      <c r="T1412" s="317" t="str">
        <f>'REF. DE PREÇOS n editavel'!S1412</f>
        <v/>
      </c>
      <c r="W1412" s="577">
        <v>0</v>
      </c>
      <c r="X1412" s="575"/>
      <c r="Y1412" s="578">
        <f>IF('REF. DE PREÇOS n editavel'!W1412=0,0,IF('REF. DE PREÇOS n editavel'!W1412&gt;0,"c","b"))</f>
        <v>0</v>
      </c>
    </row>
    <row r="1413" spans="1:25" ht="33.75">
      <c r="A1413" s="317">
        <v>93146</v>
      </c>
      <c r="B1413" s="870">
        <v>93146</v>
      </c>
      <c r="C1413" s="871" t="s">
        <v>590</v>
      </c>
      <c r="D1413" s="881" t="s">
        <v>1323</v>
      </c>
      <c r="E1413" s="882">
        <f>'REF. DE PREÇOS n editavel'!E1413</f>
        <v>0</v>
      </c>
      <c r="F1413" s="883">
        <f>'REF. DE PREÇOS n editavel'!F1413</f>
        <v>0</v>
      </c>
      <c r="G1413" s="887">
        <f>'REF. DE PREÇOS n editavel'!G1413</f>
        <v>0</v>
      </c>
      <c r="H1413" s="876">
        <f>'REF. DE PREÇOS n editavel'!H1413</f>
        <v>262.87</v>
      </c>
      <c r="I1413" s="876">
        <f>'REF. DE PREÇOS n editavel'!I1413</f>
        <v>262.87</v>
      </c>
      <c r="J1413" s="877">
        <f>'REF. DE PREÇOS n editavel'!J1413</f>
        <v>321.27999999999997</v>
      </c>
      <c r="K1413" s="878" t="s">
        <v>1500</v>
      </c>
      <c r="L1413" s="1092"/>
      <c r="M1413" s="1093">
        <f t="shared" si="152"/>
        <v>0</v>
      </c>
      <c r="N1413" s="868">
        <f t="shared" si="156"/>
        <v>0</v>
      </c>
      <c r="O1413" s="880"/>
      <c r="Q1413" s="317" t="str">
        <f t="shared" si="153"/>
        <v/>
      </c>
      <c r="R1413" s="317" t="str">
        <f t="shared" si="154"/>
        <v/>
      </c>
      <c r="S1413" s="317" t="str">
        <f t="shared" si="155"/>
        <v/>
      </c>
      <c r="T1413" s="317" t="str">
        <f>'REF. DE PREÇOS n editavel'!S1413</f>
        <v/>
      </c>
      <c r="W1413" s="577">
        <v>0</v>
      </c>
      <c r="X1413" s="575"/>
      <c r="Y1413" s="578">
        <f>IF('REF. DE PREÇOS n editavel'!W1413=0,0,IF('REF. DE PREÇOS n editavel'!W1413&gt;0,"c","b"))</f>
        <v>0</v>
      </c>
    </row>
    <row r="1414" spans="1:25" ht="33.75">
      <c r="A1414" s="317">
        <v>93147</v>
      </c>
      <c r="B1414" s="870">
        <v>93147</v>
      </c>
      <c r="C1414" s="871" t="s">
        <v>590</v>
      </c>
      <c r="D1414" s="881" t="s">
        <v>1324</v>
      </c>
      <c r="E1414" s="882">
        <f>'REF. DE PREÇOS n editavel'!E1414</f>
        <v>0</v>
      </c>
      <c r="F1414" s="883">
        <f>'REF. DE PREÇOS n editavel'!F1414</f>
        <v>0</v>
      </c>
      <c r="G1414" s="887">
        <f>'REF. DE PREÇOS n editavel'!G1414</f>
        <v>0</v>
      </c>
      <c r="H1414" s="876">
        <f>'REF. DE PREÇOS n editavel'!H1414</f>
        <v>299.76</v>
      </c>
      <c r="I1414" s="876">
        <f>'REF. DE PREÇOS n editavel'!I1414</f>
        <v>299.76</v>
      </c>
      <c r="J1414" s="877">
        <f>'REF. DE PREÇOS n editavel'!J1414</f>
        <v>366.37</v>
      </c>
      <c r="K1414" s="878" t="s">
        <v>1500</v>
      </c>
      <c r="L1414" s="1092"/>
      <c r="M1414" s="1093">
        <f t="shared" ref="M1414:M1477" si="157">IF(L1414=0,0,ROUND(J1414,2))</f>
        <v>0</v>
      </c>
      <c r="N1414" s="868">
        <f t="shared" si="156"/>
        <v>0</v>
      </c>
      <c r="O1414" s="880"/>
      <c r="Q1414" s="317" t="str">
        <f t="shared" si="153"/>
        <v/>
      </c>
      <c r="R1414" s="317" t="str">
        <f t="shared" si="154"/>
        <v/>
      </c>
      <c r="S1414" s="317" t="str">
        <f t="shared" si="155"/>
        <v/>
      </c>
      <c r="T1414" s="317" t="str">
        <f>'REF. DE PREÇOS n editavel'!S1414</f>
        <v/>
      </c>
      <c r="W1414" s="577">
        <v>0</v>
      </c>
      <c r="X1414" s="575"/>
      <c r="Y1414" s="578">
        <f>IF('REF. DE PREÇOS n editavel'!W1414=0,0,IF('REF. DE PREÇOS n editavel'!W1414&gt;0,"c","b"))</f>
        <v>0</v>
      </c>
    </row>
    <row r="1415" spans="1:25" ht="33.75">
      <c r="A1415" s="317">
        <v>93128</v>
      </c>
      <c r="B1415" s="870">
        <v>93128</v>
      </c>
      <c r="C1415" s="871" t="s">
        <v>590</v>
      </c>
      <c r="D1415" s="881" t="s">
        <v>1325</v>
      </c>
      <c r="E1415" s="882">
        <f>'REF. DE PREÇOS n editavel'!E1415</f>
        <v>0</v>
      </c>
      <c r="F1415" s="883">
        <f>'REF. DE PREÇOS n editavel'!F1415</f>
        <v>0</v>
      </c>
      <c r="G1415" s="887">
        <f>'REF. DE PREÇOS n editavel'!G1415</f>
        <v>0</v>
      </c>
      <c r="H1415" s="876">
        <f>'REF. DE PREÇOS n editavel'!H1415</f>
        <v>165.8</v>
      </c>
      <c r="I1415" s="876">
        <f>'REF. DE PREÇOS n editavel'!I1415</f>
        <v>165.8</v>
      </c>
      <c r="J1415" s="877">
        <f>'REF. DE PREÇOS n editavel'!J1415</f>
        <v>202.64</v>
      </c>
      <c r="K1415" s="878" t="s">
        <v>1500</v>
      </c>
      <c r="L1415" s="1092"/>
      <c r="M1415" s="1093">
        <f t="shared" si="157"/>
        <v>0</v>
      </c>
      <c r="N1415" s="868">
        <f t="shared" si="156"/>
        <v>0</v>
      </c>
      <c r="O1415" s="880"/>
      <c r="Q1415" s="317" t="str">
        <f t="shared" si="153"/>
        <v/>
      </c>
      <c r="R1415" s="317" t="str">
        <f t="shared" si="154"/>
        <v/>
      </c>
      <c r="S1415" s="317" t="str">
        <f t="shared" si="155"/>
        <v/>
      </c>
      <c r="T1415" s="317" t="str">
        <f>'REF. DE PREÇOS n editavel'!S1415</f>
        <v/>
      </c>
      <c r="W1415" s="577">
        <v>0</v>
      </c>
      <c r="X1415" s="575"/>
      <c r="Y1415" s="578">
        <f>IF('REF. DE PREÇOS n editavel'!W1415=0,0,IF('REF. DE PREÇOS n editavel'!W1415&gt;0,"c","b"))</f>
        <v>0</v>
      </c>
    </row>
    <row r="1416" spans="1:25" ht="33.75">
      <c r="A1416" s="317">
        <v>93137</v>
      </c>
      <c r="B1416" s="870">
        <v>93137</v>
      </c>
      <c r="C1416" s="871" t="s">
        <v>590</v>
      </c>
      <c r="D1416" s="881" t="s">
        <v>1326</v>
      </c>
      <c r="E1416" s="882">
        <f>'REF. DE PREÇOS n editavel'!E1416</f>
        <v>0</v>
      </c>
      <c r="F1416" s="883">
        <f>'REF. DE PREÇOS n editavel'!F1416</f>
        <v>0</v>
      </c>
      <c r="G1416" s="887">
        <f>'REF. DE PREÇOS n editavel'!G1416</f>
        <v>0</v>
      </c>
      <c r="H1416" s="876">
        <f>'REF. DE PREÇOS n editavel'!H1416</f>
        <v>196.5</v>
      </c>
      <c r="I1416" s="876">
        <f>'REF. DE PREÇOS n editavel'!I1416</f>
        <v>196.5</v>
      </c>
      <c r="J1416" s="877">
        <f>'REF. DE PREÇOS n editavel'!J1416</f>
        <v>240.16</v>
      </c>
      <c r="K1416" s="878" t="s">
        <v>1500</v>
      </c>
      <c r="L1416" s="1092"/>
      <c r="M1416" s="1093">
        <f t="shared" si="157"/>
        <v>0</v>
      </c>
      <c r="N1416" s="868">
        <f t="shared" si="156"/>
        <v>0</v>
      </c>
      <c r="O1416" s="880"/>
      <c r="Q1416" s="317" t="str">
        <f t="shared" si="153"/>
        <v/>
      </c>
      <c r="R1416" s="317" t="str">
        <f t="shared" si="154"/>
        <v/>
      </c>
      <c r="S1416" s="317" t="str">
        <f t="shared" si="155"/>
        <v/>
      </c>
      <c r="T1416" s="317" t="str">
        <f>'REF. DE PREÇOS n editavel'!S1416</f>
        <v/>
      </c>
      <c r="W1416" s="577">
        <v>0</v>
      </c>
      <c r="X1416" s="575"/>
      <c r="Y1416" s="578">
        <f>IF('REF. DE PREÇOS n editavel'!W1416=0,0,IF('REF. DE PREÇOS n editavel'!W1416&gt;0,"c","b"))</f>
        <v>0</v>
      </c>
    </row>
    <row r="1417" spans="1:25" ht="33.75">
      <c r="A1417" s="317">
        <v>93138</v>
      </c>
      <c r="B1417" s="870">
        <v>93138</v>
      </c>
      <c r="C1417" s="871" t="s">
        <v>590</v>
      </c>
      <c r="D1417" s="881" t="s">
        <v>1327</v>
      </c>
      <c r="E1417" s="882">
        <f>'REF. DE PREÇOS n editavel'!E1417</f>
        <v>0</v>
      </c>
      <c r="F1417" s="883">
        <f>'REF. DE PREÇOS n editavel'!F1417</f>
        <v>0</v>
      </c>
      <c r="G1417" s="887">
        <f>'REF. DE PREÇOS n editavel'!G1417</f>
        <v>0</v>
      </c>
      <c r="H1417" s="876">
        <f>'REF. DE PREÇOS n editavel'!H1417</f>
        <v>185.46</v>
      </c>
      <c r="I1417" s="876">
        <f>'REF. DE PREÇOS n editavel'!I1417</f>
        <v>185.46</v>
      </c>
      <c r="J1417" s="877">
        <f>'REF. DE PREÇOS n editavel'!J1417</f>
        <v>226.67</v>
      </c>
      <c r="K1417" s="878" t="s">
        <v>1500</v>
      </c>
      <c r="L1417" s="1092"/>
      <c r="M1417" s="1093">
        <f t="shared" si="157"/>
        <v>0</v>
      </c>
      <c r="N1417" s="868">
        <f t="shared" si="156"/>
        <v>0</v>
      </c>
      <c r="O1417" s="880"/>
      <c r="Q1417" s="317" t="str">
        <f t="shared" si="153"/>
        <v/>
      </c>
      <c r="R1417" s="317" t="str">
        <f t="shared" si="154"/>
        <v/>
      </c>
      <c r="S1417" s="317" t="str">
        <f t="shared" si="155"/>
        <v/>
      </c>
      <c r="T1417" s="317" t="str">
        <f>'REF. DE PREÇOS n editavel'!S1417</f>
        <v/>
      </c>
      <c r="W1417" s="577">
        <v>0</v>
      </c>
      <c r="X1417" s="575"/>
      <c r="Y1417" s="578">
        <f>IF('REF. DE PREÇOS n editavel'!W1417=0,0,IF('REF. DE PREÇOS n editavel'!W1417&gt;0,"c","b"))</f>
        <v>0</v>
      </c>
    </row>
    <row r="1418" spans="1:25" ht="33.75">
      <c r="A1418" s="317">
        <v>93139</v>
      </c>
      <c r="B1418" s="870">
        <v>93139</v>
      </c>
      <c r="C1418" s="871" t="s">
        <v>590</v>
      </c>
      <c r="D1418" s="881" t="s">
        <v>1328</v>
      </c>
      <c r="E1418" s="882">
        <f>'REF. DE PREÇOS n editavel'!E1418</f>
        <v>0</v>
      </c>
      <c r="F1418" s="883">
        <f>'REF. DE PREÇOS n editavel'!F1418</f>
        <v>0</v>
      </c>
      <c r="G1418" s="887">
        <f>'REF. DE PREÇOS n editavel'!G1418</f>
        <v>0</v>
      </c>
      <c r="H1418" s="876">
        <f>'REF. DE PREÇOS n editavel'!H1418</f>
        <v>235.76</v>
      </c>
      <c r="I1418" s="876">
        <f>'REF. DE PREÇOS n editavel'!I1418</f>
        <v>235.76</v>
      </c>
      <c r="J1418" s="877">
        <f>'REF. DE PREÇOS n editavel'!J1418</f>
        <v>288.14999999999998</v>
      </c>
      <c r="K1418" s="878" t="s">
        <v>1500</v>
      </c>
      <c r="L1418" s="1092"/>
      <c r="M1418" s="1093">
        <f t="shared" si="157"/>
        <v>0</v>
      </c>
      <c r="N1418" s="868">
        <f t="shared" si="156"/>
        <v>0</v>
      </c>
      <c r="O1418" s="880"/>
      <c r="Q1418" s="317" t="str">
        <f t="shared" si="153"/>
        <v/>
      </c>
      <c r="R1418" s="317" t="str">
        <f t="shared" si="154"/>
        <v/>
      </c>
      <c r="S1418" s="317" t="str">
        <f t="shared" si="155"/>
        <v/>
      </c>
      <c r="T1418" s="317" t="str">
        <f>'REF. DE PREÇOS n editavel'!S1418</f>
        <v/>
      </c>
      <c r="W1418" s="577">
        <v>0</v>
      </c>
      <c r="X1418" s="575"/>
      <c r="Y1418" s="578">
        <f>IF('REF. DE PREÇOS n editavel'!W1418=0,0,IF('REF. DE PREÇOS n editavel'!W1418&gt;0,"c","b"))</f>
        <v>0</v>
      </c>
    </row>
    <row r="1419" spans="1:25" ht="33.75">
      <c r="A1419" s="317">
        <v>93140</v>
      </c>
      <c r="B1419" s="870">
        <v>93140</v>
      </c>
      <c r="C1419" s="871" t="s">
        <v>590</v>
      </c>
      <c r="D1419" s="881" t="s">
        <v>1329</v>
      </c>
      <c r="E1419" s="882">
        <f>'REF. DE PREÇOS n editavel'!E1419</f>
        <v>0</v>
      </c>
      <c r="F1419" s="883">
        <f>'REF. DE PREÇOS n editavel'!F1419</f>
        <v>0</v>
      </c>
      <c r="G1419" s="887">
        <f>'REF. DE PREÇOS n editavel'!G1419</f>
        <v>0</v>
      </c>
      <c r="H1419" s="876">
        <f>'REF. DE PREÇOS n editavel'!H1419</f>
        <v>222.29</v>
      </c>
      <c r="I1419" s="876">
        <f>'REF. DE PREÇOS n editavel'!I1419</f>
        <v>222.29</v>
      </c>
      <c r="J1419" s="877">
        <f>'REF. DE PREÇOS n editavel'!J1419</f>
        <v>271.68</v>
      </c>
      <c r="K1419" s="878" t="s">
        <v>1500</v>
      </c>
      <c r="L1419" s="1092"/>
      <c r="M1419" s="1093">
        <f t="shared" si="157"/>
        <v>0</v>
      </c>
      <c r="N1419" s="868">
        <f t="shared" si="156"/>
        <v>0</v>
      </c>
      <c r="O1419" s="880"/>
      <c r="Q1419" s="317" t="str">
        <f t="shared" si="153"/>
        <v/>
      </c>
      <c r="R1419" s="317" t="str">
        <f t="shared" si="154"/>
        <v/>
      </c>
      <c r="S1419" s="317" t="str">
        <f t="shared" si="155"/>
        <v/>
      </c>
      <c r="T1419" s="317" t="str">
        <f>'REF. DE PREÇOS n editavel'!S1419</f>
        <v/>
      </c>
      <c r="W1419" s="577">
        <v>0</v>
      </c>
      <c r="X1419" s="575"/>
      <c r="Y1419" s="578">
        <f>IF('REF. DE PREÇOS n editavel'!W1419=0,0,IF('REF. DE PREÇOS n editavel'!W1419&gt;0,"c","b"))</f>
        <v>0</v>
      </c>
    </row>
    <row r="1420" spans="1:25" ht="22.5">
      <c r="A1420" s="317">
        <v>97595</v>
      </c>
      <c r="B1420" s="870">
        <v>97595</v>
      </c>
      <c r="C1420" s="871" t="s">
        <v>590</v>
      </c>
      <c r="D1420" s="881" t="s">
        <v>1330</v>
      </c>
      <c r="E1420" s="882">
        <f>'REF. DE PREÇOS n editavel'!E1420</f>
        <v>0</v>
      </c>
      <c r="F1420" s="883">
        <f>'REF. DE PREÇOS n editavel'!F1420</f>
        <v>0</v>
      </c>
      <c r="G1420" s="887">
        <f>'REF. DE PREÇOS n editavel'!G1420</f>
        <v>0</v>
      </c>
      <c r="H1420" s="876">
        <f>'REF. DE PREÇOS n editavel'!H1420</f>
        <v>118.06</v>
      </c>
      <c r="I1420" s="876">
        <f>'REF. DE PREÇOS n editavel'!I1420</f>
        <v>118.06</v>
      </c>
      <c r="J1420" s="877">
        <f>'REF. DE PREÇOS n editavel'!J1420</f>
        <v>144.29</v>
      </c>
      <c r="K1420" s="878" t="s">
        <v>1500</v>
      </c>
      <c r="L1420" s="1092"/>
      <c r="M1420" s="1093">
        <f t="shared" si="157"/>
        <v>0</v>
      </c>
      <c r="N1420" s="868">
        <f t="shared" si="156"/>
        <v>0</v>
      </c>
      <c r="O1420" s="880"/>
      <c r="Q1420" s="317" t="str">
        <f t="shared" si="153"/>
        <v/>
      </c>
      <c r="R1420" s="317" t="str">
        <f t="shared" si="154"/>
        <v/>
      </c>
      <c r="S1420" s="317" t="str">
        <f t="shared" si="155"/>
        <v/>
      </c>
      <c r="T1420" s="317" t="str">
        <f>'REF. DE PREÇOS n editavel'!S1420</f>
        <v/>
      </c>
      <c r="W1420" s="577">
        <v>0</v>
      </c>
      <c r="X1420" s="575"/>
      <c r="Y1420" s="578">
        <f>IF('REF. DE PREÇOS n editavel'!W1420=0,0,IF('REF. DE PREÇOS n editavel'!W1420&gt;0,"c","b"))</f>
        <v>0</v>
      </c>
    </row>
    <row r="1421" spans="1:25" ht="22.5">
      <c r="A1421" s="317">
        <v>97596</v>
      </c>
      <c r="B1421" s="870">
        <v>97596</v>
      </c>
      <c r="C1421" s="871" t="s">
        <v>590</v>
      </c>
      <c r="D1421" s="881" t="s">
        <v>1331</v>
      </c>
      <c r="E1421" s="882">
        <f>'REF. DE PREÇOS n editavel'!E1421</f>
        <v>0</v>
      </c>
      <c r="F1421" s="883">
        <f>'REF. DE PREÇOS n editavel'!F1421</f>
        <v>0</v>
      </c>
      <c r="G1421" s="887">
        <f>'REF. DE PREÇOS n editavel'!G1421</f>
        <v>0</v>
      </c>
      <c r="H1421" s="876">
        <f>'REF. DE PREÇOS n editavel'!H1421</f>
        <v>82.53</v>
      </c>
      <c r="I1421" s="876">
        <f>'REF. DE PREÇOS n editavel'!I1421</f>
        <v>82.53</v>
      </c>
      <c r="J1421" s="877">
        <f>'REF. DE PREÇOS n editavel'!J1421</f>
        <v>100.87</v>
      </c>
      <c r="K1421" s="878" t="s">
        <v>1500</v>
      </c>
      <c r="L1421" s="1092"/>
      <c r="M1421" s="1093">
        <f t="shared" si="157"/>
        <v>0</v>
      </c>
      <c r="N1421" s="868">
        <f t="shared" si="156"/>
        <v>0</v>
      </c>
      <c r="O1421" s="880"/>
      <c r="Q1421" s="317" t="str">
        <f t="shared" si="153"/>
        <v/>
      </c>
      <c r="R1421" s="317" t="str">
        <f t="shared" si="154"/>
        <v/>
      </c>
      <c r="S1421" s="317" t="str">
        <f t="shared" si="155"/>
        <v/>
      </c>
      <c r="T1421" s="317" t="str">
        <f>'REF. DE PREÇOS n editavel'!S1421</f>
        <v/>
      </c>
      <c r="W1421" s="577">
        <v>0</v>
      </c>
      <c r="X1421" s="575"/>
      <c r="Y1421" s="578">
        <f>IF('REF. DE PREÇOS n editavel'!W1421=0,0,IF('REF. DE PREÇOS n editavel'!W1421&gt;0,"c","b"))</f>
        <v>0</v>
      </c>
    </row>
    <row r="1422" spans="1:25" ht="22.5">
      <c r="A1422" s="317">
        <v>97597</v>
      </c>
      <c r="B1422" s="870">
        <v>97597</v>
      </c>
      <c r="C1422" s="871" t="s">
        <v>590</v>
      </c>
      <c r="D1422" s="881" t="s">
        <v>1332</v>
      </c>
      <c r="E1422" s="882">
        <f>'REF. DE PREÇOS n editavel'!E1422</f>
        <v>0</v>
      </c>
      <c r="F1422" s="883">
        <f>'REF. DE PREÇOS n editavel'!F1422</f>
        <v>0</v>
      </c>
      <c r="G1422" s="887">
        <f>'REF. DE PREÇOS n editavel'!G1422</f>
        <v>0</v>
      </c>
      <c r="H1422" s="876">
        <f>'REF. DE PREÇOS n editavel'!H1422</f>
        <v>81.42</v>
      </c>
      <c r="I1422" s="876">
        <f>'REF. DE PREÇOS n editavel'!I1422</f>
        <v>81.42</v>
      </c>
      <c r="J1422" s="877">
        <f>'REF. DE PREÇOS n editavel'!J1422</f>
        <v>99.51</v>
      </c>
      <c r="K1422" s="878" t="s">
        <v>1500</v>
      </c>
      <c r="L1422" s="1092"/>
      <c r="M1422" s="1093">
        <f t="shared" si="157"/>
        <v>0</v>
      </c>
      <c r="N1422" s="868">
        <f t="shared" si="156"/>
        <v>0</v>
      </c>
      <c r="O1422" s="880"/>
      <c r="Q1422" s="317" t="str">
        <f t="shared" si="153"/>
        <v/>
      </c>
      <c r="R1422" s="317" t="str">
        <f t="shared" si="154"/>
        <v/>
      </c>
      <c r="S1422" s="317" t="str">
        <f t="shared" si="155"/>
        <v/>
      </c>
      <c r="T1422" s="317" t="str">
        <f>'REF. DE PREÇOS n editavel'!S1422</f>
        <v/>
      </c>
      <c r="W1422" s="577">
        <v>0</v>
      </c>
      <c r="X1422" s="575"/>
      <c r="Y1422" s="578">
        <f>IF('REF. DE PREÇOS n editavel'!W1422=0,0,IF('REF. DE PREÇOS n editavel'!W1422&gt;0,"c","b"))</f>
        <v>0</v>
      </c>
    </row>
    <row r="1423" spans="1:25" ht="22.5">
      <c r="A1423" s="317">
        <v>97598</v>
      </c>
      <c r="B1423" s="870">
        <v>97598</v>
      </c>
      <c r="C1423" s="871" t="s">
        <v>590</v>
      </c>
      <c r="D1423" s="881" t="s">
        <v>1333</v>
      </c>
      <c r="E1423" s="882">
        <f>'REF. DE PREÇOS n editavel'!E1423</f>
        <v>0</v>
      </c>
      <c r="F1423" s="883">
        <f>'REF. DE PREÇOS n editavel'!F1423</f>
        <v>0</v>
      </c>
      <c r="G1423" s="887">
        <f>'REF. DE PREÇOS n editavel'!G1423</f>
        <v>0</v>
      </c>
      <c r="H1423" s="876">
        <f>'REF. DE PREÇOS n editavel'!H1423</f>
        <v>76.88</v>
      </c>
      <c r="I1423" s="876">
        <f>'REF. DE PREÇOS n editavel'!I1423</f>
        <v>76.88</v>
      </c>
      <c r="J1423" s="877">
        <f>'REF. DE PREÇOS n editavel'!J1423</f>
        <v>93.96</v>
      </c>
      <c r="K1423" s="878" t="s">
        <v>1500</v>
      </c>
      <c r="L1423" s="1092"/>
      <c r="M1423" s="1093">
        <f t="shared" si="157"/>
        <v>0</v>
      </c>
      <c r="N1423" s="868">
        <f t="shared" si="156"/>
        <v>0</v>
      </c>
      <c r="O1423" s="880"/>
      <c r="Q1423" s="317" t="str">
        <f t="shared" si="153"/>
        <v/>
      </c>
      <c r="R1423" s="317" t="str">
        <f t="shared" si="154"/>
        <v/>
      </c>
      <c r="S1423" s="317" t="str">
        <f t="shared" si="155"/>
        <v/>
      </c>
      <c r="T1423" s="317" t="str">
        <f>'REF. DE PREÇOS n editavel'!S1423</f>
        <v/>
      </c>
      <c r="W1423" s="577">
        <v>0</v>
      </c>
      <c r="X1423" s="575"/>
      <c r="Y1423" s="578">
        <f>IF('REF. DE PREÇOS n editavel'!W1423=0,0,IF('REF. DE PREÇOS n editavel'!W1423&gt;0,"c","b"))</f>
        <v>0</v>
      </c>
    </row>
    <row r="1424" spans="1:25" ht="22.5">
      <c r="A1424" s="317">
        <v>97599</v>
      </c>
      <c r="B1424" s="870">
        <v>97599</v>
      </c>
      <c r="C1424" s="871" t="s">
        <v>590</v>
      </c>
      <c r="D1424" s="881" t="s">
        <v>1334</v>
      </c>
      <c r="E1424" s="882">
        <f>'REF. DE PREÇOS n editavel'!E1424</f>
        <v>0</v>
      </c>
      <c r="F1424" s="883">
        <f>'REF. DE PREÇOS n editavel'!F1424</f>
        <v>0</v>
      </c>
      <c r="G1424" s="887">
        <f>'REF. DE PREÇOS n editavel'!G1424</f>
        <v>0</v>
      </c>
      <c r="H1424" s="876">
        <f>'REF. DE PREÇOS n editavel'!H1424</f>
        <v>28.78</v>
      </c>
      <c r="I1424" s="876">
        <f>'REF. DE PREÇOS n editavel'!I1424</f>
        <v>28.78</v>
      </c>
      <c r="J1424" s="877">
        <f>'REF. DE PREÇOS n editavel'!J1424</f>
        <v>35.17</v>
      </c>
      <c r="K1424" s="878" t="s">
        <v>1500</v>
      </c>
      <c r="L1424" s="1092"/>
      <c r="M1424" s="1093">
        <f t="shared" si="157"/>
        <v>0</v>
      </c>
      <c r="N1424" s="868">
        <f t="shared" si="156"/>
        <v>0</v>
      </c>
      <c r="O1424" s="880"/>
      <c r="Q1424" s="317" t="str">
        <f t="shared" si="153"/>
        <v/>
      </c>
      <c r="R1424" s="317" t="str">
        <f t="shared" si="154"/>
        <v/>
      </c>
      <c r="S1424" s="317" t="str">
        <f t="shared" si="155"/>
        <v/>
      </c>
      <c r="T1424" s="317" t="str">
        <f>'REF. DE PREÇOS n editavel'!S1424</f>
        <v/>
      </c>
      <c r="W1424" s="577">
        <v>0</v>
      </c>
      <c r="X1424" s="575"/>
      <c r="Y1424" s="578">
        <f>IF('REF. DE PREÇOS n editavel'!W1424=0,0,IF('REF. DE PREÇOS n editavel'!W1424&gt;0,"c","b"))</f>
        <v>0</v>
      </c>
    </row>
    <row r="1425" spans="1:25" ht="22.5">
      <c r="A1425" s="317">
        <v>97583</v>
      </c>
      <c r="B1425" s="870">
        <v>97583</v>
      </c>
      <c r="C1425" s="871" t="s">
        <v>590</v>
      </c>
      <c r="D1425" s="881" t="s">
        <v>1335</v>
      </c>
      <c r="E1425" s="882">
        <f>'REF. DE PREÇOS n editavel'!E1425</f>
        <v>0</v>
      </c>
      <c r="F1425" s="883">
        <f>'REF. DE PREÇOS n editavel'!F1425</f>
        <v>0</v>
      </c>
      <c r="G1425" s="887">
        <f>'REF. DE PREÇOS n editavel'!G1425</f>
        <v>0</v>
      </c>
      <c r="H1425" s="876">
        <f>'REF. DE PREÇOS n editavel'!H1425</f>
        <v>99.02</v>
      </c>
      <c r="I1425" s="876">
        <f>'REF. DE PREÇOS n editavel'!I1425</f>
        <v>99.02</v>
      </c>
      <c r="J1425" s="877">
        <f>'REF. DE PREÇOS n editavel'!J1425</f>
        <v>121.02</v>
      </c>
      <c r="K1425" s="878" t="s">
        <v>1500</v>
      </c>
      <c r="L1425" s="1092"/>
      <c r="M1425" s="1093">
        <f t="shared" si="157"/>
        <v>0</v>
      </c>
      <c r="N1425" s="868">
        <f t="shared" si="156"/>
        <v>0</v>
      </c>
      <c r="O1425" s="880"/>
      <c r="Q1425" s="317" t="str">
        <f t="shared" ref="Q1425:Q1488" si="158">IF(P1425="X","x",IF(P1425="xx","x",IF(P1425="xy","x",IF(P1425="y","x",IF(OR(N1425&gt;0,N1425&gt;0),"x","")))))</f>
        <v/>
      </c>
      <c r="R1425" s="317" t="str">
        <f t="shared" si="154"/>
        <v/>
      </c>
      <c r="S1425" s="317" t="str">
        <f t="shared" si="155"/>
        <v/>
      </c>
      <c r="T1425" s="317" t="str">
        <f>'REF. DE PREÇOS n editavel'!S1425</f>
        <v/>
      </c>
      <c r="W1425" s="577">
        <v>0</v>
      </c>
      <c r="X1425" s="575"/>
      <c r="Y1425" s="578">
        <f>IF('REF. DE PREÇOS n editavel'!W1425=0,0,IF('REF. DE PREÇOS n editavel'!W1425&gt;0,"c","b"))</f>
        <v>0</v>
      </c>
    </row>
    <row r="1426" spans="1:25" ht="33.75">
      <c r="A1426" s="317">
        <v>101662</v>
      </c>
      <c r="B1426" s="870">
        <v>101662</v>
      </c>
      <c r="C1426" s="871" t="s">
        <v>590</v>
      </c>
      <c r="D1426" s="881" t="s">
        <v>1336</v>
      </c>
      <c r="E1426" s="882">
        <f>'REF. DE PREÇOS n editavel'!E1426</f>
        <v>0</v>
      </c>
      <c r="F1426" s="883">
        <f>'REF. DE PREÇOS n editavel'!F1426</f>
        <v>0</v>
      </c>
      <c r="G1426" s="887">
        <f>'REF. DE PREÇOS n editavel'!G1426</f>
        <v>0</v>
      </c>
      <c r="H1426" s="876">
        <f>'REF. DE PREÇOS n editavel'!H1426</f>
        <v>794.92</v>
      </c>
      <c r="I1426" s="876">
        <f>'REF. DE PREÇOS n editavel'!I1426</f>
        <v>794.92</v>
      </c>
      <c r="J1426" s="877">
        <f>'REF. DE PREÇOS n editavel'!J1426</f>
        <v>971.55</v>
      </c>
      <c r="K1426" s="878" t="s">
        <v>1500</v>
      </c>
      <c r="L1426" s="1092"/>
      <c r="M1426" s="1093">
        <f t="shared" si="157"/>
        <v>0</v>
      </c>
      <c r="N1426" s="868">
        <f t="shared" si="156"/>
        <v>0</v>
      </c>
      <c r="O1426" s="880"/>
      <c r="Q1426" s="317" t="str">
        <f t="shared" si="158"/>
        <v/>
      </c>
      <c r="R1426" s="317" t="str">
        <f t="shared" si="154"/>
        <v/>
      </c>
      <c r="S1426" s="317" t="str">
        <f t="shared" si="155"/>
        <v/>
      </c>
      <c r="T1426" s="317" t="str">
        <f>'REF. DE PREÇOS n editavel'!S1426</f>
        <v/>
      </c>
      <c r="W1426" s="577">
        <v>0</v>
      </c>
      <c r="X1426" s="575"/>
      <c r="Y1426" s="578">
        <f>IF('REF. DE PREÇOS n editavel'!W1426=0,0,IF('REF. DE PREÇOS n editavel'!W1426&gt;0,"c","b"))</f>
        <v>0</v>
      </c>
    </row>
    <row r="1427" spans="1:25" ht="22.5">
      <c r="A1427" s="317">
        <v>101652</v>
      </c>
      <c r="B1427" s="870">
        <v>101652</v>
      </c>
      <c r="C1427" s="871" t="s">
        <v>590</v>
      </c>
      <c r="D1427" s="881" t="s">
        <v>1337</v>
      </c>
      <c r="E1427" s="882">
        <f>'REF. DE PREÇOS n editavel'!E1427</f>
        <v>0</v>
      </c>
      <c r="F1427" s="883">
        <f>'REF. DE PREÇOS n editavel'!F1427</f>
        <v>0</v>
      </c>
      <c r="G1427" s="887">
        <f>'REF. DE PREÇOS n editavel'!G1427</f>
        <v>0</v>
      </c>
      <c r="H1427" s="876">
        <f>'REF. DE PREÇOS n editavel'!H1427</f>
        <v>576.32000000000005</v>
      </c>
      <c r="I1427" s="876">
        <f>'REF. DE PREÇOS n editavel'!I1427</f>
        <v>576.32000000000005</v>
      </c>
      <c r="J1427" s="877">
        <f>'REF. DE PREÇOS n editavel'!J1427</f>
        <v>704.38</v>
      </c>
      <c r="K1427" s="878" t="s">
        <v>1500</v>
      </c>
      <c r="L1427" s="1092"/>
      <c r="M1427" s="1093">
        <f t="shared" si="157"/>
        <v>0</v>
      </c>
      <c r="N1427" s="868">
        <f t="shared" si="156"/>
        <v>0</v>
      </c>
      <c r="O1427" s="880"/>
      <c r="Q1427" s="317" t="str">
        <f t="shared" si="158"/>
        <v/>
      </c>
      <c r="R1427" s="317" t="str">
        <f t="shared" ref="R1427:R1490" si="159">IF(P1427="X","x",IF(P1427="y","x",IF(P1427="xx","x",IF(N1427&gt;0,"x",""))))</f>
        <v/>
      </c>
      <c r="S1427" s="317" t="str">
        <f t="shared" ref="S1427:S1490" si="160">IF(P1427="X","x",IF(N1427&gt;0,"x",""))</f>
        <v/>
      </c>
      <c r="T1427" s="317" t="str">
        <f>'REF. DE PREÇOS n editavel'!S1427</f>
        <v/>
      </c>
      <c r="W1427" s="577">
        <v>0</v>
      </c>
      <c r="X1427" s="575"/>
      <c r="Y1427" s="578">
        <f>IF('REF. DE PREÇOS n editavel'!W1427=0,0,IF('REF. DE PREÇOS n editavel'!W1427&gt;0,"c","b"))</f>
        <v>0</v>
      </c>
    </row>
    <row r="1428" spans="1:25" ht="45">
      <c r="A1428" s="317">
        <v>101653</v>
      </c>
      <c r="B1428" s="870">
        <v>101653</v>
      </c>
      <c r="C1428" s="871" t="s">
        <v>590</v>
      </c>
      <c r="D1428" s="881" t="s">
        <v>1338</v>
      </c>
      <c r="E1428" s="882">
        <f>'REF. DE PREÇOS n editavel'!E1428</f>
        <v>0</v>
      </c>
      <c r="F1428" s="883">
        <f>'REF. DE PREÇOS n editavel'!F1428</f>
        <v>0</v>
      </c>
      <c r="G1428" s="887">
        <f>'REF. DE PREÇOS n editavel'!G1428</f>
        <v>0</v>
      </c>
      <c r="H1428" s="876">
        <f>'REF. DE PREÇOS n editavel'!H1428</f>
        <v>311.74</v>
      </c>
      <c r="I1428" s="876">
        <f>'REF. DE PREÇOS n editavel'!I1428</f>
        <v>311.74</v>
      </c>
      <c r="J1428" s="877">
        <f>'REF. DE PREÇOS n editavel'!J1428</f>
        <v>381.01</v>
      </c>
      <c r="K1428" s="878" t="s">
        <v>1500</v>
      </c>
      <c r="L1428" s="1092"/>
      <c r="M1428" s="1093">
        <f t="shared" si="157"/>
        <v>0</v>
      </c>
      <c r="N1428" s="868">
        <f t="shared" si="156"/>
        <v>0</v>
      </c>
      <c r="O1428" s="880"/>
      <c r="Q1428" s="317" t="str">
        <f t="shared" si="158"/>
        <v/>
      </c>
      <c r="R1428" s="317" t="str">
        <f t="shared" si="159"/>
        <v/>
      </c>
      <c r="S1428" s="317" t="str">
        <f t="shared" si="160"/>
        <v/>
      </c>
      <c r="T1428" s="317" t="str">
        <f>'REF. DE PREÇOS n editavel'!S1428</f>
        <v/>
      </c>
      <c r="W1428" s="577">
        <v>0</v>
      </c>
      <c r="X1428" s="575"/>
      <c r="Y1428" s="578">
        <f>IF('REF. DE PREÇOS n editavel'!W1428=0,0,IF('REF. DE PREÇOS n editavel'!W1428&gt;0,"c","b"))</f>
        <v>0</v>
      </c>
    </row>
    <row r="1429" spans="1:25" ht="22.5">
      <c r="A1429" s="317">
        <v>97584</v>
      </c>
      <c r="B1429" s="870">
        <v>97584</v>
      </c>
      <c r="C1429" s="871" t="s">
        <v>590</v>
      </c>
      <c r="D1429" s="881" t="s">
        <v>1339</v>
      </c>
      <c r="E1429" s="882">
        <f>'REF. DE PREÇOS n editavel'!E1429</f>
        <v>0</v>
      </c>
      <c r="F1429" s="883">
        <f>'REF. DE PREÇOS n editavel'!F1429</f>
        <v>0</v>
      </c>
      <c r="G1429" s="887">
        <f>'REF. DE PREÇOS n editavel'!G1429</f>
        <v>0</v>
      </c>
      <c r="H1429" s="876">
        <f>'REF. DE PREÇOS n editavel'!H1429</f>
        <v>138.43</v>
      </c>
      <c r="I1429" s="876">
        <f>'REF. DE PREÇOS n editavel'!I1429</f>
        <v>138.43</v>
      </c>
      <c r="J1429" s="877">
        <f>'REF. DE PREÇOS n editavel'!J1429</f>
        <v>169.19</v>
      </c>
      <c r="K1429" s="878" t="s">
        <v>1500</v>
      </c>
      <c r="L1429" s="1092"/>
      <c r="M1429" s="1093">
        <f t="shared" si="157"/>
        <v>0</v>
      </c>
      <c r="N1429" s="868">
        <f t="shared" si="156"/>
        <v>0</v>
      </c>
      <c r="O1429" s="880"/>
      <c r="Q1429" s="317" t="str">
        <f t="shared" si="158"/>
        <v/>
      </c>
      <c r="R1429" s="317" t="str">
        <f t="shared" si="159"/>
        <v/>
      </c>
      <c r="S1429" s="317" t="str">
        <f t="shared" si="160"/>
        <v/>
      </c>
      <c r="T1429" s="317" t="str">
        <f>'REF. DE PREÇOS n editavel'!S1429</f>
        <v/>
      </c>
      <c r="W1429" s="577">
        <v>0</v>
      </c>
      <c r="X1429" s="575"/>
      <c r="Y1429" s="578">
        <f>IF('REF. DE PREÇOS n editavel'!W1429=0,0,IF('REF. DE PREÇOS n editavel'!W1429&gt;0,"c","b"))</f>
        <v>0</v>
      </c>
    </row>
    <row r="1430" spans="1:25" ht="33.75">
      <c r="A1430" s="317">
        <v>97585</v>
      </c>
      <c r="B1430" s="870">
        <v>97585</v>
      </c>
      <c r="C1430" s="871" t="s">
        <v>590</v>
      </c>
      <c r="D1430" s="881" t="s">
        <v>1340</v>
      </c>
      <c r="E1430" s="882">
        <f>'REF. DE PREÇOS n editavel'!E1430</f>
        <v>0</v>
      </c>
      <c r="F1430" s="883">
        <f>'REF. DE PREÇOS n editavel'!F1430</f>
        <v>0</v>
      </c>
      <c r="G1430" s="887">
        <f>'REF. DE PREÇOS n editavel'!G1430</f>
        <v>0</v>
      </c>
      <c r="H1430" s="876">
        <f>'REF. DE PREÇOS n editavel'!H1430</f>
        <v>133.19999999999999</v>
      </c>
      <c r="I1430" s="876">
        <f>'REF. DE PREÇOS n editavel'!I1430</f>
        <v>133.19999999999999</v>
      </c>
      <c r="J1430" s="877">
        <f>'REF. DE PREÇOS n editavel'!J1430</f>
        <v>162.80000000000001</v>
      </c>
      <c r="K1430" s="878" t="s">
        <v>1500</v>
      </c>
      <c r="L1430" s="1092"/>
      <c r="M1430" s="1093">
        <f t="shared" si="157"/>
        <v>0</v>
      </c>
      <c r="N1430" s="868">
        <f t="shared" si="156"/>
        <v>0</v>
      </c>
      <c r="O1430" s="880"/>
      <c r="Q1430" s="317" t="str">
        <f t="shared" si="158"/>
        <v/>
      </c>
      <c r="R1430" s="317" t="str">
        <f t="shared" si="159"/>
        <v/>
      </c>
      <c r="S1430" s="317" t="str">
        <f t="shared" si="160"/>
        <v/>
      </c>
      <c r="T1430" s="317" t="str">
        <f>'REF. DE PREÇOS n editavel'!S1430</f>
        <v/>
      </c>
      <c r="W1430" s="577">
        <v>0</v>
      </c>
      <c r="X1430" s="575"/>
      <c r="Y1430" s="578">
        <f>IF('REF. DE PREÇOS n editavel'!W1430=0,0,IF('REF. DE PREÇOS n editavel'!W1430&gt;0,"c","b"))</f>
        <v>0</v>
      </c>
    </row>
    <row r="1431" spans="1:25" ht="33.75">
      <c r="A1431" s="317">
        <v>97586</v>
      </c>
      <c r="B1431" s="870">
        <v>97586</v>
      </c>
      <c r="C1431" s="871" t="s">
        <v>590</v>
      </c>
      <c r="D1431" s="881" t="s">
        <v>1341</v>
      </c>
      <c r="E1431" s="882">
        <f>'REF. DE PREÇOS n editavel'!E1431</f>
        <v>0</v>
      </c>
      <c r="F1431" s="883">
        <f>'REF. DE PREÇOS n editavel'!F1431</f>
        <v>0</v>
      </c>
      <c r="G1431" s="887">
        <f>'REF. DE PREÇOS n editavel'!G1431</f>
        <v>0</v>
      </c>
      <c r="H1431" s="876">
        <f>'REF. DE PREÇOS n editavel'!H1431</f>
        <v>180.8</v>
      </c>
      <c r="I1431" s="876">
        <f>'REF. DE PREÇOS n editavel'!I1431</f>
        <v>180.8</v>
      </c>
      <c r="J1431" s="877">
        <f>'REF. DE PREÇOS n editavel'!J1431</f>
        <v>220.97</v>
      </c>
      <c r="K1431" s="878" t="s">
        <v>1500</v>
      </c>
      <c r="L1431" s="1092"/>
      <c r="M1431" s="1093">
        <f t="shared" si="157"/>
        <v>0</v>
      </c>
      <c r="N1431" s="868">
        <f t="shared" ref="N1431:N1494" si="161">IF(ISBLANK(L1431),0,IF(W1431=0,ROUND(L1431*M1431,2),IF(W1431="b",ROUNDDOWN(L1431*M1431,2),ROUNDUP(L1431*M1431,2))))</f>
        <v>0</v>
      </c>
      <c r="O1431" s="880"/>
      <c r="Q1431" s="317" t="str">
        <f t="shared" si="158"/>
        <v/>
      </c>
      <c r="R1431" s="317" t="str">
        <f t="shared" si="159"/>
        <v/>
      </c>
      <c r="S1431" s="317" t="str">
        <f t="shared" si="160"/>
        <v/>
      </c>
      <c r="T1431" s="317" t="str">
        <f>'REF. DE PREÇOS n editavel'!S1431</f>
        <v/>
      </c>
      <c r="W1431" s="577">
        <v>0</v>
      </c>
      <c r="X1431" s="575"/>
      <c r="Y1431" s="578">
        <f>IF('REF. DE PREÇOS n editavel'!W1431=0,0,IF('REF. DE PREÇOS n editavel'!W1431&gt;0,"c","b"))</f>
        <v>0</v>
      </c>
    </row>
    <row r="1432" spans="1:25" ht="22.5">
      <c r="A1432" s="317">
        <v>97587</v>
      </c>
      <c r="B1432" s="870">
        <v>97587</v>
      </c>
      <c r="C1432" s="871" t="s">
        <v>590</v>
      </c>
      <c r="D1432" s="881" t="s">
        <v>1342</v>
      </c>
      <c r="E1432" s="882">
        <f>'REF. DE PREÇOS n editavel'!E1432</f>
        <v>0</v>
      </c>
      <c r="F1432" s="883">
        <f>'REF. DE PREÇOS n editavel'!F1432</f>
        <v>0</v>
      </c>
      <c r="G1432" s="887">
        <f>'REF. DE PREÇOS n editavel'!G1432</f>
        <v>0</v>
      </c>
      <c r="H1432" s="876">
        <f>'REF. DE PREÇOS n editavel'!H1432</f>
        <v>329.67</v>
      </c>
      <c r="I1432" s="876">
        <f>'REF. DE PREÇOS n editavel'!I1432</f>
        <v>329.67</v>
      </c>
      <c r="J1432" s="877">
        <f>'REF. DE PREÇOS n editavel'!J1432</f>
        <v>402.92</v>
      </c>
      <c r="K1432" s="878" t="s">
        <v>1500</v>
      </c>
      <c r="L1432" s="1092"/>
      <c r="M1432" s="1093">
        <f t="shared" si="157"/>
        <v>0</v>
      </c>
      <c r="N1432" s="868">
        <f t="shared" si="161"/>
        <v>0</v>
      </c>
      <c r="O1432" s="880"/>
      <c r="Q1432" s="317" t="str">
        <f t="shared" si="158"/>
        <v/>
      </c>
      <c r="R1432" s="317" t="str">
        <f t="shared" si="159"/>
        <v/>
      </c>
      <c r="S1432" s="317" t="str">
        <f t="shared" si="160"/>
        <v/>
      </c>
      <c r="T1432" s="317" t="str">
        <f>'REF. DE PREÇOS n editavel'!S1432</f>
        <v/>
      </c>
      <c r="W1432" s="577">
        <v>0</v>
      </c>
      <c r="X1432" s="575"/>
      <c r="Y1432" s="578">
        <f>IF('REF. DE PREÇOS n editavel'!W1432=0,0,IF('REF. DE PREÇOS n editavel'!W1432&gt;0,"c","b"))</f>
        <v>0</v>
      </c>
    </row>
    <row r="1433" spans="1:25" ht="22.5">
      <c r="A1433" s="317">
        <v>97589</v>
      </c>
      <c r="B1433" s="870">
        <v>97589</v>
      </c>
      <c r="C1433" s="871" t="s">
        <v>590</v>
      </c>
      <c r="D1433" s="881" t="s">
        <v>1343</v>
      </c>
      <c r="E1433" s="882">
        <f>'REF. DE PREÇOS n editavel'!E1433</f>
        <v>0</v>
      </c>
      <c r="F1433" s="883">
        <f>'REF. DE PREÇOS n editavel'!F1433</f>
        <v>0</v>
      </c>
      <c r="G1433" s="887">
        <f>'REF. DE PREÇOS n editavel'!G1433</f>
        <v>0</v>
      </c>
      <c r="H1433" s="876">
        <f>'REF. DE PREÇOS n editavel'!H1433</f>
        <v>47.54</v>
      </c>
      <c r="I1433" s="876">
        <f>'REF. DE PREÇOS n editavel'!I1433</f>
        <v>47.54</v>
      </c>
      <c r="J1433" s="877">
        <f>'REF. DE PREÇOS n editavel'!J1433</f>
        <v>58.1</v>
      </c>
      <c r="K1433" s="878" t="s">
        <v>1500</v>
      </c>
      <c r="L1433" s="1092"/>
      <c r="M1433" s="1093">
        <f t="shared" si="157"/>
        <v>0</v>
      </c>
      <c r="N1433" s="868">
        <f t="shared" si="161"/>
        <v>0</v>
      </c>
      <c r="O1433" s="880"/>
      <c r="Q1433" s="317" t="str">
        <f t="shared" si="158"/>
        <v/>
      </c>
      <c r="R1433" s="317" t="str">
        <f t="shared" si="159"/>
        <v/>
      </c>
      <c r="S1433" s="317" t="str">
        <f t="shared" si="160"/>
        <v/>
      </c>
      <c r="T1433" s="317" t="str">
        <f>'REF. DE PREÇOS n editavel'!S1433</f>
        <v/>
      </c>
      <c r="W1433" s="577">
        <v>0</v>
      </c>
      <c r="X1433" s="575"/>
      <c r="Y1433" s="578">
        <f>IF('REF. DE PREÇOS n editavel'!W1433=0,0,IF('REF. DE PREÇOS n editavel'!W1433&gt;0,"c","b"))</f>
        <v>0</v>
      </c>
    </row>
    <row r="1434" spans="1:25" ht="33.75">
      <c r="A1434" s="317">
        <v>97590</v>
      </c>
      <c r="B1434" s="870">
        <v>97590</v>
      </c>
      <c r="C1434" s="871" t="s">
        <v>590</v>
      </c>
      <c r="D1434" s="881" t="s">
        <v>1344</v>
      </c>
      <c r="E1434" s="882">
        <f>'REF. DE PREÇOS n editavel'!E1434</f>
        <v>0</v>
      </c>
      <c r="F1434" s="883">
        <f>'REF. DE PREÇOS n editavel'!F1434</f>
        <v>0</v>
      </c>
      <c r="G1434" s="887">
        <f>'REF. DE PREÇOS n editavel'!G1434</f>
        <v>0</v>
      </c>
      <c r="H1434" s="876">
        <f>'REF. DE PREÇOS n editavel'!H1434</f>
        <v>113.3</v>
      </c>
      <c r="I1434" s="876">
        <f>'REF. DE PREÇOS n editavel'!I1434</f>
        <v>113.3</v>
      </c>
      <c r="J1434" s="877">
        <f>'REF. DE PREÇOS n editavel'!J1434</f>
        <v>138.47999999999999</v>
      </c>
      <c r="K1434" s="878" t="s">
        <v>1500</v>
      </c>
      <c r="L1434" s="1092"/>
      <c r="M1434" s="1093">
        <f t="shared" si="157"/>
        <v>0</v>
      </c>
      <c r="N1434" s="868">
        <f t="shared" si="161"/>
        <v>0</v>
      </c>
      <c r="O1434" s="880"/>
      <c r="Q1434" s="317" t="str">
        <f t="shared" si="158"/>
        <v/>
      </c>
      <c r="R1434" s="317" t="str">
        <f t="shared" si="159"/>
        <v/>
      </c>
      <c r="S1434" s="317" t="str">
        <f t="shared" si="160"/>
        <v/>
      </c>
      <c r="T1434" s="317" t="str">
        <f>'REF. DE PREÇOS n editavel'!S1434</f>
        <v/>
      </c>
      <c r="W1434" s="577">
        <v>0</v>
      </c>
      <c r="X1434" s="575"/>
      <c r="Y1434" s="578">
        <f>IF('REF. DE PREÇOS n editavel'!W1434=0,0,IF('REF. DE PREÇOS n editavel'!W1434&gt;0,"c","b"))</f>
        <v>0</v>
      </c>
    </row>
    <row r="1435" spans="1:25" ht="33.75">
      <c r="A1435" s="317">
        <v>97591</v>
      </c>
      <c r="B1435" s="870">
        <v>97591</v>
      </c>
      <c r="C1435" s="871" t="s">
        <v>590</v>
      </c>
      <c r="D1435" s="881" t="s">
        <v>1345</v>
      </c>
      <c r="E1435" s="882">
        <f>'REF. DE PREÇOS n editavel'!E1435</f>
        <v>0</v>
      </c>
      <c r="F1435" s="883">
        <f>'REF. DE PREÇOS n editavel'!F1435</f>
        <v>0</v>
      </c>
      <c r="G1435" s="887">
        <f>'REF. DE PREÇOS n editavel'!G1435</f>
        <v>0</v>
      </c>
      <c r="H1435" s="876">
        <f>'REF. DE PREÇOS n editavel'!H1435</f>
        <v>147.91999999999999</v>
      </c>
      <c r="I1435" s="876">
        <f>'REF. DE PREÇOS n editavel'!I1435</f>
        <v>147.91999999999999</v>
      </c>
      <c r="J1435" s="877">
        <f>'REF. DE PREÇOS n editavel'!J1435</f>
        <v>180.79</v>
      </c>
      <c r="K1435" s="878" t="s">
        <v>1500</v>
      </c>
      <c r="L1435" s="1092"/>
      <c r="M1435" s="1093">
        <f t="shared" si="157"/>
        <v>0</v>
      </c>
      <c r="N1435" s="868">
        <f t="shared" si="161"/>
        <v>0</v>
      </c>
      <c r="O1435" s="880"/>
      <c r="Q1435" s="317" t="str">
        <f t="shared" si="158"/>
        <v/>
      </c>
      <c r="R1435" s="317" t="str">
        <f t="shared" si="159"/>
        <v/>
      </c>
      <c r="S1435" s="317" t="str">
        <f t="shared" si="160"/>
        <v/>
      </c>
      <c r="T1435" s="317" t="str">
        <f>'REF. DE PREÇOS n editavel'!S1435</f>
        <v/>
      </c>
      <c r="W1435" s="577">
        <v>0</v>
      </c>
      <c r="X1435" s="575"/>
      <c r="Y1435" s="578">
        <f>IF('REF. DE PREÇOS n editavel'!W1435=0,0,IF('REF. DE PREÇOS n editavel'!W1435&gt;0,"c","b"))</f>
        <v>0</v>
      </c>
    </row>
    <row r="1436" spans="1:25" ht="22.5">
      <c r="A1436" s="317">
        <v>103782</v>
      </c>
      <c r="B1436" s="870">
        <v>103782</v>
      </c>
      <c r="C1436" s="871" t="s">
        <v>590</v>
      </c>
      <c r="D1436" s="881" t="s">
        <v>1976</v>
      </c>
      <c r="E1436" s="882">
        <f>'REF. DE PREÇOS n editavel'!E1436</f>
        <v>0</v>
      </c>
      <c r="F1436" s="883">
        <f>'REF. DE PREÇOS n editavel'!F1436</f>
        <v>0</v>
      </c>
      <c r="G1436" s="887">
        <f>'REF. DE PREÇOS n editavel'!G1436</f>
        <v>0</v>
      </c>
      <c r="H1436" s="876">
        <f>'REF. DE PREÇOS n editavel'!H1436</f>
        <v>41.27</v>
      </c>
      <c r="I1436" s="876">
        <f>'REF. DE PREÇOS n editavel'!I1436</f>
        <v>41.27</v>
      </c>
      <c r="J1436" s="877">
        <f>'REF. DE PREÇOS n editavel'!J1436</f>
        <v>50.44</v>
      </c>
      <c r="K1436" s="878" t="s">
        <v>1500</v>
      </c>
      <c r="L1436" s="1092"/>
      <c r="M1436" s="1093">
        <f t="shared" si="157"/>
        <v>0</v>
      </c>
      <c r="N1436" s="868">
        <f t="shared" si="161"/>
        <v>0</v>
      </c>
      <c r="O1436" s="880"/>
      <c r="Q1436" s="317" t="str">
        <f t="shared" si="158"/>
        <v/>
      </c>
      <c r="R1436" s="317" t="str">
        <f t="shared" si="159"/>
        <v/>
      </c>
      <c r="S1436" s="317" t="str">
        <f t="shared" si="160"/>
        <v/>
      </c>
      <c r="T1436" s="317" t="str">
        <f>'REF. DE PREÇOS n editavel'!S1436</f>
        <v/>
      </c>
      <c r="W1436" s="577">
        <v>0</v>
      </c>
      <c r="X1436" s="575"/>
      <c r="Y1436" s="578">
        <f>IF('REF. DE PREÇOS n editavel'!W1436=0,0,IF('REF. DE PREÇOS n editavel'!W1436&gt;0,"c","b"))</f>
        <v>0</v>
      </c>
    </row>
    <row r="1437" spans="1:25" ht="22.5">
      <c r="A1437" s="317">
        <v>97593</v>
      </c>
      <c r="B1437" s="870">
        <v>97593</v>
      </c>
      <c r="C1437" s="871" t="s">
        <v>590</v>
      </c>
      <c r="D1437" s="881" t="s">
        <v>1346</v>
      </c>
      <c r="E1437" s="882">
        <f>'REF. DE PREÇOS n editavel'!E1437</f>
        <v>0</v>
      </c>
      <c r="F1437" s="883">
        <f>'REF. DE PREÇOS n editavel'!F1437</f>
        <v>0</v>
      </c>
      <c r="G1437" s="887">
        <f>'REF. DE PREÇOS n editavel'!G1437</f>
        <v>0</v>
      </c>
      <c r="H1437" s="876">
        <f>'REF. DE PREÇOS n editavel'!H1437</f>
        <v>163.66999999999999</v>
      </c>
      <c r="I1437" s="876">
        <f>'REF. DE PREÇOS n editavel'!I1437</f>
        <v>163.66999999999999</v>
      </c>
      <c r="J1437" s="877">
        <f>'REF. DE PREÇOS n editavel'!J1437</f>
        <v>200.04</v>
      </c>
      <c r="K1437" s="878" t="s">
        <v>1500</v>
      </c>
      <c r="L1437" s="1092"/>
      <c r="M1437" s="1093">
        <f t="shared" si="157"/>
        <v>0</v>
      </c>
      <c r="N1437" s="868">
        <f t="shared" si="161"/>
        <v>0</v>
      </c>
      <c r="O1437" s="880"/>
      <c r="Q1437" s="317" t="str">
        <f t="shared" si="158"/>
        <v/>
      </c>
      <c r="R1437" s="317" t="str">
        <f t="shared" si="159"/>
        <v/>
      </c>
      <c r="S1437" s="317" t="str">
        <f t="shared" si="160"/>
        <v/>
      </c>
      <c r="T1437" s="317" t="str">
        <f>'REF. DE PREÇOS n editavel'!S1437</f>
        <v/>
      </c>
      <c r="W1437" s="577">
        <v>0</v>
      </c>
      <c r="X1437" s="575"/>
      <c r="Y1437" s="578">
        <f>IF('REF. DE PREÇOS n editavel'!W1437=0,0,IF('REF. DE PREÇOS n editavel'!W1437&gt;0,"c","b"))</f>
        <v>0</v>
      </c>
    </row>
    <row r="1438" spans="1:25" ht="22.5">
      <c r="A1438" s="317">
        <v>97594</v>
      </c>
      <c r="B1438" s="870">
        <v>97594</v>
      </c>
      <c r="C1438" s="871" t="s">
        <v>590</v>
      </c>
      <c r="D1438" s="881" t="s">
        <v>1347</v>
      </c>
      <c r="E1438" s="882">
        <f>'REF. DE PREÇOS n editavel'!E1438</f>
        <v>0</v>
      </c>
      <c r="F1438" s="883">
        <f>'REF. DE PREÇOS n editavel'!F1438</f>
        <v>0</v>
      </c>
      <c r="G1438" s="887">
        <f>'REF. DE PREÇOS n editavel'!G1438</f>
        <v>0</v>
      </c>
      <c r="H1438" s="876">
        <f>'REF. DE PREÇOS n editavel'!H1438</f>
        <v>148.53</v>
      </c>
      <c r="I1438" s="876">
        <f>'REF. DE PREÇOS n editavel'!I1438</f>
        <v>148.53</v>
      </c>
      <c r="J1438" s="877">
        <f>'REF. DE PREÇOS n editavel'!J1438</f>
        <v>181.53</v>
      </c>
      <c r="K1438" s="878" t="s">
        <v>1500</v>
      </c>
      <c r="L1438" s="1092"/>
      <c r="M1438" s="1093">
        <f t="shared" si="157"/>
        <v>0</v>
      </c>
      <c r="N1438" s="868">
        <f t="shared" si="161"/>
        <v>0</v>
      </c>
      <c r="O1438" s="880"/>
      <c r="Q1438" s="317" t="str">
        <f t="shared" si="158"/>
        <v/>
      </c>
      <c r="R1438" s="317" t="str">
        <f t="shared" si="159"/>
        <v/>
      </c>
      <c r="S1438" s="317" t="str">
        <f t="shared" si="160"/>
        <v/>
      </c>
      <c r="T1438" s="317" t="str">
        <f>'REF. DE PREÇOS n editavel'!S1438</f>
        <v/>
      </c>
      <c r="W1438" s="577">
        <v>0</v>
      </c>
      <c r="X1438" s="575"/>
      <c r="Y1438" s="578">
        <f>IF('REF. DE PREÇOS n editavel'!W1438=0,0,IF('REF. DE PREÇOS n editavel'!W1438&gt;0,"c","b"))</f>
        <v>0</v>
      </c>
    </row>
    <row r="1439" spans="1:25" ht="22.5">
      <c r="A1439" s="317">
        <v>101666</v>
      </c>
      <c r="B1439" s="870">
        <v>101666</v>
      </c>
      <c r="C1439" s="871" t="s">
        <v>590</v>
      </c>
      <c r="D1439" s="881" t="s">
        <v>1348</v>
      </c>
      <c r="E1439" s="882">
        <f>'REF. DE PREÇOS n editavel'!E1439</f>
        <v>0</v>
      </c>
      <c r="F1439" s="883">
        <f>'REF. DE PREÇOS n editavel'!F1439</f>
        <v>0</v>
      </c>
      <c r="G1439" s="887">
        <f>'REF. DE PREÇOS n editavel'!G1439</f>
        <v>0</v>
      </c>
      <c r="H1439" s="876">
        <f>'REF. DE PREÇOS n editavel'!H1439</f>
        <v>450.92</v>
      </c>
      <c r="I1439" s="876">
        <f>'REF. DE PREÇOS n editavel'!I1439</f>
        <v>450.92</v>
      </c>
      <c r="J1439" s="877">
        <f>'REF. DE PREÇOS n editavel'!J1439</f>
        <v>551.11</v>
      </c>
      <c r="K1439" s="878" t="s">
        <v>1500</v>
      </c>
      <c r="L1439" s="1092"/>
      <c r="M1439" s="1093">
        <f t="shared" si="157"/>
        <v>0</v>
      </c>
      <c r="N1439" s="868">
        <f t="shared" si="161"/>
        <v>0</v>
      </c>
      <c r="O1439" s="880"/>
      <c r="Q1439" s="317" t="str">
        <f t="shared" si="158"/>
        <v/>
      </c>
      <c r="R1439" s="317" t="str">
        <f t="shared" si="159"/>
        <v/>
      </c>
      <c r="S1439" s="317" t="str">
        <f t="shared" si="160"/>
        <v/>
      </c>
      <c r="T1439" s="317" t="str">
        <f>'REF. DE PREÇOS n editavel'!S1439</f>
        <v/>
      </c>
      <c r="W1439" s="577">
        <v>0</v>
      </c>
      <c r="X1439" s="575"/>
      <c r="Y1439" s="578">
        <f>IF('REF. DE PREÇOS n editavel'!W1439=0,0,IF('REF. DE PREÇOS n editavel'!W1439&gt;0,"c","b"))</f>
        <v>0</v>
      </c>
    </row>
    <row r="1440" spans="1:25" ht="33.75">
      <c r="A1440" s="317">
        <v>97600</v>
      </c>
      <c r="B1440" s="870">
        <v>97600</v>
      </c>
      <c r="C1440" s="871" t="s">
        <v>590</v>
      </c>
      <c r="D1440" s="881" t="s">
        <v>1349</v>
      </c>
      <c r="E1440" s="882">
        <f>'REF. DE PREÇOS n editavel'!E1440</f>
        <v>0</v>
      </c>
      <c r="F1440" s="883">
        <f>'REF. DE PREÇOS n editavel'!F1440</f>
        <v>0</v>
      </c>
      <c r="G1440" s="887">
        <f>'REF. DE PREÇOS n editavel'!G1440</f>
        <v>0</v>
      </c>
      <c r="H1440" s="876">
        <f>'REF. DE PREÇOS n editavel'!H1440</f>
        <v>360.17</v>
      </c>
      <c r="I1440" s="876">
        <f>'REF. DE PREÇOS n editavel'!I1440</f>
        <v>360.17</v>
      </c>
      <c r="J1440" s="877">
        <f>'REF. DE PREÇOS n editavel'!J1440</f>
        <v>440.2</v>
      </c>
      <c r="K1440" s="878" t="s">
        <v>1500</v>
      </c>
      <c r="L1440" s="1092"/>
      <c r="M1440" s="1093">
        <f t="shared" si="157"/>
        <v>0</v>
      </c>
      <c r="N1440" s="868">
        <f t="shared" si="161"/>
        <v>0</v>
      </c>
      <c r="O1440" s="880"/>
      <c r="Q1440" s="317" t="str">
        <f t="shared" si="158"/>
        <v/>
      </c>
      <c r="R1440" s="317" t="str">
        <f t="shared" si="159"/>
        <v/>
      </c>
      <c r="S1440" s="317" t="str">
        <f t="shared" si="160"/>
        <v/>
      </c>
      <c r="T1440" s="317" t="str">
        <f>'REF. DE PREÇOS n editavel'!S1440</f>
        <v/>
      </c>
      <c r="W1440" s="577">
        <v>0</v>
      </c>
      <c r="X1440" s="575"/>
      <c r="Y1440" s="578">
        <f>IF('REF. DE PREÇOS n editavel'!W1440=0,0,IF('REF. DE PREÇOS n editavel'!W1440&gt;0,"c","b"))</f>
        <v>0</v>
      </c>
    </row>
    <row r="1441" spans="1:25" ht="33.75">
      <c r="A1441" s="317">
        <v>97601</v>
      </c>
      <c r="B1441" s="870">
        <v>97601</v>
      </c>
      <c r="C1441" s="871" t="s">
        <v>590</v>
      </c>
      <c r="D1441" s="881" t="s">
        <v>1350</v>
      </c>
      <c r="E1441" s="882">
        <f>'REF. DE PREÇOS n editavel'!E1441</f>
        <v>0</v>
      </c>
      <c r="F1441" s="883">
        <f>'REF. DE PREÇOS n editavel'!F1441</f>
        <v>0</v>
      </c>
      <c r="G1441" s="887">
        <f>'REF. DE PREÇOS n editavel'!G1441</f>
        <v>0</v>
      </c>
      <c r="H1441" s="876">
        <f>'REF. DE PREÇOS n editavel'!H1441</f>
        <v>380.4</v>
      </c>
      <c r="I1441" s="876">
        <f>'REF. DE PREÇOS n editavel'!I1441</f>
        <v>380.4</v>
      </c>
      <c r="J1441" s="877">
        <f>'REF. DE PREÇOS n editavel'!J1441</f>
        <v>464.92</v>
      </c>
      <c r="K1441" s="878" t="s">
        <v>1500</v>
      </c>
      <c r="L1441" s="1092"/>
      <c r="M1441" s="1093">
        <f t="shared" si="157"/>
        <v>0</v>
      </c>
      <c r="N1441" s="868">
        <f t="shared" si="161"/>
        <v>0</v>
      </c>
      <c r="O1441" s="880"/>
      <c r="Q1441" s="317" t="str">
        <f t="shared" si="158"/>
        <v/>
      </c>
      <c r="R1441" s="317" t="str">
        <f t="shared" si="159"/>
        <v/>
      </c>
      <c r="S1441" s="317" t="str">
        <f t="shared" si="160"/>
        <v/>
      </c>
      <c r="T1441" s="317" t="str">
        <f>'REF. DE PREÇOS n editavel'!S1441</f>
        <v/>
      </c>
      <c r="W1441" s="577">
        <v>0</v>
      </c>
      <c r="X1441" s="575"/>
      <c r="Y1441" s="578">
        <f>IF('REF. DE PREÇOS n editavel'!W1441=0,0,IF('REF. DE PREÇOS n editavel'!W1441&gt;0,"c","b"))</f>
        <v>0</v>
      </c>
    </row>
    <row r="1442" spans="1:25" ht="22.5">
      <c r="A1442" s="317">
        <v>97611</v>
      </c>
      <c r="B1442" s="870">
        <v>97611</v>
      </c>
      <c r="C1442" s="871" t="s">
        <v>590</v>
      </c>
      <c r="D1442" s="881" t="s">
        <v>1351</v>
      </c>
      <c r="E1442" s="882">
        <f>'REF. DE PREÇOS n editavel'!E1442</f>
        <v>0</v>
      </c>
      <c r="F1442" s="883">
        <f>'REF. DE PREÇOS n editavel'!F1442</f>
        <v>0</v>
      </c>
      <c r="G1442" s="887">
        <f>'REF. DE PREÇOS n editavel'!G1442</f>
        <v>0</v>
      </c>
      <c r="H1442" s="876">
        <f>'REF. DE PREÇOS n editavel'!H1442</f>
        <v>27.22</v>
      </c>
      <c r="I1442" s="876">
        <f>'REF. DE PREÇOS n editavel'!I1442</f>
        <v>27.22</v>
      </c>
      <c r="J1442" s="877">
        <f>'REF. DE PREÇOS n editavel'!J1442</f>
        <v>33.270000000000003</v>
      </c>
      <c r="K1442" s="878" t="s">
        <v>1500</v>
      </c>
      <c r="L1442" s="1092"/>
      <c r="M1442" s="1093">
        <f t="shared" si="157"/>
        <v>0</v>
      </c>
      <c r="N1442" s="868">
        <f t="shared" si="161"/>
        <v>0</v>
      </c>
      <c r="O1442" s="880"/>
      <c r="Q1442" s="317" t="str">
        <f t="shared" si="158"/>
        <v/>
      </c>
      <c r="R1442" s="317" t="str">
        <f t="shared" si="159"/>
        <v/>
      </c>
      <c r="S1442" s="317" t="str">
        <f t="shared" si="160"/>
        <v/>
      </c>
      <c r="T1442" s="317" t="str">
        <f>'REF. DE PREÇOS n editavel'!S1442</f>
        <v/>
      </c>
      <c r="W1442" s="577">
        <v>0</v>
      </c>
      <c r="X1442" s="575"/>
      <c r="Y1442" s="578">
        <f>IF('REF. DE PREÇOS n editavel'!W1442=0,0,IF('REF. DE PREÇOS n editavel'!W1442&gt;0,"c","b"))</f>
        <v>0</v>
      </c>
    </row>
    <row r="1443" spans="1:25" ht="22.5">
      <c r="A1443" s="317">
        <v>97612</v>
      </c>
      <c r="B1443" s="870">
        <v>97612</v>
      </c>
      <c r="C1443" s="871" t="s">
        <v>590</v>
      </c>
      <c r="D1443" s="881" t="s">
        <v>1352</v>
      </c>
      <c r="E1443" s="882">
        <f>'REF. DE PREÇOS n editavel'!E1443</f>
        <v>0</v>
      </c>
      <c r="F1443" s="883">
        <f>'REF. DE PREÇOS n editavel'!F1443</f>
        <v>0</v>
      </c>
      <c r="G1443" s="887">
        <f>'REF. DE PREÇOS n editavel'!G1443</f>
        <v>0</v>
      </c>
      <c r="H1443" s="876">
        <f>'REF. DE PREÇOS n editavel'!H1443</f>
        <v>29.48</v>
      </c>
      <c r="I1443" s="876">
        <f>'REF. DE PREÇOS n editavel'!I1443</f>
        <v>29.48</v>
      </c>
      <c r="J1443" s="877">
        <f>'REF. DE PREÇOS n editavel'!J1443</f>
        <v>36.03</v>
      </c>
      <c r="K1443" s="878" t="s">
        <v>1500</v>
      </c>
      <c r="L1443" s="1092"/>
      <c r="M1443" s="1093">
        <f t="shared" si="157"/>
        <v>0</v>
      </c>
      <c r="N1443" s="868">
        <f t="shared" si="161"/>
        <v>0</v>
      </c>
      <c r="O1443" s="880"/>
      <c r="Q1443" s="317" t="str">
        <f t="shared" si="158"/>
        <v/>
      </c>
      <c r="R1443" s="317" t="str">
        <f t="shared" si="159"/>
        <v/>
      </c>
      <c r="S1443" s="317" t="str">
        <f t="shared" si="160"/>
        <v/>
      </c>
      <c r="T1443" s="317" t="str">
        <f>'REF. DE PREÇOS n editavel'!S1443</f>
        <v/>
      </c>
      <c r="W1443" s="577">
        <v>0</v>
      </c>
      <c r="X1443" s="575"/>
      <c r="Y1443" s="578">
        <f>IF('REF. DE PREÇOS n editavel'!W1443=0,0,IF('REF. DE PREÇOS n editavel'!W1443&gt;0,"c","b"))</f>
        <v>0</v>
      </c>
    </row>
    <row r="1444" spans="1:25" ht="22.5">
      <c r="A1444" s="317">
        <v>97615</v>
      </c>
      <c r="B1444" s="870">
        <v>97615</v>
      </c>
      <c r="C1444" s="871" t="s">
        <v>590</v>
      </c>
      <c r="D1444" s="881" t="s">
        <v>1353</v>
      </c>
      <c r="E1444" s="882">
        <f>'REF. DE PREÇOS n editavel'!E1444</f>
        <v>0</v>
      </c>
      <c r="F1444" s="883">
        <f>'REF. DE PREÇOS n editavel'!F1444</f>
        <v>0</v>
      </c>
      <c r="G1444" s="887">
        <f>'REF. DE PREÇOS n editavel'!G1444</f>
        <v>0</v>
      </c>
      <c r="H1444" s="876">
        <f>'REF. DE PREÇOS n editavel'!H1444</f>
        <v>62.31</v>
      </c>
      <c r="I1444" s="876">
        <f>'REF. DE PREÇOS n editavel'!I1444</f>
        <v>62.31</v>
      </c>
      <c r="J1444" s="877">
        <f>'REF. DE PREÇOS n editavel'!J1444</f>
        <v>76.16</v>
      </c>
      <c r="K1444" s="878" t="s">
        <v>1500</v>
      </c>
      <c r="L1444" s="1092"/>
      <c r="M1444" s="1093">
        <f t="shared" si="157"/>
        <v>0</v>
      </c>
      <c r="N1444" s="868">
        <f t="shared" si="161"/>
        <v>0</v>
      </c>
      <c r="O1444" s="880"/>
      <c r="Q1444" s="317" t="str">
        <f t="shared" si="158"/>
        <v/>
      </c>
      <c r="R1444" s="317" t="str">
        <f t="shared" si="159"/>
        <v/>
      </c>
      <c r="S1444" s="317" t="str">
        <f t="shared" si="160"/>
        <v/>
      </c>
      <c r="T1444" s="317" t="str">
        <f>'REF. DE PREÇOS n editavel'!S1444</f>
        <v/>
      </c>
      <c r="W1444" s="577">
        <v>0</v>
      </c>
      <c r="X1444" s="575"/>
      <c r="Y1444" s="578">
        <f>IF('REF. DE PREÇOS n editavel'!W1444=0,0,IF('REF. DE PREÇOS n editavel'!W1444&gt;0,"c","b"))</f>
        <v>0</v>
      </c>
    </row>
    <row r="1445" spans="1:25" ht="22.5">
      <c r="A1445" s="317">
        <v>97616</v>
      </c>
      <c r="B1445" s="870">
        <v>97616</v>
      </c>
      <c r="C1445" s="871" t="s">
        <v>590</v>
      </c>
      <c r="D1445" s="881" t="s">
        <v>1354</v>
      </c>
      <c r="E1445" s="882">
        <f>'REF. DE PREÇOS n editavel'!E1445</f>
        <v>0</v>
      </c>
      <c r="F1445" s="883">
        <f>'REF. DE PREÇOS n editavel'!F1445</f>
        <v>0</v>
      </c>
      <c r="G1445" s="887">
        <f>'REF. DE PREÇOS n editavel'!G1445</f>
        <v>0</v>
      </c>
      <c r="H1445" s="876">
        <f>'REF. DE PREÇOS n editavel'!H1445</f>
        <v>71.38</v>
      </c>
      <c r="I1445" s="876">
        <f>'REF. DE PREÇOS n editavel'!I1445</f>
        <v>71.38</v>
      </c>
      <c r="J1445" s="877">
        <f>'REF. DE PREÇOS n editavel'!J1445</f>
        <v>87.24</v>
      </c>
      <c r="K1445" s="878" t="s">
        <v>1500</v>
      </c>
      <c r="L1445" s="1092"/>
      <c r="M1445" s="1093">
        <f t="shared" si="157"/>
        <v>0</v>
      </c>
      <c r="N1445" s="868">
        <f t="shared" si="161"/>
        <v>0</v>
      </c>
      <c r="O1445" s="880"/>
      <c r="Q1445" s="317" t="str">
        <f t="shared" si="158"/>
        <v/>
      </c>
      <c r="R1445" s="317" t="str">
        <f t="shared" si="159"/>
        <v/>
      </c>
      <c r="S1445" s="317" t="str">
        <f t="shared" si="160"/>
        <v/>
      </c>
      <c r="T1445" s="317" t="str">
        <f>'REF. DE PREÇOS n editavel'!S1445</f>
        <v/>
      </c>
      <c r="W1445" s="577">
        <v>0</v>
      </c>
      <c r="X1445" s="575"/>
      <c r="Y1445" s="578">
        <f>IF('REF. DE PREÇOS n editavel'!W1445=0,0,IF('REF. DE PREÇOS n editavel'!W1445&gt;0,"c","b"))</f>
        <v>0</v>
      </c>
    </row>
    <row r="1446" spans="1:25" ht="22.5">
      <c r="A1446" s="317">
        <v>97617</v>
      </c>
      <c r="B1446" s="870">
        <v>97617</v>
      </c>
      <c r="C1446" s="871" t="s">
        <v>590</v>
      </c>
      <c r="D1446" s="881" t="s">
        <v>1355</v>
      </c>
      <c r="E1446" s="882">
        <f>'REF. DE PREÇOS n editavel'!E1446</f>
        <v>0</v>
      </c>
      <c r="F1446" s="883">
        <f>'REF. DE PREÇOS n editavel'!F1446</f>
        <v>0</v>
      </c>
      <c r="G1446" s="887">
        <f>'REF. DE PREÇOS n editavel'!G1446</f>
        <v>0</v>
      </c>
      <c r="H1446" s="876">
        <f>'REF. DE PREÇOS n editavel'!H1446</f>
        <v>71.03</v>
      </c>
      <c r="I1446" s="876">
        <f>'REF. DE PREÇOS n editavel'!I1446</f>
        <v>71.03</v>
      </c>
      <c r="J1446" s="877">
        <f>'REF. DE PREÇOS n editavel'!J1446</f>
        <v>86.81</v>
      </c>
      <c r="K1446" s="878" t="s">
        <v>1500</v>
      </c>
      <c r="L1446" s="1092"/>
      <c r="M1446" s="1093">
        <f t="shared" si="157"/>
        <v>0</v>
      </c>
      <c r="N1446" s="868">
        <f t="shared" si="161"/>
        <v>0</v>
      </c>
      <c r="O1446" s="880"/>
      <c r="Q1446" s="317" t="str">
        <f t="shared" si="158"/>
        <v/>
      </c>
      <c r="R1446" s="317" t="str">
        <f t="shared" si="159"/>
        <v/>
      </c>
      <c r="S1446" s="317" t="str">
        <f t="shared" si="160"/>
        <v/>
      </c>
      <c r="T1446" s="317" t="str">
        <f>'REF. DE PREÇOS n editavel'!S1446</f>
        <v/>
      </c>
      <c r="W1446" s="577">
        <v>0</v>
      </c>
      <c r="X1446" s="575"/>
      <c r="Y1446" s="578">
        <f>IF('REF. DE PREÇOS n editavel'!W1446=0,0,IF('REF. DE PREÇOS n editavel'!W1446&gt;0,"c","b"))</f>
        <v>0</v>
      </c>
    </row>
    <row r="1447" spans="1:25" ht="22.5">
      <c r="A1447" s="317">
        <v>97618</v>
      </c>
      <c r="B1447" s="870">
        <v>97618</v>
      </c>
      <c r="C1447" s="871" t="s">
        <v>590</v>
      </c>
      <c r="D1447" s="881" t="s">
        <v>1356</v>
      </c>
      <c r="E1447" s="882">
        <f>'REF. DE PREÇOS n editavel'!E1447</f>
        <v>0</v>
      </c>
      <c r="F1447" s="883">
        <f>'REF. DE PREÇOS n editavel'!F1447</f>
        <v>0</v>
      </c>
      <c r="G1447" s="887">
        <f>'REF. DE PREÇOS n editavel'!G1447</f>
        <v>0</v>
      </c>
      <c r="H1447" s="876">
        <f>'REF. DE PREÇOS n editavel'!H1447</f>
        <v>65.489999999999995</v>
      </c>
      <c r="I1447" s="876">
        <f>'REF. DE PREÇOS n editavel'!I1447</f>
        <v>65.489999999999995</v>
      </c>
      <c r="J1447" s="877">
        <f>'REF. DE PREÇOS n editavel'!J1447</f>
        <v>80.040000000000006</v>
      </c>
      <c r="K1447" s="878" t="s">
        <v>1500</v>
      </c>
      <c r="L1447" s="1092"/>
      <c r="M1447" s="1093">
        <f t="shared" si="157"/>
        <v>0</v>
      </c>
      <c r="N1447" s="868">
        <f t="shared" si="161"/>
        <v>0</v>
      </c>
      <c r="O1447" s="880"/>
      <c r="Q1447" s="317" t="str">
        <f t="shared" si="158"/>
        <v/>
      </c>
      <c r="R1447" s="317" t="str">
        <f t="shared" si="159"/>
        <v/>
      </c>
      <c r="S1447" s="317" t="str">
        <f t="shared" si="160"/>
        <v/>
      </c>
      <c r="T1447" s="317" t="str">
        <f>'REF. DE PREÇOS n editavel'!S1447</f>
        <v/>
      </c>
      <c r="W1447" s="577">
        <v>0</v>
      </c>
      <c r="X1447" s="575"/>
      <c r="Y1447" s="578">
        <f>IF('REF. DE PREÇOS n editavel'!W1447=0,0,IF('REF. DE PREÇOS n editavel'!W1447&gt;0,"c","b"))</f>
        <v>0</v>
      </c>
    </row>
    <row r="1448" spans="1:25" ht="22.5">
      <c r="A1448" s="317">
        <v>97613</v>
      </c>
      <c r="B1448" s="870">
        <v>97613</v>
      </c>
      <c r="C1448" s="871" t="s">
        <v>590</v>
      </c>
      <c r="D1448" s="881" t="s">
        <v>1357</v>
      </c>
      <c r="E1448" s="882">
        <f>'REF. DE PREÇOS n editavel'!E1448</f>
        <v>0</v>
      </c>
      <c r="F1448" s="883">
        <f>'REF. DE PREÇOS n editavel'!F1448</f>
        <v>0</v>
      </c>
      <c r="G1448" s="887">
        <f>'REF. DE PREÇOS n editavel'!G1448</f>
        <v>0</v>
      </c>
      <c r="H1448" s="876">
        <f>'REF. DE PREÇOS n editavel'!H1448</f>
        <v>37.01</v>
      </c>
      <c r="I1448" s="876">
        <f>'REF. DE PREÇOS n editavel'!I1448</f>
        <v>37.01</v>
      </c>
      <c r="J1448" s="877">
        <f>'REF. DE PREÇOS n editavel'!J1448</f>
        <v>45.23</v>
      </c>
      <c r="K1448" s="878" t="s">
        <v>1500</v>
      </c>
      <c r="L1448" s="1092"/>
      <c r="M1448" s="1093">
        <f t="shared" si="157"/>
        <v>0</v>
      </c>
      <c r="N1448" s="868">
        <f t="shared" si="161"/>
        <v>0</v>
      </c>
      <c r="O1448" s="880"/>
      <c r="Q1448" s="317" t="str">
        <f t="shared" si="158"/>
        <v/>
      </c>
      <c r="R1448" s="317" t="str">
        <f t="shared" si="159"/>
        <v/>
      </c>
      <c r="S1448" s="317" t="str">
        <f t="shared" si="160"/>
        <v/>
      </c>
      <c r="T1448" s="317" t="str">
        <f>'REF. DE PREÇOS n editavel'!S1448</f>
        <v/>
      </c>
      <c r="W1448" s="577">
        <v>0</v>
      </c>
      <c r="X1448" s="575"/>
      <c r="Y1448" s="578">
        <f>IF('REF. DE PREÇOS n editavel'!W1448=0,0,IF('REF. DE PREÇOS n editavel'!W1448&gt;0,"c","b"))</f>
        <v>0</v>
      </c>
    </row>
    <row r="1449" spans="1:25" ht="22.5">
      <c r="A1449" s="317">
        <v>97614</v>
      </c>
      <c r="B1449" s="870">
        <v>97614</v>
      </c>
      <c r="C1449" s="871" t="s">
        <v>590</v>
      </c>
      <c r="D1449" s="881" t="s">
        <v>1358</v>
      </c>
      <c r="E1449" s="882">
        <f>'REF. DE PREÇOS n editavel'!E1449</f>
        <v>0</v>
      </c>
      <c r="F1449" s="883">
        <f>'REF. DE PREÇOS n editavel'!F1449</f>
        <v>0</v>
      </c>
      <c r="G1449" s="887">
        <f>'REF. DE PREÇOS n editavel'!G1449</f>
        <v>0</v>
      </c>
      <c r="H1449" s="876">
        <f>'REF. DE PREÇOS n editavel'!H1449</f>
        <v>64.17</v>
      </c>
      <c r="I1449" s="876">
        <f>'REF. DE PREÇOS n editavel'!I1449</f>
        <v>64.17</v>
      </c>
      <c r="J1449" s="877">
        <f>'REF. DE PREÇOS n editavel'!J1449</f>
        <v>78.430000000000007</v>
      </c>
      <c r="K1449" s="878" t="s">
        <v>1500</v>
      </c>
      <c r="L1449" s="1092"/>
      <c r="M1449" s="1093">
        <f t="shared" si="157"/>
        <v>0</v>
      </c>
      <c r="N1449" s="868">
        <f t="shared" si="161"/>
        <v>0</v>
      </c>
      <c r="O1449" s="880"/>
      <c r="Q1449" s="317" t="str">
        <f t="shared" si="158"/>
        <v/>
      </c>
      <c r="R1449" s="317" t="str">
        <f t="shared" si="159"/>
        <v/>
      </c>
      <c r="S1449" s="317" t="str">
        <f t="shared" si="160"/>
        <v/>
      </c>
      <c r="T1449" s="317" t="str">
        <f>'REF. DE PREÇOS n editavel'!S1449</f>
        <v/>
      </c>
      <c r="W1449" s="577">
        <v>0</v>
      </c>
      <c r="X1449" s="575"/>
      <c r="Y1449" s="578">
        <f>IF('REF. DE PREÇOS n editavel'!W1449=0,0,IF('REF. DE PREÇOS n editavel'!W1449&gt;0,"c","b"))</f>
        <v>0</v>
      </c>
    </row>
    <row r="1450" spans="1:25">
      <c r="A1450" s="317">
        <v>101648</v>
      </c>
      <c r="B1450" s="870">
        <v>101648</v>
      </c>
      <c r="C1450" s="871" t="s">
        <v>590</v>
      </c>
      <c r="D1450" s="881" t="s">
        <v>1359</v>
      </c>
      <c r="E1450" s="882">
        <f>'REF. DE PREÇOS n editavel'!E1450</f>
        <v>0</v>
      </c>
      <c r="F1450" s="883">
        <f>'REF. DE PREÇOS n editavel'!F1450</f>
        <v>0</v>
      </c>
      <c r="G1450" s="887">
        <f>'REF. DE PREÇOS n editavel'!G1450</f>
        <v>0</v>
      </c>
      <c r="H1450" s="876">
        <f>'REF. DE PREÇOS n editavel'!H1450</f>
        <v>57.65</v>
      </c>
      <c r="I1450" s="876">
        <f>'REF. DE PREÇOS n editavel'!I1450</f>
        <v>57.65</v>
      </c>
      <c r="J1450" s="877">
        <f>'REF. DE PREÇOS n editavel'!J1450</f>
        <v>70.459999999999994</v>
      </c>
      <c r="K1450" s="878" t="s">
        <v>1500</v>
      </c>
      <c r="L1450" s="1092"/>
      <c r="M1450" s="1093">
        <f t="shared" si="157"/>
        <v>0</v>
      </c>
      <c r="N1450" s="868">
        <f t="shared" si="161"/>
        <v>0</v>
      </c>
      <c r="O1450" s="880"/>
      <c r="Q1450" s="317" t="str">
        <f t="shared" si="158"/>
        <v/>
      </c>
      <c r="R1450" s="317" t="str">
        <f t="shared" si="159"/>
        <v/>
      </c>
      <c r="S1450" s="317" t="str">
        <f t="shared" si="160"/>
        <v/>
      </c>
      <c r="T1450" s="317" t="str">
        <f>'REF. DE PREÇOS n editavel'!S1450</f>
        <v/>
      </c>
      <c r="W1450" s="577">
        <v>0</v>
      </c>
      <c r="X1450" s="575"/>
      <c r="Y1450" s="578">
        <f>IF('REF. DE PREÇOS n editavel'!W1450=0,0,IF('REF. DE PREÇOS n editavel'!W1450&gt;0,"c","b"))</f>
        <v>0</v>
      </c>
    </row>
    <row r="1451" spans="1:25">
      <c r="A1451" s="317">
        <v>101649</v>
      </c>
      <c r="B1451" s="870">
        <v>101649</v>
      </c>
      <c r="C1451" s="871" t="s">
        <v>590</v>
      </c>
      <c r="D1451" s="881" t="s">
        <v>1360</v>
      </c>
      <c r="E1451" s="882">
        <f>'REF. DE PREÇOS n editavel'!E1451</f>
        <v>0</v>
      </c>
      <c r="F1451" s="883">
        <f>'REF. DE PREÇOS n editavel'!F1451</f>
        <v>0</v>
      </c>
      <c r="G1451" s="887">
        <f>'REF. DE PREÇOS n editavel'!G1451</f>
        <v>0</v>
      </c>
      <c r="H1451" s="876">
        <f>'REF. DE PREÇOS n editavel'!H1451</f>
        <v>66.41</v>
      </c>
      <c r="I1451" s="876">
        <f>'REF. DE PREÇOS n editavel'!I1451</f>
        <v>66.41</v>
      </c>
      <c r="J1451" s="877">
        <f>'REF. DE PREÇOS n editavel'!J1451</f>
        <v>81.17</v>
      </c>
      <c r="K1451" s="878" t="s">
        <v>1500</v>
      </c>
      <c r="L1451" s="1092"/>
      <c r="M1451" s="1093">
        <f t="shared" si="157"/>
        <v>0</v>
      </c>
      <c r="N1451" s="868">
        <f t="shared" si="161"/>
        <v>0</v>
      </c>
      <c r="O1451" s="880"/>
      <c r="Q1451" s="317" t="str">
        <f t="shared" si="158"/>
        <v/>
      </c>
      <c r="R1451" s="317" t="str">
        <f t="shared" si="159"/>
        <v/>
      </c>
      <c r="S1451" s="317" t="str">
        <f t="shared" si="160"/>
        <v/>
      </c>
      <c r="T1451" s="317" t="str">
        <f>'REF. DE PREÇOS n editavel'!S1451</f>
        <v/>
      </c>
      <c r="W1451" s="577">
        <v>0</v>
      </c>
      <c r="X1451" s="575"/>
      <c r="Y1451" s="578">
        <f>IF('REF. DE PREÇOS n editavel'!W1451=0,0,IF('REF. DE PREÇOS n editavel'!W1451&gt;0,"c","b"))</f>
        <v>0</v>
      </c>
    </row>
    <row r="1452" spans="1:25">
      <c r="A1452" s="317">
        <v>101650</v>
      </c>
      <c r="B1452" s="870">
        <v>101650</v>
      </c>
      <c r="C1452" s="871" t="s">
        <v>590</v>
      </c>
      <c r="D1452" s="881" t="s">
        <v>1361</v>
      </c>
      <c r="E1452" s="882">
        <f>'REF. DE PREÇOS n editavel'!E1452</f>
        <v>0</v>
      </c>
      <c r="F1452" s="883">
        <f>'REF. DE PREÇOS n editavel'!F1452</f>
        <v>0</v>
      </c>
      <c r="G1452" s="887">
        <f>'REF. DE PREÇOS n editavel'!G1452</f>
        <v>0</v>
      </c>
      <c r="H1452" s="876">
        <f>'REF. DE PREÇOS n editavel'!H1452</f>
        <v>77.16</v>
      </c>
      <c r="I1452" s="876">
        <f>'REF. DE PREÇOS n editavel'!I1452</f>
        <v>77.16</v>
      </c>
      <c r="J1452" s="877">
        <f>'REF. DE PREÇOS n editavel'!J1452</f>
        <v>94.3</v>
      </c>
      <c r="K1452" s="878" t="s">
        <v>1500</v>
      </c>
      <c r="L1452" s="1092"/>
      <c r="M1452" s="1093">
        <f t="shared" si="157"/>
        <v>0</v>
      </c>
      <c r="N1452" s="868">
        <f t="shared" si="161"/>
        <v>0</v>
      </c>
      <c r="O1452" s="880"/>
      <c r="Q1452" s="317" t="str">
        <f t="shared" si="158"/>
        <v/>
      </c>
      <c r="R1452" s="317" t="str">
        <f t="shared" si="159"/>
        <v/>
      </c>
      <c r="S1452" s="317" t="str">
        <f t="shared" si="160"/>
        <v/>
      </c>
      <c r="T1452" s="317" t="str">
        <f>'REF. DE PREÇOS n editavel'!S1452</f>
        <v/>
      </c>
      <c r="W1452" s="577">
        <v>0</v>
      </c>
      <c r="X1452" s="575"/>
      <c r="Y1452" s="578">
        <f>IF('REF. DE PREÇOS n editavel'!W1452=0,0,IF('REF. DE PREÇOS n editavel'!W1452&gt;0,"c","b"))</f>
        <v>0</v>
      </c>
    </row>
    <row r="1453" spans="1:25">
      <c r="A1453" s="317">
        <v>101640</v>
      </c>
      <c r="B1453" s="870">
        <v>101640</v>
      </c>
      <c r="C1453" s="871" t="s">
        <v>590</v>
      </c>
      <c r="D1453" s="881" t="s">
        <v>1362</v>
      </c>
      <c r="E1453" s="882">
        <f>'REF. DE PREÇOS n editavel'!E1453</f>
        <v>0</v>
      </c>
      <c r="F1453" s="883">
        <f>'REF. DE PREÇOS n editavel'!F1453</f>
        <v>0</v>
      </c>
      <c r="G1453" s="887">
        <f>'REF. DE PREÇOS n editavel'!G1453</f>
        <v>0</v>
      </c>
      <c r="H1453" s="876">
        <f>'REF. DE PREÇOS n editavel'!H1453</f>
        <v>105.4</v>
      </c>
      <c r="I1453" s="876">
        <f>'REF. DE PREÇOS n editavel'!I1453</f>
        <v>105.4</v>
      </c>
      <c r="J1453" s="877">
        <f>'REF. DE PREÇOS n editavel'!J1453</f>
        <v>128.82</v>
      </c>
      <c r="K1453" s="878" t="s">
        <v>1500</v>
      </c>
      <c r="L1453" s="1092"/>
      <c r="M1453" s="1093">
        <f t="shared" si="157"/>
        <v>0</v>
      </c>
      <c r="N1453" s="868">
        <f t="shared" si="161"/>
        <v>0</v>
      </c>
      <c r="O1453" s="880"/>
      <c r="Q1453" s="317" t="str">
        <f t="shared" si="158"/>
        <v/>
      </c>
      <c r="R1453" s="317" t="str">
        <f t="shared" si="159"/>
        <v/>
      </c>
      <c r="S1453" s="317" t="str">
        <f t="shared" si="160"/>
        <v/>
      </c>
      <c r="T1453" s="317" t="str">
        <f>'REF. DE PREÇOS n editavel'!S1453</f>
        <v/>
      </c>
      <c r="W1453" s="577">
        <v>0</v>
      </c>
      <c r="X1453" s="575"/>
      <c r="Y1453" s="578">
        <f>IF('REF. DE PREÇOS n editavel'!W1453=0,0,IF('REF. DE PREÇOS n editavel'!W1453&gt;0,"c","b"))</f>
        <v>0</v>
      </c>
    </row>
    <row r="1454" spans="1:25">
      <c r="A1454" s="317">
        <v>101641</v>
      </c>
      <c r="B1454" s="870">
        <v>101641</v>
      </c>
      <c r="C1454" s="871" t="s">
        <v>590</v>
      </c>
      <c r="D1454" s="881" t="s">
        <v>1363</v>
      </c>
      <c r="E1454" s="882">
        <f>'REF. DE PREÇOS n editavel'!E1454</f>
        <v>0</v>
      </c>
      <c r="F1454" s="883">
        <f>'REF. DE PREÇOS n editavel'!F1454</f>
        <v>0</v>
      </c>
      <c r="G1454" s="887">
        <f>'REF. DE PREÇOS n editavel'!G1454</f>
        <v>0</v>
      </c>
      <c r="H1454" s="876">
        <f>'REF. DE PREÇOS n editavel'!H1454</f>
        <v>54.66</v>
      </c>
      <c r="I1454" s="876">
        <f>'REF. DE PREÇOS n editavel'!I1454</f>
        <v>54.66</v>
      </c>
      <c r="J1454" s="877">
        <f>'REF. DE PREÇOS n editavel'!J1454</f>
        <v>66.81</v>
      </c>
      <c r="K1454" s="878" t="s">
        <v>1500</v>
      </c>
      <c r="L1454" s="1092"/>
      <c r="M1454" s="1093">
        <f t="shared" si="157"/>
        <v>0</v>
      </c>
      <c r="N1454" s="868">
        <f t="shared" si="161"/>
        <v>0</v>
      </c>
      <c r="O1454" s="880"/>
      <c r="Q1454" s="317" t="str">
        <f t="shared" si="158"/>
        <v/>
      </c>
      <c r="R1454" s="317" t="str">
        <f t="shared" si="159"/>
        <v/>
      </c>
      <c r="S1454" s="317" t="str">
        <f t="shared" si="160"/>
        <v/>
      </c>
      <c r="T1454" s="317" t="str">
        <f>'REF. DE PREÇOS n editavel'!S1454</f>
        <v/>
      </c>
      <c r="W1454" s="577">
        <v>0</v>
      </c>
      <c r="X1454" s="575"/>
      <c r="Y1454" s="578">
        <f>IF('REF. DE PREÇOS n editavel'!W1454=0,0,IF('REF. DE PREÇOS n editavel'!W1454&gt;0,"c","b"))</f>
        <v>0</v>
      </c>
    </row>
    <row r="1455" spans="1:25">
      <c r="A1455" s="317">
        <v>101642</v>
      </c>
      <c r="B1455" s="870">
        <v>101642</v>
      </c>
      <c r="C1455" s="871" t="s">
        <v>590</v>
      </c>
      <c r="D1455" s="881" t="s">
        <v>1364</v>
      </c>
      <c r="E1455" s="882">
        <f>'REF. DE PREÇOS n editavel'!E1455</f>
        <v>0</v>
      </c>
      <c r="F1455" s="883">
        <f>'REF. DE PREÇOS n editavel'!F1455</f>
        <v>0</v>
      </c>
      <c r="G1455" s="887">
        <f>'REF. DE PREÇOS n editavel'!G1455</f>
        <v>0</v>
      </c>
      <c r="H1455" s="876">
        <f>'REF. DE PREÇOS n editavel'!H1455</f>
        <v>27.5</v>
      </c>
      <c r="I1455" s="876">
        <f>'REF. DE PREÇOS n editavel'!I1455</f>
        <v>27.5</v>
      </c>
      <c r="J1455" s="877">
        <f>'REF. DE PREÇOS n editavel'!J1455</f>
        <v>33.61</v>
      </c>
      <c r="K1455" s="878" t="s">
        <v>1500</v>
      </c>
      <c r="L1455" s="1092"/>
      <c r="M1455" s="1093">
        <f t="shared" si="157"/>
        <v>0</v>
      </c>
      <c r="N1455" s="868">
        <f t="shared" si="161"/>
        <v>0</v>
      </c>
      <c r="O1455" s="880"/>
      <c r="Q1455" s="317" t="str">
        <f t="shared" si="158"/>
        <v/>
      </c>
      <c r="R1455" s="317" t="str">
        <f t="shared" si="159"/>
        <v/>
      </c>
      <c r="S1455" s="317" t="str">
        <f t="shared" si="160"/>
        <v/>
      </c>
      <c r="T1455" s="317" t="str">
        <f>'REF. DE PREÇOS n editavel'!S1455</f>
        <v/>
      </c>
      <c r="W1455" s="577">
        <v>0</v>
      </c>
      <c r="X1455" s="575"/>
      <c r="Y1455" s="578">
        <f>IF('REF. DE PREÇOS n editavel'!W1455=0,0,IF('REF. DE PREÇOS n editavel'!W1455&gt;0,"c","b"))</f>
        <v>0</v>
      </c>
    </row>
    <row r="1456" spans="1:25">
      <c r="A1456" s="317">
        <v>101643</v>
      </c>
      <c r="B1456" s="870">
        <v>101643</v>
      </c>
      <c r="C1456" s="871" t="s">
        <v>590</v>
      </c>
      <c r="D1456" s="881" t="s">
        <v>1365</v>
      </c>
      <c r="E1456" s="882">
        <f>'REF. DE PREÇOS n editavel'!E1456</f>
        <v>0</v>
      </c>
      <c r="F1456" s="883">
        <f>'REF. DE PREÇOS n editavel'!F1456</f>
        <v>0</v>
      </c>
      <c r="G1456" s="887">
        <f>'REF. DE PREÇOS n editavel'!G1456</f>
        <v>0</v>
      </c>
      <c r="H1456" s="876">
        <f>'REF. DE PREÇOS n editavel'!H1456</f>
        <v>47.73</v>
      </c>
      <c r="I1456" s="876">
        <f>'REF. DE PREÇOS n editavel'!I1456</f>
        <v>47.73</v>
      </c>
      <c r="J1456" s="877">
        <f>'REF. DE PREÇOS n editavel'!J1456</f>
        <v>58.34</v>
      </c>
      <c r="K1456" s="878" t="s">
        <v>1500</v>
      </c>
      <c r="L1456" s="1092"/>
      <c r="M1456" s="1093">
        <f t="shared" si="157"/>
        <v>0</v>
      </c>
      <c r="N1456" s="868">
        <f t="shared" si="161"/>
        <v>0</v>
      </c>
      <c r="O1456" s="880"/>
      <c r="Q1456" s="317" t="str">
        <f t="shared" si="158"/>
        <v/>
      </c>
      <c r="R1456" s="317" t="str">
        <f t="shared" si="159"/>
        <v/>
      </c>
      <c r="S1456" s="317" t="str">
        <f t="shared" si="160"/>
        <v/>
      </c>
      <c r="T1456" s="317" t="str">
        <f>'REF. DE PREÇOS n editavel'!S1456</f>
        <v/>
      </c>
      <c r="W1456" s="577">
        <v>0</v>
      </c>
      <c r="X1456" s="575"/>
      <c r="Y1456" s="578">
        <f>IF('REF. DE PREÇOS n editavel'!W1456=0,0,IF('REF. DE PREÇOS n editavel'!W1456&gt;0,"c","b"))</f>
        <v>0</v>
      </c>
    </row>
    <row r="1457" spans="1:25">
      <c r="A1457" s="317">
        <v>101644</v>
      </c>
      <c r="B1457" s="870">
        <v>101644</v>
      </c>
      <c r="C1457" s="871" t="s">
        <v>590</v>
      </c>
      <c r="D1457" s="881" t="s">
        <v>1366</v>
      </c>
      <c r="E1457" s="882">
        <f>'REF. DE PREÇOS n editavel'!E1457</f>
        <v>0</v>
      </c>
      <c r="F1457" s="883">
        <f>'REF. DE PREÇOS n editavel'!F1457</f>
        <v>0</v>
      </c>
      <c r="G1457" s="887">
        <f>'REF. DE PREÇOS n editavel'!G1457</f>
        <v>0</v>
      </c>
      <c r="H1457" s="876">
        <f>'REF. DE PREÇOS n editavel'!H1457</f>
        <v>64.540000000000006</v>
      </c>
      <c r="I1457" s="876">
        <f>'REF. DE PREÇOS n editavel'!I1457</f>
        <v>64.540000000000006</v>
      </c>
      <c r="J1457" s="877">
        <f>'REF. DE PREÇOS n editavel'!J1457</f>
        <v>78.88</v>
      </c>
      <c r="K1457" s="878" t="s">
        <v>1500</v>
      </c>
      <c r="L1457" s="1092"/>
      <c r="M1457" s="1093">
        <f t="shared" si="157"/>
        <v>0</v>
      </c>
      <c r="N1457" s="868">
        <f t="shared" si="161"/>
        <v>0</v>
      </c>
      <c r="O1457" s="880"/>
      <c r="Q1457" s="317" t="str">
        <f t="shared" si="158"/>
        <v/>
      </c>
      <c r="R1457" s="317" t="str">
        <f t="shared" si="159"/>
        <v/>
      </c>
      <c r="S1457" s="317" t="str">
        <f t="shared" si="160"/>
        <v/>
      </c>
      <c r="T1457" s="317" t="str">
        <f>'REF. DE PREÇOS n editavel'!S1457</f>
        <v/>
      </c>
      <c r="W1457" s="577">
        <v>0</v>
      </c>
      <c r="X1457" s="575"/>
      <c r="Y1457" s="578">
        <f>IF('REF. DE PREÇOS n editavel'!W1457=0,0,IF('REF. DE PREÇOS n editavel'!W1457&gt;0,"c","b"))</f>
        <v>0</v>
      </c>
    </row>
    <row r="1458" spans="1:25">
      <c r="A1458" s="317">
        <v>101645</v>
      </c>
      <c r="B1458" s="870">
        <v>101645</v>
      </c>
      <c r="C1458" s="871" t="s">
        <v>590</v>
      </c>
      <c r="D1458" s="881" t="s">
        <v>1367</v>
      </c>
      <c r="E1458" s="882">
        <f>'REF. DE PREÇOS n editavel'!E1458</f>
        <v>0</v>
      </c>
      <c r="F1458" s="883">
        <f>'REF. DE PREÇOS n editavel'!F1458</f>
        <v>0</v>
      </c>
      <c r="G1458" s="887">
        <f>'REF. DE PREÇOS n editavel'!G1458</f>
        <v>0</v>
      </c>
      <c r="H1458" s="876">
        <f>'REF. DE PREÇOS n editavel'!H1458</f>
        <v>30.63</v>
      </c>
      <c r="I1458" s="876">
        <f>'REF. DE PREÇOS n editavel'!I1458</f>
        <v>30.63</v>
      </c>
      <c r="J1458" s="877">
        <f>'REF. DE PREÇOS n editavel'!J1458</f>
        <v>37.44</v>
      </c>
      <c r="K1458" s="878" t="s">
        <v>1500</v>
      </c>
      <c r="L1458" s="1092"/>
      <c r="M1458" s="1093">
        <f t="shared" si="157"/>
        <v>0</v>
      </c>
      <c r="N1458" s="868">
        <f t="shared" si="161"/>
        <v>0</v>
      </c>
      <c r="O1458" s="880"/>
      <c r="Q1458" s="317" t="str">
        <f t="shared" si="158"/>
        <v/>
      </c>
      <c r="R1458" s="317" t="str">
        <f t="shared" si="159"/>
        <v/>
      </c>
      <c r="S1458" s="317" t="str">
        <f t="shared" si="160"/>
        <v/>
      </c>
      <c r="T1458" s="317" t="str">
        <f>'REF. DE PREÇOS n editavel'!S1458</f>
        <v/>
      </c>
      <c r="W1458" s="577">
        <v>0</v>
      </c>
      <c r="X1458" s="575"/>
      <c r="Y1458" s="578">
        <f>IF('REF. DE PREÇOS n editavel'!W1458=0,0,IF('REF. DE PREÇOS n editavel'!W1458&gt;0,"c","b"))</f>
        <v>0</v>
      </c>
    </row>
    <row r="1459" spans="1:25">
      <c r="A1459" s="317">
        <v>101646</v>
      </c>
      <c r="B1459" s="870">
        <v>101646</v>
      </c>
      <c r="C1459" s="871" t="s">
        <v>590</v>
      </c>
      <c r="D1459" s="881" t="s">
        <v>1368</v>
      </c>
      <c r="E1459" s="882">
        <f>'REF. DE PREÇOS n editavel'!E1459</f>
        <v>0</v>
      </c>
      <c r="F1459" s="883">
        <f>'REF. DE PREÇOS n editavel'!F1459</f>
        <v>0</v>
      </c>
      <c r="G1459" s="887">
        <f>'REF. DE PREÇOS n editavel'!G1459</f>
        <v>0</v>
      </c>
      <c r="H1459" s="876">
        <f>'REF. DE PREÇOS n editavel'!H1459</f>
        <v>40.630000000000003</v>
      </c>
      <c r="I1459" s="876">
        <f>'REF. DE PREÇOS n editavel'!I1459</f>
        <v>40.630000000000003</v>
      </c>
      <c r="J1459" s="877">
        <f>'REF. DE PREÇOS n editavel'!J1459</f>
        <v>49.66</v>
      </c>
      <c r="K1459" s="878" t="s">
        <v>1500</v>
      </c>
      <c r="L1459" s="1092"/>
      <c r="M1459" s="1093">
        <f t="shared" si="157"/>
        <v>0</v>
      </c>
      <c r="N1459" s="868">
        <f t="shared" si="161"/>
        <v>0</v>
      </c>
      <c r="O1459" s="880"/>
      <c r="Q1459" s="317" t="str">
        <f t="shared" si="158"/>
        <v/>
      </c>
      <c r="R1459" s="317" t="str">
        <f t="shared" si="159"/>
        <v/>
      </c>
      <c r="S1459" s="317" t="str">
        <f t="shared" si="160"/>
        <v/>
      </c>
      <c r="T1459" s="317" t="str">
        <f>'REF. DE PREÇOS n editavel'!S1459</f>
        <v/>
      </c>
      <c r="W1459" s="577">
        <v>0</v>
      </c>
      <c r="X1459" s="575"/>
      <c r="Y1459" s="578">
        <f>IF('REF. DE PREÇOS n editavel'!W1459=0,0,IF('REF. DE PREÇOS n editavel'!W1459&gt;0,"c","b"))</f>
        <v>0</v>
      </c>
    </row>
    <row r="1460" spans="1:25">
      <c r="A1460" s="317">
        <v>101647</v>
      </c>
      <c r="B1460" s="870">
        <v>101647</v>
      </c>
      <c r="C1460" s="871" t="s">
        <v>590</v>
      </c>
      <c r="D1460" s="881" t="s">
        <v>1369</v>
      </c>
      <c r="E1460" s="882">
        <f>'REF. DE PREÇOS n editavel'!E1460</f>
        <v>0</v>
      </c>
      <c r="F1460" s="883">
        <f>'REF. DE PREÇOS n editavel'!F1460</f>
        <v>0</v>
      </c>
      <c r="G1460" s="887">
        <f>'REF. DE PREÇOS n editavel'!G1460</f>
        <v>0</v>
      </c>
      <c r="H1460" s="876">
        <f>'REF. DE PREÇOS n editavel'!H1460</f>
        <v>74.489999999999995</v>
      </c>
      <c r="I1460" s="876">
        <f>'REF. DE PREÇOS n editavel'!I1460</f>
        <v>74.489999999999995</v>
      </c>
      <c r="J1460" s="877">
        <f>'REF. DE PREÇOS n editavel'!J1460</f>
        <v>91.04</v>
      </c>
      <c r="K1460" s="878" t="s">
        <v>1500</v>
      </c>
      <c r="L1460" s="1092"/>
      <c r="M1460" s="1093">
        <f t="shared" si="157"/>
        <v>0</v>
      </c>
      <c r="N1460" s="868">
        <f t="shared" si="161"/>
        <v>0</v>
      </c>
      <c r="O1460" s="880"/>
      <c r="Q1460" s="317" t="str">
        <f t="shared" si="158"/>
        <v/>
      </c>
      <c r="R1460" s="317" t="str">
        <f t="shared" si="159"/>
        <v/>
      </c>
      <c r="S1460" s="317" t="str">
        <f t="shared" si="160"/>
        <v/>
      </c>
      <c r="T1460" s="317" t="str">
        <f>'REF. DE PREÇOS n editavel'!S1460</f>
        <v/>
      </c>
      <c r="W1460" s="577">
        <v>0</v>
      </c>
      <c r="X1460" s="575"/>
      <c r="Y1460" s="578">
        <f>IF('REF. DE PREÇOS n editavel'!W1460=0,0,IF('REF. DE PREÇOS n editavel'!W1460&gt;0,"c","b"))</f>
        <v>0</v>
      </c>
    </row>
    <row r="1461" spans="1:25" ht="22.5">
      <c r="A1461" s="317">
        <v>102085</v>
      </c>
      <c r="B1461" s="870">
        <v>102085</v>
      </c>
      <c r="C1461" s="871" t="s">
        <v>590</v>
      </c>
      <c r="D1461" s="881" t="s">
        <v>1370</v>
      </c>
      <c r="E1461" s="882">
        <f>'REF. DE PREÇOS n editavel'!E1461</f>
        <v>0</v>
      </c>
      <c r="F1461" s="883">
        <f>'REF. DE PREÇOS n editavel'!F1461</f>
        <v>0</v>
      </c>
      <c r="G1461" s="887">
        <f>'REF. DE PREÇOS n editavel'!G1461</f>
        <v>0</v>
      </c>
      <c r="H1461" s="876">
        <f>'REF. DE PREÇOS n editavel'!H1461</f>
        <v>228.92</v>
      </c>
      <c r="I1461" s="876">
        <f>'REF. DE PREÇOS n editavel'!I1461</f>
        <v>228.92</v>
      </c>
      <c r="J1461" s="877">
        <f>'REF. DE PREÇOS n editavel'!J1461</f>
        <v>279.79000000000002</v>
      </c>
      <c r="K1461" s="878" t="s">
        <v>1500</v>
      </c>
      <c r="L1461" s="1092"/>
      <c r="M1461" s="1093">
        <f t="shared" si="157"/>
        <v>0</v>
      </c>
      <c r="N1461" s="868">
        <f t="shared" si="161"/>
        <v>0</v>
      </c>
      <c r="O1461" s="880"/>
      <c r="Q1461" s="317" t="str">
        <f t="shared" si="158"/>
        <v/>
      </c>
      <c r="R1461" s="317" t="str">
        <f t="shared" si="159"/>
        <v/>
      </c>
      <c r="S1461" s="317" t="str">
        <f t="shared" si="160"/>
        <v/>
      </c>
      <c r="T1461" s="317" t="str">
        <f>'REF. DE PREÇOS n editavel'!S1461</f>
        <v/>
      </c>
      <c r="W1461" s="577">
        <v>0</v>
      </c>
      <c r="X1461" s="575"/>
      <c r="Y1461" s="578">
        <f>IF('REF. DE PREÇOS n editavel'!W1461=0,0,IF('REF. DE PREÇOS n editavel'!W1461&gt;0,"c","b"))</f>
        <v>0</v>
      </c>
    </row>
    <row r="1462" spans="1:25" ht="22.5">
      <c r="A1462" s="317">
        <v>97605</v>
      </c>
      <c r="B1462" s="870">
        <v>97605</v>
      </c>
      <c r="C1462" s="871" t="s">
        <v>590</v>
      </c>
      <c r="D1462" s="881" t="s">
        <v>1371</v>
      </c>
      <c r="E1462" s="882">
        <f>'REF. DE PREÇOS n editavel'!E1462</f>
        <v>0</v>
      </c>
      <c r="F1462" s="883">
        <f>'REF. DE PREÇOS n editavel'!F1462</f>
        <v>0</v>
      </c>
      <c r="G1462" s="887">
        <f>'REF. DE PREÇOS n editavel'!G1462</f>
        <v>0</v>
      </c>
      <c r="H1462" s="876">
        <f>'REF. DE PREÇOS n editavel'!H1462</f>
        <v>105.71</v>
      </c>
      <c r="I1462" s="876">
        <f>'REF. DE PREÇOS n editavel'!I1462</f>
        <v>105.71</v>
      </c>
      <c r="J1462" s="877">
        <f>'REF. DE PREÇOS n editavel'!J1462</f>
        <v>129.19999999999999</v>
      </c>
      <c r="K1462" s="878" t="s">
        <v>1500</v>
      </c>
      <c r="L1462" s="1092"/>
      <c r="M1462" s="1093">
        <f t="shared" si="157"/>
        <v>0</v>
      </c>
      <c r="N1462" s="868">
        <f t="shared" si="161"/>
        <v>0</v>
      </c>
      <c r="O1462" s="880"/>
      <c r="Q1462" s="317" t="str">
        <f t="shared" si="158"/>
        <v/>
      </c>
      <c r="R1462" s="317" t="str">
        <f t="shared" si="159"/>
        <v/>
      </c>
      <c r="S1462" s="317" t="str">
        <f t="shared" si="160"/>
        <v/>
      </c>
      <c r="T1462" s="317" t="str">
        <f>'REF. DE PREÇOS n editavel'!S1462</f>
        <v/>
      </c>
      <c r="W1462" s="577">
        <v>0</v>
      </c>
      <c r="X1462" s="575"/>
      <c r="Y1462" s="578">
        <f>IF('REF. DE PREÇOS n editavel'!W1462=0,0,IF('REF. DE PREÇOS n editavel'!W1462&gt;0,"c","b"))</f>
        <v>0</v>
      </c>
    </row>
    <row r="1463" spans="1:25" ht="22.5">
      <c r="A1463" s="317">
        <v>101654</v>
      </c>
      <c r="B1463" s="870">
        <v>101654</v>
      </c>
      <c r="C1463" s="871" t="s">
        <v>590</v>
      </c>
      <c r="D1463" s="881" t="s">
        <v>1372</v>
      </c>
      <c r="E1463" s="882">
        <f>'REF. DE PREÇOS n editavel'!E1463</f>
        <v>0</v>
      </c>
      <c r="F1463" s="883">
        <f>'REF. DE PREÇOS n editavel'!F1463</f>
        <v>0</v>
      </c>
      <c r="G1463" s="887">
        <f>'REF. DE PREÇOS n editavel'!G1463</f>
        <v>0</v>
      </c>
      <c r="H1463" s="876">
        <f>'REF. DE PREÇOS n editavel'!H1463</f>
        <v>292.29000000000002</v>
      </c>
      <c r="I1463" s="876">
        <f>'REF. DE PREÇOS n editavel'!I1463</f>
        <v>292.29000000000002</v>
      </c>
      <c r="J1463" s="877">
        <f>'REF. DE PREÇOS n editavel'!J1463</f>
        <v>357.24</v>
      </c>
      <c r="K1463" s="878" t="s">
        <v>1500</v>
      </c>
      <c r="L1463" s="1092"/>
      <c r="M1463" s="1093">
        <f t="shared" si="157"/>
        <v>0</v>
      </c>
      <c r="N1463" s="868">
        <f t="shared" si="161"/>
        <v>0</v>
      </c>
      <c r="O1463" s="880"/>
      <c r="Q1463" s="317" t="str">
        <f t="shared" si="158"/>
        <v/>
      </c>
      <c r="R1463" s="317" t="str">
        <f t="shared" si="159"/>
        <v/>
      </c>
      <c r="S1463" s="317" t="str">
        <f t="shared" si="160"/>
        <v/>
      </c>
      <c r="T1463" s="317" t="str">
        <f>'REF. DE PREÇOS n editavel'!S1463</f>
        <v/>
      </c>
      <c r="W1463" s="577">
        <v>0</v>
      </c>
      <c r="X1463" s="575"/>
      <c r="Y1463" s="578">
        <f>IF('REF. DE PREÇOS n editavel'!W1463=0,0,IF('REF. DE PREÇOS n editavel'!W1463&gt;0,"c","b"))</f>
        <v>0</v>
      </c>
    </row>
    <row r="1464" spans="1:25" ht="22.5">
      <c r="A1464" s="317">
        <v>101655</v>
      </c>
      <c r="B1464" s="870">
        <v>101655</v>
      </c>
      <c r="C1464" s="871" t="s">
        <v>590</v>
      </c>
      <c r="D1464" s="881" t="s">
        <v>1373</v>
      </c>
      <c r="E1464" s="882">
        <f>'REF. DE PREÇOS n editavel'!E1464</f>
        <v>0</v>
      </c>
      <c r="F1464" s="883">
        <f>'REF. DE PREÇOS n editavel'!F1464</f>
        <v>0</v>
      </c>
      <c r="G1464" s="887">
        <f>'REF. DE PREÇOS n editavel'!G1464</f>
        <v>0</v>
      </c>
      <c r="H1464" s="876">
        <f>'REF. DE PREÇOS n editavel'!H1464</f>
        <v>473.09</v>
      </c>
      <c r="I1464" s="876">
        <f>'REF. DE PREÇOS n editavel'!I1464</f>
        <v>473.09</v>
      </c>
      <c r="J1464" s="877">
        <f>'REF. DE PREÇOS n editavel'!J1464</f>
        <v>578.21</v>
      </c>
      <c r="K1464" s="878" t="s">
        <v>1500</v>
      </c>
      <c r="L1464" s="1092"/>
      <c r="M1464" s="1093">
        <f t="shared" si="157"/>
        <v>0</v>
      </c>
      <c r="N1464" s="868">
        <f t="shared" si="161"/>
        <v>0</v>
      </c>
      <c r="O1464" s="880"/>
      <c r="Q1464" s="317" t="str">
        <f t="shared" si="158"/>
        <v/>
      </c>
      <c r="R1464" s="317" t="str">
        <f t="shared" si="159"/>
        <v/>
      </c>
      <c r="S1464" s="317" t="str">
        <f t="shared" si="160"/>
        <v/>
      </c>
      <c r="T1464" s="317" t="str">
        <f>'REF. DE PREÇOS n editavel'!S1464</f>
        <v/>
      </c>
      <c r="W1464" s="577">
        <v>0</v>
      </c>
      <c r="X1464" s="575"/>
      <c r="Y1464" s="578">
        <f>IF('REF. DE PREÇOS n editavel'!W1464=0,0,IF('REF. DE PREÇOS n editavel'!W1464&gt;0,"c","b"))</f>
        <v>0</v>
      </c>
    </row>
    <row r="1465" spans="1:25" ht="22.5">
      <c r="A1465" s="317">
        <v>101656</v>
      </c>
      <c r="B1465" s="870">
        <v>101656</v>
      </c>
      <c r="C1465" s="871" t="s">
        <v>590</v>
      </c>
      <c r="D1465" s="881" t="s">
        <v>1374</v>
      </c>
      <c r="E1465" s="882">
        <f>'REF. DE PREÇOS n editavel'!E1465</f>
        <v>0</v>
      </c>
      <c r="F1465" s="883">
        <f>'REF. DE PREÇOS n editavel'!F1465</f>
        <v>0</v>
      </c>
      <c r="G1465" s="887">
        <f>'REF. DE PREÇOS n editavel'!G1465</f>
        <v>0</v>
      </c>
      <c r="H1465" s="876">
        <f>'REF. DE PREÇOS n editavel'!H1465</f>
        <v>515.30999999999995</v>
      </c>
      <c r="I1465" s="876">
        <f>'REF. DE PREÇOS n editavel'!I1465</f>
        <v>515.30999999999995</v>
      </c>
      <c r="J1465" s="877">
        <f>'REF. DE PREÇOS n editavel'!J1465</f>
        <v>629.80999999999995</v>
      </c>
      <c r="K1465" s="878" t="s">
        <v>1500</v>
      </c>
      <c r="L1465" s="1092"/>
      <c r="M1465" s="1093">
        <f t="shared" si="157"/>
        <v>0</v>
      </c>
      <c r="N1465" s="868">
        <f t="shared" si="161"/>
        <v>0</v>
      </c>
      <c r="O1465" s="880"/>
      <c r="Q1465" s="317" t="str">
        <f t="shared" si="158"/>
        <v/>
      </c>
      <c r="R1465" s="317" t="str">
        <f t="shared" si="159"/>
        <v/>
      </c>
      <c r="S1465" s="317" t="str">
        <f t="shared" si="160"/>
        <v/>
      </c>
      <c r="T1465" s="317" t="str">
        <f>'REF. DE PREÇOS n editavel'!S1465</f>
        <v/>
      </c>
      <c r="W1465" s="577">
        <v>0</v>
      </c>
      <c r="X1465" s="575"/>
      <c r="Y1465" s="578">
        <f>IF('REF. DE PREÇOS n editavel'!W1465=0,0,IF('REF. DE PREÇOS n editavel'!W1465&gt;0,"c","b"))</f>
        <v>0</v>
      </c>
    </row>
    <row r="1466" spans="1:25" ht="22.5">
      <c r="A1466" s="317">
        <v>101657</v>
      </c>
      <c r="B1466" s="870">
        <v>101657</v>
      </c>
      <c r="C1466" s="871" t="s">
        <v>590</v>
      </c>
      <c r="D1466" s="881" t="s">
        <v>1375</v>
      </c>
      <c r="E1466" s="882">
        <f>'REF. DE PREÇOS n editavel'!E1466</f>
        <v>0</v>
      </c>
      <c r="F1466" s="883">
        <f>'REF. DE PREÇOS n editavel'!F1466</f>
        <v>0</v>
      </c>
      <c r="G1466" s="887">
        <f>'REF. DE PREÇOS n editavel'!G1466</f>
        <v>0</v>
      </c>
      <c r="H1466" s="876">
        <f>'REF. DE PREÇOS n editavel'!H1466</f>
        <v>605.23</v>
      </c>
      <c r="I1466" s="876">
        <f>'REF. DE PREÇOS n editavel'!I1466</f>
        <v>605.23</v>
      </c>
      <c r="J1466" s="877">
        <f>'REF. DE PREÇOS n editavel'!J1466</f>
        <v>739.71</v>
      </c>
      <c r="K1466" s="878" t="s">
        <v>1500</v>
      </c>
      <c r="L1466" s="1092"/>
      <c r="M1466" s="1093">
        <f t="shared" si="157"/>
        <v>0</v>
      </c>
      <c r="N1466" s="868">
        <f t="shared" si="161"/>
        <v>0</v>
      </c>
      <c r="O1466" s="880"/>
      <c r="Q1466" s="317" t="str">
        <f t="shared" si="158"/>
        <v/>
      </c>
      <c r="R1466" s="317" t="str">
        <f t="shared" si="159"/>
        <v/>
      </c>
      <c r="S1466" s="317" t="str">
        <f t="shared" si="160"/>
        <v/>
      </c>
      <c r="T1466" s="317" t="str">
        <f>'REF. DE PREÇOS n editavel'!S1466</f>
        <v/>
      </c>
      <c r="W1466" s="577">
        <v>0</v>
      </c>
      <c r="X1466" s="575"/>
      <c r="Y1466" s="578">
        <f>IF('REF. DE PREÇOS n editavel'!W1466=0,0,IF('REF. DE PREÇOS n editavel'!W1466&gt;0,"c","b"))</f>
        <v>0</v>
      </c>
    </row>
    <row r="1467" spans="1:25" ht="22.5">
      <c r="A1467" s="317">
        <v>101658</v>
      </c>
      <c r="B1467" s="870">
        <v>101658</v>
      </c>
      <c r="C1467" s="871" t="s">
        <v>590</v>
      </c>
      <c r="D1467" s="881" t="s">
        <v>1376</v>
      </c>
      <c r="E1467" s="882">
        <f>'REF. DE PREÇOS n editavel'!E1467</f>
        <v>0</v>
      </c>
      <c r="F1467" s="883">
        <f>'REF. DE PREÇOS n editavel'!F1467</f>
        <v>0</v>
      </c>
      <c r="G1467" s="887">
        <f>'REF. DE PREÇOS n editavel'!G1467</f>
        <v>0</v>
      </c>
      <c r="H1467" s="876">
        <f>'REF. DE PREÇOS n editavel'!H1467</f>
        <v>790.12</v>
      </c>
      <c r="I1467" s="876">
        <f>'REF. DE PREÇOS n editavel'!I1467</f>
        <v>790.12</v>
      </c>
      <c r="J1467" s="877">
        <f>'REF. DE PREÇOS n editavel'!J1467</f>
        <v>965.68</v>
      </c>
      <c r="K1467" s="878" t="s">
        <v>1500</v>
      </c>
      <c r="L1467" s="1092"/>
      <c r="M1467" s="1093">
        <f t="shared" si="157"/>
        <v>0</v>
      </c>
      <c r="N1467" s="868">
        <f t="shared" si="161"/>
        <v>0</v>
      </c>
      <c r="O1467" s="880"/>
      <c r="Q1467" s="317" t="str">
        <f t="shared" si="158"/>
        <v/>
      </c>
      <c r="R1467" s="317" t="str">
        <f t="shared" si="159"/>
        <v/>
      </c>
      <c r="S1467" s="317" t="str">
        <f t="shared" si="160"/>
        <v/>
      </c>
      <c r="T1467" s="317" t="str">
        <f>'REF. DE PREÇOS n editavel'!S1467</f>
        <v/>
      </c>
      <c r="W1467" s="577">
        <v>0</v>
      </c>
      <c r="X1467" s="575"/>
      <c r="Y1467" s="578">
        <f>IF('REF. DE PREÇOS n editavel'!W1467=0,0,IF('REF. DE PREÇOS n editavel'!W1467&gt;0,"c","b"))</f>
        <v>0</v>
      </c>
    </row>
    <row r="1468" spans="1:25" ht="22.5">
      <c r="A1468" s="317">
        <v>101659</v>
      </c>
      <c r="B1468" s="870">
        <v>101659</v>
      </c>
      <c r="C1468" s="871" t="s">
        <v>590</v>
      </c>
      <c r="D1468" s="881" t="s">
        <v>1377</v>
      </c>
      <c r="E1468" s="882">
        <f>'REF. DE PREÇOS n editavel'!E1468</f>
        <v>0</v>
      </c>
      <c r="F1468" s="883">
        <f>'REF. DE PREÇOS n editavel'!F1468</f>
        <v>0</v>
      </c>
      <c r="G1468" s="887">
        <f>'REF. DE PREÇOS n editavel'!G1468</f>
        <v>0</v>
      </c>
      <c r="H1468" s="876">
        <f>'REF. DE PREÇOS n editavel'!H1468</f>
        <v>905.12</v>
      </c>
      <c r="I1468" s="876">
        <f>'REF. DE PREÇOS n editavel'!I1468</f>
        <v>905.12</v>
      </c>
      <c r="J1468" s="877">
        <f>'REF. DE PREÇOS n editavel'!J1468</f>
        <v>1106.24</v>
      </c>
      <c r="K1468" s="878" t="s">
        <v>1500</v>
      </c>
      <c r="L1468" s="1092"/>
      <c r="M1468" s="1093">
        <f t="shared" si="157"/>
        <v>0</v>
      </c>
      <c r="N1468" s="868">
        <f t="shared" si="161"/>
        <v>0</v>
      </c>
      <c r="O1468" s="880"/>
      <c r="Q1468" s="317" t="str">
        <f t="shared" si="158"/>
        <v/>
      </c>
      <c r="R1468" s="317" t="str">
        <f t="shared" si="159"/>
        <v/>
      </c>
      <c r="S1468" s="317" t="str">
        <f t="shared" si="160"/>
        <v/>
      </c>
      <c r="T1468" s="317" t="str">
        <f>'REF. DE PREÇOS n editavel'!S1468</f>
        <v/>
      </c>
      <c r="W1468" s="577">
        <v>0</v>
      </c>
      <c r="X1468" s="575"/>
      <c r="Y1468" s="578">
        <f>IF('REF. DE PREÇOS n editavel'!W1468=0,0,IF('REF. DE PREÇOS n editavel'!W1468&gt;0,"c","b"))</f>
        <v>0</v>
      </c>
    </row>
    <row r="1469" spans="1:25" ht="22.5">
      <c r="A1469" s="317">
        <v>101660</v>
      </c>
      <c r="B1469" s="870">
        <v>101660</v>
      </c>
      <c r="C1469" s="871" t="s">
        <v>590</v>
      </c>
      <c r="D1469" s="881" t="s">
        <v>1378</v>
      </c>
      <c r="E1469" s="882">
        <f>'REF. DE PREÇOS n editavel'!E1469</f>
        <v>0</v>
      </c>
      <c r="F1469" s="883">
        <f>'REF. DE PREÇOS n editavel'!F1469</f>
        <v>0</v>
      </c>
      <c r="G1469" s="887">
        <f>'REF. DE PREÇOS n editavel'!G1469</f>
        <v>0</v>
      </c>
      <c r="H1469" s="876">
        <f>'REF. DE PREÇOS n editavel'!H1469</f>
        <v>1447.98</v>
      </c>
      <c r="I1469" s="876">
        <f>'REF. DE PREÇOS n editavel'!I1469</f>
        <v>1447.98</v>
      </c>
      <c r="J1469" s="877">
        <f>'REF. DE PREÇOS n editavel'!J1469</f>
        <v>1769.72</v>
      </c>
      <c r="K1469" s="878" t="s">
        <v>1500</v>
      </c>
      <c r="L1469" s="1092"/>
      <c r="M1469" s="1093">
        <f t="shared" si="157"/>
        <v>0</v>
      </c>
      <c r="N1469" s="868">
        <f t="shared" si="161"/>
        <v>0</v>
      </c>
      <c r="O1469" s="880"/>
      <c r="Q1469" s="317" t="str">
        <f t="shared" si="158"/>
        <v/>
      </c>
      <c r="R1469" s="317" t="str">
        <f t="shared" si="159"/>
        <v/>
      </c>
      <c r="S1469" s="317" t="str">
        <f t="shared" si="160"/>
        <v/>
      </c>
      <c r="T1469" s="317" t="str">
        <f>'REF. DE PREÇOS n editavel'!S1469</f>
        <v/>
      </c>
      <c r="W1469" s="577">
        <v>0</v>
      </c>
      <c r="X1469" s="575"/>
      <c r="Y1469" s="578">
        <f>IF('REF. DE PREÇOS n editavel'!W1469=0,0,IF('REF. DE PREÇOS n editavel'!W1469&gt;0,"c","b"))</f>
        <v>0</v>
      </c>
    </row>
    <row r="1470" spans="1:25" ht="22.5">
      <c r="A1470" s="317">
        <v>97606</v>
      </c>
      <c r="B1470" s="870">
        <v>97606</v>
      </c>
      <c r="C1470" s="871" t="s">
        <v>590</v>
      </c>
      <c r="D1470" s="881" t="s">
        <v>1379</v>
      </c>
      <c r="E1470" s="882">
        <f>'REF. DE PREÇOS n editavel'!E1470</f>
        <v>0</v>
      </c>
      <c r="F1470" s="883">
        <f>'REF. DE PREÇOS n editavel'!F1470</f>
        <v>0</v>
      </c>
      <c r="G1470" s="887">
        <f>'REF. DE PREÇOS n editavel'!G1470</f>
        <v>0</v>
      </c>
      <c r="H1470" s="876">
        <f>'REF. DE PREÇOS n editavel'!H1470</f>
        <v>114.57</v>
      </c>
      <c r="I1470" s="876">
        <f>'REF. DE PREÇOS n editavel'!I1470</f>
        <v>114.57</v>
      </c>
      <c r="J1470" s="877">
        <f>'REF. DE PREÇOS n editavel'!J1470</f>
        <v>140.03</v>
      </c>
      <c r="K1470" s="878" t="s">
        <v>1500</v>
      </c>
      <c r="L1470" s="1092"/>
      <c r="M1470" s="1093">
        <f t="shared" si="157"/>
        <v>0</v>
      </c>
      <c r="N1470" s="868">
        <f t="shared" si="161"/>
        <v>0</v>
      </c>
      <c r="O1470" s="880"/>
      <c r="Q1470" s="317" t="str">
        <f t="shared" si="158"/>
        <v/>
      </c>
      <c r="R1470" s="317" t="str">
        <f t="shared" si="159"/>
        <v/>
      </c>
      <c r="S1470" s="317" t="str">
        <f t="shared" si="160"/>
        <v/>
      </c>
      <c r="T1470" s="317" t="str">
        <f>'REF. DE PREÇOS n editavel'!S1470</f>
        <v/>
      </c>
      <c r="W1470" s="577">
        <v>0</v>
      </c>
      <c r="X1470" s="575"/>
      <c r="Y1470" s="578">
        <f>IF('REF. DE PREÇOS n editavel'!W1470=0,0,IF('REF. DE PREÇOS n editavel'!W1470&gt;0,"c","b"))</f>
        <v>0</v>
      </c>
    </row>
    <row r="1471" spans="1:25" ht="22.5">
      <c r="A1471" s="317">
        <v>97607</v>
      </c>
      <c r="B1471" s="870">
        <v>97607</v>
      </c>
      <c r="C1471" s="871" t="s">
        <v>590</v>
      </c>
      <c r="D1471" s="881" t="s">
        <v>1380</v>
      </c>
      <c r="E1471" s="882">
        <f>'REF. DE PREÇOS n editavel'!E1471</f>
        <v>0</v>
      </c>
      <c r="F1471" s="883">
        <f>'REF. DE PREÇOS n editavel'!F1471</f>
        <v>0</v>
      </c>
      <c r="G1471" s="887">
        <f>'REF. DE PREÇOS n editavel'!G1471</f>
        <v>0</v>
      </c>
      <c r="H1471" s="876">
        <f>'REF. DE PREÇOS n editavel'!H1471</f>
        <v>127.64</v>
      </c>
      <c r="I1471" s="876">
        <f>'REF. DE PREÇOS n editavel'!I1471</f>
        <v>127.64</v>
      </c>
      <c r="J1471" s="877">
        <f>'REF. DE PREÇOS n editavel'!J1471</f>
        <v>156</v>
      </c>
      <c r="K1471" s="878" t="s">
        <v>1500</v>
      </c>
      <c r="L1471" s="1092"/>
      <c r="M1471" s="1093">
        <f t="shared" si="157"/>
        <v>0</v>
      </c>
      <c r="N1471" s="868">
        <f t="shared" si="161"/>
        <v>0</v>
      </c>
      <c r="O1471" s="880"/>
      <c r="Q1471" s="317" t="str">
        <f t="shared" si="158"/>
        <v/>
      </c>
      <c r="R1471" s="317" t="str">
        <f t="shared" si="159"/>
        <v/>
      </c>
      <c r="S1471" s="317" t="str">
        <f t="shared" si="160"/>
        <v/>
      </c>
      <c r="T1471" s="317" t="str">
        <f>'REF. DE PREÇOS n editavel'!S1471</f>
        <v/>
      </c>
      <c r="W1471" s="577">
        <v>0</v>
      </c>
      <c r="X1471" s="575"/>
      <c r="Y1471" s="578">
        <f>IF('REF. DE PREÇOS n editavel'!W1471=0,0,IF('REF. DE PREÇOS n editavel'!W1471&gt;0,"c","b"))</f>
        <v>0</v>
      </c>
    </row>
    <row r="1472" spans="1:25" ht="33.75">
      <c r="A1472" s="317">
        <v>97608</v>
      </c>
      <c r="B1472" s="870">
        <v>97608</v>
      </c>
      <c r="C1472" s="871" t="s">
        <v>590</v>
      </c>
      <c r="D1472" s="881" t="s">
        <v>1381</v>
      </c>
      <c r="E1472" s="882">
        <f>'REF. DE PREÇOS n editavel'!E1472</f>
        <v>0</v>
      </c>
      <c r="F1472" s="883">
        <f>'REF. DE PREÇOS n editavel'!F1472</f>
        <v>0</v>
      </c>
      <c r="G1472" s="887">
        <f>'REF. DE PREÇOS n editavel'!G1472</f>
        <v>0</v>
      </c>
      <c r="H1472" s="876">
        <f>'REF. DE PREÇOS n editavel'!H1472</f>
        <v>136.5</v>
      </c>
      <c r="I1472" s="876">
        <f>'REF. DE PREÇOS n editavel'!I1472</f>
        <v>136.5</v>
      </c>
      <c r="J1472" s="877">
        <f>'REF. DE PREÇOS n editavel'!J1472</f>
        <v>166.83</v>
      </c>
      <c r="K1472" s="878" t="s">
        <v>1500</v>
      </c>
      <c r="L1472" s="1092"/>
      <c r="M1472" s="1093">
        <f t="shared" si="157"/>
        <v>0</v>
      </c>
      <c r="N1472" s="868">
        <f t="shared" si="161"/>
        <v>0</v>
      </c>
      <c r="O1472" s="880"/>
      <c r="Q1472" s="317" t="str">
        <f t="shared" si="158"/>
        <v/>
      </c>
      <c r="R1472" s="317" t="str">
        <f t="shared" si="159"/>
        <v/>
      </c>
      <c r="S1472" s="317" t="str">
        <f t="shared" si="160"/>
        <v/>
      </c>
      <c r="T1472" s="317" t="str">
        <f>'REF. DE PREÇOS n editavel'!S1472</f>
        <v/>
      </c>
      <c r="W1472" s="577">
        <v>0</v>
      </c>
      <c r="X1472" s="575"/>
      <c r="Y1472" s="578">
        <f>IF('REF. DE PREÇOS n editavel'!W1472=0,0,IF('REF. DE PREÇOS n editavel'!W1472&gt;0,"c","b"))</f>
        <v>0</v>
      </c>
    </row>
    <row r="1473" spans="1:25" ht="22.5">
      <c r="A1473" s="317">
        <v>100902</v>
      </c>
      <c r="B1473" s="870">
        <v>100902</v>
      </c>
      <c r="C1473" s="871" t="s">
        <v>590</v>
      </c>
      <c r="D1473" s="881" t="s">
        <v>1382</v>
      </c>
      <c r="E1473" s="882">
        <f>'REF. DE PREÇOS n editavel'!E1473</f>
        <v>0</v>
      </c>
      <c r="F1473" s="883">
        <f>'REF. DE PREÇOS n editavel'!F1473</f>
        <v>0</v>
      </c>
      <c r="G1473" s="887">
        <f>'REF. DE PREÇOS n editavel'!G1473</f>
        <v>0</v>
      </c>
      <c r="H1473" s="876">
        <f>'REF. DE PREÇOS n editavel'!H1473</f>
        <v>29.72</v>
      </c>
      <c r="I1473" s="876">
        <f>'REF. DE PREÇOS n editavel'!I1473</f>
        <v>29.72</v>
      </c>
      <c r="J1473" s="877">
        <f>'REF. DE PREÇOS n editavel'!J1473</f>
        <v>36.32</v>
      </c>
      <c r="K1473" s="878" t="s">
        <v>1500</v>
      </c>
      <c r="L1473" s="1092"/>
      <c r="M1473" s="1093">
        <f t="shared" si="157"/>
        <v>0</v>
      </c>
      <c r="N1473" s="868">
        <f t="shared" si="161"/>
        <v>0</v>
      </c>
      <c r="O1473" s="880"/>
      <c r="Q1473" s="317" t="str">
        <f t="shared" si="158"/>
        <v/>
      </c>
      <c r="R1473" s="317" t="str">
        <f t="shared" si="159"/>
        <v/>
      </c>
      <c r="S1473" s="317" t="str">
        <f t="shared" si="160"/>
        <v/>
      </c>
      <c r="T1473" s="317" t="str">
        <f>'REF. DE PREÇOS n editavel'!S1473</f>
        <v/>
      </c>
      <c r="W1473" s="577">
        <v>0</v>
      </c>
      <c r="X1473" s="575"/>
      <c r="Y1473" s="578">
        <f>IF('REF. DE PREÇOS n editavel'!W1473=0,0,IF('REF. DE PREÇOS n editavel'!W1473&gt;0,"c","b"))</f>
        <v>0</v>
      </c>
    </row>
    <row r="1474" spans="1:25" ht="22.5">
      <c r="A1474" s="317">
        <v>100903</v>
      </c>
      <c r="B1474" s="870">
        <v>100903</v>
      </c>
      <c r="C1474" s="871" t="s">
        <v>590</v>
      </c>
      <c r="D1474" s="881" t="s">
        <v>1383</v>
      </c>
      <c r="E1474" s="882">
        <f>'REF. DE PREÇOS n editavel'!E1474</f>
        <v>0</v>
      </c>
      <c r="F1474" s="883">
        <f>'REF. DE PREÇOS n editavel'!F1474</f>
        <v>0</v>
      </c>
      <c r="G1474" s="887">
        <f>'REF. DE PREÇOS n editavel'!G1474</f>
        <v>0</v>
      </c>
      <c r="H1474" s="876">
        <f>'REF. DE PREÇOS n editavel'!H1474</f>
        <v>34.54</v>
      </c>
      <c r="I1474" s="876">
        <f>'REF. DE PREÇOS n editavel'!I1474</f>
        <v>34.54</v>
      </c>
      <c r="J1474" s="877">
        <f>'REF. DE PREÇOS n editavel'!J1474</f>
        <v>42.21</v>
      </c>
      <c r="K1474" s="878" t="s">
        <v>1500</v>
      </c>
      <c r="L1474" s="1092"/>
      <c r="M1474" s="1093">
        <f t="shared" si="157"/>
        <v>0</v>
      </c>
      <c r="N1474" s="868">
        <f t="shared" si="161"/>
        <v>0</v>
      </c>
      <c r="O1474" s="880"/>
      <c r="Q1474" s="317" t="str">
        <f t="shared" si="158"/>
        <v/>
      </c>
      <c r="R1474" s="317" t="str">
        <f t="shared" si="159"/>
        <v/>
      </c>
      <c r="S1474" s="317" t="str">
        <f t="shared" si="160"/>
        <v/>
      </c>
      <c r="T1474" s="317" t="str">
        <f>'REF. DE PREÇOS n editavel'!S1474</f>
        <v/>
      </c>
      <c r="W1474" s="577">
        <v>0</v>
      </c>
      <c r="X1474" s="575"/>
      <c r="Y1474" s="578">
        <f>IF('REF. DE PREÇOS n editavel'!W1474=0,0,IF('REF. DE PREÇOS n editavel'!W1474&gt;0,"c","b"))</f>
        <v>0</v>
      </c>
    </row>
    <row r="1475" spans="1:25" ht="33.75">
      <c r="A1475" s="317">
        <v>100904</v>
      </c>
      <c r="B1475" s="870">
        <v>100904</v>
      </c>
      <c r="C1475" s="871" t="s">
        <v>590</v>
      </c>
      <c r="D1475" s="881" t="s">
        <v>1384</v>
      </c>
      <c r="E1475" s="882">
        <f>'REF. DE PREÇOS n editavel'!E1475</f>
        <v>0</v>
      </c>
      <c r="F1475" s="883">
        <f>'REF. DE PREÇOS n editavel'!F1475</f>
        <v>0</v>
      </c>
      <c r="G1475" s="887">
        <f>'REF. DE PREÇOS n editavel'!G1475</f>
        <v>0</v>
      </c>
      <c r="H1475" s="876">
        <f>'REF. DE PREÇOS n editavel'!H1475</f>
        <v>99.02</v>
      </c>
      <c r="I1475" s="876">
        <f>'REF. DE PREÇOS n editavel'!I1475</f>
        <v>99.02</v>
      </c>
      <c r="J1475" s="877">
        <f>'REF. DE PREÇOS n editavel'!J1475</f>
        <v>121.02</v>
      </c>
      <c r="K1475" s="878" t="s">
        <v>1500</v>
      </c>
      <c r="L1475" s="1092"/>
      <c r="M1475" s="1093">
        <f t="shared" si="157"/>
        <v>0</v>
      </c>
      <c r="N1475" s="868">
        <f t="shared" si="161"/>
        <v>0</v>
      </c>
      <c r="O1475" s="880"/>
      <c r="Q1475" s="317" t="str">
        <f t="shared" si="158"/>
        <v/>
      </c>
      <c r="R1475" s="317" t="str">
        <f t="shared" si="159"/>
        <v/>
      </c>
      <c r="S1475" s="317" t="str">
        <f t="shared" si="160"/>
        <v/>
      </c>
      <c r="T1475" s="317" t="str">
        <f>'REF. DE PREÇOS n editavel'!S1475</f>
        <v/>
      </c>
      <c r="W1475" s="577">
        <v>0</v>
      </c>
      <c r="X1475" s="575"/>
      <c r="Y1475" s="578">
        <f>IF('REF. DE PREÇOS n editavel'!W1475=0,0,IF('REF. DE PREÇOS n editavel'!W1475&gt;0,"c","b"))</f>
        <v>0</v>
      </c>
    </row>
    <row r="1476" spans="1:25" ht="33.75">
      <c r="A1476" s="317">
        <v>100905</v>
      </c>
      <c r="B1476" s="870">
        <v>100905</v>
      </c>
      <c r="C1476" s="871" t="s">
        <v>590</v>
      </c>
      <c r="D1476" s="881" t="s">
        <v>1385</v>
      </c>
      <c r="E1476" s="882">
        <f>'REF. DE PREÇOS n editavel'!E1476</f>
        <v>0</v>
      </c>
      <c r="F1476" s="883">
        <f>'REF. DE PREÇOS n editavel'!F1476</f>
        <v>0</v>
      </c>
      <c r="G1476" s="887">
        <f>'REF. DE PREÇOS n editavel'!G1476</f>
        <v>0</v>
      </c>
      <c r="H1476" s="876">
        <f>'REF. DE PREÇOS n editavel'!H1476</f>
        <v>266.39999999999998</v>
      </c>
      <c r="I1476" s="876">
        <f>'REF. DE PREÇOS n editavel'!I1476</f>
        <v>266.39999999999998</v>
      </c>
      <c r="J1476" s="877">
        <f>'REF. DE PREÇOS n editavel'!J1476</f>
        <v>325.58999999999997</v>
      </c>
      <c r="K1476" s="878" t="s">
        <v>1500</v>
      </c>
      <c r="L1476" s="1092"/>
      <c r="M1476" s="1093">
        <f t="shared" si="157"/>
        <v>0</v>
      </c>
      <c r="N1476" s="868">
        <f t="shared" si="161"/>
        <v>0</v>
      </c>
      <c r="O1476" s="880"/>
      <c r="Q1476" s="317" t="str">
        <f t="shared" si="158"/>
        <v/>
      </c>
      <c r="R1476" s="317" t="str">
        <f t="shared" si="159"/>
        <v/>
      </c>
      <c r="S1476" s="317" t="str">
        <f t="shared" si="160"/>
        <v/>
      </c>
      <c r="T1476" s="317" t="str">
        <f>'REF. DE PREÇOS n editavel'!S1476</f>
        <v/>
      </c>
      <c r="W1476" s="577">
        <v>0</v>
      </c>
      <c r="X1476" s="575"/>
      <c r="Y1476" s="578">
        <f>IF('REF. DE PREÇOS n editavel'!W1476=0,0,IF('REF. DE PREÇOS n editavel'!W1476&gt;0,"c","b"))</f>
        <v>0</v>
      </c>
    </row>
    <row r="1477" spans="1:25" ht="33.75">
      <c r="A1477" s="317">
        <v>100906</v>
      </c>
      <c r="B1477" s="870">
        <v>100906</v>
      </c>
      <c r="C1477" s="871" t="s">
        <v>590</v>
      </c>
      <c r="D1477" s="881" t="s">
        <v>1386</v>
      </c>
      <c r="E1477" s="882">
        <f>'REF. DE PREÇOS n editavel'!E1477</f>
        <v>0</v>
      </c>
      <c r="F1477" s="883">
        <f>'REF. DE PREÇOS n editavel'!F1477</f>
        <v>0</v>
      </c>
      <c r="G1477" s="887">
        <f>'REF. DE PREÇOS n editavel'!G1477</f>
        <v>0</v>
      </c>
      <c r="H1477" s="876">
        <f>'REF. DE PREÇOS n editavel'!H1477</f>
        <v>361.6</v>
      </c>
      <c r="I1477" s="876">
        <f>'REF. DE PREÇOS n editavel'!I1477</f>
        <v>361.6</v>
      </c>
      <c r="J1477" s="877">
        <f>'REF. DE PREÇOS n editavel'!J1477</f>
        <v>441.95</v>
      </c>
      <c r="K1477" s="878" t="s">
        <v>1500</v>
      </c>
      <c r="L1477" s="1092"/>
      <c r="M1477" s="1093">
        <f t="shared" si="157"/>
        <v>0</v>
      </c>
      <c r="N1477" s="868">
        <f t="shared" si="161"/>
        <v>0</v>
      </c>
      <c r="O1477" s="880"/>
      <c r="Q1477" s="317" t="str">
        <f t="shared" si="158"/>
        <v/>
      </c>
      <c r="R1477" s="317" t="str">
        <f t="shared" si="159"/>
        <v/>
      </c>
      <c r="S1477" s="317" t="str">
        <f t="shared" si="160"/>
        <v/>
      </c>
      <c r="T1477" s="317" t="str">
        <f>'REF. DE PREÇOS n editavel'!S1477</f>
        <v/>
      </c>
      <c r="W1477" s="577">
        <v>0</v>
      </c>
      <c r="X1477" s="575"/>
      <c r="Y1477" s="578">
        <f>IF('REF. DE PREÇOS n editavel'!W1477=0,0,IF('REF. DE PREÇOS n editavel'!W1477&gt;0,"c","b"))</f>
        <v>0</v>
      </c>
    </row>
    <row r="1478" spans="1:25" ht="22.5">
      <c r="A1478" s="317">
        <v>100919</v>
      </c>
      <c r="B1478" s="870">
        <v>100919</v>
      </c>
      <c r="C1478" s="871" t="s">
        <v>590</v>
      </c>
      <c r="D1478" s="881" t="s">
        <v>1387</v>
      </c>
      <c r="E1478" s="882">
        <f>'REF. DE PREÇOS n editavel'!E1478</f>
        <v>0</v>
      </c>
      <c r="F1478" s="883">
        <f>'REF. DE PREÇOS n editavel'!F1478</f>
        <v>0</v>
      </c>
      <c r="G1478" s="887">
        <f>'REF. DE PREÇOS n editavel'!G1478</f>
        <v>0</v>
      </c>
      <c r="H1478" s="876">
        <f>'REF. DE PREÇOS n editavel'!H1478</f>
        <v>73.05</v>
      </c>
      <c r="I1478" s="876">
        <f>'REF. DE PREÇOS n editavel'!I1478</f>
        <v>73.05</v>
      </c>
      <c r="J1478" s="877">
        <f>'REF. DE PREÇOS n editavel'!J1478</f>
        <v>89.28</v>
      </c>
      <c r="K1478" s="878" t="s">
        <v>1500</v>
      </c>
      <c r="L1478" s="1092"/>
      <c r="M1478" s="1093">
        <f t="shared" ref="M1478:M1541" si="162">IF(L1478=0,0,ROUND(J1478,2))</f>
        <v>0</v>
      </c>
      <c r="N1478" s="868">
        <f t="shared" si="161"/>
        <v>0</v>
      </c>
      <c r="O1478" s="880"/>
      <c r="Q1478" s="317" t="str">
        <f t="shared" si="158"/>
        <v/>
      </c>
      <c r="R1478" s="317" t="str">
        <f t="shared" si="159"/>
        <v/>
      </c>
      <c r="S1478" s="317" t="str">
        <f t="shared" si="160"/>
        <v/>
      </c>
      <c r="T1478" s="317" t="str">
        <f>'REF. DE PREÇOS n editavel'!S1478</f>
        <v/>
      </c>
      <c r="W1478" s="577">
        <v>0</v>
      </c>
      <c r="X1478" s="575"/>
      <c r="Y1478" s="578">
        <f>IF('REF. DE PREÇOS n editavel'!W1478=0,0,IF('REF. DE PREÇOS n editavel'!W1478&gt;0,"c","b"))</f>
        <v>0</v>
      </c>
    </row>
    <row r="1479" spans="1:25" ht="22.5">
      <c r="A1479" s="317">
        <v>100920</v>
      </c>
      <c r="B1479" s="870">
        <v>100920</v>
      </c>
      <c r="C1479" s="871" t="s">
        <v>590</v>
      </c>
      <c r="D1479" s="881" t="s">
        <v>1388</v>
      </c>
      <c r="E1479" s="882">
        <f>'REF. DE PREÇOS n editavel'!E1479</f>
        <v>0</v>
      </c>
      <c r="F1479" s="883">
        <f>'REF. DE PREÇOS n editavel'!F1479</f>
        <v>0</v>
      </c>
      <c r="G1479" s="887">
        <f>'REF. DE PREÇOS n editavel'!G1479</f>
        <v>0</v>
      </c>
      <c r="H1479" s="876">
        <f>'REF. DE PREÇOS n editavel'!H1479</f>
        <v>123.15</v>
      </c>
      <c r="I1479" s="876">
        <f>'REF. DE PREÇOS n editavel'!I1479</f>
        <v>123.15</v>
      </c>
      <c r="J1479" s="877">
        <f>'REF. DE PREÇOS n editavel'!J1479</f>
        <v>150.51</v>
      </c>
      <c r="K1479" s="878" t="s">
        <v>1500</v>
      </c>
      <c r="L1479" s="1092"/>
      <c r="M1479" s="1093">
        <f t="shared" si="162"/>
        <v>0</v>
      </c>
      <c r="N1479" s="868">
        <f t="shared" si="161"/>
        <v>0</v>
      </c>
      <c r="O1479" s="880"/>
      <c r="Q1479" s="317" t="str">
        <f t="shared" si="158"/>
        <v/>
      </c>
      <c r="R1479" s="317" t="str">
        <f t="shared" si="159"/>
        <v/>
      </c>
      <c r="S1479" s="317" t="str">
        <f t="shared" si="160"/>
        <v/>
      </c>
      <c r="T1479" s="317" t="str">
        <f>'REF. DE PREÇOS n editavel'!S1479</f>
        <v/>
      </c>
      <c r="W1479" s="577">
        <v>0</v>
      </c>
      <c r="X1479" s="575"/>
      <c r="Y1479" s="578">
        <f>IF('REF. DE PREÇOS n editavel'!W1479=0,0,IF('REF. DE PREÇOS n editavel'!W1479&gt;0,"c","b"))</f>
        <v>0</v>
      </c>
    </row>
    <row r="1480" spans="1:25" ht="22.5">
      <c r="A1480" s="317">
        <v>97609</v>
      </c>
      <c r="B1480" s="870">
        <v>97609</v>
      </c>
      <c r="C1480" s="871" t="s">
        <v>590</v>
      </c>
      <c r="D1480" s="881" t="s">
        <v>1389</v>
      </c>
      <c r="E1480" s="882">
        <f>'REF. DE PREÇOS n editavel'!E1480</f>
        <v>0</v>
      </c>
      <c r="F1480" s="883">
        <f>'REF. DE PREÇOS n editavel'!F1480</f>
        <v>0</v>
      </c>
      <c r="G1480" s="887">
        <f>'REF. DE PREÇOS n editavel'!G1480</f>
        <v>0</v>
      </c>
      <c r="H1480" s="876">
        <f>'REF. DE PREÇOS n editavel'!H1480</f>
        <v>18.36</v>
      </c>
      <c r="I1480" s="876">
        <f>'REF. DE PREÇOS n editavel'!I1480</f>
        <v>18.36</v>
      </c>
      <c r="J1480" s="877">
        <f>'REF. DE PREÇOS n editavel'!J1480</f>
        <v>22.44</v>
      </c>
      <c r="K1480" s="878" t="s">
        <v>1500</v>
      </c>
      <c r="L1480" s="1092"/>
      <c r="M1480" s="1093">
        <f t="shared" si="162"/>
        <v>0</v>
      </c>
      <c r="N1480" s="868">
        <f t="shared" si="161"/>
        <v>0</v>
      </c>
      <c r="O1480" s="880"/>
      <c r="Q1480" s="317" t="str">
        <f t="shared" si="158"/>
        <v/>
      </c>
      <c r="R1480" s="317" t="str">
        <f t="shared" si="159"/>
        <v/>
      </c>
      <c r="S1480" s="317" t="str">
        <f t="shared" si="160"/>
        <v/>
      </c>
      <c r="T1480" s="317" t="str">
        <f>'REF. DE PREÇOS n editavel'!S1480</f>
        <v/>
      </c>
      <c r="W1480" s="577">
        <v>0</v>
      </c>
      <c r="X1480" s="575"/>
      <c r="Y1480" s="578">
        <f>IF('REF. DE PREÇOS n editavel'!W1480=0,0,IF('REF. DE PREÇOS n editavel'!W1480&gt;0,"c","b"))</f>
        <v>0</v>
      </c>
    </row>
    <row r="1481" spans="1:25" ht="22.5">
      <c r="A1481" s="317">
        <v>97610</v>
      </c>
      <c r="B1481" s="870">
        <v>97610</v>
      </c>
      <c r="C1481" s="871" t="s">
        <v>590</v>
      </c>
      <c r="D1481" s="881" t="s">
        <v>1390</v>
      </c>
      <c r="E1481" s="882">
        <f>'REF. DE PREÇOS n editavel'!E1481</f>
        <v>0</v>
      </c>
      <c r="F1481" s="883">
        <f>'REF. DE PREÇOS n editavel'!F1481</f>
        <v>0</v>
      </c>
      <c r="G1481" s="887">
        <f>'REF. DE PREÇOS n editavel'!G1481</f>
        <v>0</v>
      </c>
      <c r="H1481" s="876">
        <f>'REF. DE PREÇOS n editavel'!H1481</f>
        <v>19.45</v>
      </c>
      <c r="I1481" s="876">
        <f>'REF. DE PREÇOS n editavel'!I1481</f>
        <v>19.45</v>
      </c>
      <c r="J1481" s="877">
        <f>'REF. DE PREÇOS n editavel'!J1481</f>
        <v>23.77</v>
      </c>
      <c r="K1481" s="878" t="s">
        <v>1500</v>
      </c>
      <c r="L1481" s="1092"/>
      <c r="M1481" s="1093">
        <f t="shared" si="162"/>
        <v>0</v>
      </c>
      <c r="N1481" s="868">
        <f t="shared" si="161"/>
        <v>0</v>
      </c>
      <c r="O1481" s="880"/>
      <c r="Q1481" s="317" t="str">
        <f t="shared" si="158"/>
        <v/>
      </c>
      <c r="R1481" s="317" t="str">
        <f t="shared" si="159"/>
        <v/>
      </c>
      <c r="S1481" s="317" t="str">
        <f t="shared" si="160"/>
        <v/>
      </c>
      <c r="T1481" s="317" t="str">
        <f>'REF. DE PREÇOS n editavel'!S1481</f>
        <v/>
      </c>
      <c r="W1481" s="577">
        <v>0</v>
      </c>
      <c r="X1481" s="575"/>
      <c r="Y1481" s="578">
        <f>IF('REF. DE PREÇOS n editavel'!W1481=0,0,IF('REF. DE PREÇOS n editavel'!W1481&gt;0,"c","b"))</f>
        <v>0</v>
      </c>
    </row>
    <row r="1482" spans="1:25" ht="22.5">
      <c r="A1482" s="317">
        <v>101537</v>
      </c>
      <c r="B1482" s="870">
        <v>101537</v>
      </c>
      <c r="C1482" s="871" t="s">
        <v>590</v>
      </c>
      <c r="D1482" s="881" t="s">
        <v>1391</v>
      </c>
      <c r="E1482" s="882">
        <f>'REF. DE PREÇOS n editavel'!E1482</f>
        <v>0</v>
      </c>
      <c r="F1482" s="883">
        <f>'REF. DE PREÇOS n editavel'!F1482</f>
        <v>0</v>
      </c>
      <c r="G1482" s="887">
        <f>'REF. DE PREÇOS n editavel'!G1482</f>
        <v>0</v>
      </c>
      <c r="H1482" s="876">
        <f>'REF. DE PREÇOS n editavel'!H1482</f>
        <v>139.63999999999999</v>
      </c>
      <c r="I1482" s="876">
        <f>'REF. DE PREÇOS n editavel'!I1482</f>
        <v>139.63999999999999</v>
      </c>
      <c r="J1482" s="877">
        <f>'REF. DE PREÇOS n editavel'!J1482</f>
        <v>170.67</v>
      </c>
      <c r="K1482" s="878" t="s">
        <v>1500</v>
      </c>
      <c r="L1482" s="1092"/>
      <c r="M1482" s="1093">
        <f t="shared" si="162"/>
        <v>0</v>
      </c>
      <c r="N1482" s="868">
        <f t="shared" si="161"/>
        <v>0</v>
      </c>
      <c r="O1482" s="880"/>
      <c r="Q1482" s="317" t="str">
        <f t="shared" si="158"/>
        <v/>
      </c>
      <c r="R1482" s="317" t="str">
        <f t="shared" si="159"/>
        <v/>
      </c>
      <c r="S1482" s="317" t="str">
        <f t="shared" si="160"/>
        <v/>
      </c>
      <c r="T1482" s="317" t="str">
        <f>'REF. DE PREÇOS n editavel'!S1482</f>
        <v/>
      </c>
      <c r="W1482" s="577">
        <v>0</v>
      </c>
      <c r="X1482" s="575"/>
      <c r="Y1482" s="578">
        <f>IF('REF. DE PREÇOS n editavel'!W1482=0,0,IF('REF. DE PREÇOS n editavel'!W1482&gt;0,"c","b"))</f>
        <v>0</v>
      </c>
    </row>
    <row r="1483" spans="1:25">
      <c r="A1483" s="317">
        <v>97054</v>
      </c>
      <c r="B1483" s="870">
        <v>97054</v>
      </c>
      <c r="C1483" s="871" t="s">
        <v>590</v>
      </c>
      <c r="D1483" s="881" t="s">
        <v>1392</v>
      </c>
      <c r="E1483" s="882">
        <f>'REF. DE PREÇOS n editavel'!E1483</f>
        <v>0</v>
      </c>
      <c r="F1483" s="883">
        <f>'REF. DE PREÇOS n editavel'!F1483</f>
        <v>0</v>
      </c>
      <c r="G1483" s="887">
        <f>'REF. DE PREÇOS n editavel'!G1483</f>
        <v>0</v>
      </c>
      <c r="H1483" s="876">
        <f>'REF. DE PREÇOS n editavel'!H1483</f>
        <v>28.63</v>
      </c>
      <c r="I1483" s="876">
        <f>'REF. DE PREÇOS n editavel'!I1483</f>
        <v>28.63</v>
      </c>
      <c r="J1483" s="877">
        <f>'REF. DE PREÇOS n editavel'!J1483</f>
        <v>34.99</v>
      </c>
      <c r="K1483" s="878" t="s">
        <v>1500</v>
      </c>
      <c r="L1483" s="1092"/>
      <c r="M1483" s="1093">
        <f t="shared" si="162"/>
        <v>0</v>
      </c>
      <c r="N1483" s="868">
        <f t="shared" si="161"/>
        <v>0</v>
      </c>
      <c r="O1483" s="880"/>
      <c r="Q1483" s="317" t="str">
        <f t="shared" si="158"/>
        <v/>
      </c>
      <c r="R1483" s="317" t="str">
        <f t="shared" si="159"/>
        <v/>
      </c>
      <c r="S1483" s="317" t="str">
        <f t="shared" si="160"/>
        <v/>
      </c>
      <c r="T1483" s="317" t="str">
        <f>'REF. DE PREÇOS n editavel'!S1483</f>
        <v/>
      </c>
      <c r="W1483" s="577">
        <v>0</v>
      </c>
      <c r="X1483" s="575"/>
      <c r="Y1483" s="578">
        <f>IF('REF. DE PREÇOS n editavel'!W1483=0,0,IF('REF. DE PREÇOS n editavel'!W1483&gt;0,"c","b"))</f>
        <v>0</v>
      </c>
    </row>
    <row r="1484" spans="1:25" ht="22.5">
      <c r="A1484" s="317">
        <v>101538</v>
      </c>
      <c r="B1484" s="870">
        <v>101538</v>
      </c>
      <c r="C1484" s="871" t="s">
        <v>590</v>
      </c>
      <c r="D1484" s="881" t="s">
        <v>1393</v>
      </c>
      <c r="E1484" s="882">
        <f>'REF. DE PREÇOS n editavel'!E1484</f>
        <v>0</v>
      </c>
      <c r="F1484" s="883">
        <f>'REF. DE PREÇOS n editavel'!F1484</f>
        <v>0</v>
      </c>
      <c r="G1484" s="887">
        <f>'REF. DE PREÇOS n editavel'!G1484</f>
        <v>0</v>
      </c>
      <c r="H1484" s="876">
        <f>'REF. DE PREÇOS n editavel'!H1484</f>
        <v>33.369999999999997</v>
      </c>
      <c r="I1484" s="876">
        <f>'REF. DE PREÇOS n editavel'!I1484</f>
        <v>33.369999999999997</v>
      </c>
      <c r="J1484" s="877">
        <f>'REF. DE PREÇOS n editavel'!J1484</f>
        <v>40.78</v>
      </c>
      <c r="K1484" s="878" t="s">
        <v>1500</v>
      </c>
      <c r="L1484" s="1092"/>
      <c r="M1484" s="1093">
        <f t="shared" si="162"/>
        <v>0</v>
      </c>
      <c r="N1484" s="868">
        <f t="shared" si="161"/>
        <v>0</v>
      </c>
      <c r="O1484" s="880"/>
      <c r="Q1484" s="317" t="str">
        <f t="shared" si="158"/>
        <v/>
      </c>
      <c r="R1484" s="317" t="str">
        <f t="shared" si="159"/>
        <v/>
      </c>
      <c r="S1484" s="317" t="str">
        <f t="shared" si="160"/>
        <v/>
      </c>
      <c r="T1484" s="317" t="str">
        <f>'REF. DE PREÇOS n editavel'!S1484</f>
        <v/>
      </c>
      <c r="W1484" s="577">
        <v>0</v>
      </c>
      <c r="X1484" s="575"/>
      <c r="Y1484" s="578">
        <f>IF('REF. DE PREÇOS n editavel'!W1484=0,0,IF('REF. DE PREÇOS n editavel'!W1484&gt;0,"c","b"))</f>
        <v>0</v>
      </c>
    </row>
    <row r="1485" spans="1:25" ht="22.5">
      <c r="A1485" s="317">
        <v>101539</v>
      </c>
      <c r="B1485" s="870">
        <v>101539</v>
      </c>
      <c r="C1485" s="871" t="s">
        <v>590</v>
      </c>
      <c r="D1485" s="881" t="s">
        <v>1394</v>
      </c>
      <c r="E1485" s="882">
        <f>'REF. DE PREÇOS n editavel'!E1485</f>
        <v>0</v>
      </c>
      <c r="F1485" s="883">
        <f>'REF. DE PREÇOS n editavel'!F1485</f>
        <v>0</v>
      </c>
      <c r="G1485" s="887">
        <f>'REF. DE PREÇOS n editavel'!G1485</f>
        <v>0</v>
      </c>
      <c r="H1485" s="876">
        <f>'REF. DE PREÇOS n editavel'!H1485</f>
        <v>58.76</v>
      </c>
      <c r="I1485" s="876">
        <f>'REF. DE PREÇOS n editavel'!I1485</f>
        <v>58.76</v>
      </c>
      <c r="J1485" s="877">
        <f>'REF. DE PREÇOS n editavel'!J1485</f>
        <v>71.819999999999993</v>
      </c>
      <c r="K1485" s="878" t="s">
        <v>1500</v>
      </c>
      <c r="L1485" s="1092"/>
      <c r="M1485" s="1093">
        <f t="shared" si="162"/>
        <v>0</v>
      </c>
      <c r="N1485" s="868">
        <f t="shared" si="161"/>
        <v>0</v>
      </c>
      <c r="O1485" s="880"/>
      <c r="Q1485" s="317" t="str">
        <f t="shared" si="158"/>
        <v/>
      </c>
      <c r="R1485" s="317" t="str">
        <f t="shared" si="159"/>
        <v/>
      </c>
      <c r="S1485" s="317" t="str">
        <f t="shared" si="160"/>
        <v/>
      </c>
      <c r="T1485" s="317" t="str">
        <f>'REF. DE PREÇOS n editavel'!S1485</f>
        <v/>
      </c>
      <c r="W1485" s="577">
        <v>0</v>
      </c>
      <c r="X1485" s="575"/>
      <c r="Y1485" s="578">
        <f>IF('REF. DE PREÇOS n editavel'!W1485=0,0,IF('REF. DE PREÇOS n editavel'!W1485&gt;0,"c","b"))</f>
        <v>0</v>
      </c>
    </row>
    <row r="1486" spans="1:25" ht="22.5">
      <c r="A1486" s="317">
        <v>101540</v>
      </c>
      <c r="B1486" s="870">
        <v>101540</v>
      </c>
      <c r="C1486" s="871" t="s">
        <v>590</v>
      </c>
      <c r="D1486" s="881" t="s">
        <v>1395</v>
      </c>
      <c r="E1486" s="882">
        <f>'REF. DE PREÇOS n editavel'!E1486</f>
        <v>0</v>
      </c>
      <c r="F1486" s="883">
        <f>'REF. DE PREÇOS n editavel'!F1486</f>
        <v>0</v>
      </c>
      <c r="G1486" s="887">
        <f>'REF. DE PREÇOS n editavel'!G1486</f>
        <v>0</v>
      </c>
      <c r="H1486" s="876">
        <f>'REF. DE PREÇOS n editavel'!H1486</f>
        <v>95.26</v>
      </c>
      <c r="I1486" s="876">
        <f>'REF. DE PREÇOS n editavel'!I1486</f>
        <v>95.26</v>
      </c>
      <c r="J1486" s="877">
        <f>'REF. DE PREÇOS n editavel'!J1486</f>
        <v>116.43</v>
      </c>
      <c r="K1486" s="878" t="s">
        <v>1500</v>
      </c>
      <c r="L1486" s="1092"/>
      <c r="M1486" s="1093">
        <f t="shared" si="162"/>
        <v>0</v>
      </c>
      <c r="N1486" s="868">
        <f t="shared" si="161"/>
        <v>0</v>
      </c>
      <c r="O1486" s="880"/>
      <c r="Q1486" s="317" t="str">
        <f t="shared" si="158"/>
        <v/>
      </c>
      <c r="R1486" s="317" t="str">
        <f t="shared" si="159"/>
        <v/>
      </c>
      <c r="S1486" s="317" t="str">
        <f t="shared" si="160"/>
        <v/>
      </c>
      <c r="T1486" s="317" t="str">
        <f>'REF. DE PREÇOS n editavel'!S1486</f>
        <v/>
      </c>
      <c r="W1486" s="577">
        <v>0</v>
      </c>
      <c r="X1486" s="575"/>
      <c r="Y1486" s="578">
        <f>IF('REF. DE PREÇOS n editavel'!W1486=0,0,IF('REF. DE PREÇOS n editavel'!W1486&gt;0,"c","b"))</f>
        <v>0</v>
      </c>
    </row>
    <row r="1487" spans="1:25" ht="22.5">
      <c r="A1487" s="317">
        <v>101541</v>
      </c>
      <c r="B1487" s="870">
        <v>101541</v>
      </c>
      <c r="C1487" s="871" t="s">
        <v>590</v>
      </c>
      <c r="D1487" s="881" t="s">
        <v>1396</v>
      </c>
      <c r="E1487" s="882">
        <f>'REF. DE PREÇOS n editavel'!E1487</f>
        <v>0</v>
      </c>
      <c r="F1487" s="883">
        <f>'REF. DE PREÇOS n editavel'!F1487</f>
        <v>0</v>
      </c>
      <c r="G1487" s="887">
        <f>'REF. DE PREÇOS n editavel'!G1487</f>
        <v>0</v>
      </c>
      <c r="H1487" s="876">
        <f>'REF. DE PREÇOS n editavel'!H1487</f>
        <v>125.15</v>
      </c>
      <c r="I1487" s="876">
        <f>'REF. DE PREÇOS n editavel'!I1487</f>
        <v>125.15</v>
      </c>
      <c r="J1487" s="877">
        <f>'REF. DE PREÇOS n editavel'!J1487</f>
        <v>152.96</v>
      </c>
      <c r="K1487" s="878" t="s">
        <v>1500</v>
      </c>
      <c r="L1487" s="1092"/>
      <c r="M1487" s="1093">
        <f t="shared" si="162"/>
        <v>0</v>
      </c>
      <c r="N1487" s="868">
        <f t="shared" si="161"/>
        <v>0</v>
      </c>
      <c r="O1487" s="880"/>
      <c r="Q1487" s="317" t="str">
        <f t="shared" si="158"/>
        <v/>
      </c>
      <c r="R1487" s="317" t="str">
        <f t="shared" si="159"/>
        <v/>
      </c>
      <c r="S1487" s="317" t="str">
        <f t="shared" si="160"/>
        <v/>
      </c>
      <c r="T1487" s="317" t="str">
        <f>'REF. DE PREÇOS n editavel'!S1487</f>
        <v/>
      </c>
      <c r="W1487" s="577">
        <v>0</v>
      </c>
      <c r="X1487" s="575"/>
      <c r="Y1487" s="578">
        <f>IF('REF. DE PREÇOS n editavel'!W1487=0,0,IF('REF. DE PREÇOS n editavel'!W1487&gt;0,"c","b"))</f>
        <v>0</v>
      </c>
    </row>
    <row r="1488" spans="1:25" ht="22.5">
      <c r="A1488" s="317">
        <v>101542</v>
      </c>
      <c r="B1488" s="870">
        <v>101542</v>
      </c>
      <c r="C1488" s="871" t="s">
        <v>590</v>
      </c>
      <c r="D1488" s="881" t="s">
        <v>1397</v>
      </c>
      <c r="E1488" s="882">
        <f>'REF. DE PREÇOS n editavel'!E1488</f>
        <v>0</v>
      </c>
      <c r="F1488" s="883">
        <f>'REF. DE PREÇOS n editavel'!F1488</f>
        <v>0</v>
      </c>
      <c r="G1488" s="887">
        <f>'REF. DE PREÇOS n editavel'!G1488</f>
        <v>0</v>
      </c>
      <c r="H1488" s="876">
        <f>'REF. DE PREÇOS n editavel'!H1488</f>
        <v>26.46</v>
      </c>
      <c r="I1488" s="876">
        <f>'REF. DE PREÇOS n editavel'!I1488</f>
        <v>26.46</v>
      </c>
      <c r="J1488" s="877">
        <f>'REF. DE PREÇOS n editavel'!J1488</f>
        <v>32.340000000000003</v>
      </c>
      <c r="K1488" s="878" t="s">
        <v>1500</v>
      </c>
      <c r="L1488" s="1092"/>
      <c r="M1488" s="1093">
        <f t="shared" si="162"/>
        <v>0</v>
      </c>
      <c r="N1488" s="868">
        <f t="shared" si="161"/>
        <v>0</v>
      </c>
      <c r="O1488" s="880"/>
      <c r="Q1488" s="317" t="str">
        <f t="shared" si="158"/>
        <v/>
      </c>
      <c r="R1488" s="317" t="str">
        <f t="shared" si="159"/>
        <v/>
      </c>
      <c r="S1488" s="317" t="str">
        <f t="shared" si="160"/>
        <v/>
      </c>
      <c r="T1488" s="317" t="str">
        <f>'REF. DE PREÇOS n editavel'!S1488</f>
        <v/>
      </c>
      <c r="W1488" s="577">
        <v>0</v>
      </c>
      <c r="X1488" s="575"/>
      <c r="Y1488" s="578">
        <f>IF('REF. DE PREÇOS n editavel'!W1488=0,0,IF('REF. DE PREÇOS n editavel'!W1488&gt;0,"c","b"))</f>
        <v>0</v>
      </c>
    </row>
    <row r="1489" spans="1:25" ht="22.5">
      <c r="A1489" s="317">
        <v>101543</v>
      </c>
      <c r="B1489" s="870">
        <v>101543</v>
      </c>
      <c r="C1489" s="871" t="s">
        <v>590</v>
      </c>
      <c r="D1489" s="881" t="s">
        <v>1398</v>
      </c>
      <c r="E1489" s="882">
        <f>'REF. DE PREÇOS n editavel'!E1489</f>
        <v>0</v>
      </c>
      <c r="F1489" s="883">
        <f>'REF. DE PREÇOS n editavel'!F1489</f>
        <v>0</v>
      </c>
      <c r="G1489" s="887">
        <f>'REF. DE PREÇOS n editavel'!G1489</f>
        <v>0</v>
      </c>
      <c r="H1489" s="876">
        <f>'REF. DE PREÇOS n editavel'!H1489</f>
        <v>49.08</v>
      </c>
      <c r="I1489" s="876">
        <f>'REF. DE PREÇOS n editavel'!I1489</f>
        <v>49.08</v>
      </c>
      <c r="J1489" s="877">
        <f>'REF. DE PREÇOS n editavel'!J1489</f>
        <v>59.99</v>
      </c>
      <c r="K1489" s="878" t="s">
        <v>1500</v>
      </c>
      <c r="L1489" s="1092"/>
      <c r="M1489" s="1093">
        <f t="shared" si="162"/>
        <v>0</v>
      </c>
      <c r="N1489" s="868">
        <f t="shared" si="161"/>
        <v>0</v>
      </c>
      <c r="O1489" s="880"/>
      <c r="Q1489" s="317" t="str">
        <f t="shared" ref="Q1489:Q1552" si="163">IF(P1489="X","x",IF(P1489="xx","x",IF(P1489="xy","x",IF(P1489="y","x",IF(OR(N1489&gt;0,N1489&gt;0),"x","")))))</f>
        <v/>
      </c>
      <c r="R1489" s="317" t="str">
        <f t="shared" si="159"/>
        <v/>
      </c>
      <c r="S1489" s="317" t="str">
        <f t="shared" si="160"/>
        <v/>
      </c>
      <c r="T1489" s="317" t="str">
        <f>'REF. DE PREÇOS n editavel'!S1489</f>
        <v/>
      </c>
      <c r="W1489" s="577">
        <v>0</v>
      </c>
      <c r="X1489" s="575"/>
      <c r="Y1489" s="578">
        <f>IF('REF. DE PREÇOS n editavel'!W1489=0,0,IF('REF. DE PREÇOS n editavel'!W1489&gt;0,"c","b"))</f>
        <v>0</v>
      </c>
    </row>
    <row r="1490" spans="1:25" ht="22.5">
      <c r="A1490" s="317">
        <v>101544</v>
      </c>
      <c r="B1490" s="870">
        <v>101544</v>
      </c>
      <c r="C1490" s="871" t="s">
        <v>590</v>
      </c>
      <c r="D1490" s="881" t="s">
        <v>1399</v>
      </c>
      <c r="E1490" s="882">
        <f>'REF. DE PREÇOS n editavel'!E1490</f>
        <v>0</v>
      </c>
      <c r="F1490" s="883">
        <f>'REF. DE PREÇOS n editavel'!F1490</f>
        <v>0</v>
      </c>
      <c r="G1490" s="887">
        <f>'REF. DE PREÇOS n editavel'!G1490</f>
        <v>0</v>
      </c>
      <c r="H1490" s="876">
        <f>'REF. DE PREÇOS n editavel'!H1490</f>
        <v>76.709999999999994</v>
      </c>
      <c r="I1490" s="876">
        <f>'REF. DE PREÇOS n editavel'!I1490</f>
        <v>76.709999999999994</v>
      </c>
      <c r="J1490" s="877">
        <f>'REF. DE PREÇOS n editavel'!J1490</f>
        <v>93.75</v>
      </c>
      <c r="K1490" s="878" t="s">
        <v>1500</v>
      </c>
      <c r="L1490" s="1092"/>
      <c r="M1490" s="1093">
        <f t="shared" si="162"/>
        <v>0</v>
      </c>
      <c r="N1490" s="868">
        <f t="shared" si="161"/>
        <v>0</v>
      </c>
      <c r="O1490" s="880"/>
      <c r="Q1490" s="317" t="str">
        <f t="shared" si="163"/>
        <v/>
      </c>
      <c r="R1490" s="317" t="str">
        <f t="shared" si="159"/>
        <v/>
      </c>
      <c r="S1490" s="317" t="str">
        <f t="shared" si="160"/>
        <v/>
      </c>
      <c r="T1490" s="317" t="str">
        <f>'REF. DE PREÇOS n editavel'!S1490</f>
        <v/>
      </c>
      <c r="W1490" s="577">
        <v>0</v>
      </c>
      <c r="X1490" s="575"/>
      <c r="Y1490" s="578">
        <f>IF('REF. DE PREÇOS n editavel'!W1490=0,0,IF('REF. DE PREÇOS n editavel'!W1490&gt;0,"c","b"))</f>
        <v>0</v>
      </c>
    </row>
    <row r="1491" spans="1:25" ht="22.5">
      <c r="A1491" s="317">
        <v>101545</v>
      </c>
      <c r="B1491" s="870">
        <v>101545</v>
      </c>
      <c r="C1491" s="871" t="s">
        <v>590</v>
      </c>
      <c r="D1491" s="881" t="s">
        <v>1400</v>
      </c>
      <c r="E1491" s="882">
        <f>'REF. DE PREÇOS n editavel'!E1491</f>
        <v>0</v>
      </c>
      <c r="F1491" s="883">
        <f>'REF. DE PREÇOS n editavel'!F1491</f>
        <v>0</v>
      </c>
      <c r="G1491" s="887">
        <f>'REF. DE PREÇOS n editavel'!G1491</f>
        <v>0</v>
      </c>
      <c r="H1491" s="876">
        <f>'REF. DE PREÇOS n editavel'!H1491</f>
        <v>108.1</v>
      </c>
      <c r="I1491" s="876">
        <f>'REF. DE PREÇOS n editavel'!I1491</f>
        <v>108.1</v>
      </c>
      <c r="J1491" s="877">
        <f>'REF. DE PREÇOS n editavel'!J1491</f>
        <v>132.12</v>
      </c>
      <c r="K1491" s="878" t="s">
        <v>1500</v>
      </c>
      <c r="L1491" s="1092"/>
      <c r="M1491" s="1093">
        <f t="shared" si="162"/>
        <v>0</v>
      </c>
      <c r="N1491" s="868">
        <f t="shared" si="161"/>
        <v>0</v>
      </c>
      <c r="O1491" s="880"/>
      <c r="Q1491" s="317" t="str">
        <f t="shared" si="163"/>
        <v/>
      </c>
      <c r="R1491" s="317" t="str">
        <f t="shared" ref="R1491:R1554" si="164">IF(P1491="X","x",IF(P1491="y","x",IF(P1491="xx","x",IF(N1491&gt;0,"x",""))))</f>
        <v/>
      </c>
      <c r="S1491" s="317" t="str">
        <f t="shared" ref="S1491:S1554" si="165">IF(P1491="X","x",IF(N1491&gt;0,"x",""))</f>
        <v/>
      </c>
      <c r="T1491" s="317" t="str">
        <f>'REF. DE PREÇOS n editavel'!S1491</f>
        <v/>
      </c>
      <c r="W1491" s="577">
        <v>0</v>
      </c>
      <c r="X1491" s="575"/>
      <c r="Y1491" s="578">
        <f>IF('REF. DE PREÇOS n editavel'!W1491=0,0,IF('REF. DE PREÇOS n editavel'!W1491&gt;0,"c","b"))</f>
        <v>0</v>
      </c>
    </row>
    <row r="1492" spans="1:25" ht="22.5">
      <c r="A1492" s="317">
        <v>101546</v>
      </c>
      <c r="B1492" s="870">
        <v>101546</v>
      </c>
      <c r="C1492" s="871" t="s">
        <v>590</v>
      </c>
      <c r="D1492" s="881" t="s">
        <v>1401</v>
      </c>
      <c r="E1492" s="882">
        <f>'REF. DE PREÇOS n editavel'!E1492</f>
        <v>0</v>
      </c>
      <c r="F1492" s="883">
        <f>'REF. DE PREÇOS n editavel'!F1492</f>
        <v>0</v>
      </c>
      <c r="G1492" s="887">
        <f>'REF. DE PREÇOS n editavel'!G1492</f>
        <v>0</v>
      </c>
      <c r="H1492" s="876">
        <f>'REF. DE PREÇOS n editavel'!H1492</f>
        <v>28.34</v>
      </c>
      <c r="I1492" s="876">
        <f>'REF. DE PREÇOS n editavel'!I1492</f>
        <v>28.34</v>
      </c>
      <c r="J1492" s="877">
        <f>'REF. DE PREÇOS n editavel'!J1492</f>
        <v>34.64</v>
      </c>
      <c r="K1492" s="878" t="s">
        <v>1500</v>
      </c>
      <c r="L1492" s="1092"/>
      <c r="M1492" s="1093">
        <f t="shared" si="162"/>
        <v>0</v>
      </c>
      <c r="N1492" s="868">
        <f t="shared" si="161"/>
        <v>0</v>
      </c>
      <c r="O1492" s="880"/>
      <c r="Q1492" s="317" t="str">
        <f t="shared" si="163"/>
        <v/>
      </c>
      <c r="R1492" s="317" t="str">
        <f t="shared" si="164"/>
        <v/>
      </c>
      <c r="S1492" s="317" t="str">
        <f t="shared" si="165"/>
        <v/>
      </c>
      <c r="T1492" s="317" t="str">
        <f>'REF. DE PREÇOS n editavel'!S1492</f>
        <v/>
      </c>
      <c r="W1492" s="577">
        <v>0</v>
      </c>
      <c r="X1492" s="575"/>
      <c r="Y1492" s="578">
        <f>IF('REF. DE PREÇOS n editavel'!W1492=0,0,IF('REF. DE PREÇOS n editavel'!W1492&gt;0,"c","b"))</f>
        <v>0</v>
      </c>
    </row>
    <row r="1493" spans="1:25" ht="22.5">
      <c r="A1493" s="317">
        <v>101547</v>
      </c>
      <c r="B1493" s="870">
        <v>101547</v>
      </c>
      <c r="C1493" s="871" t="s">
        <v>590</v>
      </c>
      <c r="D1493" s="881" t="s">
        <v>1402</v>
      </c>
      <c r="E1493" s="882">
        <f>'REF. DE PREÇOS n editavel'!E1493</f>
        <v>0</v>
      </c>
      <c r="F1493" s="883">
        <f>'REF. DE PREÇOS n editavel'!F1493</f>
        <v>0</v>
      </c>
      <c r="G1493" s="887">
        <f>'REF. DE PREÇOS n editavel'!G1493</f>
        <v>0</v>
      </c>
      <c r="H1493" s="876">
        <f>'REF. DE PREÇOS n editavel'!H1493</f>
        <v>87.57</v>
      </c>
      <c r="I1493" s="876">
        <f>'REF. DE PREÇOS n editavel'!I1493</f>
        <v>87.57</v>
      </c>
      <c r="J1493" s="877">
        <f>'REF. DE PREÇOS n editavel'!J1493</f>
        <v>107.03</v>
      </c>
      <c r="K1493" s="878" t="s">
        <v>1500</v>
      </c>
      <c r="L1493" s="1092"/>
      <c r="M1493" s="1093">
        <f t="shared" si="162"/>
        <v>0</v>
      </c>
      <c r="N1493" s="868">
        <f t="shared" si="161"/>
        <v>0</v>
      </c>
      <c r="O1493" s="880"/>
      <c r="Q1493" s="317" t="str">
        <f t="shared" si="163"/>
        <v/>
      </c>
      <c r="R1493" s="317" t="str">
        <f t="shared" si="164"/>
        <v/>
      </c>
      <c r="S1493" s="317" t="str">
        <f t="shared" si="165"/>
        <v/>
      </c>
      <c r="T1493" s="317" t="str">
        <f>'REF. DE PREÇOS n editavel'!S1493</f>
        <v/>
      </c>
      <c r="W1493" s="577">
        <v>0</v>
      </c>
      <c r="X1493" s="575"/>
      <c r="Y1493" s="578">
        <f>IF('REF. DE PREÇOS n editavel'!W1493=0,0,IF('REF. DE PREÇOS n editavel'!W1493&gt;0,"c","b"))</f>
        <v>0</v>
      </c>
    </row>
    <row r="1494" spans="1:25" ht="22.5">
      <c r="A1494" s="317">
        <v>101548</v>
      </c>
      <c r="B1494" s="870">
        <v>101548</v>
      </c>
      <c r="C1494" s="871" t="s">
        <v>590</v>
      </c>
      <c r="D1494" s="881" t="s">
        <v>1403</v>
      </c>
      <c r="E1494" s="882">
        <f>'REF. DE PREÇOS n editavel'!E1494</f>
        <v>0</v>
      </c>
      <c r="F1494" s="883">
        <f>'REF. DE PREÇOS n editavel'!F1494</f>
        <v>0</v>
      </c>
      <c r="G1494" s="887">
        <f>'REF. DE PREÇOS n editavel'!G1494</f>
        <v>0</v>
      </c>
      <c r="H1494" s="876">
        <f>'REF. DE PREÇOS n editavel'!H1494</f>
        <v>7.45</v>
      </c>
      <c r="I1494" s="876">
        <f>'REF. DE PREÇOS n editavel'!I1494</f>
        <v>7.45</v>
      </c>
      <c r="J1494" s="877">
        <f>'REF. DE PREÇOS n editavel'!J1494</f>
        <v>9.11</v>
      </c>
      <c r="K1494" s="878" t="s">
        <v>1500</v>
      </c>
      <c r="L1494" s="1092"/>
      <c r="M1494" s="1093">
        <f t="shared" si="162"/>
        <v>0</v>
      </c>
      <c r="N1494" s="868">
        <f t="shared" si="161"/>
        <v>0</v>
      </c>
      <c r="O1494" s="880"/>
      <c r="Q1494" s="317" t="str">
        <f t="shared" si="163"/>
        <v/>
      </c>
      <c r="R1494" s="317" t="str">
        <f t="shared" si="164"/>
        <v/>
      </c>
      <c r="S1494" s="317" t="str">
        <f t="shared" si="165"/>
        <v/>
      </c>
      <c r="T1494" s="317" t="str">
        <f>'REF. DE PREÇOS n editavel'!S1494</f>
        <v/>
      </c>
      <c r="W1494" s="577">
        <v>0</v>
      </c>
      <c r="X1494" s="575"/>
      <c r="Y1494" s="578">
        <f>IF('REF. DE PREÇOS n editavel'!W1494=0,0,IF('REF. DE PREÇOS n editavel'!W1494&gt;0,"c","b"))</f>
        <v>0</v>
      </c>
    </row>
    <row r="1495" spans="1:25" ht="22.5">
      <c r="A1495" s="317">
        <v>101549</v>
      </c>
      <c r="B1495" s="870">
        <v>101549</v>
      </c>
      <c r="C1495" s="871" t="s">
        <v>590</v>
      </c>
      <c r="D1495" s="881" t="s">
        <v>1404</v>
      </c>
      <c r="E1495" s="882">
        <f>'REF. DE PREÇOS n editavel'!E1495</f>
        <v>0</v>
      </c>
      <c r="F1495" s="883">
        <f>'REF. DE PREÇOS n editavel'!F1495</f>
        <v>0</v>
      </c>
      <c r="G1495" s="887">
        <f>'REF. DE PREÇOS n editavel'!G1495</f>
        <v>0</v>
      </c>
      <c r="H1495" s="876">
        <f>'REF. DE PREÇOS n editavel'!H1495</f>
        <v>22.14</v>
      </c>
      <c r="I1495" s="876">
        <f>'REF. DE PREÇOS n editavel'!I1495</f>
        <v>22.14</v>
      </c>
      <c r="J1495" s="877">
        <f>'REF. DE PREÇOS n editavel'!J1495</f>
        <v>27.06</v>
      </c>
      <c r="K1495" s="878" t="s">
        <v>1500</v>
      </c>
      <c r="L1495" s="1092"/>
      <c r="M1495" s="1093">
        <f t="shared" si="162"/>
        <v>0</v>
      </c>
      <c r="N1495" s="868">
        <f t="shared" ref="N1495:N1558" si="166">IF(ISBLANK(L1495),0,IF(W1495=0,ROUND(L1495*M1495,2),IF(W1495="b",ROUNDDOWN(L1495*M1495,2),ROUNDUP(L1495*M1495,2))))</f>
        <v>0</v>
      </c>
      <c r="O1495" s="880"/>
      <c r="Q1495" s="317" t="str">
        <f t="shared" si="163"/>
        <v/>
      </c>
      <c r="R1495" s="317" t="str">
        <f t="shared" si="164"/>
        <v/>
      </c>
      <c r="S1495" s="317" t="str">
        <f t="shared" si="165"/>
        <v/>
      </c>
      <c r="T1495" s="317" t="str">
        <f>'REF. DE PREÇOS n editavel'!S1495</f>
        <v/>
      </c>
      <c r="W1495" s="577">
        <v>0</v>
      </c>
      <c r="X1495" s="575"/>
      <c r="Y1495" s="578">
        <f>IF('REF. DE PREÇOS n editavel'!W1495=0,0,IF('REF. DE PREÇOS n editavel'!W1495&gt;0,"c","b"))</f>
        <v>0</v>
      </c>
    </row>
    <row r="1496" spans="1:25" ht="22.5">
      <c r="A1496" s="317">
        <v>101553</v>
      </c>
      <c r="B1496" s="870">
        <v>101553</v>
      </c>
      <c r="C1496" s="871" t="s">
        <v>590</v>
      </c>
      <c r="D1496" s="881" t="s">
        <v>1405</v>
      </c>
      <c r="E1496" s="882">
        <f>'REF. DE PREÇOS n editavel'!E1496</f>
        <v>0</v>
      </c>
      <c r="F1496" s="883">
        <f>'REF. DE PREÇOS n editavel'!F1496</f>
        <v>0</v>
      </c>
      <c r="G1496" s="887">
        <f>'REF. DE PREÇOS n editavel'!G1496</f>
        <v>0</v>
      </c>
      <c r="H1496" s="876">
        <f>'REF. DE PREÇOS n editavel'!H1496</f>
        <v>11.35</v>
      </c>
      <c r="I1496" s="876">
        <f>'REF. DE PREÇOS n editavel'!I1496</f>
        <v>11.35</v>
      </c>
      <c r="J1496" s="877">
        <f>'REF. DE PREÇOS n editavel'!J1496</f>
        <v>13.87</v>
      </c>
      <c r="K1496" s="878" t="s">
        <v>1500</v>
      </c>
      <c r="L1496" s="1092"/>
      <c r="M1496" s="1093">
        <f t="shared" si="162"/>
        <v>0</v>
      </c>
      <c r="N1496" s="868">
        <f t="shared" si="166"/>
        <v>0</v>
      </c>
      <c r="O1496" s="880"/>
      <c r="Q1496" s="317" t="str">
        <f t="shared" si="163"/>
        <v/>
      </c>
      <c r="R1496" s="317" t="str">
        <f t="shared" si="164"/>
        <v/>
      </c>
      <c r="S1496" s="317" t="str">
        <f t="shared" si="165"/>
        <v/>
      </c>
      <c r="T1496" s="317" t="str">
        <f>'REF. DE PREÇOS n editavel'!S1496</f>
        <v/>
      </c>
      <c r="W1496" s="577">
        <v>0</v>
      </c>
      <c r="X1496" s="575"/>
      <c r="Y1496" s="578">
        <f>IF('REF. DE PREÇOS n editavel'!W1496=0,0,IF('REF. DE PREÇOS n editavel'!W1496&gt;0,"c","b"))</f>
        <v>0</v>
      </c>
    </row>
    <row r="1497" spans="1:25" ht="22.5">
      <c r="A1497" s="317">
        <v>101554</v>
      </c>
      <c r="B1497" s="870">
        <v>101554</v>
      </c>
      <c r="C1497" s="871" t="s">
        <v>590</v>
      </c>
      <c r="D1497" s="881" t="s">
        <v>1406</v>
      </c>
      <c r="E1497" s="882">
        <f>'REF. DE PREÇOS n editavel'!E1497</f>
        <v>0</v>
      </c>
      <c r="F1497" s="883">
        <f>'REF. DE PREÇOS n editavel'!F1497</f>
        <v>0</v>
      </c>
      <c r="G1497" s="887">
        <f>'REF. DE PREÇOS n editavel'!G1497</f>
        <v>0</v>
      </c>
      <c r="H1497" s="876">
        <f>'REF. DE PREÇOS n editavel'!H1497</f>
        <v>9.09</v>
      </c>
      <c r="I1497" s="876">
        <f>'REF. DE PREÇOS n editavel'!I1497</f>
        <v>9.09</v>
      </c>
      <c r="J1497" s="877">
        <f>'REF. DE PREÇOS n editavel'!J1497</f>
        <v>11.11</v>
      </c>
      <c r="K1497" s="878" t="s">
        <v>1500</v>
      </c>
      <c r="L1497" s="1092"/>
      <c r="M1497" s="1093">
        <f t="shared" si="162"/>
        <v>0</v>
      </c>
      <c r="N1497" s="868">
        <f t="shared" si="166"/>
        <v>0</v>
      </c>
      <c r="O1497" s="880"/>
      <c r="Q1497" s="317" t="str">
        <f t="shared" si="163"/>
        <v/>
      </c>
      <c r="R1497" s="317" t="str">
        <f t="shared" si="164"/>
        <v/>
      </c>
      <c r="S1497" s="317" t="str">
        <f t="shared" si="165"/>
        <v/>
      </c>
      <c r="T1497" s="317" t="str">
        <f>'REF. DE PREÇOS n editavel'!S1497</f>
        <v/>
      </c>
      <c r="W1497" s="577">
        <v>0</v>
      </c>
      <c r="X1497" s="575"/>
      <c r="Y1497" s="578">
        <f>IF('REF. DE PREÇOS n editavel'!W1497=0,0,IF('REF. DE PREÇOS n editavel'!W1497&gt;0,"c","b"))</f>
        <v>0</v>
      </c>
    </row>
    <row r="1498" spans="1:25" ht="22.5">
      <c r="A1498" s="317">
        <v>101555</v>
      </c>
      <c r="B1498" s="870">
        <v>101555</v>
      </c>
      <c r="C1498" s="871" t="s">
        <v>590</v>
      </c>
      <c r="D1498" s="881" t="s">
        <v>1407</v>
      </c>
      <c r="E1498" s="882">
        <f>'REF. DE PREÇOS n editavel'!E1498</f>
        <v>0</v>
      </c>
      <c r="F1498" s="883">
        <f>'REF. DE PREÇOS n editavel'!F1498</f>
        <v>0</v>
      </c>
      <c r="G1498" s="887">
        <f>'REF. DE PREÇOS n editavel'!G1498</f>
        <v>0</v>
      </c>
      <c r="H1498" s="876">
        <f>'REF. DE PREÇOS n editavel'!H1498</f>
        <v>7.02</v>
      </c>
      <c r="I1498" s="876">
        <f>'REF. DE PREÇOS n editavel'!I1498</f>
        <v>7.02</v>
      </c>
      <c r="J1498" s="877">
        <f>'REF. DE PREÇOS n editavel'!J1498</f>
        <v>8.58</v>
      </c>
      <c r="K1498" s="878" t="s">
        <v>1500</v>
      </c>
      <c r="L1498" s="1092"/>
      <c r="M1498" s="1093">
        <f t="shared" si="162"/>
        <v>0</v>
      </c>
      <c r="N1498" s="868">
        <f t="shared" si="166"/>
        <v>0</v>
      </c>
      <c r="O1498" s="880"/>
      <c r="Q1498" s="317" t="str">
        <f t="shared" si="163"/>
        <v/>
      </c>
      <c r="R1498" s="317" t="str">
        <f t="shared" si="164"/>
        <v/>
      </c>
      <c r="S1498" s="317" t="str">
        <f t="shared" si="165"/>
        <v/>
      </c>
      <c r="T1498" s="317" t="str">
        <f>'REF. DE PREÇOS n editavel'!S1498</f>
        <v/>
      </c>
      <c r="W1498" s="577">
        <v>0</v>
      </c>
      <c r="X1498" s="575"/>
      <c r="Y1498" s="578">
        <f>IF('REF. DE PREÇOS n editavel'!W1498=0,0,IF('REF. DE PREÇOS n editavel'!W1498&gt;0,"c","b"))</f>
        <v>0</v>
      </c>
    </row>
    <row r="1499" spans="1:25" ht="22.5">
      <c r="A1499" s="317">
        <v>101556</v>
      </c>
      <c r="B1499" s="870">
        <v>101556</v>
      </c>
      <c r="C1499" s="871" t="s">
        <v>590</v>
      </c>
      <c r="D1499" s="881" t="s">
        <v>1408</v>
      </c>
      <c r="E1499" s="882">
        <f>'REF. DE PREÇOS n editavel'!E1499</f>
        <v>0</v>
      </c>
      <c r="F1499" s="883">
        <f>'REF. DE PREÇOS n editavel'!F1499</f>
        <v>0</v>
      </c>
      <c r="G1499" s="887">
        <f>'REF. DE PREÇOS n editavel'!G1499</f>
        <v>0</v>
      </c>
      <c r="H1499" s="876">
        <f>'REF. DE PREÇOS n editavel'!H1499</f>
        <v>6.69</v>
      </c>
      <c r="I1499" s="876">
        <f>'REF. DE PREÇOS n editavel'!I1499</f>
        <v>6.69</v>
      </c>
      <c r="J1499" s="877">
        <f>'REF. DE PREÇOS n editavel'!J1499</f>
        <v>8.18</v>
      </c>
      <c r="K1499" s="878" t="s">
        <v>1500</v>
      </c>
      <c r="L1499" s="1092"/>
      <c r="M1499" s="1093">
        <f t="shared" si="162"/>
        <v>0</v>
      </c>
      <c r="N1499" s="868">
        <f t="shared" si="166"/>
        <v>0</v>
      </c>
      <c r="O1499" s="880"/>
      <c r="Q1499" s="317" t="str">
        <f t="shared" si="163"/>
        <v/>
      </c>
      <c r="R1499" s="317" t="str">
        <f t="shared" si="164"/>
        <v/>
      </c>
      <c r="S1499" s="317" t="str">
        <f t="shared" si="165"/>
        <v/>
      </c>
      <c r="T1499" s="317" t="str">
        <f>'REF. DE PREÇOS n editavel'!S1499</f>
        <v/>
      </c>
      <c r="W1499" s="577">
        <v>0</v>
      </c>
      <c r="X1499" s="575"/>
      <c r="Y1499" s="578">
        <f>IF('REF. DE PREÇOS n editavel'!W1499=0,0,IF('REF. DE PREÇOS n editavel'!W1499&gt;0,"c","b"))</f>
        <v>0</v>
      </c>
    </row>
    <row r="1500" spans="1:25" ht="22.5">
      <c r="A1500" s="317">
        <v>101626</v>
      </c>
      <c r="B1500" s="870">
        <v>101626</v>
      </c>
      <c r="C1500" s="871" t="s">
        <v>590</v>
      </c>
      <c r="D1500" s="881" t="s">
        <v>1409</v>
      </c>
      <c r="E1500" s="882">
        <f>'REF. DE PREÇOS n editavel'!E1500</f>
        <v>0</v>
      </c>
      <c r="F1500" s="883">
        <f>'REF. DE PREÇOS n editavel'!F1500</f>
        <v>0</v>
      </c>
      <c r="G1500" s="887">
        <f>'REF. DE PREÇOS n editavel'!G1500</f>
        <v>0</v>
      </c>
      <c r="H1500" s="876">
        <f>'REF. DE PREÇOS n editavel'!H1500</f>
        <v>195.03</v>
      </c>
      <c r="I1500" s="876">
        <f>'REF. DE PREÇOS n editavel'!I1500</f>
        <v>195.03</v>
      </c>
      <c r="J1500" s="877">
        <f>'REF. DE PREÇOS n editavel'!J1500</f>
        <v>238.37</v>
      </c>
      <c r="K1500" s="878" t="s">
        <v>1500</v>
      </c>
      <c r="L1500" s="1092"/>
      <c r="M1500" s="1093">
        <f t="shared" si="162"/>
        <v>0</v>
      </c>
      <c r="N1500" s="868">
        <f t="shared" si="166"/>
        <v>0</v>
      </c>
      <c r="O1500" s="880"/>
      <c r="Q1500" s="317" t="str">
        <f t="shared" si="163"/>
        <v/>
      </c>
      <c r="R1500" s="317" t="str">
        <f t="shared" si="164"/>
        <v/>
      </c>
      <c r="S1500" s="317" t="str">
        <f t="shared" si="165"/>
        <v/>
      </c>
      <c r="T1500" s="317" t="str">
        <f>'REF. DE PREÇOS n editavel'!S1500</f>
        <v/>
      </c>
      <c r="W1500" s="577">
        <v>0</v>
      </c>
      <c r="X1500" s="575"/>
      <c r="Y1500" s="578">
        <f>IF('REF. DE PREÇOS n editavel'!W1500=0,0,IF('REF. DE PREÇOS n editavel'!W1500&gt;0,"c","b"))</f>
        <v>0</v>
      </c>
    </row>
    <row r="1501" spans="1:25" ht="22.5">
      <c r="A1501" s="317">
        <v>101627</v>
      </c>
      <c r="B1501" s="870">
        <v>101627</v>
      </c>
      <c r="C1501" s="871" t="s">
        <v>590</v>
      </c>
      <c r="D1501" s="881" t="s">
        <v>1410</v>
      </c>
      <c r="E1501" s="882">
        <f>'REF. DE PREÇOS n editavel'!E1501</f>
        <v>0</v>
      </c>
      <c r="F1501" s="883">
        <f>'REF. DE PREÇOS n editavel'!F1501</f>
        <v>0</v>
      </c>
      <c r="G1501" s="887">
        <f>'REF. DE PREÇOS n editavel'!G1501</f>
        <v>0</v>
      </c>
      <c r="H1501" s="876">
        <f>'REF. DE PREÇOS n editavel'!H1501</f>
        <v>302.79000000000002</v>
      </c>
      <c r="I1501" s="876">
        <f>'REF. DE PREÇOS n editavel'!I1501</f>
        <v>302.79000000000002</v>
      </c>
      <c r="J1501" s="877">
        <f>'REF. DE PREÇOS n editavel'!J1501</f>
        <v>370.07</v>
      </c>
      <c r="K1501" s="878" t="s">
        <v>1500</v>
      </c>
      <c r="L1501" s="1092"/>
      <c r="M1501" s="1093">
        <f t="shared" si="162"/>
        <v>0</v>
      </c>
      <c r="N1501" s="868">
        <f t="shared" si="166"/>
        <v>0</v>
      </c>
      <c r="O1501" s="880"/>
      <c r="Q1501" s="317" t="str">
        <f t="shared" si="163"/>
        <v/>
      </c>
      <c r="R1501" s="317" t="str">
        <f t="shared" si="164"/>
        <v/>
      </c>
      <c r="S1501" s="317" t="str">
        <f t="shared" si="165"/>
        <v/>
      </c>
      <c r="T1501" s="317" t="str">
        <f>'REF. DE PREÇOS n editavel'!S1501</f>
        <v/>
      </c>
      <c r="W1501" s="577">
        <v>0</v>
      </c>
      <c r="X1501" s="575"/>
      <c r="Y1501" s="578">
        <f>IF('REF. DE PREÇOS n editavel'!W1501=0,0,IF('REF. DE PREÇOS n editavel'!W1501&gt;0,"c","b"))</f>
        <v>0</v>
      </c>
    </row>
    <row r="1502" spans="1:25" ht="22.5">
      <c r="A1502" s="317">
        <v>101628</v>
      </c>
      <c r="B1502" s="870">
        <v>101628</v>
      </c>
      <c r="C1502" s="871" t="s">
        <v>590</v>
      </c>
      <c r="D1502" s="881" t="s">
        <v>1411</v>
      </c>
      <c r="E1502" s="882">
        <f>'REF. DE PREÇOS n editavel'!E1502</f>
        <v>0</v>
      </c>
      <c r="F1502" s="883">
        <f>'REF. DE PREÇOS n editavel'!F1502</f>
        <v>0</v>
      </c>
      <c r="G1502" s="887">
        <f>'REF. DE PREÇOS n editavel'!G1502</f>
        <v>0</v>
      </c>
      <c r="H1502" s="876">
        <f>'REF. DE PREÇOS n editavel'!H1502</f>
        <v>145.18</v>
      </c>
      <c r="I1502" s="876">
        <f>'REF. DE PREÇOS n editavel'!I1502</f>
        <v>145.18</v>
      </c>
      <c r="J1502" s="877">
        <f>'REF. DE PREÇOS n editavel'!J1502</f>
        <v>177.44</v>
      </c>
      <c r="K1502" s="878" t="s">
        <v>1500</v>
      </c>
      <c r="L1502" s="1092"/>
      <c r="M1502" s="1093">
        <f t="shared" si="162"/>
        <v>0</v>
      </c>
      <c r="N1502" s="868">
        <f t="shared" si="166"/>
        <v>0</v>
      </c>
      <c r="O1502" s="880"/>
      <c r="Q1502" s="317" t="str">
        <f t="shared" si="163"/>
        <v/>
      </c>
      <c r="R1502" s="317" t="str">
        <f t="shared" si="164"/>
        <v/>
      </c>
      <c r="S1502" s="317" t="str">
        <f t="shared" si="165"/>
        <v/>
      </c>
      <c r="T1502" s="317" t="str">
        <f>'REF. DE PREÇOS n editavel'!S1502</f>
        <v/>
      </c>
      <c r="W1502" s="577">
        <v>0</v>
      </c>
      <c r="X1502" s="575"/>
      <c r="Y1502" s="578">
        <f>IF('REF. DE PREÇOS n editavel'!W1502=0,0,IF('REF. DE PREÇOS n editavel'!W1502&gt;0,"c","b"))</f>
        <v>0</v>
      </c>
    </row>
    <row r="1503" spans="1:25" ht="22.5">
      <c r="A1503" s="317">
        <v>101629</v>
      </c>
      <c r="B1503" s="870">
        <v>101629</v>
      </c>
      <c r="C1503" s="871" t="s">
        <v>590</v>
      </c>
      <c r="D1503" s="881" t="s">
        <v>1412</v>
      </c>
      <c r="E1503" s="882">
        <f>'REF. DE PREÇOS n editavel'!E1503</f>
        <v>0</v>
      </c>
      <c r="F1503" s="883">
        <f>'REF. DE PREÇOS n editavel'!F1503</f>
        <v>0</v>
      </c>
      <c r="G1503" s="887">
        <f>'REF. DE PREÇOS n editavel'!G1503</f>
        <v>0</v>
      </c>
      <c r="H1503" s="876">
        <f>'REF. DE PREÇOS n editavel'!H1503</f>
        <v>170.85</v>
      </c>
      <c r="I1503" s="876">
        <f>'REF. DE PREÇOS n editavel'!I1503</f>
        <v>170.85</v>
      </c>
      <c r="J1503" s="877">
        <f>'REF. DE PREÇOS n editavel'!J1503</f>
        <v>208.81</v>
      </c>
      <c r="K1503" s="878" t="s">
        <v>1500</v>
      </c>
      <c r="L1503" s="1092"/>
      <c r="M1503" s="1093">
        <f t="shared" si="162"/>
        <v>0</v>
      </c>
      <c r="N1503" s="868">
        <f t="shared" si="166"/>
        <v>0</v>
      </c>
      <c r="O1503" s="880"/>
      <c r="Q1503" s="317" t="str">
        <f t="shared" si="163"/>
        <v/>
      </c>
      <c r="R1503" s="317" t="str">
        <f t="shared" si="164"/>
        <v/>
      </c>
      <c r="S1503" s="317" t="str">
        <f t="shared" si="165"/>
        <v/>
      </c>
      <c r="T1503" s="317" t="str">
        <f>'REF. DE PREÇOS n editavel'!S1503</f>
        <v/>
      </c>
      <c r="W1503" s="577">
        <v>0</v>
      </c>
      <c r="X1503" s="575"/>
      <c r="Y1503" s="578">
        <f>IF('REF. DE PREÇOS n editavel'!W1503=0,0,IF('REF. DE PREÇOS n editavel'!W1503&gt;0,"c","b"))</f>
        <v>0</v>
      </c>
    </row>
    <row r="1504" spans="1:25" ht="22.5">
      <c r="A1504" s="317">
        <v>100921</v>
      </c>
      <c r="B1504" s="870">
        <v>100921</v>
      </c>
      <c r="C1504" s="871" t="s">
        <v>590</v>
      </c>
      <c r="D1504" s="881" t="s">
        <v>1413</v>
      </c>
      <c r="E1504" s="882">
        <f>'REF. DE PREÇOS n editavel'!E1504</f>
        <v>0</v>
      </c>
      <c r="F1504" s="883">
        <f>'REF. DE PREÇOS n editavel'!F1504</f>
        <v>0</v>
      </c>
      <c r="G1504" s="887">
        <f>'REF. DE PREÇOS n editavel'!G1504</f>
        <v>0</v>
      </c>
      <c r="H1504" s="876">
        <f>'REF. DE PREÇOS n editavel'!H1504</f>
        <v>76.739999999999995</v>
      </c>
      <c r="I1504" s="876">
        <f>'REF. DE PREÇOS n editavel'!I1504</f>
        <v>76.739999999999995</v>
      </c>
      <c r="J1504" s="877">
        <f>'REF. DE PREÇOS n editavel'!J1504</f>
        <v>93.79</v>
      </c>
      <c r="K1504" s="878" t="s">
        <v>1500</v>
      </c>
      <c r="L1504" s="1092"/>
      <c r="M1504" s="1093">
        <f t="shared" si="162"/>
        <v>0</v>
      </c>
      <c r="N1504" s="868">
        <f t="shared" si="166"/>
        <v>0</v>
      </c>
      <c r="O1504" s="880"/>
      <c r="Q1504" s="317" t="str">
        <f t="shared" si="163"/>
        <v/>
      </c>
      <c r="R1504" s="317" t="str">
        <f t="shared" si="164"/>
        <v/>
      </c>
      <c r="S1504" s="317" t="str">
        <f t="shared" si="165"/>
        <v/>
      </c>
      <c r="T1504" s="317" t="str">
        <f>'REF. DE PREÇOS n editavel'!S1504</f>
        <v/>
      </c>
      <c r="W1504" s="577">
        <v>0</v>
      </c>
      <c r="X1504" s="575"/>
      <c r="Y1504" s="578">
        <f>IF('REF. DE PREÇOS n editavel'!W1504=0,0,IF('REF. DE PREÇOS n editavel'!W1504&gt;0,"c","b"))</f>
        <v>0</v>
      </c>
    </row>
    <row r="1505" spans="1:25" ht="22.5">
      <c r="A1505" s="317">
        <v>100922</v>
      </c>
      <c r="B1505" s="870">
        <v>100922</v>
      </c>
      <c r="C1505" s="871" t="s">
        <v>590</v>
      </c>
      <c r="D1505" s="881" t="s">
        <v>1414</v>
      </c>
      <c r="E1505" s="882">
        <f>'REF. DE PREÇOS n editavel'!E1505</f>
        <v>0</v>
      </c>
      <c r="F1505" s="883">
        <f>'REF. DE PREÇOS n editavel'!F1505</f>
        <v>0</v>
      </c>
      <c r="G1505" s="887">
        <f>'REF. DE PREÇOS n editavel'!G1505</f>
        <v>0</v>
      </c>
      <c r="H1505" s="876">
        <f>'REF. DE PREÇOS n editavel'!H1505</f>
        <v>55.07</v>
      </c>
      <c r="I1505" s="876">
        <f>'REF. DE PREÇOS n editavel'!I1505</f>
        <v>55.07</v>
      </c>
      <c r="J1505" s="877">
        <f>'REF. DE PREÇOS n editavel'!J1505</f>
        <v>67.31</v>
      </c>
      <c r="K1505" s="878" t="s">
        <v>1500</v>
      </c>
      <c r="L1505" s="1092"/>
      <c r="M1505" s="1093">
        <f t="shared" si="162"/>
        <v>0</v>
      </c>
      <c r="N1505" s="868">
        <f t="shared" si="166"/>
        <v>0</v>
      </c>
      <c r="O1505" s="880"/>
      <c r="Q1505" s="317" t="str">
        <f t="shared" si="163"/>
        <v/>
      </c>
      <c r="R1505" s="317" t="str">
        <f t="shared" si="164"/>
        <v/>
      </c>
      <c r="S1505" s="317" t="str">
        <f t="shared" si="165"/>
        <v/>
      </c>
      <c r="T1505" s="317" t="str">
        <f>'REF. DE PREÇOS n editavel'!S1505</f>
        <v/>
      </c>
      <c r="W1505" s="577">
        <v>0</v>
      </c>
      <c r="X1505" s="575"/>
      <c r="Y1505" s="578">
        <f>IF('REF. DE PREÇOS n editavel'!W1505=0,0,IF('REF. DE PREÇOS n editavel'!W1505&gt;0,"c","b"))</f>
        <v>0</v>
      </c>
    </row>
    <row r="1506" spans="1:25" ht="22.5">
      <c r="A1506" s="317">
        <v>100923</v>
      </c>
      <c r="B1506" s="870">
        <v>100923</v>
      </c>
      <c r="C1506" s="871" t="s">
        <v>590</v>
      </c>
      <c r="D1506" s="881" t="s">
        <v>1415</v>
      </c>
      <c r="E1506" s="882">
        <f>'REF. DE PREÇOS n editavel'!E1506</f>
        <v>0</v>
      </c>
      <c r="F1506" s="883">
        <f>'REF. DE PREÇOS n editavel'!F1506</f>
        <v>0</v>
      </c>
      <c r="G1506" s="887">
        <f>'REF. DE PREÇOS n editavel'!G1506</f>
        <v>0</v>
      </c>
      <c r="H1506" s="876">
        <f>'REF. DE PREÇOS n editavel'!H1506</f>
        <v>63.57</v>
      </c>
      <c r="I1506" s="876">
        <f>'REF. DE PREÇOS n editavel'!I1506</f>
        <v>63.57</v>
      </c>
      <c r="J1506" s="877">
        <f>'REF. DE PREÇOS n editavel'!J1506</f>
        <v>77.7</v>
      </c>
      <c r="K1506" s="878" t="s">
        <v>1500</v>
      </c>
      <c r="L1506" s="1092"/>
      <c r="M1506" s="1093">
        <f t="shared" si="162"/>
        <v>0</v>
      </c>
      <c r="N1506" s="868">
        <f t="shared" si="166"/>
        <v>0</v>
      </c>
      <c r="O1506" s="880"/>
      <c r="Q1506" s="317" t="str">
        <f t="shared" si="163"/>
        <v/>
      </c>
      <c r="R1506" s="317" t="str">
        <f t="shared" si="164"/>
        <v/>
      </c>
      <c r="S1506" s="317" t="str">
        <f t="shared" si="165"/>
        <v/>
      </c>
      <c r="T1506" s="317" t="str">
        <f>'REF. DE PREÇOS n editavel'!S1506</f>
        <v/>
      </c>
      <c r="W1506" s="577">
        <v>0</v>
      </c>
      <c r="X1506" s="575"/>
      <c r="Y1506" s="578">
        <f>IF('REF. DE PREÇOS n editavel'!W1506=0,0,IF('REF. DE PREÇOS n editavel'!W1506&gt;0,"c","b"))</f>
        <v>0</v>
      </c>
    </row>
    <row r="1507" spans="1:25" ht="33.75">
      <c r="A1507" s="317">
        <v>101661</v>
      </c>
      <c r="B1507" s="870">
        <v>101661</v>
      </c>
      <c r="C1507" s="871" t="s">
        <v>590</v>
      </c>
      <c r="D1507" s="881" t="s">
        <v>1416</v>
      </c>
      <c r="E1507" s="882">
        <f>'REF. DE PREÇOS n editavel'!E1507</f>
        <v>0</v>
      </c>
      <c r="F1507" s="883">
        <f>'REF. DE PREÇOS n editavel'!F1507</f>
        <v>0</v>
      </c>
      <c r="G1507" s="887">
        <f>'REF. DE PREÇOS n editavel'!G1507</f>
        <v>0</v>
      </c>
      <c r="H1507" s="876">
        <f>'REF. DE PREÇOS n editavel'!H1507</f>
        <v>126.97</v>
      </c>
      <c r="I1507" s="876">
        <f>'REF. DE PREÇOS n editavel'!I1507</f>
        <v>126.97</v>
      </c>
      <c r="J1507" s="877">
        <f>'REF. DE PREÇOS n editavel'!J1507</f>
        <v>155.18</v>
      </c>
      <c r="K1507" s="878" t="s">
        <v>1500</v>
      </c>
      <c r="L1507" s="1092"/>
      <c r="M1507" s="1093">
        <f t="shared" si="162"/>
        <v>0</v>
      </c>
      <c r="N1507" s="868">
        <f t="shared" si="166"/>
        <v>0</v>
      </c>
      <c r="O1507" s="880"/>
      <c r="Q1507" s="317" t="str">
        <f t="shared" si="163"/>
        <v/>
      </c>
      <c r="R1507" s="317" t="str">
        <f t="shared" si="164"/>
        <v/>
      </c>
      <c r="S1507" s="317" t="str">
        <f t="shared" si="165"/>
        <v/>
      </c>
      <c r="T1507" s="317" t="str">
        <f>'REF. DE PREÇOS n editavel'!S1507</f>
        <v/>
      </c>
      <c r="W1507" s="577">
        <v>0</v>
      </c>
      <c r="X1507" s="575"/>
      <c r="Y1507" s="578">
        <f>IF('REF. DE PREÇOS n editavel'!W1507=0,0,IF('REF. DE PREÇOS n editavel'!W1507&gt;0,"c","b"))</f>
        <v>0</v>
      </c>
    </row>
    <row r="1508" spans="1:25" ht="22.5">
      <c r="A1508" s="317">
        <v>101651</v>
      </c>
      <c r="B1508" s="870">
        <v>101651</v>
      </c>
      <c r="C1508" s="871" t="s">
        <v>590</v>
      </c>
      <c r="D1508" s="881" t="s">
        <v>1417</v>
      </c>
      <c r="E1508" s="882">
        <f>'REF. DE PREÇOS n editavel'!E1508</f>
        <v>0</v>
      </c>
      <c r="F1508" s="883">
        <f>'REF. DE PREÇOS n editavel'!F1508</f>
        <v>0</v>
      </c>
      <c r="G1508" s="887">
        <f>'REF. DE PREÇOS n editavel'!G1508</f>
        <v>0</v>
      </c>
      <c r="H1508" s="876">
        <f>'REF. DE PREÇOS n editavel'!H1508</f>
        <v>67.55</v>
      </c>
      <c r="I1508" s="876">
        <f>'REF. DE PREÇOS n editavel'!I1508</f>
        <v>67.55</v>
      </c>
      <c r="J1508" s="877">
        <f>'REF. DE PREÇOS n editavel'!J1508</f>
        <v>82.56</v>
      </c>
      <c r="K1508" s="878" t="s">
        <v>1500</v>
      </c>
      <c r="L1508" s="1092"/>
      <c r="M1508" s="1093">
        <f t="shared" si="162"/>
        <v>0</v>
      </c>
      <c r="N1508" s="868">
        <f t="shared" si="166"/>
        <v>0</v>
      </c>
      <c r="O1508" s="880"/>
      <c r="Q1508" s="317" t="str">
        <f t="shared" si="163"/>
        <v/>
      </c>
      <c r="R1508" s="317" t="str">
        <f t="shared" si="164"/>
        <v/>
      </c>
      <c r="S1508" s="317" t="str">
        <f t="shared" si="165"/>
        <v/>
      </c>
      <c r="T1508" s="317" t="str">
        <f>'REF. DE PREÇOS n editavel'!S1508</f>
        <v/>
      </c>
      <c r="W1508" s="577">
        <v>0</v>
      </c>
      <c r="X1508" s="575"/>
      <c r="Y1508" s="578">
        <f>IF('REF. DE PREÇOS n editavel'!W1508=0,0,IF('REF. DE PREÇOS n editavel'!W1508&gt;0,"c","b"))</f>
        <v>0</v>
      </c>
    </row>
    <row r="1509" spans="1:25" ht="22.5">
      <c r="A1509" s="317">
        <v>101630</v>
      </c>
      <c r="B1509" s="870">
        <v>101630</v>
      </c>
      <c r="C1509" s="871" t="s">
        <v>590</v>
      </c>
      <c r="D1509" s="881" t="s">
        <v>1418</v>
      </c>
      <c r="E1509" s="882">
        <f>'REF. DE PREÇOS n editavel'!E1509</f>
        <v>0</v>
      </c>
      <c r="F1509" s="883">
        <f>'REF. DE PREÇOS n editavel'!F1509</f>
        <v>0</v>
      </c>
      <c r="G1509" s="887">
        <f>'REF. DE PREÇOS n editavel'!G1509</f>
        <v>0</v>
      </c>
      <c r="H1509" s="876">
        <f>'REF. DE PREÇOS n editavel'!H1509</f>
        <v>80.7</v>
      </c>
      <c r="I1509" s="876">
        <f>'REF. DE PREÇOS n editavel'!I1509</f>
        <v>80.7</v>
      </c>
      <c r="J1509" s="877">
        <f>'REF. DE PREÇOS n editavel'!J1509</f>
        <v>98.63</v>
      </c>
      <c r="K1509" s="878" t="s">
        <v>1500</v>
      </c>
      <c r="L1509" s="1092"/>
      <c r="M1509" s="1093">
        <f t="shared" si="162"/>
        <v>0</v>
      </c>
      <c r="N1509" s="868">
        <f t="shared" si="166"/>
        <v>0</v>
      </c>
      <c r="O1509" s="880"/>
      <c r="Q1509" s="317" t="str">
        <f t="shared" si="163"/>
        <v/>
      </c>
      <c r="R1509" s="317" t="str">
        <f t="shared" si="164"/>
        <v/>
      </c>
      <c r="S1509" s="317" t="str">
        <f t="shared" si="165"/>
        <v/>
      </c>
      <c r="T1509" s="317" t="str">
        <f>'REF. DE PREÇOS n editavel'!S1509</f>
        <v/>
      </c>
      <c r="W1509" s="577">
        <v>0</v>
      </c>
      <c r="X1509" s="575"/>
      <c r="Y1509" s="578">
        <f>IF('REF. DE PREÇOS n editavel'!W1509=0,0,IF('REF. DE PREÇOS n editavel'!W1509&gt;0,"c","b"))</f>
        <v>0</v>
      </c>
    </row>
    <row r="1510" spans="1:25" ht="22.5">
      <c r="A1510" s="317">
        <v>101631</v>
      </c>
      <c r="B1510" s="870">
        <v>101631</v>
      </c>
      <c r="C1510" s="871" t="s">
        <v>590</v>
      </c>
      <c r="D1510" s="881" t="s">
        <v>1419</v>
      </c>
      <c r="E1510" s="882">
        <f>'REF. DE PREÇOS n editavel'!E1510</f>
        <v>0</v>
      </c>
      <c r="F1510" s="883">
        <f>'REF. DE PREÇOS n editavel'!F1510</f>
        <v>0</v>
      </c>
      <c r="G1510" s="887">
        <f>'REF. DE PREÇOS n editavel'!G1510</f>
        <v>0</v>
      </c>
      <c r="H1510" s="876">
        <f>'REF. DE PREÇOS n editavel'!H1510</f>
        <v>39.08</v>
      </c>
      <c r="I1510" s="876">
        <f>'REF. DE PREÇOS n editavel'!I1510</f>
        <v>39.08</v>
      </c>
      <c r="J1510" s="877">
        <f>'REF. DE PREÇOS n editavel'!J1510</f>
        <v>47.76</v>
      </c>
      <c r="K1510" s="878" t="s">
        <v>1500</v>
      </c>
      <c r="L1510" s="1092"/>
      <c r="M1510" s="1093">
        <f t="shared" si="162"/>
        <v>0</v>
      </c>
      <c r="N1510" s="868">
        <f t="shared" si="166"/>
        <v>0</v>
      </c>
      <c r="O1510" s="880"/>
      <c r="Q1510" s="317" t="str">
        <f t="shared" si="163"/>
        <v/>
      </c>
      <c r="R1510" s="317" t="str">
        <f t="shared" si="164"/>
        <v/>
      </c>
      <c r="S1510" s="317" t="str">
        <f t="shared" si="165"/>
        <v/>
      </c>
      <c r="T1510" s="317" t="str">
        <f>'REF. DE PREÇOS n editavel'!S1510</f>
        <v/>
      </c>
      <c r="W1510" s="577">
        <v>0</v>
      </c>
      <c r="X1510" s="575"/>
      <c r="Y1510" s="578">
        <f>IF('REF. DE PREÇOS n editavel'!W1510=0,0,IF('REF. DE PREÇOS n editavel'!W1510&gt;0,"c","b"))</f>
        <v>0</v>
      </c>
    </row>
    <row r="1511" spans="1:25" ht="22.5">
      <c r="A1511" s="317">
        <v>101632</v>
      </c>
      <c r="B1511" s="870">
        <v>101632</v>
      </c>
      <c r="C1511" s="871" t="s">
        <v>590</v>
      </c>
      <c r="D1511" s="881" t="s">
        <v>1420</v>
      </c>
      <c r="E1511" s="882">
        <f>'REF. DE PREÇOS n editavel'!E1511</f>
        <v>0</v>
      </c>
      <c r="F1511" s="883">
        <f>'REF. DE PREÇOS n editavel'!F1511</f>
        <v>0</v>
      </c>
      <c r="G1511" s="887">
        <f>'REF. DE PREÇOS n editavel'!G1511</f>
        <v>0</v>
      </c>
      <c r="H1511" s="876">
        <f>'REF. DE PREÇOS n editavel'!H1511</f>
        <v>43.27</v>
      </c>
      <c r="I1511" s="876">
        <f>'REF. DE PREÇOS n editavel'!I1511</f>
        <v>43.27</v>
      </c>
      <c r="J1511" s="877">
        <f>'REF. DE PREÇOS n editavel'!J1511</f>
        <v>52.88</v>
      </c>
      <c r="K1511" s="878" t="s">
        <v>1500</v>
      </c>
      <c r="L1511" s="1092"/>
      <c r="M1511" s="1093">
        <f t="shared" si="162"/>
        <v>0</v>
      </c>
      <c r="N1511" s="868">
        <f t="shared" si="166"/>
        <v>0</v>
      </c>
      <c r="O1511" s="880"/>
      <c r="Q1511" s="317" t="str">
        <f t="shared" si="163"/>
        <v/>
      </c>
      <c r="R1511" s="317" t="str">
        <f t="shared" si="164"/>
        <v/>
      </c>
      <c r="S1511" s="317" t="str">
        <f t="shared" si="165"/>
        <v/>
      </c>
      <c r="T1511" s="317" t="str">
        <f>'REF. DE PREÇOS n editavel'!S1511</f>
        <v/>
      </c>
      <c r="W1511" s="577">
        <v>0</v>
      </c>
      <c r="X1511" s="575"/>
      <c r="Y1511" s="578">
        <f>IF('REF. DE PREÇOS n editavel'!W1511=0,0,IF('REF. DE PREÇOS n editavel'!W1511&gt;0,"c","b"))</f>
        <v>0</v>
      </c>
    </row>
    <row r="1512" spans="1:25" ht="22.5">
      <c r="A1512" s="317">
        <v>101633</v>
      </c>
      <c r="B1512" s="870">
        <v>101633</v>
      </c>
      <c r="C1512" s="871" t="s">
        <v>590</v>
      </c>
      <c r="D1512" s="881" t="s">
        <v>1421</v>
      </c>
      <c r="E1512" s="882">
        <f>'REF. DE PREÇOS n editavel'!E1512</f>
        <v>0</v>
      </c>
      <c r="F1512" s="883">
        <f>'REF. DE PREÇOS n editavel'!F1512</f>
        <v>0</v>
      </c>
      <c r="G1512" s="887">
        <f>'REF. DE PREÇOS n editavel'!G1512</f>
        <v>0</v>
      </c>
      <c r="H1512" s="876">
        <f>'REF. DE PREÇOS n editavel'!H1512</f>
        <v>108.32</v>
      </c>
      <c r="I1512" s="876">
        <f>'REF. DE PREÇOS n editavel'!I1512</f>
        <v>108.32</v>
      </c>
      <c r="J1512" s="877">
        <f>'REF. DE PREÇOS n editavel'!J1512</f>
        <v>132.38999999999999</v>
      </c>
      <c r="K1512" s="878" t="s">
        <v>1500</v>
      </c>
      <c r="L1512" s="1092"/>
      <c r="M1512" s="1093">
        <f t="shared" si="162"/>
        <v>0</v>
      </c>
      <c r="N1512" s="868">
        <f t="shared" si="166"/>
        <v>0</v>
      </c>
      <c r="O1512" s="880"/>
      <c r="Q1512" s="317" t="str">
        <f t="shared" si="163"/>
        <v/>
      </c>
      <c r="R1512" s="317" t="str">
        <f t="shared" si="164"/>
        <v/>
      </c>
      <c r="S1512" s="317" t="str">
        <f t="shared" si="165"/>
        <v/>
      </c>
      <c r="T1512" s="317" t="str">
        <f>'REF. DE PREÇOS n editavel'!S1512</f>
        <v/>
      </c>
      <c r="W1512" s="577">
        <v>0</v>
      </c>
      <c r="X1512" s="575"/>
      <c r="Y1512" s="578">
        <f>IF('REF. DE PREÇOS n editavel'!W1512=0,0,IF('REF. DE PREÇOS n editavel'!W1512&gt;0,"c","b"))</f>
        <v>0</v>
      </c>
    </row>
    <row r="1513" spans="1:25" ht="33.75">
      <c r="A1513" s="317">
        <v>101636</v>
      </c>
      <c r="B1513" s="870">
        <v>101636</v>
      </c>
      <c r="C1513" s="871" t="s">
        <v>590</v>
      </c>
      <c r="D1513" s="881" t="s">
        <v>1422</v>
      </c>
      <c r="E1513" s="882">
        <f>'REF. DE PREÇOS n editavel'!E1513</f>
        <v>0</v>
      </c>
      <c r="F1513" s="883">
        <f>'REF. DE PREÇOS n editavel'!F1513</f>
        <v>0</v>
      </c>
      <c r="G1513" s="887">
        <f>'REF. DE PREÇOS n editavel'!G1513</f>
        <v>0</v>
      </c>
      <c r="H1513" s="876">
        <f>'REF. DE PREÇOS n editavel'!H1513</f>
        <v>163.68</v>
      </c>
      <c r="I1513" s="876">
        <f>'REF. DE PREÇOS n editavel'!I1513</f>
        <v>163.68</v>
      </c>
      <c r="J1513" s="877">
        <f>'REF. DE PREÇOS n editavel'!J1513</f>
        <v>200.05</v>
      </c>
      <c r="K1513" s="878" t="s">
        <v>1500</v>
      </c>
      <c r="L1513" s="1092"/>
      <c r="M1513" s="1093">
        <f t="shared" si="162"/>
        <v>0</v>
      </c>
      <c r="N1513" s="868">
        <f t="shared" si="166"/>
        <v>0</v>
      </c>
      <c r="O1513" s="880"/>
      <c r="Q1513" s="317" t="str">
        <f t="shared" si="163"/>
        <v/>
      </c>
      <c r="R1513" s="317" t="str">
        <f t="shared" si="164"/>
        <v/>
      </c>
      <c r="S1513" s="317" t="str">
        <f t="shared" si="165"/>
        <v/>
      </c>
      <c r="T1513" s="317" t="str">
        <f>'REF. DE PREÇOS n editavel'!S1513</f>
        <v/>
      </c>
      <c r="W1513" s="577">
        <v>0</v>
      </c>
      <c r="X1513" s="575"/>
      <c r="Y1513" s="578">
        <f>IF('REF. DE PREÇOS n editavel'!W1513=0,0,IF('REF. DE PREÇOS n editavel'!W1513&gt;0,"c","b"))</f>
        <v>0</v>
      </c>
    </row>
    <row r="1514" spans="1:25" ht="33.75">
      <c r="A1514" s="317">
        <v>101637</v>
      </c>
      <c r="B1514" s="870">
        <v>101637</v>
      </c>
      <c r="C1514" s="871" t="s">
        <v>590</v>
      </c>
      <c r="D1514" s="881" t="s">
        <v>1423</v>
      </c>
      <c r="E1514" s="882">
        <f>'REF. DE PREÇOS n editavel'!E1514</f>
        <v>0</v>
      </c>
      <c r="F1514" s="883">
        <f>'REF. DE PREÇOS n editavel'!F1514</f>
        <v>0</v>
      </c>
      <c r="G1514" s="887">
        <f>'REF. DE PREÇOS n editavel'!G1514</f>
        <v>0</v>
      </c>
      <c r="H1514" s="876">
        <f>'REF. DE PREÇOS n editavel'!H1514</f>
        <v>158.52000000000001</v>
      </c>
      <c r="I1514" s="876">
        <f>'REF. DE PREÇOS n editavel'!I1514</f>
        <v>158.52000000000001</v>
      </c>
      <c r="J1514" s="877">
        <f>'REF. DE PREÇOS n editavel'!J1514</f>
        <v>193.74</v>
      </c>
      <c r="K1514" s="878" t="s">
        <v>1500</v>
      </c>
      <c r="L1514" s="1092"/>
      <c r="M1514" s="1093">
        <f t="shared" si="162"/>
        <v>0</v>
      </c>
      <c r="N1514" s="868">
        <f t="shared" si="166"/>
        <v>0</v>
      </c>
      <c r="O1514" s="880"/>
      <c r="Q1514" s="317" t="str">
        <f t="shared" si="163"/>
        <v/>
      </c>
      <c r="R1514" s="317" t="str">
        <f t="shared" si="164"/>
        <v/>
      </c>
      <c r="S1514" s="317" t="str">
        <f t="shared" si="165"/>
        <v/>
      </c>
      <c r="T1514" s="317" t="str">
        <f>'REF. DE PREÇOS n editavel'!S1514</f>
        <v/>
      </c>
      <c r="W1514" s="577">
        <v>0</v>
      </c>
      <c r="X1514" s="575"/>
      <c r="Y1514" s="578">
        <f>IF('REF. DE PREÇOS n editavel'!W1514=0,0,IF('REF. DE PREÇOS n editavel'!W1514&gt;0,"c","b"))</f>
        <v>0</v>
      </c>
    </row>
    <row r="1515" spans="1:25" ht="22.5">
      <c r="A1515" s="317">
        <v>96985</v>
      </c>
      <c r="B1515" s="870">
        <v>96985</v>
      </c>
      <c r="C1515" s="871" t="s">
        <v>590</v>
      </c>
      <c r="D1515" s="881" t="s">
        <v>1424</v>
      </c>
      <c r="E1515" s="882">
        <f>'REF. DE PREÇOS n editavel'!E1515</f>
        <v>0</v>
      </c>
      <c r="F1515" s="883">
        <f>'REF. DE PREÇOS n editavel'!F1515</f>
        <v>0</v>
      </c>
      <c r="G1515" s="887">
        <f>'REF. DE PREÇOS n editavel'!G1515</f>
        <v>0</v>
      </c>
      <c r="H1515" s="876">
        <f>'REF. DE PREÇOS n editavel'!H1515</f>
        <v>91.92</v>
      </c>
      <c r="I1515" s="876">
        <f>'REF. DE PREÇOS n editavel'!I1515</f>
        <v>91.92</v>
      </c>
      <c r="J1515" s="877">
        <f>'REF. DE PREÇOS n editavel'!J1515</f>
        <v>112.34</v>
      </c>
      <c r="K1515" s="878" t="s">
        <v>1500</v>
      </c>
      <c r="L1515" s="1092"/>
      <c r="M1515" s="1093">
        <f t="shared" si="162"/>
        <v>0</v>
      </c>
      <c r="N1515" s="868">
        <f t="shared" si="166"/>
        <v>0</v>
      </c>
      <c r="O1515" s="880"/>
      <c r="Q1515" s="317" t="str">
        <f t="shared" si="163"/>
        <v/>
      </c>
      <c r="R1515" s="317" t="str">
        <f t="shared" si="164"/>
        <v/>
      </c>
      <c r="S1515" s="317" t="str">
        <f t="shared" si="165"/>
        <v/>
      </c>
      <c r="T1515" s="317" t="str">
        <f>'REF. DE PREÇOS n editavel'!S1515</f>
        <v/>
      </c>
      <c r="W1515" s="577">
        <v>0</v>
      </c>
      <c r="X1515" s="575"/>
      <c r="Y1515" s="578">
        <f>IF('REF. DE PREÇOS n editavel'!W1515=0,0,IF('REF. DE PREÇOS n editavel'!W1515&gt;0,"c","b"))</f>
        <v>0</v>
      </c>
    </row>
    <row r="1516" spans="1:25" ht="22.5">
      <c r="A1516" s="317">
        <v>96986</v>
      </c>
      <c r="B1516" s="870">
        <v>96986</v>
      </c>
      <c r="C1516" s="871" t="s">
        <v>590</v>
      </c>
      <c r="D1516" s="881" t="s">
        <v>1425</v>
      </c>
      <c r="E1516" s="882">
        <f>'REF. DE PREÇOS n editavel'!E1516</f>
        <v>0</v>
      </c>
      <c r="F1516" s="883">
        <f>'REF. DE PREÇOS n editavel'!F1516</f>
        <v>0</v>
      </c>
      <c r="G1516" s="887">
        <f>'REF. DE PREÇOS n editavel'!G1516</f>
        <v>0</v>
      </c>
      <c r="H1516" s="876">
        <f>'REF. DE PREÇOS n editavel'!H1516</f>
        <v>137.30000000000001</v>
      </c>
      <c r="I1516" s="876">
        <f>'REF. DE PREÇOS n editavel'!I1516</f>
        <v>137.30000000000001</v>
      </c>
      <c r="J1516" s="877">
        <f>'REF. DE PREÇOS n editavel'!J1516</f>
        <v>167.81</v>
      </c>
      <c r="K1516" s="878" t="s">
        <v>1500</v>
      </c>
      <c r="L1516" s="1092"/>
      <c r="M1516" s="1093">
        <f t="shared" si="162"/>
        <v>0</v>
      </c>
      <c r="N1516" s="868">
        <f t="shared" si="166"/>
        <v>0</v>
      </c>
      <c r="O1516" s="880"/>
      <c r="Q1516" s="317" t="str">
        <f t="shared" si="163"/>
        <v/>
      </c>
      <c r="R1516" s="317" t="str">
        <f t="shared" si="164"/>
        <v/>
      </c>
      <c r="S1516" s="317" t="str">
        <f t="shared" si="165"/>
        <v/>
      </c>
      <c r="T1516" s="317" t="str">
        <f>'REF. DE PREÇOS n editavel'!S1516</f>
        <v/>
      </c>
      <c r="W1516" s="577">
        <v>0</v>
      </c>
      <c r="X1516" s="575"/>
      <c r="Y1516" s="578">
        <f>IF('REF. DE PREÇOS n editavel'!W1516=0,0,IF('REF. DE PREÇOS n editavel'!W1516&gt;0,"c","b"))</f>
        <v>0</v>
      </c>
    </row>
    <row r="1517" spans="1:25" ht="22.5">
      <c r="A1517" s="317">
        <v>96987</v>
      </c>
      <c r="B1517" s="870">
        <v>96987</v>
      </c>
      <c r="C1517" s="871" t="s">
        <v>590</v>
      </c>
      <c r="D1517" s="881" t="s">
        <v>1426</v>
      </c>
      <c r="E1517" s="882">
        <f>'REF. DE PREÇOS n editavel'!E1517</f>
        <v>0</v>
      </c>
      <c r="F1517" s="883">
        <f>'REF. DE PREÇOS n editavel'!F1517</f>
        <v>0</v>
      </c>
      <c r="G1517" s="887">
        <f>'REF. DE PREÇOS n editavel'!G1517</f>
        <v>0</v>
      </c>
      <c r="H1517" s="876">
        <f>'REF. DE PREÇOS n editavel'!H1517</f>
        <v>118</v>
      </c>
      <c r="I1517" s="876">
        <f>'REF. DE PREÇOS n editavel'!I1517</f>
        <v>118</v>
      </c>
      <c r="J1517" s="877">
        <f>'REF. DE PREÇOS n editavel'!J1517</f>
        <v>144.22</v>
      </c>
      <c r="K1517" s="878" t="s">
        <v>1500</v>
      </c>
      <c r="L1517" s="1092"/>
      <c r="M1517" s="1093">
        <f t="shared" si="162"/>
        <v>0</v>
      </c>
      <c r="N1517" s="868">
        <f t="shared" si="166"/>
        <v>0</v>
      </c>
      <c r="O1517" s="880"/>
      <c r="Q1517" s="317" t="str">
        <f t="shared" si="163"/>
        <v/>
      </c>
      <c r="R1517" s="317" t="str">
        <f t="shared" si="164"/>
        <v/>
      </c>
      <c r="S1517" s="317" t="str">
        <f t="shared" si="165"/>
        <v/>
      </c>
      <c r="T1517" s="317" t="str">
        <f>'REF. DE PREÇOS n editavel'!S1517</f>
        <v/>
      </c>
      <c r="W1517" s="577">
        <v>0</v>
      </c>
      <c r="X1517" s="575"/>
      <c r="Y1517" s="578">
        <f>IF('REF. DE PREÇOS n editavel'!W1517=0,0,IF('REF. DE PREÇOS n editavel'!W1517&gt;0,"c","b"))</f>
        <v>0</v>
      </c>
    </row>
    <row r="1518" spans="1:25">
      <c r="A1518" s="317">
        <v>96988</v>
      </c>
      <c r="B1518" s="870">
        <v>96988</v>
      </c>
      <c r="C1518" s="871" t="s">
        <v>590</v>
      </c>
      <c r="D1518" s="881" t="s">
        <v>1427</v>
      </c>
      <c r="E1518" s="882">
        <f>'REF. DE PREÇOS n editavel'!E1518</f>
        <v>0</v>
      </c>
      <c r="F1518" s="883">
        <f>'REF. DE PREÇOS n editavel'!F1518</f>
        <v>0</v>
      </c>
      <c r="G1518" s="887">
        <f>'REF. DE PREÇOS n editavel'!G1518</f>
        <v>0</v>
      </c>
      <c r="H1518" s="876">
        <f>'REF. DE PREÇOS n editavel'!H1518</f>
        <v>157.33000000000001</v>
      </c>
      <c r="I1518" s="876">
        <f>'REF. DE PREÇOS n editavel'!I1518</f>
        <v>157.33000000000001</v>
      </c>
      <c r="J1518" s="877">
        <f>'REF. DE PREÇOS n editavel'!J1518</f>
        <v>192.29</v>
      </c>
      <c r="K1518" s="878" t="s">
        <v>1500</v>
      </c>
      <c r="L1518" s="1092"/>
      <c r="M1518" s="1093">
        <f t="shared" si="162"/>
        <v>0</v>
      </c>
      <c r="N1518" s="868">
        <f t="shared" si="166"/>
        <v>0</v>
      </c>
      <c r="O1518" s="880"/>
      <c r="Q1518" s="317" t="str">
        <f t="shared" si="163"/>
        <v/>
      </c>
      <c r="R1518" s="317" t="str">
        <f t="shared" si="164"/>
        <v/>
      </c>
      <c r="S1518" s="317" t="str">
        <f t="shared" si="165"/>
        <v/>
      </c>
      <c r="T1518" s="317" t="str">
        <f>'REF. DE PREÇOS n editavel'!S1518</f>
        <v/>
      </c>
      <c r="W1518" s="577">
        <v>0</v>
      </c>
      <c r="X1518" s="575"/>
      <c r="Y1518" s="578">
        <f>IF('REF. DE PREÇOS n editavel'!W1518=0,0,IF('REF. DE PREÇOS n editavel'!W1518&gt;0,"c","b"))</f>
        <v>0</v>
      </c>
    </row>
    <row r="1519" spans="1:25" ht="22.5">
      <c r="A1519" s="317">
        <v>96971</v>
      </c>
      <c r="B1519" s="870">
        <v>96971</v>
      </c>
      <c r="C1519" s="871" t="s">
        <v>590</v>
      </c>
      <c r="D1519" s="881" t="s">
        <v>1428</v>
      </c>
      <c r="E1519" s="882">
        <f>'REF. DE PREÇOS n editavel'!E1519</f>
        <v>0</v>
      </c>
      <c r="F1519" s="883">
        <f>'REF. DE PREÇOS n editavel'!F1519</f>
        <v>0</v>
      </c>
      <c r="G1519" s="887">
        <f>'REF. DE PREÇOS n editavel'!G1519</f>
        <v>0</v>
      </c>
      <c r="H1519" s="876">
        <f>'REF. DE PREÇOS n editavel'!H1519</f>
        <v>37.03</v>
      </c>
      <c r="I1519" s="876">
        <f>'REF. DE PREÇOS n editavel'!I1519</f>
        <v>37.03</v>
      </c>
      <c r="J1519" s="877">
        <f>'REF. DE PREÇOS n editavel'!J1519</f>
        <v>45.26</v>
      </c>
      <c r="K1519" s="878" t="s">
        <v>62</v>
      </c>
      <c r="L1519" s="1092"/>
      <c r="M1519" s="1093">
        <f t="shared" si="162"/>
        <v>0</v>
      </c>
      <c r="N1519" s="868">
        <f t="shared" si="166"/>
        <v>0</v>
      </c>
      <c r="O1519" s="880"/>
      <c r="Q1519" s="317" t="str">
        <f t="shared" si="163"/>
        <v/>
      </c>
      <c r="R1519" s="317" t="str">
        <f t="shared" si="164"/>
        <v/>
      </c>
      <c r="S1519" s="317" t="str">
        <f t="shared" si="165"/>
        <v/>
      </c>
      <c r="T1519" s="317" t="str">
        <f>'REF. DE PREÇOS n editavel'!S1519</f>
        <v/>
      </c>
      <c r="W1519" s="577">
        <v>0</v>
      </c>
      <c r="X1519" s="575"/>
      <c r="Y1519" s="578">
        <f>IF('REF. DE PREÇOS n editavel'!W1519=0,0,IF('REF. DE PREÇOS n editavel'!W1519&gt;0,"c","b"))</f>
        <v>0</v>
      </c>
    </row>
    <row r="1520" spans="1:25" ht="22.5">
      <c r="A1520" s="317">
        <v>96972</v>
      </c>
      <c r="B1520" s="870">
        <v>96972</v>
      </c>
      <c r="C1520" s="871" t="s">
        <v>590</v>
      </c>
      <c r="D1520" s="881" t="s">
        <v>1429</v>
      </c>
      <c r="E1520" s="882">
        <f>'REF. DE PREÇOS n editavel'!E1520</f>
        <v>0</v>
      </c>
      <c r="F1520" s="883">
        <f>'REF. DE PREÇOS n editavel'!F1520</f>
        <v>0</v>
      </c>
      <c r="G1520" s="887">
        <f>'REF. DE PREÇOS n editavel'!G1520</f>
        <v>0</v>
      </c>
      <c r="H1520" s="876">
        <f>'REF. DE PREÇOS n editavel'!H1520</f>
        <v>50.05</v>
      </c>
      <c r="I1520" s="876">
        <f>'REF. DE PREÇOS n editavel'!I1520</f>
        <v>50.05</v>
      </c>
      <c r="J1520" s="877">
        <f>'REF. DE PREÇOS n editavel'!J1520</f>
        <v>61.17</v>
      </c>
      <c r="K1520" s="878" t="s">
        <v>62</v>
      </c>
      <c r="L1520" s="1092"/>
      <c r="M1520" s="1093">
        <f t="shared" si="162"/>
        <v>0</v>
      </c>
      <c r="N1520" s="868">
        <f t="shared" si="166"/>
        <v>0</v>
      </c>
      <c r="O1520" s="880"/>
      <c r="Q1520" s="317" t="str">
        <f t="shared" si="163"/>
        <v/>
      </c>
      <c r="R1520" s="317" t="str">
        <f t="shared" si="164"/>
        <v/>
      </c>
      <c r="S1520" s="317" t="str">
        <f t="shared" si="165"/>
        <v/>
      </c>
      <c r="T1520" s="317" t="str">
        <f>'REF. DE PREÇOS n editavel'!S1520</f>
        <v/>
      </c>
      <c r="W1520" s="577">
        <v>0</v>
      </c>
      <c r="X1520" s="575"/>
      <c r="Y1520" s="578">
        <f>IF('REF. DE PREÇOS n editavel'!W1520=0,0,IF('REF. DE PREÇOS n editavel'!W1520&gt;0,"c","b"))</f>
        <v>0</v>
      </c>
    </row>
    <row r="1521" spans="1:25" ht="22.5">
      <c r="A1521" s="317">
        <v>96973</v>
      </c>
      <c r="B1521" s="870">
        <v>96973</v>
      </c>
      <c r="C1521" s="871" t="s">
        <v>590</v>
      </c>
      <c r="D1521" s="881" t="s">
        <v>1430</v>
      </c>
      <c r="E1521" s="882">
        <f>'REF. DE PREÇOS n editavel'!E1521</f>
        <v>0</v>
      </c>
      <c r="F1521" s="883">
        <f>'REF. DE PREÇOS n editavel'!F1521</f>
        <v>0</v>
      </c>
      <c r="G1521" s="887">
        <f>'REF. DE PREÇOS n editavel'!G1521</f>
        <v>0</v>
      </c>
      <c r="H1521" s="876">
        <f>'REF. DE PREÇOS n editavel'!H1521</f>
        <v>66.23</v>
      </c>
      <c r="I1521" s="876">
        <f>'REF. DE PREÇOS n editavel'!I1521</f>
        <v>66.23</v>
      </c>
      <c r="J1521" s="877">
        <f>'REF. DE PREÇOS n editavel'!J1521</f>
        <v>80.95</v>
      </c>
      <c r="K1521" s="878" t="s">
        <v>62</v>
      </c>
      <c r="L1521" s="1092"/>
      <c r="M1521" s="1093">
        <f t="shared" si="162"/>
        <v>0</v>
      </c>
      <c r="N1521" s="868">
        <f t="shared" si="166"/>
        <v>0</v>
      </c>
      <c r="O1521" s="880"/>
      <c r="Q1521" s="317" t="str">
        <f t="shared" si="163"/>
        <v/>
      </c>
      <c r="R1521" s="317" t="str">
        <f t="shared" si="164"/>
        <v/>
      </c>
      <c r="S1521" s="317" t="str">
        <f t="shared" si="165"/>
        <v/>
      </c>
      <c r="T1521" s="317" t="str">
        <f>'REF. DE PREÇOS n editavel'!S1521</f>
        <v/>
      </c>
      <c r="W1521" s="577">
        <v>0</v>
      </c>
      <c r="X1521" s="575"/>
      <c r="Y1521" s="578">
        <f>IF('REF. DE PREÇOS n editavel'!W1521=0,0,IF('REF. DE PREÇOS n editavel'!W1521&gt;0,"c","b"))</f>
        <v>0</v>
      </c>
    </row>
    <row r="1522" spans="1:25" ht="22.5">
      <c r="A1522" s="317">
        <v>96974</v>
      </c>
      <c r="B1522" s="870">
        <v>96974</v>
      </c>
      <c r="C1522" s="871" t="s">
        <v>590</v>
      </c>
      <c r="D1522" s="881" t="s">
        <v>1431</v>
      </c>
      <c r="E1522" s="882">
        <f>'REF. DE PREÇOS n editavel'!E1522</f>
        <v>0</v>
      </c>
      <c r="F1522" s="883">
        <f>'REF. DE PREÇOS n editavel'!F1522</f>
        <v>0</v>
      </c>
      <c r="G1522" s="887">
        <f>'REF. DE PREÇOS n editavel'!G1522</f>
        <v>0</v>
      </c>
      <c r="H1522" s="876">
        <f>'REF. DE PREÇOS n editavel'!H1522</f>
        <v>86.55</v>
      </c>
      <c r="I1522" s="876">
        <f>'REF. DE PREÇOS n editavel'!I1522</f>
        <v>86.55</v>
      </c>
      <c r="J1522" s="877">
        <f>'REF. DE PREÇOS n editavel'!J1522</f>
        <v>105.78</v>
      </c>
      <c r="K1522" s="878" t="s">
        <v>62</v>
      </c>
      <c r="L1522" s="1092"/>
      <c r="M1522" s="1093">
        <f t="shared" si="162"/>
        <v>0</v>
      </c>
      <c r="N1522" s="868">
        <f t="shared" si="166"/>
        <v>0</v>
      </c>
      <c r="O1522" s="880"/>
      <c r="Q1522" s="317" t="str">
        <f t="shared" si="163"/>
        <v/>
      </c>
      <c r="R1522" s="317" t="str">
        <f t="shared" si="164"/>
        <v/>
      </c>
      <c r="S1522" s="317" t="str">
        <f t="shared" si="165"/>
        <v/>
      </c>
      <c r="T1522" s="317" t="str">
        <f>'REF. DE PREÇOS n editavel'!S1522</f>
        <v/>
      </c>
      <c r="W1522" s="577">
        <v>0</v>
      </c>
      <c r="X1522" s="575"/>
      <c r="Y1522" s="578">
        <f>IF('REF. DE PREÇOS n editavel'!W1522=0,0,IF('REF. DE PREÇOS n editavel'!W1522&gt;0,"c","b"))</f>
        <v>0</v>
      </c>
    </row>
    <row r="1523" spans="1:25" ht="22.5">
      <c r="A1523" s="317">
        <v>96975</v>
      </c>
      <c r="B1523" s="870">
        <v>96975</v>
      </c>
      <c r="C1523" s="871" t="s">
        <v>590</v>
      </c>
      <c r="D1523" s="881" t="s">
        <v>1432</v>
      </c>
      <c r="E1523" s="882">
        <f>'REF. DE PREÇOS n editavel'!E1523</f>
        <v>0</v>
      </c>
      <c r="F1523" s="883">
        <f>'REF. DE PREÇOS n editavel'!F1523</f>
        <v>0</v>
      </c>
      <c r="G1523" s="887">
        <f>'REF. DE PREÇOS n editavel'!G1523</f>
        <v>0</v>
      </c>
      <c r="H1523" s="876">
        <f>'REF. DE PREÇOS n editavel'!H1523</f>
        <v>107.85</v>
      </c>
      <c r="I1523" s="876">
        <f>'REF. DE PREÇOS n editavel'!I1523</f>
        <v>107.85</v>
      </c>
      <c r="J1523" s="877">
        <f>'REF. DE PREÇOS n editavel'!J1523</f>
        <v>131.81</v>
      </c>
      <c r="K1523" s="878" t="s">
        <v>62</v>
      </c>
      <c r="L1523" s="1092"/>
      <c r="M1523" s="1093">
        <f t="shared" si="162"/>
        <v>0</v>
      </c>
      <c r="N1523" s="868">
        <f t="shared" si="166"/>
        <v>0</v>
      </c>
      <c r="O1523" s="880"/>
      <c r="Q1523" s="317" t="str">
        <f t="shared" si="163"/>
        <v/>
      </c>
      <c r="R1523" s="317" t="str">
        <f t="shared" si="164"/>
        <v/>
      </c>
      <c r="S1523" s="317" t="str">
        <f t="shared" si="165"/>
        <v/>
      </c>
      <c r="T1523" s="317" t="str">
        <f>'REF. DE PREÇOS n editavel'!S1523</f>
        <v/>
      </c>
      <c r="W1523" s="577">
        <v>0</v>
      </c>
      <c r="X1523" s="575"/>
      <c r="Y1523" s="578">
        <f>IF('REF. DE PREÇOS n editavel'!W1523=0,0,IF('REF. DE PREÇOS n editavel'!W1523&gt;0,"c","b"))</f>
        <v>0</v>
      </c>
    </row>
    <row r="1524" spans="1:25" ht="22.5">
      <c r="A1524" s="317">
        <v>96976</v>
      </c>
      <c r="B1524" s="870">
        <v>96976</v>
      </c>
      <c r="C1524" s="871" t="s">
        <v>590</v>
      </c>
      <c r="D1524" s="881" t="s">
        <v>1433</v>
      </c>
      <c r="E1524" s="882">
        <f>'REF. DE PREÇOS n editavel'!E1524</f>
        <v>0</v>
      </c>
      <c r="F1524" s="883">
        <f>'REF. DE PREÇOS n editavel'!F1524</f>
        <v>0</v>
      </c>
      <c r="G1524" s="887">
        <f>'REF. DE PREÇOS n editavel'!G1524</f>
        <v>0</v>
      </c>
      <c r="H1524" s="876">
        <f>'REF. DE PREÇOS n editavel'!H1524</f>
        <v>142.65</v>
      </c>
      <c r="I1524" s="876">
        <f>'REF. DE PREÇOS n editavel'!I1524</f>
        <v>142.65</v>
      </c>
      <c r="J1524" s="877">
        <f>'REF. DE PREÇOS n editavel'!J1524</f>
        <v>174.35</v>
      </c>
      <c r="K1524" s="878" t="s">
        <v>62</v>
      </c>
      <c r="L1524" s="1092"/>
      <c r="M1524" s="1093">
        <f t="shared" si="162"/>
        <v>0</v>
      </c>
      <c r="N1524" s="868">
        <f t="shared" si="166"/>
        <v>0</v>
      </c>
      <c r="O1524" s="880"/>
      <c r="Q1524" s="317" t="str">
        <f t="shared" si="163"/>
        <v/>
      </c>
      <c r="R1524" s="317" t="str">
        <f t="shared" si="164"/>
        <v/>
      </c>
      <c r="S1524" s="317" t="str">
        <f t="shared" si="165"/>
        <v/>
      </c>
      <c r="T1524" s="317" t="str">
        <f>'REF. DE PREÇOS n editavel'!S1524</f>
        <v/>
      </c>
      <c r="W1524" s="577">
        <v>0</v>
      </c>
      <c r="X1524" s="575"/>
      <c r="Y1524" s="578">
        <f>IF('REF. DE PREÇOS n editavel'!W1524=0,0,IF('REF. DE PREÇOS n editavel'!W1524&gt;0,"c","b"))</f>
        <v>0</v>
      </c>
    </row>
    <row r="1525" spans="1:25" ht="22.5">
      <c r="A1525" s="317">
        <v>96977</v>
      </c>
      <c r="B1525" s="870">
        <v>96977</v>
      </c>
      <c r="C1525" s="871" t="s">
        <v>590</v>
      </c>
      <c r="D1525" s="881" t="s">
        <v>1434</v>
      </c>
      <c r="E1525" s="882">
        <f>'REF. DE PREÇOS n editavel'!E1525</f>
        <v>0</v>
      </c>
      <c r="F1525" s="883">
        <f>'REF. DE PREÇOS n editavel'!F1525</f>
        <v>0</v>
      </c>
      <c r="G1525" s="887">
        <f>'REF. DE PREÇOS n editavel'!G1525</f>
        <v>0</v>
      </c>
      <c r="H1525" s="876">
        <f>'REF. DE PREÇOS n editavel'!H1525</f>
        <v>58.29</v>
      </c>
      <c r="I1525" s="876">
        <f>'REF. DE PREÇOS n editavel'!I1525</f>
        <v>58.29</v>
      </c>
      <c r="J1525" s="877">
        <f>'REF. DE PREÇOS n editavel'!J1525</f>
        <v>71.239999999999995</v>
      </c>
      <c r="K1525" s="878" t="s">
        <v>62</v>
      </c>
      <c r="L1525" s="1092"/>
      <c r="M1525" s="1093">
        <f t="shared" si="162"/>
        <v>0</v>
      </c>
      <c r="N1525" s="868">
        <f t="shared" si="166"/>
        <v>0</v>
      </c>
      <c r="O1525" s="880"/>
      <c r="Q1525" s="317" t="str">
        <f t="shared" si="163"/>
        <v/>
      </c>
      <c r="R1525" s="317" t="str">
        <f t="shared" si="164"/>
        <v/>
      </c>
      <c r="S1525" s="317" t="str">
        <f t="shared" si="165"/>
        <v/>
      </c>
      <c r="T1525" s="317" t="str">
        <f>'REF. DE PREÇOS n editavel'!S1525</f>
        <v/>
      </c>
      <c r="W1525" s="577">
        <v>0</v>
      </c>
      <c r="X1525" s="575"/>
      <c r="Y1525" s="578">
        <f>IF('REF. DE PREÇOS n editavel'!W1525=0,0,IF('REF. DE PREÇOS n editavel'!W1525&gt;0,"c","b"))</f>
        <v>0</v>
      </c>
    </row>
    <row r="1526" spans="1:25" ht="22.5">
      <c r="A1526" s="317">
        <v>96978</v>
      </c>
      <c r="B1526" s="870">
        <v>96978</v>
      </c>
      <c r="C1526" s="871" t="s">
        <v>590</v>
      </c>
      <c r="D1526" s="881" t="s">
        <v>1435</v>
      </c>
      <c r="E1526" s="882">
        <f>'REF. DE PREÇOS n editavel'!E1526</f>
        <v>0</v>
      </c>
      <c r="F1526" s="883">
        <f>'REF. DE PREÇOS n editavel'!F1526</f>
        <v>0</v>
      </c>
      <c r="G1526" s="887">
        <f>'REF. DE PREÇOS n editavel'!G1526</f>
        <v>0</v>
      </c>
      <c r="H1526" s="876">
        <f>'REF. DE PREÇOS n editavel'!H1526</f>
        <v>76.77</v>
      </c>
      <c r="I1526" s="876">
        <f>'REF. DE PREÇOS n editavel'!I1526</f>
        <v>76.77</v>
      </c>
      <c r="J1526" s="877">
        <f>'REF. DE PREÇOS n editavel'!J1526</f>
        <v>93.83</v>
      </c>
      <c r="K1526" s="878" t="s">
        <v>62</v>
      </c>
      <c r="L1526" s="1092"/>
      <c r="M1526" s="1093">
        <f t="shared" si="162"/>
        <v>0</v>
      </c>
      <c r="N1526" s="868">
        <f t="shared" si="166"/>
        <v>0</v>
      </c>
      <c r="O1526" s="880"/>
      <c r="Q1526" s="317" t="str">
        <f t="shared" si="163"/>
        <v/>
      </c>
      <c r="R1526" s="317" t="str">
        <f t="shared" si="164"/>
        <v/>
      </c>
      <c r="S1526" s="317" t="str">
        <f t="shared" si="165"/>
        <v/>
      </c>
      <c r="T1526" s="317" t="str">
        <f>'REF. DE PREÇOS n editavel'!S1526</f>
        <v/>
      </c>
      <c r="W1526" s="577">
        <v>0</v>
      </c>
      <c r="X1526" s="575"/>
      <c r="Y1526" s="578">
        <f>IF('REF. DE PREÇOS n editavel'!W1526=0,0,IF('REF. DE PREÇOS n editavel'!W1526&gt;0,"c","b"))</f>
        <v>0</v>
      </c>
    </row>
    <row r="1527" spans="1:25" ht="22.5">
      <c r="A1527" s="317">
        <v>96979</v>
      </c>
      <c r="B1527" s="870">
        <v>96979</v>
      </c>
      <c r="C1527" s="871" t="s">
        <v>590</v>
      </c>
      <c r="D1527" s="881" t="s">
        <v>1436</v>
      </c>
      <c r="E1527" s="882">
        <f>'REF. DE PREÇOS n editavel'!E1527</f>
        <v>0</v>
      </c>
      <c r="F1527" s="883">
        <f>'REF. DE PREÇOS n editavel'!F1527</f>
        <v>0</v>
      </c>
      <c r="G1527" s="887">
        <f>'REF. DE PREÇOS n editavel'!G1527</f>
        <v>0</v>
      </c>
      <c r="H1527" s="876">
        <f>'REF. DE PREÇOS n editavel'!H1527</f>
        <v>109.74</v>
      </c>
      <c r="I1527" s="876">
        <f>'REF. DE PREÇOS n editavel'!I1527</f>
        <v>109.74</v>
      </c>
      <c r="J1527" s="877">
        <f>'REF. DE PREÇOS n editavel'!J1527</f>
        <v>134.12</v>
      </c>
      <c r="K1527" s="878" t="s">
        <v>62</v>
      </c>
      <c r="L1527" s="1092"/>
      <c r="M1527" s="1093">
        <f t="shared" si="162"/>
        <v>0</v>
      </c>
      <c r="N1527" s="868">
        <f t="shared" si="166"/>
        <v>0</v>
      </c>
      <c r="O1527" s="880"/>
      <c r="Q1527" s="317" t="str">
        <f t="shared" si="163"/>
        <v/>
      </c>
      <c r="R1527" s="317" t="str">
        <f t="shared" si="164"/>
        <v/>
      </c>
      <c r="S1527" s="317" t="str">
        <f t="shared" si="165"/>
        <v/>
      </c>
      <c r="T1527" s="317" t="str">
        <f>'REF. DE PREÇOS n editavel'!S1527</f>
        <v/>
      </c>
      <c r="W1527" s="577">
        <v>0</v>
      </c>
      <c r="X1527" s="575"/>
      <c r="Y1527" s="578">
        <f>IF('REF. DE PREÇOS n editavel'!W1527=0,0,IF('REF. DE PREÇOS n editavel'!W1527&gt;0,"c","b"))</f>
        <v>0</v>
      </c>
    </row>
    <row r="1528" spans="1:25">
      <c r="A1528" s="317">
        <v>96989</v>
      </c>
      <c r="B1528" s="870">
        <v>96989</v>
      </c>
      <c r="C1528" s="871" t="s">
        <v>590</v>
      </c>
      <c r="D1528" s="881" t="s">
        <v>1437</v>
      </c>
      <c r="E1528" s="882">
        <f>'REF. DE PREÇOS n editavel'!E1528</f>
        <v>0</v>
      </c>
      <c r="F1528" s="883">
        <f>'REF. DE PREÇOS n editavel'!F1528</f>
        <v>0</v>
      </c>
      <c r="G1528" s="887">
        <f>'REF. DE PREÇOS n editavel'!G1528</f>
        <v>0</v>
      </c>
      <c r="H1528" s="876">
        <f>'REF. DE PREÇOS n editavel'!H1528</f>
        <v>131.58000000000001</v>
      </c>
      <c r="I1528" s="876">
        <f>'REF. DE PREÇOS n editavel'!I1528</f>
        <v>131.58000000000001</v>
      </c>
      <c r="J1528" s="877">
        <f>'REF. DE PREÇOS n editavel'!J1528</f>
        <v>160.82</v>
      </c>
      <c r="K1528" s="878" t="s">
        <v>1500</v>
      </c>
      <c r="L1528" s="1092"/>
      <c r="M1528" s="1093">
        <f t="shared" si="162"/>
        <v>0</v>
      </c>
      <c r="N1528" s="868">
        <f t="shared" si="166"/>
        <v>0</v>
      </c>
      <c r="O1528" s="880"/>
      <c r="Q1528" s="317" t="str">
        <f t="shared" si="163"/>
        <v/>
      </c>
      <c r="R1528" s="317" t="str">
        <f t="shared" si="164"/>
        <v/>
      </c>
      <c r="S1528" s="317" t="str">
        <f t="shared" si="165"/>
        <v/>
      </c>
      <c r="T1528" s="317" t="str">
        <f>'REF. DE PREÇOS n editavel'!S1528</f>
        <v/>
      </c>
      <c r="W1528" s="577">
        <v>0</v>
      </c>
      <c r="X1528" s="575"/>
      <c r="Y1528" s="578">
        <f>IF('REF. DE PREÇOS n editavel'!W1528=0,0,IF('REF. DE PREÇOS n editavel'!W1528&gt;0,"c","b"))</f>
        <v>0</v>
      </c>
    </row>
    <row r="1529" spans="1:25" ht="22.5">
      <c r="A1529" s="317">
        <v>98463</v>
      </c>
      <c r="B1529" s="870">
        <v>98463</v>
      </c>
      <c r="C1529" s="871" t="s">
        <v>590</v>
      </c>
      <c r="D1529" s="881" t="s">
        <v>1438</v>
      </c>
      <c r="E1529" s="882">
        <f>'REF. DE PREÇOS n editavel'!E1529</f>
        <v>0</v>
      </c>
      <c r="F1529" s="883">
        <f>'REF. DE PREÇOS n editavel'!F1529</f>
        <v>0</v>
      </c>
      <c r="G1529" s="887">
        <f>'REF. DE PREÇOS n editavel'!G1529</f>
        <v>0</v>
      </c>
      <c r="H1529" s="876">
        <f>'REF. DE PREÇOS n editavel'!H1529</f>
        <v>26.69</v>
      </c>
      <c r="I1529" s="876">
        <f>'REF. DE PREÇOS n editavel'!I1529</f>
        <v>26.69</v>
      </c>
      <c r="J1529" s="877">
        <f>'REF. DE PREÇOS n editavel'!J1529</f>
        <v>32.619999999999997</v>
      </c>
      <c r="K1529" s="878" t="s">
        <v>1500</v>
      </c>
      <c r="L1529" s="1092"/>
      <c r="M1529" s="1093">
        <f t="shared" si="162"/>
        <v>0</v>
      </c>
      <c r="N1529" s="868">
        <f t="shared" si="166"/>
        <v>0</v>
      </c>
      <c r="O1529" s="880"/>
      <c r="Q1529" s="317" t="str">
        <f t="shared" si="163"/>
        <v/>
      </c>
      <c r="R1529" s="317" t="str">
        <f t="shared" si="164"/>
        <v/>
      </c>
      <c r="S1529" s="317" t="str">
        <f t="shared" si="165"/>
        <v/>
      </c>
      <c r="T1529" s="317" t="str">
        <f>'REF. DE PREÇOS n editavel'!S1529</f>
        <v/>
      </c>
      <c r="W1529" s="577">
        <v>0</v>
      </c>
      <c r="X1529" s="575"/>
      <c r="Y1529" s="578">
        <f>IF('REF. DE PREÇOS n editavel'!W1529=0,0,IF('REF. DE PREÇOS n editavel'!W1529&gt;0,"c","b"))</f>
        <v>0</v>
      </c>
    </row>
    <row r="1530" spans="1:25" ht="33.75">
      <c r="A1530" s="317">
        <v>100560</v>
      </c>
      <c r="B1530" s="870">
        <v>100560</v>
      </c>
      <c r="C1530" s="871" t="s">
        <v>590</v>
      </c>
      <c r="D1530" s="881" t="s">
        <v>1439</v>
      </c>
      <c r="E1530" s="882">
        <f>'REF. DE PREÇOS n editavel'!E1530</f>
        <v>0</v>
      </c>
      <c r="F1530" s="883">
        <f>'REF. DE PREÇOS n editavel'!F1530</f>
        <v>0</v>
      </c>
      <c r="G1530" s="887">
        <f>'REF. DE PREÇOS n editavel'!G1530</f>
        <v>0</v>
      </c>
      <c r="H1530" s="876">
        <f>'REF. DE PREÇOS n editavel'!H1530</f>
        <v>139.51</v>
      </c>
      <c r="I1530" s="876">
        <f>'REF. DE PREÇOS n editavel'!I1530</f>
        <v>139.51</v>
      </c>
      <c r="J1530" s="877">
        <f>'REF. DE PREÇOS n editavel'!J1530</f>
        <v>170.51</v>
      </c>
      <c r="K1530" s="878" t="s">
        <v>1500</v>
      </c>
      <c r="L1530" s="1092"/>
      <c r="M1530" s="1093">
        <f t="shared" si="162"/>
        <v>0</v>
      </c>
      <c r="N1530" s="868">
        <f t="shared" si="166"/>
        <v>0</v>
      </c>
      <c r="O1530" s="880"/>
      <c r="Q1530" s="317" t="str">
        <f t="shared" si="163"/>
        <v/>
      </c>
      <c r="R1530" s="317" t="str">
        <f t="shared" si="164"/>
        <v/>
      </c>
      <c r="S1530" s="317" t="str">
        <f t="shared" si="165"/>
        <v/>
      </c>
      <c r="T1530" s="317" t="str">
        <f>'REF. DE PREÇOS n editavel'!S1530</f>
        <v/>
      </c>
      <c r="W1530" s="577">
        <v>0</v>
      </c>
      <c r="X1530" s="575"/>
      <c r="Y1530" s="578">
        <f>IF('REF. DE PREÇOS n editavel'!W1530=0,0,IF('REF. DE PREÇOS n editavel'!W1530&gt;0,"c","b"))</f>
        <v>0</v>
      </c>
    </row>
    <row r="1531" spans="1:25" ht="33.75">
      <c r="A1531" s="317">
        <v>100561</v>
      </c>
      <c r="B1531" s="870">
        <v>100561</v>
      </c>
      <c r="C1531" s="871" t="s">
        <v>590</v>
      </c>
      <c r="D1531" s="881" t="s">
        <v>1440</v>
      </c>
      <c r="E1531" s="882">
        <f>'REF. DE PREÇOS n editavel'!E1531</f>
        <v>0</v>
      </c>
      <c r="F1531" s="883">
        <f>'REF. DE PREÇOS n editavel'!F1531</f>
        <v>0</v>
      </c>
      <c r="G1531" s="887">
        <f>'REF. DE PREÇOS n editavel'!G1531</f>
        <v>0</v>
      </c>
      <c r="H1531" s="876">
        <f>'REF. DE PREÇOS n editavel'!H1531</f>
        <v>252.88</v>
      </c>
      <c r="I1531" s="876">
        <f>'REF. DE PREÇOS n editavel'!I1531</f>
        <v>252.88</v>
      </c>
      <c r="J1531" s="877">
        <f>'REF. DE PREÇOS n editavel'!J1531</f>
        <v>309.07</v>
      </c>
      <c r="K1531" s="878" t="s">
        <v>1500</v>
      </c>
      <c r="L1531" s="1092"/>
      <c r="M1531" s="1093">
        <f t="shared" si="162"/>
        <v>0</v>
      </c>
      <c r="N1531" s="868">
        <f t="shared" si="166"/>
        <v>0</v>
      </c>
      <c r="O1531" s="880"/>
      <c r="Q1531" s="317" t="str">
        <f t="shared" si="163"/>
        <v/>
      </c>
      <c r="R1531" s="317" t="str">
        <f t="shared" si="164"/>
        <v/>
      </c>
      <c r="S1531" s="317" t="str">
        <f t="shared" si="165"/>
        <v/>
      </c>
      <c r="T1531" s="317" t="str">
        <f>'REF. DE PREÇOS n editavel'!S1531</f>
        <v/>
      </c>
      <c r="W1531" s="577">
        <v>0</v>
      </c>
      <c r="X1531" s="575"/>
      <c r="Y1531" s="578">
        <f>IF('REF. DE PREÇOS n editavel'!W1531=0,0,IF('REF. DE PREÇOS n editavel'!W1531&gt;0,"c","b"))</f>
        <v>0</v>
      </c>
    </row>
    <row r="1532" spans="1:25" ht="33.75">
      <c r="A1532" s="317">
        <v>100562</v>
      </c>
      <c r="B1532" s="870">
        <v>100562</v>
      </c>
      <c r="C1532" s="871" t="s">
        <v>590</v>
      </c>
      <c r="D1532" s="881" t="s">
        <v>1441</v>
      </c>
      <c r="E1532" s="882">
        <f>'REF. DE PREÇOS n editavel'!E1532</f>
        <v>0</v>
      </c>
      <c r="F1532" s="883">
        <f>'REF. DE PREÇOS n editavel'!F1532</f>
        <v>0</v>
      </c>
      <c r="G1532" s="887">
        <f>'REF. DE PREÇOS n editavel'!G1532</f>
        <v>0</v>
      </c>
      <c r="H1532" s="876">
        <f>'REF. DE PREÇOS n editavel'!H1532</f>
        <v>389.51</v>
      </c>
      <c r="I1532" s="876">
        <f>'REF. DE PREÇOS n editavel'!I1532</f>
        <v>389.51</v>
      </c>
      <c r="J1532" s="877">
        <f>'REF. DE PREÇOS n editavel'!J1532</f>
        <v>476.06</v>
      </c>
      <c r="K1532" s="878" t="s">
        <v>1500</v>
      </c>
      <c r="L1532" s="1092"/>
      <c r="M1532" s="1093">
        <f t="shared" si="162"/>
        <v>0</v>
      </c>
      <c r="N1532" s="868">
        <f t="shared" si="166"/>
        <v>0</v>
      </c>
      <c r="O1532" s="880"/>
      <c r="Q1532" s="317" t="str">
        <f t="shared" si="163"/>
        <v/>
      </c>
      <c r="R1532" s="317" t="str">
        <f t="shared" si="164"/>
        <v/>
      </c>
      <c r="S1532" s="317" t="str">
        <f t="shared" si="165"/>
        <v/>
      </c>
      <c r="T1532" s="317" t="str">
        <f>'REF. DE PREÇOS n editavel'!S1532</f>
        <v/>
      </c>
      <c r="W1532" s="577">
        <v>0</v>
      </c>
      <c r="X1532" s="575"/>
      <c r="Y1532" s="578">
        <f>IF('REF. DE PREÇOS n editavel'!W1532=0,0,IF('REF. DE PREÇOS n editavel'!W1532&gt;0,"c","b"))</f>
        <v>0</v>
      </c>
    </row>
    <row r="1533" spans="1:25" ht="22.5">
      <c r="A1533" s="317">
        <v>100563</v>
      </c>
      <c r="B1533" s="870">
        <v>100563</v>
      </c>
      <c r="C1533" s="871" t="s">
        <v>590</v>
      </c>
      <c r="D1533" s="881" t="s">
        <v>1442</v>
      </c>
      <c r="E1533" s="882">
        <f>'REF. DE PREÇOS n editavel'!E1533</f>
        <v>0</v>
      </c>
      <c r="F1533" s="883">
        <f>'REF. DE PREÇOS n editavel'!F1533</f>
        <v>0</v>
      </c>
      <c r="G1533" s="887">
        <f>'REF. DE PREÇOS n editavel'!G1533</f>
        <v>0</v>
      </c>
      <c r="H1533" s="876">
        <f>'REF. DE PREÇOS n editavel'!H1533</f>
        <v>559.6</v>
      </c>
      <c r="I1533" s="876">
        <f>'REF. DE PREÇOS n editavel'!I1533</f>
        <v>559.6</v>
      </c>
      <c r="J1533" s="877">
        <f>'REF. DE PREÇOS n editavel'!J1533</f>
        <v>683.94</v>
      </c>
      <c r="K1533" s="878" t="s">
        <v>1500</v>
      </c>
      <c r="L1533" s="1092"/>
      <c r="M1533" s="1093">
        <f t="shared" si="162"/>
        <v>0</v>
      </c>
      <c r="N1533" s="868">
        <f t="shared" si="166"/>
        <v>0</v>
      </c>
      <c r="O1533" s="880"/>
      <c r="Q1533" s="317" t="str">
        <f t="shared" si="163"/>
        <v/>
      </c>
      <c r="R1533" s="317" t="str">
        <f t="shared" si="164"/>
        <v/>
      </c>
      <c r="S1533" s="317" t="str">
        <f t="shared" si="165"/>
        <v/>
      </c>
      <c r="T1533" s="317" t="str">
        <f>'REF. DE PREÇOS n editavel'!S1533</f>
        <v/>
      </c>
      <c r="W1533" s="577">
        <v>0</v>
      </c>
      <c r="X1533" s="575"/>
      <c r="Y1533" s="578">
        <f>IF('REF. DE PREÇOS n editavel'!W1533=0,0,IF('REF. DE PREÇOS n editavel'!W1533&gt;0,"c","b"))</f>
        <v>0</v>
      </c>
    </row>
    <row r="1534" spans="1:25" ht="22.5">
      <c r="A1534" s="317">
        <v>100556</v>
      </c>
      <c r="B1534" s="870">
        <v>100556</v>
      </c>
      <c r="C1534" s="871" t="s">
        <v>590</v>
      </c>
      <c r="D1534" s="881" t="s">
        <v>1443</v>
      </c>
      <c r="E1534" s="882">
        <f>'REF. DE PREÇOS n editavel'!E1534</f>
        <v>0</v>
      </c>
      <c r="F1534" s="883">
        <f>'REF. DE PREÇOS n editavel'!F1534</f>
        <v>0</v>
      </c>
      <c r="G1534" s="887">
        <f>'REF. DE PREÇOS n editavel'!G1534</f>
        <v>0</v>
      </c>
      <c r="H1534" s="876">
        <f>'REF. DE PREÇOS n editavel'!H1534</f>
        <v>51.63</v>
      </c>
      <c r="I1534" s="876">
        <f>'REF. DE PREÇOS n editavel'!I1534</f>
        <v>51.63</v>
      </c>
      <c r="J1534" s="877">
        <f>'REF. DE PREÇOS n editavel'!J1534</f>
        <v>63.1</v>
      </c>
      <c r="K1534" s="878" t="s">
        <v>1500</v>
      </c>
      <c r="L1534" s="1092"/>
      <c r="M1534" s="1093">
        <f t="shared" si="162"/>
        <v>0</v>
      </c>
      <c r="N1534" s="868">
        <f t="shared" si="166"/>
        <v>0</v>
      </c>
      <c r="O1534" s="880"/>
      <c r="Q1534" s="317" t="str">
        <f t="shared" si="163"/>
        <v/>
      </c>
      <c r="R1534" s="317" t="str">
        <f t="shared" si="164"/>
        <v/>
      </c>
      <c r="S1534" s="317" t="str">
        <f t="shared" si="165"/>
        <v/>
      </c>
      <c r="T1534" s="317" t="str">
        <f>'REF. DE PREÇOS n editavel'!S1534</f>
        <v/>
      </c>
      <c r="W1534" s="577">
        <v>0</v>
      </c>
      <c r="X1534" s="575"/>
      <c r="Y1534" s="578">
        <f>IF('REF. DE PREÇOS n editavel'!W1534=0,0,IF('REF. DE PREÇOS n editavel'!W1534&gt;0,"c","b"))</f>
        <v>0</v>
      </c>
    </row>
    <row r="1535" spans="1:25" ht="22.5">
      <c r="A1535" s="317">
        <v>100557</v>
      </c>
      <c r="B1535" s="870">
        <v>100557</v>
      </c>
      <c r="C1535" s="871" t="s">
        <v>590</v>
      </c>
      <c r="D1535" s="881" t="s">
        <v>1444</v>
      </c>
      <c r="E1535" s="882">
        <f>'REF. DE PREÇOS n editavel'!E1535</f>
        <v>0</v>
      </c>
      <c r="F1535" s="883">
        <f>'REF. DE PREÇOS n editavel'!F1535</f>
        <v>0</v>
      </c>
      <c r="G1535" s="887">
        <f>'REF. DE PREÇOS n editavel'!G1535</f>
        <v>0</v>
      </c>
      <c r="H1535" s="876">
        <f>'REF. DE PREÇOS n editavel'!H1535</f>
        <v>638.92999999999995</v>
      </c>
      <c r="I1535" s="876">
        <f>'REF. DE PREÇOS n editavel'!I1535</f>
        <v>638.92999999999995</v>
      </c>
      <c r="J1535" s="877">
        <f>'REF. DE PREÇOS n editavel'!J1535</f>
        <v>780.9</v>
      </c>
      <c r="K1535" s="878" t="s">
        <v>1500</v>
      </c>
      <c r="L1535" s="1092"/>
      <c r="M1535" s="1093">
        <f t="shared" si="162"/>
        <v>0</v>
      </c>
      <c r="N1535" s="868">
        <f t="shared" si="166"/>
        <v>0</v>
      </c>
      <c r="O1535" s="880"/>
      <c r="Q1535" s="317" t="str">
        <f t="shared" si="163"/>
        <v/>
      </c>
      <c r="R1535" s="317" t="str">
        <f t="shared" si="164"/>
        <v/>
      </c>
      <c r="S1535" s="317" t="str">
        <f t="shared" si="165"/>
        <v/>
      </c>
      <c r="T1535" s="317" t="str">
        <f>'REF. DE PREÇOS n editavel'!S1535</f>
        <v/>
      </c>
      <c r="W1535" s="577">
        <v>0</v>
      </c>
      <c r="X1535" s="575"/>
      <c r="Y1535" s="578">
        <f>IF('REF. DE PREÇOS n editavel'!W1535=0,0,IF('REF. DE PREÇOS n editavel'!W1535&gt;0,"c","b"))</f>
        <v>0</v>
      </c>
    </row>
    <row r="1536" spans="1:25" ht="22.5">
      <c r="A1536" s="317">
        <v>98294</v>
      </c>
      <c r="B1536" s="870">
        <v>98294</v>
      </c>
      <c r="C1536" s="871" t="s">
        <v>590</v>
      </c>
      <c r="D1536" s="881" t="s">
        <v>1445</v>
      </c>
      <c r="E1536" s="882">
        <f>'REF. DE PREÇOS n editavel'!E1536</f>
        <v>0</v>
      </c>
      <c r="F1536" s="883">
        <f>'REF. DE PREÇOS n editavel'!F1536</f>
        <v>0</v>
      </c>
      <c r="G1536" s="887">
        <f>'REF. DE PREÇOS n editavel'!G1536</f>
        <v>0</v>
      </c>
      <c r="H1536" s="876">
        <f>'REF. DE PREÇOS n editavel'!H1536</f>
        <v>8.24</v>
      </c>
      <c r="I1536" s="876">
        <f>'REF. DE PREÇOS n editavel'!I1536</f>
        <v>8.24</v>
      </c>
      <c r="J1536" s="877">
        <f>'REF. DE PREÇOS n editavel'!J1536</f>
        <v>10.07</v>
      </c>
      <c r="K1536" s="878" t="s">
        <v>62</v>
      </c>
      <c r="L1536" s="1092"/>
      <c r="M1536" s="1093">
        <f t="shared" si="162"/>
        <v>0</v>
      </c>
      <c r="N1536" s="868">
        <f t="shared" si="166"/>
        <v>0</v>
      </c>
      <c r="O1536" s="880"/>
      <c r="Q1536" s="317" t="str">
        <f t="shared" si="163"/>
        <v/>
      </c>
      <c r="R1536" s="317" t="str">
        <f t="shared" si="164"/>
        <v/>
      </c>
      <c r="S1536" s="317" t="str">
        <f t="shared" si="165"/>
        <v/>
      </c>
      <c r="T1536" s="317" t="str">
        <f>'REF. DE PREÇOS n editavel'!S1536</f>
        <v/>
      </c>
      <c r="W1536" s="577">
        <v>0</v>
      </c>
      <c r="X1536" s="575"/>
      <c r="Y1536" s="578">
        <f>IF('REF. DE PREÇOS n editavel'!W1536=0,0,IF('REF. DE PREÇOS n editavel'!W1536&gt;0,"c","b"))</f>
        <v>0</v>
      </c>
    </row>
    <row r="1537" spans="1:25" ht="22.5">
      <c r="A1537" s="317">
        <v>98295</v>
      </c>
      <c r="B1537" s="870">
        <v>98295</v>
      </c>
      <c r="C1537" s="871" t="s">
        <v>590</v>
      </c>
      <c r="D1537" s="881" t="s">
        <v>1446</v>
      </c>
      <c r="E1537" s="882">
        <f>'REF. DE PREÇOS n editavel'!E1537</f>
        <v>0</v>
      </c>
      <c r="F1537" s="883">
        <f>'REF. DE PREÇOS n editavel'!F1537</f>
        <v>0</v>
      </c>
      <c r="G1537" s="887">
        <f>'REF. DE PREÇOS n editavel'!G1537</f>
        <v>0</v>
      </c>
      <c r="H1537" s="876">
        <f>'REF. DE PREÇOS n editavel'!H1537</f>
        <v>7.4</v>
      </c>
      <c r="I1537" s="876">
        <f>'REF. DE PREÇOS n editavel'!I1537</f>
        <v>7.4</v>
      </c>
      <c r="J1537" s="877">
        <f>'REF. DE PREÇOS n editavel'!J1537</f>
        <v>9.0399999999999991</v>
      </c>
      <c r="K1537" s="878" t="s">
        <v>62</v>
      </c>
      <c r="L1537" s="1092"/>
      <c r="M1537" s="1093">
        <f t="shared" si="162"/>
        <v>0</v>
      </c>
      <c r="N1537" s="868">
        <f t="shared" si="166"/>
        <v>0</v>
      </c>
      <c r="O1537" s="880"/>
      <c r="Q1537" s="317" t="str">
        <f t="shared" si="163"/>
        <v/>
      </c>
      <c r="R1537" s="317" t="str">
        <f t="shared" si="164"/>
        <v/>
      </c>
      <c r="S1537" s="317" t="str">
        <f t="shared" si="165"/>
        <v/>
      </c>
      <c r="T1537" s="317" t="str">
        <f>'REF. DE PREÇOS n editavel'!S1537</f>
        <v/>
      </c>
      <c r="W1537" s="577">
        <v>0</v>
      </c>
      <c r="X1537" s="575"/>
      <c r="Y1537" s="578">
        <f>IF('REF. DE PREÇOS n editavel'!W1537=0,0,IF('REF. DE PREÇOS n editavel'!W1537&gt;0,"c","b"))</f>
        <v>0</v>
      </c>
    </row>
    <row r="1538" spans="1:25" ht="22.5">
      <c r="A1538" s="317">
        <v>98296</v>
      </c>
      <c r="B1538" s="870">
        <v>98296</v>
      </c>
      <c r="C1538" s="871" t="s">
        <v>590</v>
      </c>
      <c r="D1538" s="881" t="s">
        <v>1447</v>
      </c>
      <c r="E1538" s="882">
        <f>'REF. DE PREÇOS n editavel'!E1538</f>
        <v>0</v>
      </c>
      <c r="F1538" s="883">
        <f>'REF. DE PREÇOS n editavel'!F1538</f>
        <v>0</v>
      </c>
      <c r="G1538" s="887">
        <f>'REF. DE PREÇOS n editavel'!G1538</f>
        <v>0</v>
      </c>
      <c r="H1538" s="876">
        <f>'REF. DE PREÇOS n editavel'!H1538</f>
        <v>12.01</v>
      </c>
      <c r="I1538" s="876">
        <f>'REF. DE PREÇOS n editavel'!I1538</f>
        <v>12.01</v>
      </c>
      <c r="J1538" s="877">
        <f>'REF. DE PREÇOS n editavel'!J1538</f>
        <v>14.68</v>
      </c>
      <c r="K1538" s="878" t="s">
        <v>62</v>
      </c>
      <c r="L1538" s="1092"/>
      <c r="M1538" s="1093">
        <f t="shared" si="162"/>
        <v>0</v>
      </c>
      <c r="N1538" s="868">
        <f t="shared" si="166"/>
        <v>0</v>
      </c>
      <c r="O1538" s="880"/>
      <c r="Q1538" s="317" t="str">
        <f t="shared" si="163"/>
        <v/>
      </c>
      <c r="R1538" s="317" t="str">
        <f t="shared" si="164"/>
        <v/>
      </c>
      <c r="S1538" s="317" t="str">
        <f t="shared" si="165"/>
        <v/>
      </c>
      <c r="T1538" s="317" t="str">
        <f>'REF. DE PREÇOS n editavel'!S1538</f>
        <v/>
      </c>
      <c r="W1538" s="577">
        <v>0</v>
      </c>
      <c r="X1538" s="575"/>
      <c r="Y1538" s="578">
        <f>IF('REF. DE PREÇOS n editavel'!W1538=0,0,IF('REF. DE PREÇOS n editavel'!W1538&gt;0,"c","b"))</f>
        <v>0</v>
      </c>
    </row>
    <row r="1539" spans="1:25" ht="22.5">
      <c r="A1539" s="317">
        <v>98297</v>
      </c>
      <c r="B1539" s="870">
        <v>98297</v>
      </c>
      <c r="C1539" s="871" t="s">
        <v>590</v>
      </c>
      <c r="D1539" s="881" t="s">
        <v>1448</v>
      </c>
      <c r="E1539" s="882">
        <f>'REF. DE PREÇOS n editavel'!E1539</f>
        <v>0</v>
      </c>
      <c r="F1539" s="883">
        <f>'REF. DE PREÇOS n editavel'!F1539</f>
        <v>0</v>
      </c>
      <c r="G1539" s="887">
        <f>'REF. DE PREÇOS n editavel'!G1539</f>
        <v>0</v>
      </c>
      <c r="H1539" s="876">
        <f>'REF. DE PREÇOS n editavel'!H1539</f>
        <v>10.67</v>
      </c>
      <c r="I1539" s="876">
        <f>'REF. DE PREÇOS n editavel'!I1539</f>
        <v>10.67</v>
      </c>
      <c r="J1539" s="877">
        <f>'REF. DE PREÇOS n editavel'!J1539</f>
        <v>13.04</v>
      </c>
      <c r="K1539" s="878" t="s">
        <v>62</v>
      </c>
      <c r="L1539" s="1092"/>
      <c r="M1539" s="1093">
        <f t="shared" si="162"/>
        <v>0</v>
      </c>
      <c r="N1539" s="868">
        <f t="shared" si="166"/>
        <v>0</v>
      </c>
      <c r="O1539" s="880"/>
      <c r="Q1539" s="317" t="str">
        <f t="shared" si="163"/>
        <v/>
      </c>
      <c r="R1539" s="317" t="str">
        <f t="shared" si="164"/>
        <v/>
      </c>
      <c r="S1539" s="317" t="str">
        <f t="shared" si="165"/>
        <v/>
      </c>
      <c r="T1539" s="317" t="str">
        <f>'REF. DE PREÇOS n editavel'!S1539</f>
        <v/>
      </c>
      <c r="W1539" s="577">
        <v>0</v>
      </c>
      <c r="X1539" s="575"/>
      <c r="Y1539" s="578">
        <f>IF('REF. DE PREÇOS n editavel'!W1539=0,0,IF('REF. DE PREÇOS n editavel'!W1539&gt;0,"c","b"))</f>
        <v>0</v>
      </c>
    </row>
    <row r="1540" spans="1:25" ht="22.5">
      <c r="A1540" s="317">
        <v>98301</v>
      </c>
      <c r="B1540" s="870">
        <v>98301</v>
      </c>
      <c r="C1540" s="871" t="s">
        <v>590</v>
      </c>
      <c r="D1540" s="881" t="s">
        <v>1449</v>
      </c>
      <c r="E1540" s="882">
        <f>'REF. DE PREÇOS n editavel'!E1540</f>
        <v>0</v>
      </c>
      <c r="F1540" s="883">
        <f>'REF. DE PREÇOS n editavel'!F1540</f>
        <v>0</v>
      </c>
      <c r="G1540" s="887">
        <f>'REF. DE PREÇOS n editavel'!G1540</f>
        <v>0</v>
      </c>
      <c r="H1540" s="876">
        <f>'REF. DE PREÇOS n editavel'!H1540</f>
        <v>792.1</v>
      </c>
      <c r="I1540" s="876">
        <f>'REF. DE PREÇOS n editavel'!I1540</f>
        <v>792.1</v>
      </c>
      <c r="J1540" s="877">
        <f>'REF. DE PREÇOS n editavel'!J1540</f>
        <v>968.1</v>
      </c>
      <c r="K1540" s="878" t="s">
        <v>1500</v>
      </c>
      <c r="L1540" s="1092"/>
      <c r="M1540" s="1093">
        <f t="shared" si="162"/>
        <v>0</v>
      </c>
      <c r="N1540" s="868">
        <f t="shared" si="166"/>
        <v>0</v>
      </c>
      <c r="O1540" s="880"/>
      <c r="Q1540" s="317" t="str">
        <f t="shared" si="163"/>
        <v/>
      </c>
      <c r="R1540" s="317" t="str">
        <f t="shared" si="164"/>
        <v/>
      </c>
      <c r="S1540" s="317" t="str">
        <f t="shared" si="165"/>
        <v/>
      </c>
      <c r="T1540" s="317" t="str">
        <f>'REF. DE PREÇOS n editavel'!S1540</f>
        <v/>
      </c>
      <c r="W1540" s="577">
        <v>0</v>
      </c>
      <c r="X1540" s="575"/>
      <c r="Y1540" s="578">
        <f>IF('REF. DE PREÇOS n editavel'!W1540=0,0,IF('REF. DE PREÇOS n editavel'!W1540&gt;0,"c","b"))</f>
        <v>0</v>
      </c>
    </row>
    <row r="1541" spans="1:25">
      <c r="A1541" s="317">
        <v>98302</v>
      </c>
      <c r="B1541" s="870">
        <v>98302</v>
      </c>
      <c r="C1541" s="871" t="s">
        <v>590</v>
      </c>
      <c r="D1541" s="881" t="s">
        <v>1450</v>
      </c>
      <c r="E1541" s="882">
        <f>'REF. DE PREÇOS n editavel'!E1541</f>
        <v>0</v>
      </c>
      <c r="F1541" s="883">
        <f>'REF. DE PREÇOS n editavel'!F1541</f>
        <v>0</v>
      </c>
      <c r="G1541" s="887">
        <f>'REF. DE PREÇOS n editavel'!G1541</f>
        <v>0</v>
      </c>
      <c r="H1541" s="876">
        <f>'REF. DE PREÇOS n editavel'!H1541</f>
        <v>1496.89</v>
      </c>
      <c r="I1541" s="876">
        <f>'REF. DE PREÇOS n editavel'!I1541</f>
        <v>1496.89</v>
      </c>
      <c r="J1541" s="877">
        <f>'REF. DE PREÇOS n editavel'!J1541</f>
        <v>1829.5</v>
      </c>
      <c r="K1541" s="878" t="s">
        <v>1500</v>
      </c>
      <c r="L1541" s="1092"/>
      <c r="M1541" s="1093">
        <f t="shared" si="162"/>
        <v>0</v>
      </c>
      <c r="N1541" s="868">
        <f t="shared" si="166"/>
        <v>0</v>
      </c>
      <c r="O1541" s="880"/>
      <c r="Q1541" s="317" t="str">
        <f t="shared" si="163"/>
        <v/>
      </c>
      <c r="R1541" s="317" t="str">
        <f t="shared" si="164"/>
        <v/>
      </c>
      <c r="S1541" s="317" t="str">
        <f t="shared" si="165"/>
        <v/>
      </c>
      <c r="T1541" s="317" t="str">
        <f>'REF. DE PREÇOS n editavel'!S1541</f>
        <v/>
      </c>
      <c r="W1541" s="577">
        <v>0</v>
      </c>
      <c r="X1541" s="575"/>
      <c r="Y1541" s="578">
        <f>IF('REF. DE PREÇOS n editavel'!W1541=0,0,IF('REF. DE PREÇOS n editavel'!W1541&gt;0,"c","b"))</f>
        <v>0</v>
      </c>
    </row>
    <row r="1542" spans="1:25">
      <c r="A1542" s="317">
        <v>98304</v>
      </c>
      <c r="B1542" s="870">
        <v>98304</v>
      </c>
      <c r="C1542" s="871" t="s">
        <v>590</v>
      </c>
      <c r="D1542" s="881" t="s">
        <v>1451</v>
      </c>
      <c r="E1542" s="882">
        <f>'REF. DE PREÇOS n editavel'!E1542</f>
        <v>0</v>
      </c>
      <c r="F1542" s="883">
        <f>'REF. DE PREÇOS n editavel'!F1542</f>
        <v>0</v>
      </c>
      <c r="G1542" s="887">
        <f>'REF. DE PREÇOS n editavel'!G1542</f>
        <v>0</v>
      </c>
      <c r="H1542" s="876">
        <f>'REF. DE PREÇOS n editavel'!H1542</f>
        <v>4703.87</v>
      </c>
      <c r="I1542" s="876">
        <f>'REF. DE PREÇOS n editavel'!I1542</f>
        <v>4703.87</v>
      </c>
      <c r="J1542" s="877">
        <f>'REF. DE PREÇOS n editavel'!J1542</f>
        <v>5749.07</v>
      </c>
      <c r="K1542" s="878" t="s">
        <v>1500</v>
      </c>
      <c r="L1542" s="1092"/>
      <c r="M1542" s="1093">
        <f t="shared" ref="M1542:M1605" si="167">IF(L1542=0,0,ROUND(J1542,2))</f>
        <v>0</v>
      </c>
      <c r="N1542" s="868">
        <f t="shared" si="166"/>
        <v>0</v>
      </c>
      <c r="O1542" s="880"/>
      <c r="Q1542" s="317" t="str">
        <f t="shared" si="163"/>
        <v/>
      </c>
      <c r="R1542" s="317" t="str">
        <f t="shared" si="164"/>
        <v/>
      </c>
      <c r="S1542" s="317" t="str">
        <f t="shared" si="165"/>
        <v/>
      </c>
      <c r="T1542" s="317" t="str">
        <f>'REF. DE PREÇOS n editavel'!S1542</f>
        <v/>
      </c>
      <c r="W1542" s="577">
        <v>0</v>
      </c>
      <c r="X1542" s="575"/>
      <c r="Y1542" s="578">
        <f>IF('REF. DE PREÇOS n editavel'!W1542=0,0,IF('REF. DE PREÇOS n editavel'!W1542&gt;0,"c","b"))</f>
        <v>0</v>
      </c>
    </row>
    <row r="1543" spans="1:25">
      <c r="A1543" s="317">
        <v>98307</v>
      </c>
      <c r="B1543" s="870">
        <v>98307</v>
      </c>
      <c r="C1543" s="871" t="s">
        <v>590</v>
      </c>
      <c r="D1543" s="881" t="s">
        <v>1452</v>
      </c>
      <c r="E1543" s="882">
        <f>'REF. DE PREÇOS n editavel'!E1543</f>
        <v>0</v>
      </c>
      <c r="F1543" s="883">
        <f>'REF. DE PREÇOS n editavel'!F1543</f>
        <v>0</v>
      </c>
      <c r="G1543" s="887">
        <f>'REF. DE PREÇOS n editavel'!G1543</f>
        <v>0</v>
      </c>
      <c r="H1543" s="876">
        <f>'REF. DE PREÇOS n editavel'!H1543</f>
        <v>54.02</v>
      </c>
      <c r="I1543" s="876">
        <f>'REF. DE PREÇOS n editavel'!I1543</f>
        <v>54.02</v>
      </c>
      <c r="J1543" s="877">
        <f>'REF. DE PREÇOS n editavel'!J1543</f>
        <v>66.02</v>
      </c>
      <c r="K1543" s="878" t="s">
        <v>1500</v>
      </c>
      <c r="L1543" s="1092"/>
      <c r="M1543" s="1093">
        <f t="shared" si="167"/>
        <v>0</v>
      </c>
      <c r="N1543" s="868">
        <f t="shared" si="166"/>
        <v>0</v>
      </c>
      <c r="O1543" s="880"/>
      <c r="Q1543" s="317" t="str">
        <f t="shared" si="163"/>
        <v/>
      </c>
      <c r="R1543" s="317" t="str">
        <f t="shared" si="164"/>
        <v/>
      </c>
      <c r="S1543" s="317" t="str">
        <f t="shared" si="165"/>
        <v/>
      </c>
      <c r="T1543" s="317" t="str">
        <f>'REF. DE PREÇOS n editavel'!S1543</f>
        <v/>
      </c>
      <c r="W1543" s="577">
        <v>0</v>
      </c>
      <c r="X1543" s="575"/>
      <c r="Y1543" s="578">
        <f>IF('REF. DE PREÇOS n editavel'!W1543=0,0,IF('REF. DE PREÇOS n editavel'!W1543&gt;0,"c","b"))</f>
        <v>0</v>
      </c>
    </row>
    <row r="1544" spans="1:25">
      <c r="A1544" s="317">
        <v>98308</v>
      </c>
      <c r="B1544" s="870">
        <v>98308</v>
      </c>
      <c r="C1544" s="871" t="s">
        <v>590</v>
      </c>
      <c r="D1544" s="881" t="s">
        <v>1453</v>
      </c>
      <c r="E1544" s="882">
        <f>'REF. DE PREÇOS n editavel'!E1544</f>
        <v>0</v>
      </c>
      <c r="F1544" s="883">
        <f>'REF. DE PREÇOS n editavel'!F1544</f>
        <v>0</v>
      </c>
      <c r="G1544" s="887">
        <f>'REF. DE PREÇOS n editavel'!G1544</f>
        <v>0</v>
      </c>
      <c r="H1544" s="876">
        <f>'REF. DE PREÇOS n editavel'!H1544</f>
        <v>35.97</v>
      </c>
      <c r="I1544" s="876">
        <f>'REF. DE PREÇOS n editavel'!I1544</f>
        <v>35.97</v>
      </c>
      <c r="J1544" s="877">
        <f>'REF. DE PREÇOS n editavel'!J1544</f>
        <v>43.96</v>
      </c>
      <c r="K1544" s="878" t="s">
        <v>1500</v>
      </c>
      <c r="L1544" s="1092"/>
      <c r="M1544" s="1093">
        <f t="shared" si="167"/>
        <v>0</v>
      </c>
      <c r="N1544" s="868">
        <f t="shared" si="166"/>
        <v>0</v>
      </c>
      <c r="O1544" s="880"/>
      <c r="Q1544" s="317" t="str">
        <f t="shared" si="163"/>
        <v/>
      </c>
      <c r="R1544" s="317" t="str">
        <f t="shared" si="164"/>
        <v/>
      </c>
      <c r="S1544" s="317" t="str">
        <f t="shared" si="165"/>
        <v/>
      </c>
      <c r="T1544" s="317" t="str">
        <f>'REF. DE PREÇOS n editavel'!S1544</f>
        <v/>
      </c>
      <c r="W1544" s="577">
        <v>0</v>
      </c>
      <c r="X1544" s="575"/>
      <c r="Y1544" s="578">
        <f>IF('REF. DE PREÇOS n editavel'!W1544=0,0,IF('REF. DE PREÇOS n editavel'!W1544&gt;0,"c","b"))</f>
        <v>0</v>
      </c>
    </row>
    <row r="1545" spans="1:25" ht="22.5">
      <c r="A1545" s="317">
        <v>98593</v>
      </c>
      <c r="B1545" s="870">
        <v>98593</v>
      </c>
      <c r="C1545" s="871" t="s">
        <v>590</v>
      </c>
      <c r="D1545" s="881" t="s">
        <v>1454</v>
      </c>
      <c r="E1545" s="882">
        <f>'REF. DE PREÇOS n editavel'!E1545</f>
        <v>0</v>
      </c>
      <c r="F1545" s="883">
        <f>'REF. DE PREÇOS n editavel'!F1545</f>
        <v>0</v>
      </c>
      <c r="G1545" s="887">
        <f>'REF. DE PREÇOS n editavel'!G1545</f>
        <v>0</v>
      </c>
      <c r="H1545" s="876">
        <f>'REF. DE PREÇOS n editavel'!H1545</f>
        <v>3266.78</v>
      </c>
      <c r="I1545" s="876">
        <f>'REF. DE PREÇOS n editavel'!I1545</f>
        <v>3266.78</v>
      </c>
      <c r="J1545" s="877">
        <f>'REF. DE PREÇOS n editavel'!J1545</f>
        <v>3992.66</v>
      </c>
      <c r="K1545" s="878" t="s">
        <v>1500</v>
      </c>
      <c r="L1545" s="1092"/>
      <c r="M1545" s="1093">
        <f t="shared" si="167"/>
        <v>0</v>
      </c>
      <c r="N1545" s="868">
        <f t="shared" si="166"/>
        <v>0</v>
      </c>
      <c r="O1545" s="880"/>
      <c r="Q1545" s="317" t="str">
        <f t="shared" si="163"/>
        <v/>
      </c>
      <c r="R1545" s="317" t="str">
        <f t="shared" si="164"/>
        <v/>
      </c>
      <c r="S1545" s="317" t="str">
        <f t="shared" si="165"/>
        <v/>
      </c>
      <c r="T1545" s="317" t="str">
        <f>'REF. DE PREÇOS n editavel'!S1545</f>
        <v/>
      </c>
      <c r="W1545" s="577">
        <v>0</v>
      </c>
      <c r="X1545" s="575"/>
      <c r="Y1545" s="578">
        <f>IF('REF. DE PREÇOS n editavel'!W1545=0,0,IF('REF. DE PREÇOS n editavel'!W1545&gt;0,"c","b"))</f>
        <v>0</v>
      </c>
    </row>
    <row r="1546" spans="1:25" ht="22.5">
      <c r="A1546" s="317">
        <v>98400</v>
      </c>
      <c r="B1546" s="870">
        <v>98400</v>
      </c>
      <c r="C1546" s="871" t="s">
        <v>590</v>
      </c>
      <c r="D1546" s="881" t="s">
        <v>1455</v>
      </c>
      <c r="E1546" s="882">
        <f>'REF. DE PREÇOS n editavel'!E1546</f>
        <v>0</v>
      </c>
      <c r="F1546" s="883">
        <f>'REF. DE PREÇOS n editavel'!F1546</f>
        <v>0</v>
      </c>
      <c r="G1546" s="887">
        <f>'REF. DE PREÇOS n editavel'!G1546</f>
        <v>0</v>
      </c>
      <c r="H1546" s="876">
        <f>'REF. DE PREÇOS n editavel'!H1546</f>
        <v>16.71</v>
      </c>
      <c r="I1546" s="876">
        <f>'REF. DE PREÇOS n editavel'!I1546</f>
        <v>16.71</v>
      </c>
      <c r="J1546" s="877">
        <f>'REF. DE PREÇOS n editavel'!J1546</f>
        <v>20.420000000000002</v>
      </c>
      <c r="K1546" s="878" t="s">
        <v>62</v>
      </c>
      <c r="L1546" s="1092"/>
      <c r="M1546" s="1093">
        <f t="shared" si="167"/>
        <v>0</v>
      </c>
      <c r="N1546" s="868">
        <f t="shared" si="166"/>
        <v>0</v>
      </c>
      <c r="O1546" s="880"/>
      <c r="Q1546" s="317" t="str">
        <f t="shared" si="163"/>
        <v/>
      </c>
      <c r="R1546" s="317" t="str">
        <f t="shared" si="164"/>
        <v/>
      </c>
      <c r="S1546" s="317" t="str">
        <f t="shared" si="165"/>
        <v/>
      </c>
      <c r="T1546" s="317" t="str">
        <f>'REF. DE PREÇOS n editavel'!S1546</f>
        <v/>
      </c>
      <c r="W1546" s="577">
        <v>0</v>
      </c>
      <c r="X1546" s="575"/>
      <c r="Y1546" s="578">
        <f>IF('REF. DE PREÇOS n editavel'!W1546=0,0,IF('REF. DE PREÇOS n editavel'!W1546&gt;0,"c","b"))</f>
        <v>0</v>
      </c>
    </row>
    <row r="1547" spans="1:25" ht="22.5">
      <c r="A1547" s="317">
        <v>98401</v>
      </c>
      <c r="B1547" s="870">
        <v>98401</v>
      </c>
      <c r="C1547" s="871" t="s">
        <v>590</v>
      </c>
      <c r="D1547" s="881" t="s">
        <v>1456</v>
      </c>
      <c r="E1547" s="882">
        <f>'REF. DE PREÇOS n editavel'!E1547</f>
        <v>0</v>
      </c>
      <c r="F1547" s="883">
        <f>'REF. DE PREÇOS n editavel'!F1547</f>
        <v>0</v>
      </c>
      <c r="G1547" s="887">
        <f>'REF. DE PREÇOS n editavel'!G1547</f>
        <v>0</v>
      </c>
      <c r="H1547" s="876">
        <f>'REF. DE PREÇOS n editavel'!H1547</f>
        <v>25.99</v>
      </c>
      <c r="I1547" s="876">
        <f>'REF. DE PREÇOS n editavel'!I1547</f>
        <v>25.99</v>
      </c>
      <c r="J1547" s="877">
        <f>'REF. DE PREÇOS n editavel'!J1547</f>
        <v>31.76</v>
      </c>
      <c r="K1547" s="878" t="s">
        <v>62</v>
      </c>
      <c r="L1547" s="1092"/>
      <c r="M1547" s="1093">
        <f t="shared" si="167"/>
        <v>0</v>
      </c>
      <c r="N1547" s="868">
        <f t="shared" si="166"/>
        <v>0</v>
      </c>
      <c r="O1547" s="880"/>
      <c r="Q1547" s="317" t="str">
        <f t="shared" si="163"/>
        <v/>
      </c>
      <c r="R1547" s="317" t="str">
        <f t="shared" si="164"/>
        <v/>
      </c>
      <c r="S1547" s="317" t="str">
        <f t="shared" si="165"/>
        <v/>
      </c>
      <c r="T1547" s="317" t="str">
        <f>'REF. DE PREÇOS n editavel'!S1547</f>
        <v/>
      </c>
      <c r="W1547" s="577">
        <v>0</v>
      </c>
      <c r="X1547" s="575"/>
      <c r="Y1547" s="578">
        <f>IF('REF. DE PREÇOS n editavel'!W1547=0,0,IF('REF. DE PREÇOS n editavel'!W1547&gt;0,"c","b"))</f>
        <v>0</v>
      </c>
    </row>
    <row r="1548" spans="1:25" ht="22.5">
      <c r="A1548" s="317">
        <v>98402</v>
      </c>
      <c r="B1548" s="870">
        <v>98402</v>
      </c>
      <c r="C1548" s="871" t="s">
        <v>590</v>
      </c>
      <c r="D1548" s="881" t="s">
        <v>1457</v>
      </c>
      <c r="E1548" s="882">
        <f>'REF. DE PREÇOS n editavel'!E1548</f>
        <v>0</v>
      </c>
      <c r="F1548" s="883">
        <f>'REF. DE PREÇOS n editavel'!F1548</f>
        <v>0</v>
      </c>
      <c r="G1548" s="887">
        <f>'REF. DE PREÇOS n editavel'!G1548</f>
        <v>0</v>
      </c>
      <c r="H1548" s="876">
        <f>'REF. DE PREÇOS n editavel'!H1548</f>
        <v>30.27</v>
      </c>
      <c r="I1548" s="876">
        <f>'REF. DE PREÇOS n editavel'!I1548</f>
        <v>30.27</v>
      </c>
      <c r="J1548" s="877">
        <f>'REF. DE PREÇOS n editavel'!J1548</f>
        <v>37</v>
      </c>
      <c r="K1548" s="878" t="s">
        <v>62</v>
      </c>
      <c r="L1548" s="1092"/>
      <c r="M1548" s="1093">
        <f t="shared" si="167"/>
        <v>0</v>
      </c>
      <c r="N1548" s="868">
        <f t="shared" si="166"/>
        <v>0</v>
      </c>
      <c r="O1548" s="880"/>
      <c r="Q1548" s="317" t="str">
        <f t="shared" si="163"/>
        <v/>
      </c>
      <c r="R1548" s="317" t="str">
        <f t="shared" si="164"/>
        <v/>
      </c>
      <c r="S1548" s="317" t="str">
        <f t="shared" si="165"/>
        <v/>
      </c>
      <c r="T1548" s="317" t="str">
        <f>'REF. DE PREÇOS n editavel'!S1548</f>
        <v/>
      </c>
      <c r="W1548" s="577">
        <v>0</v>
      </c>
      <c r="X1548" s="575"/>
      <c r="Y1548" s="578">
        <f>IF('REF. DE PREÇOS n editavel'!W1548=0,0,IF('REF. DE PREÇOS n editavel'!W1548&gt;0,"c","b"))</f>
        <v>0</v>
      </c>
    </row>
    <row r="1549" spans="1:25" ht="22.5">
      <c r="A1549" s="317">
        <v>98267</v>
      </c>
      <c r="B1549" s="870">
        <v>98267</v>
      </c>
      <c r="C1549" s="871" t="s">
        <v>590</v>
      </c>
      <c r="D1549" s="881" t="s">
        <v>1458</v>
      </c>
      <c r="E1549" s="882">
        <f>'REF. DE PREÇOS n editavel'!E1549</f>
        <v>0</v>
      </c>
      <c r="F1549" s="883">
        <f>'REF. DE PREÇOS n editavel'!F1549</f>
        <v>0</v>
      </c>
      <c r="G1549" s="887">
        <f>'REF. DE PREÇOS n editavel'!G1549</f>
        <v>0</v>
      </c>
      <c r="H1549" s="876">
        <f>'REF. DE PREÇOS n editavel'!H1549</f>
        <v>13.69</v>
      </c>
      <c r="I1549" s="876">
        <f>'REF. DE PREÇOS n editavel'!I1549</f>
        <v>13.69</v>
      </c>
      <c r="J1549" s="877">
        <f>'REF. DE PREÇOS n editavel'!J1549</f>
        <v>16.73</v>
      </c>
      <c r="K1549" s="878" t="s">
        <v>62</v>
      </c>
      <c r="L1549" s="1092"/>
      <c r="M1549" s="1093">
        <f t="shared" si="167"/>
        <v>0</v>
      </c>
      <c r="N1549" s="868">
        <f t="shared" si="166"/>
        <v>0</v>
      </c>
      <c r="O1549" s="880"/>
      <c r="Q1549" s="317" t="str">
        <f t="shared" si="163"/>
        <v/>
      </c>
      <c r="R1549" s="317" t="str">
        <f t="shared" si="164"/>
        <v/>
      </c>
      <c r="S1549" s="317" t="str">
        <f t="shared" si="165"/>
        <v/>
      </c>
      <c r="T1549" s="317" t="str">
        <f>'REF. DE PREÇOS n editavel'!S1549</f>
        <v/>
      </c>
      <c r="W1549" s="577">
        <v>0</v>
      </c>
      <c r="X1549" s="575"/>
      <c r="Y1549" s="578">
        <f>IF('REF. DE PREÇOS n editavel'!W1549=0,0,IF('REF. DE PREÇOS n editavel'!W1549&gt;0,"c","b"))</f>
        <v>0</v>
      </c>
    </row>
    <row r="1550" spans="1:25" ht="22.5">
      <c r="A1550" s="317">
        <v>98268</v>
      </c>
      <c r="B1550" s="870">
        <v>98268</v>
      </c>
      <c r="C1550" s="871" t="s">
        <v>590</v>
      </c>
      <c r="D1550" s="881" t="s">
        <v>1459</v>
      </c>
      <c r="E1550" s="882">
        <f>'REF. DE PREÇOS n editavel'!E1550</f>
        <v>0</v>
      </c>
      <c r="F1550" s="883">
        <f>'REF. DE PREÇOS n editavel'!F1550</f>
        <v>0</v>
      </c>
      <c r="G1550" s="887">
        <f>'REF. DE PREÇOS n editavel'!G1550</f>
        <v>0</v>
      </c>
      <c r="H1550" s="876">
        <f>'REF. DE PREÇOS n editavel'!H1550</f>
        <v>21.8</v>
      </c>
      <c r="I1550" s="876">
        <f>'REF. DE PREÇOS n editavel'!I1550</f>
        <v>21.8</v>
      </c>
      <c r="J1550" s="877">
        <f>'REF. DE PREÇOS n editavel'!J1550</f>
        <v>26.64</v>
      </c>
      <c r="K1550" s="878" t="s">
        <v>62</v>
      </c>
      <c r="L1550" s="1092"/>
      <c r="M1550" s="1093">
        <f t="shared" si="167"/>
        <v>0</v>
      </c>
      <c r="N1550" s="868">
        <f t="shared" si="166"/>
        <v>0</v>
      </c>
      <c r="O1550" s="880"/>
      <c r="Q1550" s="317" t="str">
        <f t="shared" si="163"/>
        <v/>
      </c>
      <c r="R1550" s="317" t="str">
        <f t="shared" si="164"/>
        <v/>
      </c>
      <c r="S1550" s="317" t="str">
        <f t="shared" si="165"/>
        <v/>
      </c>
      <c r="T1550" s="317" t="str">
        <f>'REF. DE PREÇOS n editavel'!S1550</f>
        <v/>
      </c>
      <c r="W1550" s="577">
        <v>0</v>
      </c>
      <c r="X1550" s="575"/>
      <c r="Y1550" s="578">
        <f>IF('REF. DE PREÇOS n editavel'!W1550=0,0,IF('REF. DE PREÇOS n editavel'!W1550&gt;0,"c","b"))</f>
        <v>0</v>
      </c>
    </row>
    <row r="1551" spans="1:25" ht="22.5">
      <c r="A1551" s="317">
        <v>98269</v>
      </c>
      <c r="B1551" s="870">
        <v>98269</v>
      </c>
      <c r="C1551" s="871" t="s">
        <v>590</v>
      </c>
      <c r="D1551" s="881" t="s">
        <v>1460</v>
      </c>
      <c r="E1551" s="882">
        <f>'REF. DE PREÇOS n editavel'!E1551</f>
        <v>0</v>
      </c>
      <c r="F1551" s="883">
        <f>'REF. DE PREÇOS n editavel'!F1551</f>
        <v>0</v>
      </c>
      <c r="G1551" s="887">
        <f>'REF. DE PREÇOS n editavel'!G1551</f>
        <v>0</v>
      </c>
      <c r="H1551" s="876">
        <f>'REF. DE PREÇOS n editavel'!H1551</f>
        <v>29.62</v>
      </c>
      <c r="I1551" s="876">
        <f>'REF. DE PREÇOS n editavel'!I1551</f>
        <v>29.62</v>
      </c>
      <c r="J1551" s="877">
        <f>'REF. DE PREÇOS n editavel'!J1551</f>
        <v>36.200000000000003</v>
      </c>
      <c r="K1551" s="878" t="s">
        <v>62</v>
      </c>
      <c r="L1551" s="1092"/>
      <c r="M1551" s="1093">
        <f t="shared" si="167"/>
        <v>0</v>
      </c>
      <c r="N1551" s="868">
        <f t="shared" si="166"/>
        <v>0</v>
      </c>
      <c r="O1551" s="880"/>
      <c r="Q1551" s="317" t="str">
        <f t="shared" si="163"/>
        <v/>
      </c>
      <c r="R1551" s="317" t="str">
        <f t="shared" si="164"/>
        <v/>
      </c>
      <c r="S1551" s="317" t="str">
        <f t="shared" si="165"/>
        <v/>
      </c>
      <c r="T1551" s="317" t="str">
        <f>'REF. DE PREÇOS n editavel'!S1551</f>
        <v/>
      </c>
      <c r="W1551" s="577">
        <v>0</v>
      </c>
      <c r="X1551" s="575"/>
      <c r="Y1551" s="578">
        <f>IF('REF. DE PREÇOS n editavel'!W1551=0,0,IF('REF. DE PREÇOS n editavel'!W1551&gt;0,"c","b"))</f>
        <v>0</v>
      </c>
    </row>
    <row r="1552" spans="1:25" ht="22.5">
      <c r="A1552" s="317">
        <v>98270</v>
      </c>
      <c r="B1552" s="870">
        <v>98270</v>
      </c>
      <c r="C1552" s="871" t="s">
        <v>590</v>
      </c>
      <c r="D1552" s="881" t="s">
        <v>1461</v>
      </c>
      <c r="E1552" s="882">
        <f>'REF. DE PREÇOS n editavel'!E1552</f>
        <v>0</v>
      </c>
      <c r="F1552" s="883">
        <f>'REF. DE PREÇOS n editavel'!F1552</f>
        <v>0</v>
      </c>
      <c r="G1552" s="887">
        <f>'REF. DE PREÇOS n editavel'!G1552</f>
        <v>0</v>
      </c>
      <c r="H1552" s="876">
        <f>'REF. DE PREÇOS n editavel'!H1552</f>
        <v>44.42</v>
      </c>
      <c r="I1552" s="876">
        <f>'REF. DE PREÇOS n editavel'!I1552</f>
        <v>44.42</v>
      </c>
      <c r="J1552" s="877">
        <f>'REF. DE PREÇOS n editavel'!J1552</f>
        <v>54.29</v>
      </c>
      <c r="K1552" s="878" t="s">
        <v>62</v>
      </c>
      <c r="L1552" s="1092"/>
      <c r="M1552" s="1093">
        <f t="shared" si="167"/>
        <v>0</v>
      </c>
      <c r="N1552" s="868">
        <f t="shared" si="166"/>
        <v>0</v>
      </c>
      <c r="O1552" s="880"/>
      <c r="Q1552" s="317" t="str">
        <f t="shared" si="163"/>
        <v/>
      </c>
      <c r="R1552" s="317" t="str">
        <f t="shared" si="164"/>
        <v/>
      </c>
      <c r="S1552" s="317" t="str">
        <f t="shared" si="165"/>
        <v/>
      </c>
      <c r="T1552" s="317" t="str">
        <f>'REF. DE PREÇOS n editavel'!S1552</f>
        <v/>
      </c>
      <c r="W1552" s="577">
        <v>0</v>
      </c>
      <c r="X1552" s="575"/>
      <c r="Y1552" s="578">
        <f>IF('REF. DE PREÇOS n editavel'!W1552=0,0,IF('REF. DE PREÇOS n editavel'!W1552&gt;0,"c","b"))</f>
        <v>0</v>
      </c>
    </row>
    <row r="1553" spans="1:25" ht="22.5">
      <c r="A1553" s="317">
        <v>98271</v>
      </c>
      <c r="B1553" s="870">
        <v>98271</v>
      </c>
      <c r="C1553" s="871" t="s">
        <v>590</v>
      </c>
      <c r="D1553" s="881" t="s">
        <v>1462</v>
      </c>
      <c r="E1553" s="882">
        <f>'REF. DE PREÇOS n editavel'!E1553</f>
        <v>0</v>
      </c>
      <c r="F1553" s="883">
        <f>'REF. DE PREÇOS n editavel'!F1553</f>
        <v>0</v>
      </c>
      <c r="G1553" s="887">
        <f>'REF. DE PREÇOS n editavel'!G1553</f>
        <v>0</v>
      </c>
      <c r="H1553" s="876">
        <f>'REF. DE PREÇOS n editavel'!H1553</f>
        <v>62.23</v>
      </c>
      <c r="I1553" s="876">
        <f>'REF. DE PREÇOS n editavel'!I1553</f>
        <v>62.23</v>
      </c>
      <c r="J1553" s="877">
        <f>'REF. DE PREÇOS n editavel'!J1553</f>
        <v>76.06</v>
      </c>
      <c r="K1553" s="878" t="s">
        <v>62</v>
      </c>
      <c r="L1553" s="1092"/>
      <c r="M1553" s="1093">
        <f t="shared" si="167"/>
        <v>0</v>
      </c>
      <c r="N1553" s="868">
        <f t="shared" si="166"/>
        <v>0</v>
      </c>
      <c r="O1553" s="880"/>
      <c r="Q1553" s="317" t="str">
        <f t="shared" ref="Q1553:Q1616" si="168">IF(P1553="X","x",IF(P1553="xx","x",IF(P1553="xy","x",IF(P1553="y","x",IF(OR(N1553&gt;0,N1553&gt;0),"x","")))))</f>
        <v/>
      </c>
      <c r="R1553" s="317" t="str">
        <f t="shared" si="164"/>
        <v/>
      </c>
      <c r="S1553" s="317" t="str">
        <f t="shared" si="165"/>
        <v/>
      </c>
      <c r="T1553" s="317" t="str">
        <f>'REF. DE PREÇOS n editavel'!S1553</f>
        <v/>
      </c>
      <c r="W1553" s="577">
        <v>0</v>
      </c>
      <c r="X1553" s="575"/>
      <c r="Y1553" s="578">
        <f>IF('REF. DE PREÇOS n editavel'!W1553=0,0,IF('REF. DE PREÇOS n editavel'!W1553&gt;0,"c","b"))</f>
        <v>0</v>
      </c>
    </row>
    <row r="1554" spans="1:25" ht="22.5">
      <c r="A1554" s="317">
        <v>98272</v>
      </c>
      <c r="B1554" s="870">
        <v>98272</v>
      </c>
      <c r="C1554" s="871" t="s">
        <v>590</v>
      </c>
      <c r="D1554" s="881" t="s">
        <v>1463</v>
      </c>
      <c r="E1554" s="882">
        <f>'REF. DE PREÇOS n editavel'!E1554</f>
        <v>0</v>
      </c>
      <c r="F1554" s="883">
        <f>'REF. DE PREÇOS n editavel'!F1554</f>
        <v>0</v>
      </c>
      <c r="G1554" s="887">
        <f>'REF. DE PREÇOS n editavel'!G1554</f>
        <v>0</v>
      </c>
      <c r="H1554" s="876">
        <f>'REF. DE PREÇOS n editavel'!H1554</f>
        <v>142.05000000000001</v>
      </c>
      <c r="I1554" s="876">
        <f>'REF. DE PREÇOS n editavel'!I1554</f>
        <v>142.05000000000001</v>
      </c>
      <c r="J1554" s="877">
        <f>'REF. DE PREÇOS n editavel'!J1554</f>
        <v>173.61</v>
      </c>
      <c r="K1554" s="878" t="s">
        <v>62</v>
      </c>
      <c r="L1554" s="1092"/>
      <c r="M1554" s="1093">
        <f t="shared" si="167"/>
        <v>0</v>
      </c>
      <c r="N1554" s="868">
        <f t="shared" si="166"/>
        <v>0</v>
      </c>
      <c r="O1554" s="880"/>
      <c r="Q1554" s="317" t="str">
        <f t="shared" si="168"/>
        <v/>
      </c>
      <c r="R1554" s="317" t="str">
        <f t="shared" si="164"/>
        <v/>
      </c>
      <c r="S1554" s="317" t="str">
        <f t="shared" si="165"/>
        <v/>
      </c>
      <c r="T1554" s="317" t="str">
        <f>'REF. DE PREÇOS n editavel'!S1554</f>
        <v/>
      </c>
      <c r="W1554" s="577">
        <v>0</v>
      </c>
      <c r="X1554" s="575"/>
      <c r="Y1554" s="578">
        <f>IF('REF. DE PREÇOS n editavel'!W1554=0,0,IF('REF. DE PREÇOS n editavel'!W1554&gt;0,"c","b"))</f>
        <v>0</v>
      </c>
    </row>
    <row r="1555" spans="1:25" ht="22.5">
      <c r="A1555" s="317">
        <v>98276</v>
      </c>
      <c r="B1555" s="870">
        <v>98276</v>
      </c>
      <c r="C1555" s="871" t="s">
        <v>590</v>
      </c>
      <c r="D1555" s="881" t="s">
        <v>1464</v>
      </c>
      <c r="E1555" s="882">
        <f>'REF. DE PREÇOS n editavel'!E1555</f>
        <v>0</v>
      </c>
      <c r="F1555" s="883">
        <f>'REF. DE PREÇOS n editavel'!F1555</f>
        <v>0</v>
      </c>
      <c r="G1555" s="887">
        <f>'REF. DE PREÇOS n editavel'!G1555</f>
        <v>0</v>
      </c>
      <c r="H1555" s="876">
        <f>'REF. DE PREÇOS n editavel'!H1555</f>
        <v>10.08</v>
      </c>
      <c r="I1555" s="876">
        <f>'REF. DE PREÇOS n editavel'!I1555</f>
        <v>10.08</v>
      </c>
      <c r="J1555" s="877">
        <f>'REF. DE PREÇOS n editavel'!J1555</f>
        <v>12.32</v>
      </c>
      <c r="K1555" s="878" t="s">
        <v>62</v>
      </c>
      <c r="L1555" s="1092"/>
      <c r="M1555" s="1093">
        <f t="shared" si="167"/>
        <v>0</v>
      </c>
      <c r="N1555" s="868">
        <f t="shared" si="166"/>
        <v>0</v>
      </c>
      <c r="O1555" s="880"/>
      <c r="Q1555" s="317" t="str">
        <f t="shared" si="168"/>
        <v/>
      </c>
      <c r="R1555" s="317" t="str">
        <f t="shared" ref="R1555:R1618" si="169">IF(P1555="X","x",IF(P1555="y","x",IF(P1555="xx","x",IF(N1555&gt;0,"x",""))))</f>
        <v/>
      </c>
      <c r="S1555" s="317" t="str">
        <f t="shared" ref="S1555:S1618" si="170">IF(P1555="X","x",IF(N1555&gt;0,"x",""))</f>
        <v/>
      </c>
      <c r="T1555" s="317" t="str">
        <f>'REF. DE PREÇOS n editavel'!S1555</f>
        <v/>
      </c>
      <c r="W1555" s="577">
        <v>0</v>
      </c>
      <c r="X1555" s="575"/>
      <c r="Y1555" s="578">
        <f>IF('REF. DE PREÇOS n editavel'!W1555=0,0,IF('REF. DE PREÇOS n editavel'!W1555&gt;0,"c","b"))</f>
        <v>0</v>
      </c>
    </row>
    <row r="1556" spans="1:25" ht="22.5">
      <c r="A1556" s="317">
        <v>98277</v>
      </c>
      <c r="B1556" s="870">
        <v>98277</v>
      </c>
      <c r="C1556" s="871" t="s">
        <v>590</v>
      </c>
      <c r="D1556" s="881" t="s">
        <v>1465</v>
      </c>
      <c r="E1556" s="882">
        <f>'REF. DE PREÇOS n editavel'!E1556</f>
        <v>0</v>
      </c>
      <c r="F1556" s="883">
        <f>'REF. DE PREÇOS n editavel'!F1556</f>
        <v>0</v>
      </c>
      <c r="G1556" s="887">
        <f>'REF. DE PREÇOS n editavel'!G1556</f>
        <v>0</v>
      </c>
      <c r="H1556" s="876">
        <f>'REF. DE PREÇOS n editavel'!H1556</f>
        <v>18.18</v>
      </c>
      <c r="I1556" s="876">
        <f>'REF. DE PREÇOS n editavel'!I1556</f>
        <v>18.18</v>
      </c>
      <c r="J1556" s="877">
        <f>'REF. DE PREÇOS n editavel'!J1556</f>
        <v>22.22</v>
      </c>
      <c r="K1556" s="878" t="s">
        <v>62</v>
      </c>
      <c r="L1556" s="1092"/>
      <c r="M1556" s="1093">
        <f t="shared" si="167"/>
        <v>0</v>
      </c>
      <c r="N1556" s="868">
        <f t="shared" si="166"/>
        <v>0</v>
      </c>
      <c r="O1556" s="880"/>
      <c r="Q1556" s="317" t="str">
        <f t="shared" si="168"/>
        <v/>
      </c>
      <c r="R1556" s="317" t="str">
        <f t="shared" si="169"/>
        <v/>
      </c>
      <c r="S1556" s="317" t="str">
        <f t="shared" si="170"/>
        <v/>
      </c>
      <c r="T1556" s="317" t="str">
        <f>'REF. DE PREÇOS n editavel'!S1556</f>
        <v/>
      </c>
      <c r="W1556" s="577">
        <v>0</v>
      </c>
      <c r="X1556" s="575"/>
      <c r="Y1556" s="578">
        <f>IF('REF. DE PREÇOS n editavel'!W1556=0,0,IF('REF. DE PREÇOS n editavel'!W1556&gt;0,"c","b"))</f>
        <v>0</v>
      </c>
    </row>
    <row r="1557" spans="1:25" ht="22.5">
      <c r="A1557" s="317">
        <v>98278</v>
      </c>
      <c r="B1557" s="870">
        <v>98278</v>
      </c>
      <c r="C1557" s="871" t="s">
        <v>590</v>
      </c>
      <c r="D1557" s="881" t="s">
        <v>1466</v>
      </c>
      <c r="E1557" s="882">
        <f>'REF. DE PREÇOS n editavel'!E1557</f>
        <v>0</v>
      </c>
      <c r="F1557" s="883">
        <f>'REF. DE PREÇOS n editavel'!F1557</f>
        <v>0</v>
      </c>
      <c r="G1557" s="887">
        <f>'REF. DE PREÇOS n editavel'!G1557</f>
        <v>0</v>
      </c>
      <c r="H1557" s="876">
        <f>'REF. DE PREÇOS n editavel'!H1557</f>
        <v>26.01</v>
      </c>
      <c r="I1557" s="876">
        <f>'REF. DE PREÇOS n editavel'!I1557</f>
        <v>26.01</v>
      </c>
      <c r="J1557" s="877">
        <f>'REF. DE PREÇOS n editavel'!J1557</f>
        <v>31.79</v>
      </c>
      <c r="K1557" s="878" t="s">
        <v>62</v>
      </c>
      <c r="L1557" s="1092"/>
      <c r="M1557" s="1093">
        <f t="shared" si="167"/>
        <v>0</v>
      </c>
      <c r="N1557" s="868">
        <f t="shared" si="166"/>
        <v>0</v>
      </c>
      <c r="O1557" s="880"/>
      <c r="Q1557" s="317" t="str">
        <f t="shared" si="168"/>
        <v/>
      </c>
      <c r="R1557" s="317" t="str">
        <f t="shared" si="169"/>
        <v/>
      </c>
      <c r="S1557" s="317" t="str">
        <f t="shared" si="170"/>
        <v/>
      </c>
      <c r="T1557" s="317" t="str">
        <f>'REF. DE PREÇOS n editavel'!S1557</f>
        <v/>
      </c>
      <c r="W1557" s="577">
        <v>0</v>
      </c>
      <c r="X1557" s="575"/>
      <c r="Y1557" s="578">
        <f>IF('REF. DE PREÇOS n editavel'!W1557=0,0,IF('REF. DE PREÇOS n editavel'!W1557&gt;0,"c","b"))</f>
        <v>0</v>
      </c>
    </row>
    <row r="1558" spans="1:25" ht="22.5">
      <c r="A1558" s="317">
        <v>98279</v>
      </c>
      <c r="B1558" s="870">
        <v>98279</v>
      </c>
      <c r="C1558" s="871" t="s">
        <v>590</v>
      </c>
      <c r="D1558" s="881" t="s">
        <v>1467</v>
      </c>
      <c r="E1558" s="882">
        <f>'REF. DE PREÇOS n editavel'!E1558</f>
        <v>0</v>
      </c>
      <c r="F1558" s="883">
        <f>'REF. DE PREÇOS n editavel'!F1558</f>
        <v>0</v>
      </c>
      <c r="G1558" s="887">
        <f>'REF. DE PREÇOS n editavel'!G1558</f>
        <v>0</v>
      </c>
      <c r="H1558" s="876">
        <f>'REF. DE PREÇOS n editavel'!H1558</f>
        <v>40.799999999999997</v>
      </c>
      <c r="I1558" s="876">
        <f>'REF. DE PREÇOS n editavel'!I1558</f>
        <v>40.799999999999997</v>
      </c>
      <c r="J1558" s="877">
        <f>'REF. DE PREÇOS n editavel'!J1558</f>
        <v>49.87</v>
      </c>
      <c r="K1558" s="878" t="s">
        <v>62</v>
      </c>
      <c r="L1558" s="1092"/>
      <c r="M1558" s="1093">
        <f t="shared" si="167"/>
        <v>0</v>
      </c>
      <c r="N1558" s="868">
        <f t="shared" si="166"/>
        <v>0</v>
      </c>
      <c r="O1558" s="880"/>
      <c r="Q1558" s="317" t="str">
        <f t="shared" si="168"/>
        <v/>
      </c>
      <c r="R1558" s="317" t="str">
        <f t="shared" si="169"/>
        <v/>
      </c>
      <c r="S1558" s="317" t="str">
        <f t="shared" si="170"/>
        <v/>
      </c>
      <c r="T1558" s="317" t="str">
        <f>'REF. DE PREÇOS n editavel'!S1558</f>
        <v/>
      </c>
      <c r="W1558" s="577">
        <v>0</v>
      </c>
      <c r="X1558" s="575"/>
      <c r="Y1558" s="578">
        <f>IF('REF. DE PREÇOS n editavel'!W1558=0,0,IF('REF. DE PREÇOS n editavel'!W1558&gt;0,"c","b"))</f>
        <v>0</v>
      </c>
    </row>
    <row r="1559" spans="1:25" ht="22.5">
      <c r="A1559" s="317">
        <v>98286</v>
      </c>
      <c r="B1559" s="870">
        <v>98286</v>
      </c>
      <c r="C1559" s="871" t="s">
        <v>590</v>
      </c>
      <c r="D1559" s="881" t="s">
        <v>1468</v>
      </c>
      <c r="E1559" s="882">
        <f>'REF. DE PREÇOS n editavel'!E1559</f>
        <v>0</v>
      </c>
      <c r="F1559" s="883">
        <f>'REF. DE PREÇOS n editavel'!F1559</f>
        <v>0</v>
      </c>
      <c r="G1559" s="887">
        <f>'REF. DE PREÇOS n editavel'!G1559</f>
        <v>0</v>
      </c>
      <c r="H1559" s="876">
        <f>'REF. DE PREÇOS n editavel'!H1559</f>
        <v>18.350000000000001</v>
      </c>
      <c r="I1559" s="876">
        <f>'REF. DE PREÇOS n editavel'!I1559</f>
        <v>18.350000000000001</v>
      </c>
      <c r="J1559" s="877">
        <f>'REF. DE PREÇOS n editavel'!J1559</f>
        <v>22.43</v>
      </c>
      <c r="K1559" s="878" t="s">
        <v>62</v>
      </c>
      <c r="L1559" s="1092"/>
      <c r="M1559" s="1093">
        <f t="shared" si="167"/>
        <v>0</v>
      </c>
      <c r="N1559" s="868">
        <f t="shared" ref="N1559:N1622" si="171">IF(ISBLANK(L1559),0,IF(W1559=0,ROUND(L1559*M1559,2),IF(W1559="b",ROUNDDOWN(L1559*M1559,2),ROUNDUP(L1559*M1559,2))))</f>
        <v>0</v>
      </c>
      <c r="O1559" s="880"/>
      <c r="Q1559" s="317" t="str">
        <f t="shared" si="168"/>
        <v/>
      </c>
      <c r="R1559" s="317" t="str">
        <f t="shared" si="169"/>
        <v/>
      </c>
      <c r="S1559" s="317" t="str">
        <f t="shared" si="170"/>
        <v/>
      </c>
      <c r="T1559" s="317" t="str">
        <f>'REF. DE PREÇOS n editavel'!S1559</f>
        <v/>
      </c>
      <c r="W1559" s="577">
        <v>0</v>
      </c>
      <c r="X1559" s="575"/>
      <c r="Y1559" s="578">
        <f>IF('REF. DE PREÇOS n editavel'!W1559=0,0,IF('REF. DE PREÇOS n editavel'!W1559&gt;0,"c","b"))</f>
        <v>0</v>
      </c>
    </row>
    <row r="1560" spans="1:25" ht="22.5">
      <c r="A1560" s="317">
        <v>98293</v>
      </c>
      <c r="B1560" s="870">
        <v>98293</v>
      </c>
      <c r="C1560" s="871" t="s">
        <v>590</v>
      </c>
      <c r="D1560" s="881" t="s">
        <v>1469</v>
      </c>
      <c r="E1560" s="882">
        <f>'REF. DE PREÇOS n editavel'!E1560</f>
        <v>0</v>
      </c>
      <c r="F1560" s="883">
        <f>'REF. DE PREÇOS n editavel'!F1560</f>
        <v>0</v>
      </c>
      <c r="G1560" s="887">
        <f>'REF. DE PREÇOS n editavel'!G1560</f>
        <v>0</v>
      </c>
      <c r="H1560" s="876">
        <f>'REF. DE PREÇOS n editavel'!H1560</f>
        <v>10.9</v>
      </c>
      <c r="I1560" s="876">
        <f>'REF. DE PREÇOS n editavel'!I1560</f>
        <v>10.9</v>
      </c>
      <c r="J1560" s="877">
        <f>'REF. DE PREÇOS n editavel'!J1560</f>
        <v>13.32</v>
      </c>
      <c r="K1560" s="878" t="s">
        <v>62</v>
      </c>
      <c r="L1560" s="1092"/>
      <c r="M1560" s="1093">
        <f t="shared" si="167"/>
        <v>0</v>
      </c>
      <c r="N1560" s="868">
        <f t="shared" si="171"/>
        <v>0</v>
      </c>
      <c r="O1560" s="880"/>
      <c r="Q1560" s="317" t="str">
        <f t="shared" si="168"/>
        <v/>
      </c>
      <c r="R1560" s="317" t="str">
        <f t="shared" si="169"/>
        <v/>
      </c>
      <c r="S1560" s="317" t="str">
        <f t="shared" si="170"/>
        <v/>
      </c>
      <c r="T1560" s="317" t="str">
        <f>'REF. DE PREÇOS n editavel'!S1560</f>
        <v/>
      </c>
      <c r="W1560" s="577">
        <v>0</v>
      </c>
      <c r="X1560" s="575"/>
      <c r="Y1560" s="578">
        <f>IF('REF. DE PREÇOS n editavel'!W1560=0,0,IF('REF. DE PREÇOS n editavel'!W1560&gt;0,"c","b"))</f>
        <v>0</v>
      </c>
    </row>
    <row r="1561" spans="1:25" ht="22.5">
      <c r="A1561" s="317">
        <v>98261</v>
      </c>
      <c r="B1561" s="870">
        <v>98261</v>
      </c>
      <c r="C1561" s="871" t="s">
        <v>590</v>
      </c>
      <c r="D1561" s="881" t="s">
        <v>1470</v>
      </c>
      <c r="E1561" s="882">
        <f>'REF. DE PREÇOS n editavel'!E1561</f>
        <v>0</v>
      </c>
      <c r="F1561" s="883">
        <f>'REF. DE PREÇOS n editavel'!F1561</f>
        <v>0</v>
      </c>
      <c r="G1561" s="887">
        <f>'REF. DE PREÇOS n editavel'!G1561</f>
        <v>0</v>
      </c>
      <c r="H1561" s="876">
        <f>'REF. DE PREÇOS n editavel'!H1561</f>
        <v>4.59</v>
      </c>
      <c r="I1561" s="876">
        <f>'REF. DE PREÇOS n editavel'!I1561</f>
        <v>4.59</v>
      </c>
      <c r="J1561" s="877">
        <f>'REF. DE PREÇOS n editavel'!J1561</f>
        <v>5.61</v>
      </c>
      <c r="K1561" s="878" t="s">
        <v>62</v>
      </c>
      <c r="L1561" s="1092"/>
      <c r="M1561" s="1093">
        <f t="shared" si="167"/>
        <v>0</v>
      </c>
      <c r="N1561" s="868">
        <f t="shared" si="171"/>
        <v>0</v>
      </c>
      <c r="O1561" s="880"/>
      <c r="Q1561" s="317" t="str">
        <f t="shared" si="168"/>
        <v/>
      </c>
      <c r="R1561" s="317" t="str">
        <f t="shared" si="169"/>
        <v/>
      </c>
      <c r="S1561" s="317" t="str">
        <f t="shared" si="170"/>
        <v/>
      </c>
      <c r="T1561" s="317" t="str">
        <f>'REF. DE PREÇOS n editavel'!S1561</f>
        <v/>
      </c>
      <c r="W1561" s="577">
        <v>0</v>
      </c>
      <c r="X1561" s="575"/>
      <c r="Y1561" s="578">
        <f>IF('REF. DE PREÇOS n editavel'!W1561=0,0,IF('REF. DE PREÇOS n editavel'!W1561&gt;0,"c","b"))</f>
        <v>0</v>
      </c>
    </row>
    <row r="1562" spans="1:25" ht="22.5">
      <c r="A1562" s="317">
        <v>98262</v>
      </c>
      <c r="B1562" s="870">
        <v>98262</v>
      </c>
      <c r="C1562" s="871" t="s">
        <v>590</v>
      </c>
      <c r="D1562" s="881" t="s">
        <v>1471</v>
      </c>
      <c r="E1562" s="882">
        <f>'REF. DE PREÇOS n editavel'!E1562</f>
        <v>0</v>
      </c>
      <c r="F1562" s="883">
        <f>'REF. DE PREÇOS n editavel'!F1562</f>
        <v>0</v>
      </c>
      <c r="G1562" s="887">
        <f>'REF. DE PREÇOS n editavel'!G1562</f>
        <v>0</v>
      </c>
      <c r="H1562" s="876">
        <f>'REF. DE PREÇOS n editavel'!H1562</f>
        <v>5.63</v>
      </c>
      <c r="I1562" s="876">
        <f>'REF. DE PREÇOS n editavel'!I1562</f>
        <v>5.63</v>
      </c>
      <c r="J1562" s="877">
        <f>'REF. DE PREÇOS n editavel'!J1562</f>
        <v>6.88</v>
      </c>
      <c r="K1562" s="878" t="s">
        <v>62</v>
      </c>
      <c r="L1562" s="1092"/>
      <c r="M1562" s="1093">
        <f t="shared" si="167"/>
        <v>0</v>
      </c>
      <c r="N1562" s="868">
        <f t="shared" si="171"/>
        <v>0</v>
      </c>
      <c r="O1562" s="880"/>
      <c r="Q1562" s="317" t="str">
        <f t="shared" si="168"/>
        <v/>
      </c>
      <c r="R1562" s="317" t="str">
        <f t="shared" si="169"/>
        <v/>
      </c>
      <c r="S1562" s="317" t="str">
        <f t="shared" si="170"/>
        <v/>
      </c>
      <c r="T1562" s="317" t="str">
        <f>'REF. DE PREÇOS n editavel'!S1562</f>
        <v/>
      </c>
      <c r="W1562" s="577">
        <v>0</v>
      </c>
      <c r="X1562" s="575"/>
      <c r="Y1562" s="578">
        <f>IF('REF. DE PREÇOS n editavel'!W1562=0,0,IF('REF. DE PREÇOS n editavel'!W1562&gt;0,"c","b"))</f>
        <v>0</v>
      </c>
    </row>
    <row r="1563" spans="1:25" ht="22.5">
      <c r="A1563" s="317">
        <v>98263</v>
      </c>
      <c r="B1563" s="870">
        <v>98263</v>
      </c>
      <c r="C1563" s="871" t="s">
        <v>590</v>
      </c>
      <c r="D1563" s="881" t="s">
        <v>1472</v>
      </c>
      <c r="E1563" s="882">
        <f>'REF. DE PREÇOS n editavel'!E1563</f>
        <v>0</v>
      </c>
      <c r="F1563" s="883">
        <f>'REF. DE PREÇOS n editavel'!F1563</f>
        <v>0</v>
      </c>
      <c r="G1563" s="887">
        <f>'REF. DE PREÇOS n editavel'!G1563</f>
        <v>0</v>
      </c>
      <c r="H1563" s="876">
        <f>'REF. DE PREÇOS n editavel'!H1563</f>
        <v>5.89</v>
      </c>
      <c r="I1563" s="876">
        <f>'REF. DE PREÇOS n editavel'!I1563</f>
        <v>5.89</v>
      </c>
      <c r="J1563" s="877">
        <f>'REF. DE PREÇOS n editavel'!J1563</f>
        <v>7.2</v>
      </c>
      <c r="K1563" s="878" t="s">
        <v>62</v>
      </c>
      <c r="L1563" s="1092"/>
      <c r="M1563" s="1093">
        <f t="shared" si="167"/>
        <v>0</v>
      </c>
      <c r="N1563" s="868">
        <f t="shared" si="171"/>
        <v>0</v>
      </c>
      <c r="O1563" s="880"/>
      <c r="Q1563" s="317" t="str">
        <f t="shared" si="168"/>
        <v/>
      </c>
      <c r="R1563" s="317" t="str">
        <f t="shared" si="169"/>
        <v/>
      </c>
      <c r="S1563" s="317" t="str">
        <f t="shared" si="170"/>
        <v/>
      </c>
      <c r="T1563" s="317" t="str">
        <f>'REF. DE PREÇOS n editavel'!S1563</f>
        <v/>
      </c>
      <c r="W1563" s="577">
        <v>0</v>
      </c>
      <c r="X1563" s="575"/>
      <c r="Y1563" s="578">
        <f>IF('REF. DE PREÇOS n editavel'!W1563=0,0,IF('REF. DE PREÇOS n editavel'!W1563&gt;0,"c","b"))</f>
        <v>0</v>
      </c>
    </row>
    <row r="1564" spans="1:25" ht="22.5">
      <c r="A1564" s="317">
        <v>98264</v>
      </c>
      <c r="B1564" s="870">
        <v>98264</v>
      </c>
      <c r="C1564" s="871" t="s">
        <v>590</v>
      </c>
      <c r="D1564" s="881" t="s">
        <v>1473</v>
      </c>
      <c r="E1564" s="882">
        <f>'REF. DE PREÇOS n editavel'!E1564</f>
        <v>0</v>
      </c>
      <c r="F1564" s="883">
        <f>'REF. DE PREÇOS n editavel'!F1564</f>
        <v>0</v>
      </c>
      <c r="G1564" s="887">
        <f>'REF. DE PREÇOS n editavel'!G1564</f>
        <v>0</v>
      </c>
      <c r="H1564" s="876">
        <f>'REF. DE PREÇOS n editavel'!H1564</f>
        <v>6.99</v>
      </c>
      <c r="I1564" s="876">
        <f>'REF. DE PREÇOS n editavel'!I1564</f>
        <v>6.99</v>
      </c>
      <c r="J1564" s="877">
        <f>'REF. DE PREÇOS n editavel'!J1564</f>
        <v>8.5399999999999991</v>
      </c>
      <c r="K1564" s="878" t="s">
        <v>62</v>
      </c>
      <c r="L1564" s="1092"/>
      <c r="M1564" s="1093">
        <f t="shared" si="167"/>
        <v>0</v>
      </c>
      <c r="N1564" s="868">
        <f t="shared" si="171"/>
        <v>0</v>
      </c>
      <c r="O1564" s="880"/>
      <c r="Q1564" s="317" t="str">
        <f t="shared" si="168"/>
        <v/>
      </c>
      <c r="R1564" s="317" t="str">
        <f t="shared" si="169"/>
        <v/>
      </c>
      <c r="S1564" s="317" t="str">
        <f t="shared" si="170"/>
        <v/>
      </c>
      <c r="T1564" s="317" t="str">
        <f>'REF. DE PREÇOS n editavel'!S1564</f>
        <v/>
      </c>
      <c r="W1564" s="577">
        <v>0</v>
      </c>
      <c r="X1564" s="575"/>
      <c r="Y1564" s="578">
        <f>IF('REF. DE PREÇOS n editavel'!W1564=0,0,IF('REF. DE PREÇOS n editavel'!W1564&gt;0,"c","b"))</f>
        <v>0</v>
      </c>
    </row>
    <row r="1565" spans="1:25" ht="22.5">
      <c r="A1565" s="317">
        <v>98265</v>
      </c>
      <c r="B1565" s="870">
        <v>98265</v>
      </c>
      <c r="C1565" s="871" t="s">
        <v>590</v>
      </c>
      <c r="D1565" s="881" t="s">
        <v>1474</v>
      </c>
      <c r="E1565" s="882">
        <f>'REF. DE PREÇOS n editavel'!E1565</f>
        <v>0</v>
      </c>
      <c r="F1565" s="883">
        <f>'REF. DE PREÇOS n editavel'!F1565</f>
        <v>0</v>
      </c>
      <c r="G1565" s="887">
        <f>'REF. DE PREÇOS n editavel'!G1565</f>
        <v>0</v>
      </c>
      <c r="H1565" s="876">
        <f>'REF. DE PREÇOS n editavel'!H1565</f>
        <v>7.72</v>
      </c>
      <c r="I1565" s="876">
        <f>'REF. DE PREÇOS n editavel'!I1565</f>
        <v>7.72</v>
      </c>
      <c r="J1565" s="877">
        <f>'REF. DE PREÇOS n editavel'!J1565</f>
        <v>9.44</v>
      </c>
      <c r="K1565" s="878" t="s">
        <v>62</v>
      </c>
      <c r="L1565" s="1092"/>
      <c r="M1565" s="1093">
        <f t="shared" si="167"/>
        <v>0</v>
      </c>
      <c r="N1565" s="868">
        <f t="shared" si="171"/>
        <v>0</v>
      </c>
      <c r="O1565" s="880"/>
      <c r="Q1565" s="317" t="str">
        <f t="shared" si="168"/>
        <v/>
      </c>
      <c r="R1565" s="317" t="str">
        <f t="shared" si="169"/>
        <v/>
      </c>
      <c r="S1565" s="317" t="str">
        <f t="shared" si="170"/>
        <v/>
      </c>
      <c r="T1565" s="317" t="str">
        <f>'REF. DE PREÇOS n editavel'!S1565</f>
        <v/>
      </c>
      <c r="W1565" s="577">
        <v>0</v>
      </c>
      <c r="X1565" s="575"/>
      <c r="Y1565" s="578">
        <f>IF('REF. DE PREÇOS n editavel'!W1565=0,0,IF('REF. DE PREÇOS n editavel'!W1565&gt;0,"c","b"))</f>
        <v>0</v>
      </c>
    </row>
    <row r="1566" spans="1:25" ht="22.5">
      <c r="A1566" s="317">
        <v>98266</v>
      </c>
      <c r="B1566" s="870">
        <v>98266</v>
      </c>
      <c r="C1566" s="871" t="s">
        <v>590</v>
      </c>
      <c r="D1566" s="881" t="s">
        <v>1475</v>
      </c>
      <c r="E1566" s="882">
        <f>'REF. DE PREÇOS n editavel'!E1566</f>
        <v>0</v>
      </c>
      <c r="F1566" s="883">
        <f>'REF. DE PREÇOS n editavel'!F1566</f>
        <v>0</v>
      </c>
      <c r="G1566" s="887">
        <f>'REF. DE PREÇOS n editavel'!G1566</f>
        <v>0</v>
      </c>
      <c r="H1566" s="876">
        <f>'REF. DE PREÇOS n editavel'!H1566</f>
        <v>8.73</v>
      </c>
      <c r="I1566" s="876">
        <f>'REF. DE PREÇOS n editavel'!I1566</f>
        <v>8.73</v>
      </c>
      <c r="J1566" s="877">
        <f>'REF. DE PREÇOS n editavel'!J1566</f>
        <v>10.67</v>
      </c>
      <c r="K1566" s="878" t="s">
        <v>62</v>
      </c>
      <c r="L1566" s="1092"/>
      <c r="M1566" s="1093">
        <f t="shared" si="167"/>
        <v>0</v>
      </c>
      <c r="N1566" s="868">
        <f t="shared" si="171"/>
        <v>0</v>
      </c>
      <c r="O1566" s="880"/>
      <c r="Q1566" s="317" t="str">
        <f t="shared" si="168"/>
        <v/>
      </c>
      <c r="R1566" s="317" t="str">
        <f t="shared" si="169"/>
        <v/>
      </c>
      <c r="S1566" s="317" t="str">
        <f t="shared" si="170"/>
        <v/>
      </c>
      <c r="T1566" s="317" t="str">
        <f>'REF. DE PREÇOS n editavel'!S1566</f>
        <v/>
      </c>
      <c r="W1566" s="577">
        <v>0</v>
      </c>
      <c r="X1566" s="575"/>
      <c r="Y1566" s="578">
        <f>IF('REF. DE PREÇOS n editavel'!W1566=0,0,IF('REF. DE PREÇOS n editavel'!W1566&gt;0,"c","b"))</f>
        <v>0</v>
      </c>
    </row>
    <row r="1567" spans="1:25" ht="22.5">
      <c r="A1567" s="317">
        <v>98273</v>
      </c>
      <c r="B1567" s="870">
        <v>98273</v>
      </c>
      <c r="C1567" s="871" t="s">
        <v>590</v>
      </c>
      <c r="D1567" s="881" t="s">
        <v>1476</v>
      </c>
      <c r="E1567" s="882">
        <f>'REF. DE PREÇOS n editavel'!E1567</f>
        <v>0</v>
      </c>
      <c r="F1567" s="883">
        <f>'REF. DE PREÇOS n editavel'!F1567</f>
        <v>0</v>
      </c>
      <c r="G1567" s="887">
        <f>'REF. DE PREÇOS n editavel'!G1567</f>
        <v>0</v>
      </c>
      <c r="H1567" s="876">
        <f>'REF. DE PREÇOS n editavel'!H1567</f>
        <v>3.37</v>
      </c>
      <c r="I1567" s="876">
        <f>'REF. DE PREÇOS n editavel'!I1567</f>
        <v>3.37</v>
      </c>
      <c r="J1567" s="877">
        <f>'REF. DE PREÇOS n editavel'!J1567</f>
        <v>4.12</v>
      </c>
      <c r="K1567" s="878" t="s">
        <v>62</v>
      </c>
      <c r="L1567" s="1092"/>
      <c r="M1567" s="1093">
        <f t="shared" si="167"/>
        <v>0</v>
      </c>
      <c r="N1567" s="868">
        <f t="shared" si="171"/>
        <v>0</v>
      </c>
      <c r="O1567" s="880"/>
      <c r="Q1567" s="317" t="str">
        <f t="shared" si="168"/>
        <v/>
      </c>
      <c r="R1567" s="317" t="str">
        <f t="shared" si="169"/>
        <v/>
      </c>
      <c r="S1567" s="317" t="str">
        <f t="shared" si="170"/>
        <v/>
      </c>
      <c r="T1567" s="317" t="str">
        <f>'REF. DE PREÇOS n editavel'!S1567</f>
        <v/>
      </c>
      <c r="W1567" s="577">
        <v>0</v>
      </c>
      <c r="X1567" s="575"/>
      <c r="Y1567" s="578">
        <f>IF('REF. DE PREÇOS n editavel'!W1567=0,0,IF('REF. DE PREÇOS n editavel'!W1567&gt;0,"c","b"))</f>
        <v>0</v>
      </c>
    </row>
    <row r="1568" spans="1:25" ht="22.5">
      <c r="A1568" s="317">
        <v>98274</v>
      </c>
      <c r="B1568" s="870">
        <v>98274</v>
      </c>
      <c r="C1568" s="871" t="s">
        <v>590</v>
      </c>
      <c r="D1568" s="881" t="s">
        <v>1477</v>
      </c>
      <c r="E1568" s="882">
        <f>'REF. DE PREÇOS n editavel'!E1568</f>
        <v>0</v>
      </c>
      <c r="F1568" s="883">
        <f>'REF. DE PREÇOS n editavel'!F1568</f>
        <v>0</v>
      </c>
      <c r="G1568" s="887">
        <f>'REF. DE PREÇOS n editavel'!G1568</f>
        <v>0</v>
      </c>
      <c r="H1568" s="876">
        <f>'REF. DE PREÇOS n editavel'!H1568</f>
        <v>4.0999999999999996</v>
      </c>
      <c r="I1568" s="876">
        <f>'REF. DE PREÇOS n editavel'!I1568</f>
        <v>4.0999999999999996</v>
      </c>
      <c r="J1568" s="877">
        <f>'REF. DE PREÇOS n editavel'!J1568</f>
        <v>5.01</v>
      </c>
      <c r="K1568" s="878" t="s">
        <v>62</v>
      </c>
      <c r="L1568" s="1092"/>
      <c r="M1568" s="1093">
        <f t="shared" si="167"/>
        <v>0</v>
      </c>
      <c r="N1568" s="868">
        <f t="shared" si="171"/>
        <v>0</v>
      </c>
      <c r="O1568" s="880"/>
      <c r="Q1568" s="317" t="str">
        <f t="shared" si="168"/>
        <v/>
      </c>
      <c r="R1568" s="317" t="str">
        <f t="shared" si="169"/>
        <v/>
      </c>
      <c r="S1568" s="317" t="str">
        <f t="shared" si="170"/>
        <v/>
      </c>
      <c r="T1568" s="317" t="str">
        <f>'REF. DE PREÇOS n editavel'!S1568</f>
        <v/>
      </c>
      <c r="W1568" s="577">
        <v>0</v>
      </c>
      <c r="X1568" s="575"/>
      <c r="Y1568" s="578">
        <f>IF('REF. DE PREÇOS n editavel'!W1568=0,0,IF('REF. DE PREÇOS n editavel'!W1568&gt;0,"c","b"))</f>
        <v>0</v>
      </c>
    </row>
    <row r="1569" spans="1:25" ht="22.5">
      <c r="A1569" s="317">
        <v>98275</v>
      </c>
      <c r="B1569" s="870">
        <v>98275</v>
      </c>
      <c r="C1569" s="871" t="s">
        <v>590</v>
      </c>
      <c r="D1569" s="881" t="s">
        <v>1478</v>
      </c>
      <c r="E1569" s="882">
        <f>'REF. DE PREÇOS n editavel'!E1569</f>
        <v>0</v>
      </c>
      <c r="F1569" s="883">
        <f>'REF. DE PREÇOS n editavel'!F1569</f>
        <v>0</v>
      </c>
      <c r="G1569" s="887">
        <f>'REF. DE PREÇOS n editavel'!G1569</f>
        <v>0</v>
      </c>
      <c r="H1569" s="876">
        <f>'REF. DE PREÇOS n editavel'!H1569</f>
        <v>5.1100000000000003</v>
      </c>
      <c r="I1569" s="876">
        <f>'REF. DE PREÇOS n editavel'!I1569</f>
        <v>5.1100000000000003</v>
      </c>
      <c r="J1569" s="877">
        <f>'REF. DE PREÇOS n editavel'!J1569</f>
        <v>6.25</v>
      </c>
      <c r="K1569" s="878" t="s">
        <v>62</v>
      </c>
      <c r="L1569" s="1092"/>
      <c r="M1569" s="1093">
        <f t="shared" si="167"/>
        <v>0</v>
      </c>
      <c r="N1569" s="868">
        <f t="shared" si="171"/>
        <v>0</v>
      </c>
      <c r="O1569" s="880"/>
      <c r="Q1569" s="317" t="str">
        <f t="shared" si="168"/>
        <v/>
      </c>
      <c r="R1569" s="317" t="str">
        <f t="shared" si="169"/>
        <v/>
      </c>
      <c r="S1569" s="317" t="str">
        <f t="shared" si="170"/>
        <v/>
      </c>
      <c r="T1569" s="317" t="str">
        <f>'REF. DE PREÇOS n editavel'!S1569</f>
        <v/>
      </c>
      <c r="W1569" s="577">
        <v>0</v>
      </c>
      <c r="X1569" s="575"/>
      <c r="Y1569" s="578">
        <f>IF('REF. DE PREÇOS n editavel'!W1569=0,0,IF('REF. DE PREÇOS n editavel'!W1569&gt;0,"c","b"))</f>
        <v>0</v>
      </c>
    </row>
    <row r="1570" spans="1:25" ht="22.5">
      <c r="A1570" s="317">
        <v>98280</v>
      </c>
      <c r="B1570" s="870">
        <v>98280</v>
      </c>
      <c r="C1570" s="871" t="s">
        <v>590</v>
      </c>
      <c r="D1570" s="881" t="s">
        <v>1479</v>
      </c>
      <c r="E1570" s="882">
        <f>'REF. DE PREÇOS n editavel'!E1570</f>
        <v>0</v>
      </c>
      <c r="F1570" s="883">
        <f>'REF. DE PREÇOS n editavel'!F1570</f>
        <v>0</v>
      </c>
      <c r="G1570" s="887">
        <f>'REF. DE PREÇOS n editavel'!G1570</f>
        <v>0</v>
      </c>
      <c r="H1570" s="876">
        <f>'REF. DE PREÇOS n editavel'!H1570</f>
        <v>9.25</v>
      </c>
      <c r="I1570" s="876">
        <f>'REF. DE PREÇOS n editavel'!I1570</f>
        <v>9.25</v>
      </c>
      <c r="J1570" s="877">
        <f>'REF. DE PREÇOS n editavel'!J1570</f>
        <v>11.31</v>
      </c>
      <c r="K1570" s="878" t="s">
        <v>62</v>
      </c>
      <c r="L1570" s="1092"/>
      <c r="M1570" s="1093">
        <f t="shared" si="167"/>
        <v>0</v>
      </c>
      <c r="N1570" s="868">
        <f t="shared" si="171"/>
        <v>0</v>
      </c>
      <c r="O1570" s="880"/>
      <c r="Q1570" s="317" t="str">
        <f t="shared" si="168"/>
        <v/>
      </c>
      <c r="R1570" s="317" t="str">
        <f t="shared" si="169"/>
        <v/>
      </c>
      <c r="S1570" s="317" t="str">
        <f t="shared" si="170"/>
        <v/>
      </c>
      <c r="T1570" s="317" t="str">
        <f>'REF. DE PREÇOS n editavel'!S1570</f>
        <v/>
      </c>
      <c r="W1570" s="577">
        <v>0</v>
      </c>
      <c r="X1570" s="575"/>
      <c r="Y1570" s="578">
        <f>IF('REF. DE PREÇOS n editavel'!W1570=0,0,IF('REF. DE PREÇOS n editavel'!W1570&gt;0,"c","b"))</f>
        <v>0</v>
      </c>
    </row>
    <row r="1571" spans="1:25" ht="22.5">
      <c r="A1571" s="317">
        <v>98281</v>
      </c>
      <c r="B1571" s="870">
        <v>98281</v>
      </c>
      <c r="C1571" s="871" t="s">
        <v>590</v>
      </c>
      <c r="D1571" s="881" t="s">
        <v>1480</v>
      </c>
      <c r="E1571" s="882">
        <f>'REF. DE PREÇOS n editavel'!E1571</f>
        <v>0</v>
      </c>
      <c r="F1571" s="883">
        <f>'REF. DE PREÇOS n editavel'!F1571</f>
        <v>0</v>
      </c>
      <c r="G1571" s="887">
        <f>'REF. DE PREÇOS n editavel'!G1571</f>
        <v>0</v>
      </c>
      <c r="H1571" s="876">
        <f>'REF. DE PREÇOS n editavel'!H1571</f>
        <v>10.28</v>
      </c>
      <c r="I1571" s="876">
        <f>'REF. DE PREÇOS n editavel'!I1571</f>
        <v>10.28</v>
      </c>
      <c r="J1571" s="877">
        <f>'REF. DE PREÇOS n editavel'!J1571</f>
        <v>12.56</v>
      </c>
      <c r="K1571" s="878" t="s">
        <v>62</v>
      </c>
      <c r="L1571" s="1092"/>
      <c r="M1571" s="1093">
        <f t="shared" si="167"/>
        <v>0</v>
      </c>
      <c r="N1571" s="868">
        <f t="shared" si="171"/>
        <v>0</v>
      </c>
      <c r="O1571" s="880"/>
      <c r="Q1571" s="317" t="str">
        <f t="shared" si="168"/>
        <v/>
      </c>
      <c r="R1571" s="317" t="str">
        <f t="shared" si="169"/>
        <v/>
      </c>
      <c r="S1571" s="317" t="str">
        <f t="shared" si="170"/>
        <v/>
      </c>
      <c r="T1571" s="317" t="str">
        <f>'REF. DE PREÇOS n editavel'!S1571</f>
        <v/>
      </c>
      <c r="W1571" s="577">
        <v>0</v>
      </c>
      <c r="X1571" s="575"/>
      <c r="Y1571" s="578">
        <f>IF('REF. DE PREÇOS n editavel'!W1571=0,0,IF('REF. DE PREÇOS n editavel'!W1571&gt;0,"c","b"))</f>
        <v>0</v>
      </c>
    </row>
    <row r="1572" spans="1:25" ht="22.5">
      <c r="A1572" s="317">
        <v>98282</v>
      </c>
      <c r="B1572" s="870">
        <v>98282</v>
      </c>
      <c r="C1572" s="871" t="s">
        <v>590</v>
      </c>
      <c r="D1572" s="881" t="s">
        <v>1481</v>
      </c>
      <c r="E1572" s="882">
        <f>'REF. DE PREÇOS n editavel'!E1572</f>
        <v>0</v>
      </c>
      <c r="F1572" s="883">
        <f>'REF. DE PREÇOS n editavel'!F1572</f>
        <v>0</v>
      </c>
      <c r="G1572" s="887">
        <f>'REF. DE PREÇOS n editavel'!G1572</f>
        <v>0</v>
      </c>
      <c r="H1572" s="876">
        <f>'REF. DE PREÇOS n editavel'!H1572</f>
        <v>10.53</v>
      </c>
      <c r="I1572" s="876">
        <f>'REF. DE PREÇOS n editavel'!I1572</f>
        <v>10.53</v>
      </c>
      <c r="J1572" s="877">
        <f>'REF. DE PREÇOS n editavel'!J1572</f>
        <v>12.87</v>
      </c>
      <c r="K1572" s="878" t="s">
        <v>62</v>
      </c>
      <c r="L1572" s="1092"/>
      <c r="M1572" s="1093">
        <f t="shared" si="167"/>
        <v>0</v>
      </c>
      <c r="N1572" s="868">
        <f t="shared" si="171"/>
        <v>0</v>
      </c>
      <c r="O1572" s="880"/>
      <c r="Q1572" s="317" t="str">
        <f t="shared" si="168"/>
        <v/>
      </c>
      <c r="R1572" s="317" t="str">
        <f t="shared" si="169"/>
        <v/>
      </c>
      <c r="S1572" s="317" t="str">
        <f t="shared" si="170"/>
        <v/>
      </c>
      <c r="T1572" s="317" t="str">
        <f>'REF. DE PREÇOS n editavel'!S1572</f>
        <v/>
      </c>
      <c r="W1572" s="577">
        <v>0</v>
      </c>
      <c r="X1572" s="575"/>
      <c r="Y1572" s="578">
        <f>IF('REF. DE PREÇOS n editavel'!W1572=0,0,IF('REF. DE PREÇOS n editavel'!W1572&gt;0,"c","b"))</f>
        <v>0</v>
      </c>
    </row>
    <row r="1573" spans="1:25" ht="22.5">
      <c r="A1573" s="317">
        <v>98283</v>
      </c>
      <c r="B1573" s="870">
        <v>98283</v>
      </c>
      <c r="C1573" s="871" t="s">
        <v>590</v>
      </c>
      <c r="D1573" s="881" t="s">
        <v>1482</v>
      </c>
      <c r="E1573" s="882">
        <f>'REF. DE PREÇOS n editavel'!E1573</f>
        <v>0</v>
      </c>
      <c r="F1573" s="883">
        <f>'REF. DE PREÇOS n editavel'!F1573</f>
        <v>0</v>
      </c>
      <c r="G1573" s="887">
        <f>'REF. DE PREÇOS n editavel'!G1573</f>
        <v>0</v>
      </c>
      <c r="H1573" s="876">
        <f>'REF. DE PREÇOS n editavel'!H1573</f>
        <v>11.64</v>
      </c>
      <c r="I1573" s="876">
        <f>'REF. DE PREÇOS n editavel'!I1573</f>
        <v>11.64</v>
      </c>
      <c r="J1573" s="877">
        <f>'REF. DE PREÇOS n editavel'!J1573</f>
        <v>14.23</v>
      </c>
      <c r="K1573" s="878" t="s">
        <v>62</v>
      </c>
      <c r="L1573" s="1092"/>
      <c r="M1573" s="1093">
        <f t="shared" si="167"/>
        <v>0</v>
      </c>
      <c r="N1573" s="868">
        <f t="shared" si="171"/>
        <v>0</v>
      </c>
      <c r="O1573" s="880"/>
      <c r="Q1573" s="317" t="str">
        <f t="shared" si="168"/>
        <v/>
      </c>
      <c r="R1573" s="317" t="str">
        <f t="shared" si="169"/>
        <v/>
      </c>
      <c r="S1573" s="317" t="str">
        <f t="shared" si="170"/>
        <v/>
      </c>
      <c r="T1573" s="317" t="str">
        <f>'REF. DE PREÇOS n editavel'!S1573</f>
        <v/>
      </c>
      <c r="W1573" s="577">
        <v>0</v>
      </c>
      <c r="X1573" s="575"/>
      <c r="Y1573" s="578">
        <f>IF('REF. DE PREÇOS n editavel'!W1573=0,0,IF('REF. DE PREÇOS n editavel'!W1573&gt;0,"c","b"))</f>
        <v>0</v>
      </c>
    </row>
    <row r="1574" spans="1:25" ht="22.5">
      <c r="A1574" s="317">
        <v>98284</v>
      </c>
      <c r="B1574" s="870">
        <v>98284</v>
      </c>
      <c r="C1574" s="871" t="s">
        <v>590</v>
      </c>
      <c r="D1574" s="881" t="s">
        <v>1483</v>
      </c>
      <c r="E1574" s="882">
        <f>'REF. DE PREÇOS n editavel'!E1574</f>
        <v>0</v>
      </c>
      <c r="F1574" s="883">
        <f>'REF. DE PREÇOS n editavel'!F1574</f>
        <v>0</v>
      </c>
      <c r="G1574" s="887">
        <f>'REF. DE PREÇOS n editavel'!G1574</f>
        <v>0</v>
      </c>
      <c r="H1574" s="876">
        <f>'REF. DE PREÇOS n editavel'!H1574</f>
        <v>12.36</v>
      </c>
      <c r="I1574" s="876">
        <f>'REF. DE PREÇOS n editavel'!I1574</f>
        <v>12.36</v>
      </c>
      <c r="J1574" s="877">
        <f>'REF. DE PREÇOS n editavel'!J1574</f>
        <v>15.11</v>
      </c>
      <c r="K1574" s="878" t="s">
        <v>62</v>
      </c>
      <c r="L1574" s="1092"/>
      <c r="M1574" s="1093">
        <f t="shared" si="167"/>
        <v>0</v>
      </c>
      <c r="N1574" s="868">
        <f t="shared" si="171"/>
        <v>0</v>
      </c>
      <c r="O1574" s="880"/>
      <c r="Q1574" s="317" t="str">
        <f t="shared" si="168"/>
        <v/>
      </c>
      <c r="R1574" s="317" t="str">
        <f t="shared" si="169"/>
        <v/>
      </c>
      <c r="S1574" s="317" t="str">
        <f t="shared" si="170"/>
        <v/>
      </c>
      <c r="T1574" s="317" t="str">
        <f>'REF. DE PREÇOS n editavel'!S1574</f>
        <v/>
      </c>
      <c r="W1574" s="577">
        <v>0</v>
      </c>
      <c r="X1574" s="575"/>
      <c r="Y1574" s="578">
        <f>IF('REF. DE PREÇOS n editavel'!W1574=0,0,IF('REF. DE PREÇOS n editavel'!W1574&gt;0,"c","b"))</f>
        <v>0</v>
      </c>
    </row>
    <row r="1575" spans="1:25" ht="22.5">
      <c r="A1575" s="317">
        <v>98285</v>
      </c>
      <c r="B1575" s="870">
        <v>98285</v>
      </c>
      <c r="C1575" s="871" t="s">
        <v>590</v>
      </c>
      <c r="D1575" s="881" t="s">
        <v>1484</v>
      </c>
      <c r="E1575" s="882">
        <f>'REF. DE PREÇOS n editavel'!E1575</f>
        <v>0</v>
      </c>
      <c r="F1575" s="883">
        <f>'REF. DE PREÇOS n editavel'!F1575</f>
        <v>0</v>
      </c>
      <c r="G1575" s="887">
        <f>'REF. DE PREÇOS n editavel'!G1575</f>
        <v>0</v>
      </c>
      <c r="H1575" s="876">
        <f>'REF. DE PREÇOS n editavel'!H1575</f>
        <v>13.38</v>
      </c>
      <c r="I1575" s="876">
        <f>'REF. DE PREÇOS n editavel'!I1575</f>
        <v>13.38</v>
      </c>
      <c r="J1575" s="877">
        <f>'REF. DE PREÇOS n editavel'!J1575</f>
        <v>16.350000000000001</v>
      </c>
      <c r="K1575" s="878" t="s">
        <v>62</v>
      </c>
      <c r="L1575" s="1092"/>
      <c r="M1575" s="1093">
        <f t="shared" si="167"/>
        <v>0</v>
      </c>
      <c r="N1575" s="868">
        <f t="shared" si="171"/>
        <v>0</v>
      </c>
      <c r="O1575" s="880"/>
      <c r="Q1575" s="317" t="str">
        <f t="shared" si="168"/>
        <v/>
      </c>
      <c r="R1575" s="317" t="str">
        <f t="shared" si="169"/>
        <v/>
      </c>
      <c r="S1575" s="317" t="str">
        <f t="shared" si="170"/>
        <v/>
      </c>
      <c r="T1575" s="317" t="str">
        <f>'REF. DE PREÇOS n editavel'!S1575</f>
        <v/>
      </c>
      <c r="W1575" s="577">
        <v>0</v>
      </c>
      <c r="X1575" s="575"/>
      <c r="Y1575" s="578">
        <f>IF('REF. DE PREÇOS n editavel'!W1575=0,0,IF('REF. DE PREÇOS n editavel'!W1575&gt;0,"c","b"))</f>
        <v>0</v>
      </c>
    </row>
    <row r="1576" spans="1:25" ht="22.5">
      <c r="A1576" s="317">
        <v>98287</v>
      </c>
      <c r="B1576" s="870">
        <v>98287</v>
      </c>
      <c r="C1576" s="871" t="s">
        <v>590</v>
      </c>
      <c r="D1576" s="881" t="s">
        <v>1485</v>
      </c>
      <c r="E1576" s="882">
        <f>'REF. DE PREÇOS n editavel'!E1576</f>
        <v>0</v>
      </c>
      <c r="F1576" s="883">
        <f>'REF. DE PREÇOS n editavel'!F1576</f>
        <v>0</v>
      </c>
      <c r="G1576" s="887">
        <f>'REF. DE PREÇOS n editavel'!G1576</f>
        <v>0</v>
      </c>
      <c r="H1576" s="876">
        <f>'REF. DE PREÇOS n editavel'!H1576</f>
        <v>1.81</v>
      </c>
      <c r="I1576" s="876">
        <f>'REF. DE PREÇOS n editavel'!I1576</f>
        <v>1.81</v>
      </c>
      <c r="J1576" s="877">
        <f>'REF. DE PREÇOS n editavel'!J1576</f>
        <v>2.21</v>
      </c>
      <c r="K1576" s="878" t="s">
        <v>62</v>
      </c>
      <c r="L1576" s="1092"/>
      <c r="M1576" s="1093">
        <f t="shared" si="167"/>
        <v>0</v>
      </c>
      <c r="N1576" s="868">
        <f t="shared" si="171"/>
        <v>0</v>
      </c>
      <c r="O1576" s="880"/>
      <c r="Q1576" s="317" t="str">
        <f t="shared" si="168"/>
        <v/>
      </c>
      <c r="R1576" s="317" t="str">
        <f t="shared" si="169"/>
        <v/>
      </c>
      <c r="S1576" s="317" t="str">
        <f t="shared" si="170"/>
        <v/>
      </c>
      <c r="T1576" s="317" t="str">
        <f>'REF. DE PREÇOS n editavel'!S1576</f>
        <v/>
      </c>
      <c r="W1576" s="577">
        <v>0</v>
      </c>
      <c r="X1576" s="575"/>
      <c r="Y1576" s="578">
        <f>IF('REF. DE PREÇOS n editavel'!W1576=0,0,IF('REF. DE PREÇOS n editavel'!W1576&gt;0,"c","b"))</f>
        <v>0</v>
      </c>
    </row>
    <row r="1577" spans="1:25" ht="22.5">
      <c r="A1577" s="317">
        <v>98288</v>
      </c>
      <c r="B1577" s="870">
        <v>98288</v>
      </c>
      <c r="C1577" s="871" t="s">
        <v>590</v>
      </c>
      <c r="D1577" s="881" t="s">
        <v>1486</v>
      </c>
      <c r="E1577" s="882">
        <f>'REF. DE PREÇOS n editavel'!E1577</f>
        <v>0</v>
      </c>
      <c r="F1577" s="883">
        <f>'REF. DE PREÇOS n editavel'!F1577</f>
        <v>0</v>
      </c>
      <c r="G1577" s="887">
        <f>'REF. DE PREÇOS n editavel'!G1577</f>
        <v>0</v>
      </c>
      <c r="H1577" s="876">
        <f>'REF. DE PREÇOS n editavel'!H1577</f>
        <v>2.83</v>
      </c>
      <c r="I1577" s="876">
        <f>'REF. DE PREÇOS n editavel'!I1577</f>
        <v>2.83</v>
      </c>
      <c r="J1577" s="877">
        <f>'REF. DE PREÇOS n editavel'!J1577</f>
        <v>3.46</v>
      </c>
      <c r="K1577" s="878" t="s">
        <v>62</v>
      </c>
      <c r="L1577" s="1092"/>
      <c r="M1577" s="1093">
        <f t="shared" si="167"/>
        <v>0</v>
      </c>
      <c r="N1577" s="868">
        <f t="shared" si="171"/>
        <v>0</v>
      </c>
      <c r="O1577" s="880"/>
      <c r="Q1577" s="317" t="str">
        <f t="shared" si="168"/>
        <v/>
      </c>
      <c r="R1577" s="317" t="str">
        <f t="shared" si="169"/>
        <v/>
      </c>
      <c r="S1577" s="317" t="str">
        <f t="shared" si="170"/>
        <v/>
      </c>
      <c r="T1577" s="317" t="str">
        <f>'REF. DE PREÇOS n editavel'!S1577</f>
        <v/>
      </c>
      <c r="W1577" s="577">
        <v>0</v>
      </c>
      <c r="X1577" s="575"/>
      <c r="Y1577" s="578">
        <f>IF('REF. DE PREÇOS n editavel'!W1577=0,0,IF('REF. DE PREÇOS n editavel'!W1577&gt;0,"c","b"))</f>
        <v>0</v>
      </c>
    </row>
    <row r="1578" spans="1:25" ht="22.5">
      <c r="A1578" s="317">
        <v>98289</v>
      </c>
      <c r="B1578" s="870">
        <v>98289</v>
      </c>
      <c r="C1578" s="871" t="s">
        <v>590</v>
      </c>
      <c r="D1578" s="881" t="s">
        <v>1487</v>
      </c>
      <c r="E1578" s="882">
        <f>'REF. DE PREÇOS n editavel'!E1578</f>
        <v>0</v>
      </c>
      <c r="F1578" s="883">
        <f>'REF. DE PREÇOS n editavel'!F1578</f>
        <v>0</v>
      </c>
      <c r="G1578" s="887">
        <f>'REF. DE PREÇOS n editavel'!G1578</f>
        <v>0</v>
      </c>
      <c r="H1578" s="876">
        <f>'REF. DE PREÇOS n editavel'!H1578</f>
        <v>3.1</v>
      </c>
      <c r="I1578" s="876">
        <f>'REF. DE PREÇOS n editavel'!I1578</f>
        <v>3.1</v>
      </c>
      <c r="J1578" s="877">
        <f>'REF. DE PREÇOS n editavel'!J1578</f>
        <v>3.79</v>
      </c>
      <c r="K1578" s="878" t="s">
        <v>62</v>
      </c>
      <c r="L1578" s="1092"/>
      <c r="M1578" s="1093">
        <f t="shared" si="167"/>
        <v>0</v>
      </c>
      <c r="N1578" s="868">
        <f t="shared" si="171"/>
        <v>0</v>
      </c>
      <c r="O1578" s="880"/>
      <c r="Q1578" s="317" t="str">
        <f t="shared" si="168"/>
        <v/>
      </c>
      <c r="R1578" s="317" t="str">
        <f t="shared" si="169"/>
        <v/>
      </c>
      <c r="S1578" s="317" t="str">
        <f t="shared" si="170"/>
        <v/>
      </c>
      <c r="T1578" s="317" t="str">
        <f>'REF. DE PREÇOS n editavel'!S1578</f>
        <v/>
      </c>
      <c r="W1578" s="577">
        <v>0</v>
      </c>
      <c r="X1578" s="575"/>
      <c r="Y1578" s="578">
        <f>IF('REF. DE PREÇOS n editavel'!W1578=0,0,IF('REF. DE PREÇOS n editavel'!W1578&gt;0,"c","b"))</f>
        <v>0</v>
      </c>
    </row>
    <row r="1579" spans="1:25" ht="22.5">
      <c r="A1579" s="317">
        <v>98290</v>
      </c>
      <c r="B1579" s="870">
        <v>98290</v>
      </c>
      <c r="C1579" s="871" t="s">
        <v>590</v>
      </c>
      <c r="D1579" s="881" t="s">
        <v>1488</v>
      </c>
      <c r="E1579" s="882">
        <f>'REF. DE PREÇOS n editavel'!E1579</f>
        <v>0</v>
      </c>
      <c r="F1579" s="883">
        <f>'REF. DE PREÇOS n editavel'!F1579</f>
        <v>0</v>
      </c>
      <c r="G1579" s="887">
        <f>'REF. DE PREÇOS n editavel'!G1579</f>
        <v>0</v>
      </c>
      <c r="H1579" s="876">
        <f>'REF. DE PREÇOS n editavel'!H1579</f>
        <v>4.1900000000000004</v>
      </c>
      <c r="I1579" s="876">
        <f>'REF. DE PREÇOS n editavel'!I1579</f>
        <v>4.1900000000000004</v>
      </c>
      <c r="J1579" s="877">
        <f>'REF. DE PREÇOS n editavel'!J1579</f>
        <v>5.12</v>
      </c>
      <c r="K1579" s="878" t="s">
        <v>62</v>
      </c>
      <c r="L1579" s="1092"/>
      <c r="M1579" s="1093">
        <f t="shared" si="167"/>
        <v>0</v>
      </c>
      <c r="N1579" s="868">
        <f t="shared" si="171"/>
        <v>0</v>
      </c>
      <c r="O1579" s="880"/>
      <c r="Q1579" s="317" t="str">
        <f t="shared" si="168"/>
        <v/>
      </c>
      <c r="R1579" s="317" t="str">
        <f t="shared" si="169"/>
        <v/>
      </c>
      <c r="S1579" s="317" t="str">
        <f t="shared" si="170"/>
        <v/>
      </c>
      <c r="T1579" s="317" t="str">
        <f>'REF. DE PREÇOS n editavel'!S1579</f>
        <v/>
      </c>
      <c r="W1579" s="577">
        <v>0</v>
      </c>
      <c r="X1579" s="575"/>
      <c r="Y1579" s="578">
        <f>IF('REF. DE PREÇOS n editavel'!W1579=0,0,IF('REF. DE PREÇOS n editavel'!W1579&gt;0,"c","b"))</f>
        <v>0</v>
      </c>
    </row>
    <row r="1580" spans="1:25" ht="22.5">
      <c r="A1580" s="317">
        <v>98291</v>
      </c>
      <c r="B1580" s="870">
        <v>98291</v>
      </c>
      <c r="C1580" s="871" t="s">
        <v>590</v>
      </c>
      <c r="D1580" s="881" t="s">
        <v>1489</v>
      </c>
      <c r="E1580" s="882">
        <f>'REF. DE PREÇOS n editavel'!E1580</f>
        <v>0</v>
      </c>
      <c r="F1580" s="883">
        <f>'REF. DE PREÇOS n editavel'!F1580</f>
        <v>0</v>
      </c>
      <c r="G1580" s="887">
        <f>'REF. DE PREÇOS n editavel'!G1580</f>
        <v>0</v>
      </c>
      <c r="H1580" s="876">
        <f>'REF. DE PREÇOS n editavel'!H1580</f>
        <v>4.93</v>
      </c>
      <c r="I1580" s="876">
        <f>'REF. DE PREÇOS n editavel'!I1580</f>
        <v>4.93</v>
      </c>
      <c r="J1580" s="877">
        <f>'REF. DE PREÇOS n editavel'!J1580</f>
        <v>6.03</v>
      </c>
      <c r="K1580" s="878" t="s">
        <v>62</v>
      </c>
      <c r="L1580" s="1092"/>
      <c r="M1580" s="1093">
        <f t="shared" si="167"/>
        <v>0</v>
      </c>
      <c r="N1580" s="868">
        <f t="shared" si="171"/>
        <v>0</v>
      </c>
      <c r="O1580" s="880"/>
      <c r="Q1580" s="317" t="str">
        <f t="shared" si="168"/>
        <v/>
      </c>
      <c r="R1580" s="317" t="str">
        <f t="shared" si="169"/>
        <v/>
      </c>
      <c r="S1580" s="317" t="str">
        <f t="shared" si="170"/>
        <v/>
      </c>
      <c r="T1580" s="317" t="str">
        <f>'REF. DE PREÇOS n editavel'!S1580</f>
        <v/>
      </c>
      <c r="W1580" s="577">
        <v>0</v>
      </c>
      <c r="X1580" s="575"/>
      <c r="Y1580" s="578">
        <f>IF('REF. DE PREÇOS n editavel'!W1580=0,0,IF('REF. DE PREÇOS n editavel'!W1580&gt;0,"c","b"))</f>
        <v>0</v>
      </c>
    </row>
    <row r="1581" spans="1:25" ht="22.5">
      <c r="A1581" s="317">
        <v>98292</v>
      </c>
      <c r="B1581" s="870">
        <v>98292</v>
      </c>
      <c r="C1581" s="871" t="s">
        <v>590</v>
      </c>
      <c r="D1581" s="881" t="s">
        <v>1490</v>
      </c>
      <c r="E1581" s="882">
        <f>'REF. DE PREÇOS n editavel'!E1581</f>
        <v>0</v>
      </c>
      <c r="F1581" s="883">
        <f>'REF. DE PREÇOS n editavel'!F1581</f>
        <v>0</v>
      </c>
      <c r="G1581" s="887">
        <f>'REF. DE PREÇOS n editavel'!G1581</f>
        <v>0</v>
      </c>
      <c r="H1581" s="876">
        <f>'REF. DE PREÇOS n editavel'!H1581</f>
        <v>5.94</v>
      </c>
      <c r="I1581" s="876">
        <f>'REF. DE PREÇOS n editavel'!I1581</f>
        <v>5.94</v>
      </c>
      <c r="J1581" s="877">
        <f>'REF. DE PREÇOS n editavel'!J1581</f>
        <v>7.26</v>
      </c>
      <c r="K1581" s="878" t="s">
        <v>62</v>
      </c>
      <c r="L1581" s="1092"/>
      <c r="M1581" s="1093">
        <f t="shared" si="167"/>
        <v>0</v>
      </c>
      <c r="N1581" s="868">
        <f t="shared" si="171"/>
        <v>0</v>
      </c>
      <c r="O1581" s="880"/>
      <c r="Q1581" s="317" t="str">
        <f t="shared" si="168"/>
        <v/>
      </c>
      <c r="R1581" s="317" t="str">
        <f t="shared" si="169"/>
        <v/>
      </c>
      <c r="S1581" s="317" t="str">
        <f t="shared" si="170"/>
        <v/>
      </c>
      <c r="T1581" s="317" t="str">
        <f>'REF. DE PREÇOS n editavel'!S1581</f>
        <v/>
      </c>
      <c r="W1581" s="577">
        <v>0</v>
      </c>
      <c r="X1581" s="575"/>
      <c r="Y1581" s="578">
        <f>IF('REF. DE PREÇOS n editavel'!W1581=0,0,IF('REF. DE PREÇOS n editavel'!W1581&gt;0,"c","b"))</f>
        <v>0</v>
      </c>
    </row>
    <row r="1582" spans="1:25">
      <c r="A1582" s="317">
        <v>98397</v>
      </c>
      <c r="B1582" s="870">
        <v>98397</v>
      </c>
      <c r="C1582" s="871" t="s">
        <v>590</v>
      </c>
      <c r="D1582" s="881" t="s">
        <v>1491</v>
      </c>
      <c r="E1582" s="882">
        <f>'REF. DE PREÇOS n editavel'!E1582</f>
        <v>0</v>
      </c>
      <c r="F1582" s="883">
        <f>'REF. DE PREÇOS n editavel'!F1582</f>
        <v>0</v>
      </c>
      <c r="G1582" s="887">
        <f>'REF. DE PREÇOS n editavel'!G1582</f>
        <v>0</v>
      </c>
      <c r="H1582" s="876">
        <f>'REF. DE PREÇOS n editavel'!H1582</f>
        <v>13.82</v>
      </c>
      <c r="I1582" s="876">
        <f>'REF. DE PREÇOS n editavel'!I1582</f>
        <v>13.82</v>
      </c>
      <c r="J1582" s="877">
        <f>'REF. DE PREÇOS n editavel'!J1582</f>
        <v>16.89</v>
      </c>
      <c r="K1582" s="878" t="s">
        <v>1501</v>
      </c>
      <c r="L1582" s="1092"/>
      <c r="M1582" s="1093">
        <f t="shared" si="167"/>
        <v>0</v>
      </c>
      <c r="N1582" s="868">
        <f t="shared" si="171"/>
        <v>0</v>
      </c>
      <c r="O1582" s="880"/>
      <c r="Q1582" s="317" t="str">
        <f t="shared" si="168"/>
        <v/>
      </c>
      <c r="R1582" s="317" t="str">
        <f t="shared" si="169"/>
        <v/>
      </c>
      <c r="S1582" s="317" t="str">
        <f t="shared" si="170"/>
        <v/>
      </c>
      <c r="T1582" s="317" t="str">
        <f>'REF. DE PREÇOS n editavel'!S1582</f>
        <v/>
      </c>
      <c r="W1582" s="577">
        <v>0</v>
      </c>
      <c r="X1582" s="575"/>
      <c r="Y1582" s="578">
        <f>IF('REF. DE PREÇOS n editavel'!W1582=0,0,IF('REF. DE PREÇOS n editavel'!W1582&gt;0,"c","b"))</f>
        <v>0</v>
      </c>
    </row>
    <row r="1583" spans="1:25" ht="33.75">
      <c r="A1583" s="317">
        <v>97327</v>
      </c>
      <c r="B1583" s="870">
        <v>97327</v>
      </c>
      <c r="C1583" s="871" t="s">
        <v>590</v>
      </c>
      <c r="D1583" s="881" t="s">
        <v>1492</v>
      </c>
      <c r="E1583" s="882">
        <f>'REF. DE PREÇOS n editavel'!E1583</f>
        <v>0</v>
      </c>
      <c r="F1583" s="883">
        <f>'REF. DE PREÇOS n editavel'!F1583</f>
        <v>0</v>
      </c>
      <c r="G1583" s="887">
        <f>'REF. DE PREÇOS n editavel'!G1583</f>
        <v>0</v>
      </c>
      <c r="H1583" s="876">
        <f>'REF. DE PREÇOS n editavel'!H1583</f>
        <v>30.58</v>
      </c>
      <c r="I1583" s="876">
        <f>'REF. DE PREÇOS n editavel'!I1583</f>
        <v>30.58</v>
      </c>
      <c r="J1583" s="877">
        <f>'REF. DE PREÇOS n editavel'!J1583</f>
        <v>37.369999999999997</v>
      </c>
      <c r="K1583" s="878" t="s">
        <v>62</v>
      </c>
      <c r="L1583" s="1092"/>
      <c r="M1583" s="1093">
        <f t="shared" si="167"/>
        <v>0</v>
      </c>
      <c r="N1583" s="868">
        <f t="shared" si="171"/>
        <v>0</v>
      </c>
      <c r="O1583" s="880"/>
      <c r="Q1583" s="317" t="str">
        <f t="shared" si="168"/>
        <v/>
      </c>
      <c r="R1583" s="317" t="str">
        <f t="shared" si="169"/>
        <v/>
      </c>
      <c r="S1583" s="317" t="str">
        <f t="shared" si="170"/>
        <v/>
      </c>
      <c r="T1583" s="317" t="str">
        <f>'REF. DE PREÇOS n editavel'!S1583</f>
        <v/>
      </c>
      <c r="W1583" s="577">
        <v>0</v>
      </c>
      <c r="X1583" s="575"/>
      <c r="Y1583" s="578">
        <f>IF('REF. DE PREÇOS n editavel'!W1583=0,0,IF('REF. DE PREÇOS n editavel'!W1583&gt;0,"c","b"))</f>
        <v>0</v>
      </c>
    </row>
    <row r="1584" spans="1:25" ht="33.75">
      <c r="A1584" s="317">
        <v>97328</v>
      </c>
      <c r="B1584" s="870">
        <v>97328</v>
      </c>
      <c r="C1584" s="871" t="s">
        <v>590</v>
      </c>
      <c r="D1584" s="881" t="s">
        <v>1493</v>
      </c>
      <c r="E1584" s="882">
        <f>'REF. DE PREÇOS n editavel'!E1584</f>
        <v>0</v>
      </c>
      <c r="F1584" s="883">
        <f>'REF. DE PREÇOS n editavel'!F1584</f>
        <v>0</v>
      </c>
      <c r="G1584" s="887">
        <f>'REF. DE PREÇOS n editavel'!G1584</f>
        <v>0</v>
      </c>
      <c r="H1584" s="876">
        <f>'REF. DE PREÇOS n editavel'!H1584</f>
        <v>53.95</v>
      </c>
      <c r="I1584" s="876">
        <f>'REF. DE PREÇOS n editavel'!I1584</f>
        <v>53.95</v>
      </c>
      <c r="J1584" s="877">
        <f>'REF. DE PREÇOS n editavel'!J1584</f>
        <v>65.94</v>
      </c>
      <c r="K1584" s="878" t="s">
        <v>62</v>
      </c>
      <c r="L1584" s="1092"/>
      <c r="M1584" s="1093">
        <f t="shared" si="167"/>
        <v>0</v>
      </c>
      <c r="N1584" s="868">
        <f t="shared" si="171"/>
        <v>0</v>
      </c>
      <c r="O1584" s="880"/>
      <c r="Q1584" s="317" t="str">
        <f t="shared" si="168"/>
        <v/>
      </c>
      <c r="R1584" s="317" t="str">
        <f t="shared" si="169"/>
        <v/>
      </c>
      <c r="S1584" s="317" t="str">
        <f t="shared" si="170"/>
        <v/>
      </c>
      <c r="T1584" s="317" t="str">
        <f>'REF. DE PREÇOS n editavel'!S1584</f>
        <v/>
      </c>
      <c r="W1584" s="577">
        <v>0</v>
      </c>
      <c r="X1584" s="575"/>
      <c r="Y1584" s="578">
        <f>IF('REF. DE PREÇOS n editavel'!W1584=0,0,IF('REF. DE PREÇOS n editavel'!W1584&gt;0,"c","b"))</f>
        <v>0</v>
      </c>
    </row>
    <row r="1585" spans="1:25" ht="33.75">
      <c r="A1585" s="317">
        <v>97329</v>
      </c>
      <c r="B1585" s="870">
        <v>97329</v>
      </c>
      <c r="C1585" s="871" t="s">
        <v>590</v>
      </c>
      <c r="D1585" s="881" t="s">
        <v>1494</v>
      </c>
      <c r="E1585" s="882">
        <f>'REF. DE PREÇOS n editavel'!E1585</f>
        <v>0</v>
      </c>
      <c r="F1585" s="883">
        <f>'REF. DE PREÇOS n editavel'!F1585</f>
        <v>0</v>
      </c>
      <c r="G1585" s="887">
        <f>'REF. DE PREÇOS n editavel'!G1585</f>
        <v>0</v>
      </c>
      <c r="H1585" s="876">
        <f>'REF. DE PREÇOS n editavel'!H1585</f>
        <v>66.78</v>
      </c>
      <c r="I1585" s="876">
        <f>'REF. DE PREÇOS n editavel'!I1585</f>
        <v>66.78</v>
      </c>
      <c r="J1585" s="877">
        <f>'REF. DE PREÇOS n editavel'!J1585</f>
        <v>81.62</v>
      </c>
      <c r="K1585" s="878" t="s">
        <v>62</v>
      </c>
      <c r="L1585" s="1092"/>
      <c r="M1585" s="1093">
        <f t="shared" si="167"/>
        <v>0</v>
      </c>
      <c r="N1585" s="868">
        <f t="shared" si="171"/>
        <v>0</v>
      </c>
      <c r="O1585" s="880"/>
      <c r="Q1585" s="317" t="str">
        <f t="shared" si="168"/>
        <v/>
      </c>
      <c r="R1585" s="317" t="str">
        <f t="shared" si="169"/>
        <v/>
      </c>
      <c r="S1585" s="317" t="str">
        <f t="shared" si="170"/>
        <v/>
      </c>
      <c r="T1585" s="317" t="str">
        <f>'REF. DE PREÇOS n editavel'!S1585</f>
        <v/>
      </c>
      <c r="W1585" s="577">
        <v>0</v>
      </c>
      <c r="X1585" s="575"/>
      <c r="Y1585" s="578">
        <f>IF('REF. DE PREÇOS n editavel'!W1585=0,0,IF('REF. DE PREÇOS n editavel'!W1585&gt;0,"c","b"))</f>
        <v>0</v>
      </c>
    </row>
    <row r="1586" spans="1:25" ht="33.75">
      <c r="A1586" s="317">
        <v>97330</v>
      </c>
      <c r="B1586" s="870">
        <v>97330</v>
      </c>
      <c r="C1586" s="871" t="s">
        <v>590</v>
      </c>
      <c r="D1586" s="881" t="s">
        <v>1495</v>
      </c>
      <c r="E1586" s="882">
        <f>'REF. DE PREÇOS n editavel'!E1586</f>
        <v>0</v>
      </c>
      <c r="F1586" s="883">
        <f>'REF. DE PREÇOS n editavel'!F1586</f>
        <v>0</v>
      </c>
      <c r="G1586" s="887">
        <f>'REF. DE PREÇOS n editavel'!G1586</f>
        <v>0</v>
      </c>
      <c r="H1586" s="876">
        <f>'REF. DE PREÇOS n editavel'!H1586</f>
        <v>81.25</v>
      </c>
      <c r="I1586" s="876">
        <f>'REF. DE PREÇOS n editavel'!I1586</f>
        <v>81.25</v>
      </c>
      <c r="J1586" s="877">
        <f>'REF. DE PREÇOS n editavel'!J1586</f>
        <v>99.3</v>
      </c>
      <c r="K1586" s="878" t="s">
        <v>62</v>
      </c>
      <c r="L1586" s="1092"/>
      <c r="M1586" s="1093">
        <f t="shared" si="167"/>
        <v>0</v>
      </c>
      <c r="N1586" s="868">
        <f t="shared" si="171"/>
        <v>0</v>
      </c>
      <c r="O1586" s="880"/>
      <c r="Q1586" s="317" t="str">
        <f t="shared" si="168"/>
        <v/>
      </c>
      <c r="R1586" s="317" t="str">
        <f t="shared" si="169"/>
        <v/>
      </c>
      <c r="S1586" s="317" t="str">
        <f t="shared" si="170"/>
        <v/>
      </c>
      <c r="T1586" s="317" t="str">
        <f>'REF. DE PREÇOS n editavel'!S1586</f>
        <v/>
      </c>
      <c r="W1586" s="577">
        <v>0</v>
      </c>
      <c r="X1586" s="575"/>
      <c r="Y1586" s="578">
        <f>IF('REF. DE PREÇOS n editavel'!W1586=0,0,IF('REF. DE PREÇOS n editavel'!W1586&gt;0,"c","b"))</f>
        <v>0</v>
      </c>
    </row>
    <row r="1587" spans="1:25" ht="33.75">
      <c r="A1587" s="317">
        <v>97331</v>
      </c>
      <c r="B1587" s="870">
        <v>97331</v>
      </c>
      <c r="C1587" s="871" t="s">
        <v>590</v>
      </c>
      <c r="D1587" s="881" t="s">
        <v>1496</v>
      </c>
      <c r="E1587" s="882">
        <f>'REF. DE PREÇOS n editavel'!E1587</f>
        <v>0</v>
      </c>
      <c r="F1587" s="883">
        <f>'REF. DE PREÇOS n editavel'!F1587</f>
        <v>0</v>
      </c>
      <c r="G1587" s="887">
        <f>'REF. DE PREÇOS n editavel'!G1587</f>
        <v>0</v>
      </c>
      <c r="H1587" s="876">
        <f>'REF. DE PREÇOS n editavel'!H1587</f>
        <v>30.98</v>
      </c>
      <c r="I1587" s="876">
        <f>'REF. DE PREÇOS n editavel'!I1587</f>
        <v>30.98</v>
      </c>
      <c r="J1587" s="877">
        <f>'REF. DE PREÇOS n editavel'!J1587</f>
        <v>37.86</v>
      </c>
      <c r="K1587" s="878" t="s">
        <v>62</v>
      </c>
      <c r="L1587" s="1092"/>
      <c r="M1587" s="1093">
        <f t="shared" si="167"/>
        <v>0</v>
      </c>
      <c r="N1587" s="868">
        <f t="shared" si="171"/>
        <v>0</v>
      </c>
      <c r="O1587" s="880"/>
      <c r="Q1587" s="317" t="str">
        <f t="shared" si="168"/>
        <v/>
      </c>
      <c r="R1587" s="317" t="str">
        <f t="shared" si="169"/>
        <v/>
      </c>
      <c r="S1587" s="317" t="str">
        <f t="shared" si="170"/>
        <v/>
      </c>
      <c r="T1587" s="317" t="str">
        <f>'REF. DE PREÇOS n editavel'!S1587</f>
        <v/>
      </c>
      <c r="W1587" s="577">
        <v>0</v>
      </c>
      <c r="X1587" s="575"/>
      <c r="Y1587" s="578">
        <f>IF('REF. DE PREÇOS n editavel'!W1587=0,0,IF('REF. DE PREÇOS n editavel'!W1587&gt;0,"c","b"))</f>
        <v>0</v>
      </c>
    </row>
    <row r="1588" spans="1:25" ht="33.75">
      <c r="A1588" s="317">
        <v>97332</v>
      </c>
      <c r="B1588" s="870">
        <v>97332</v>
      </c>
      <c r="C1588" s="871" t="s">
        <v>590</v>
      </c>
      <c r="D1588" s="881" t="s">
        <v>1497</v>
      </c>
      <c r="E1588" s="882">
        <f>'REF. DE PREÇOS n editavel'!E1588</f>
        <v>0</v>
      </c>
      <c r="F1588" s="883">
        <f>'REF. DE PREÇOS n editavel'!F1588</f>
        <v>0</v>
      </c>
      <c r="G1588" s="887">
        <f>'REF. DE PREÇOS n editavel'!G1588</f>
        <v>0</v>
      </c>
      <c r="H1588" s="876">
        <f>'REF. DE PREÇOS n editavel'!H1588</f>
        <v>54.41</v>
      </c>
      <c r="I1588" s="876">
        <f>'REF. DE PREÇOS n editavel'!I1588</f>
        <v>54.41</v>
      </c>
      <c r="J1588" s="877">
        <f>'REF. DE PREÇOS n editavel'!J1588</f>
        <v>66.5</v>
      </c>
      <c r="K1588" s="878" t="s">
        <v>62</v>
      </c>
      <c r="L1588" s="1092"/>
      <c r="M1588" s="1093">
        <f t="shared" si="167"/>
        <v>0</v>
      </c>
      <c r="N1588" s="868">
        <f t="shared" si="171"/>
        <v>0</v>
      </c>
      <c r="O1588" s="880"/>
      <c r="Q1588" s="317" t="str">
        <f t="shared" si="168"/>
        <v/>
      </c>
      <c r="R1588" s="317" t="str">
        <f t="shared" si="169"/>
        <v/>
      </c>
      <c r="S1588" s="317" t="str">
        <f t="shared" si="170"/>
        <v/>
      </c>
      <c r="T1588" s="317" t="str">
        <f>'REF. DE PREÇOS n editavel'!S1588</f>
        <v/>
      </c>
      <c r="W1588" s="577">
        <v>0</v>
      </c>
      <c r="X1588" s="575"/>
      <c r="Y1588" s="578">
        <f>IF('REF. DE PREÇOS n editavel'!W1588=0,0,IF('REF. DE PREÇOS n editavel'!W1588&gt;0,"c","b"))</f>
        <v>0</v>
      </c>
    </row>
    <row r="1589" spans="1:25" ht="33.75">
      <c r="A1589" s="317">
        <v>97333</v>
      </c>
      <c r="B1589" s="870">
        <v>97333</v>
      </c>
      <c r="C1589" s="871" t="s">
        <v>590</v>
      </c>
      <c r="D1589" s="881" t="s">
        <v>1498</v>
      </c>
      <c r="E1589" s="882">
        <f>'REF. DE PREÇOS n editavel'!E1589</f>
        <v>0</v>
      </c>
      <c r="F1589" s="883">
        <f>'REF. DE PREÇOS n editavel'!F1589</f>
        <v>0</v>
      </c>
      <c r="G1589" s="887">
        <f>'REF. DE PREÇOS n editavel'!G1589</f>
        <v>0</v>
      </c>
      <c r="H1589" s="876">
        <f>'REF. DE PREÇOS n editavel'!H1589</f>
        <v>67.36</v>
      </c>
      <c r="I1589" s="876">
        <f>'REF. DE PREÇOS n editavel'!I1589</f>
        <v>67.36</v>
      </c>
      <c r="J1589" s="877">
        <f>'REF. DE PREÇOS n editavel'!J1589</f>
        <v>82.33</v>
      </c>
      <c r="K1589" s="878" t="s">
        <v>62</v>
      </c>
      <c r="L1589" s="1092"/>
      <c r="M1589" s="1093">
        <f t="shared" si="167"/>
        <v>0</v>
      </c>
      <c r="N1589" s="868">
        <f t="shared" si="171"/>
        <v>0</v>
      </c>
      <c r="O1589" s="880"/>
      <c r="Q1589" s="317" t="str">
        <f t="shared" si="168"/>
        <v/>
      </c>
      <c r="R1589" s="317" t="str">
        <f t="shared" si="169"/>
        <v/>
      </c>
      <c r="S1589" s="317" t="str">
        <f t="shared" si="170"/>
        <v/>
      </c>
      <c r="T1589" s="317" t="str">
        <f>'REF. DE PREÇOS n editavel'!S1589</f>
        <v/>
      </c>
      <c r="W1589" s="577">
        <v>0</v>
      </c>
      <c r="X1589" s="575"/>
      <c r="Y1589" s="578">
        <f>IF('REF. DE PREÇOS n editavel'!W1589=0,0,IF('REF. DE PREÇOS n editavel'!W1589&gt;0,"c","b"))</f>
        <v>0</v>
      </c>
    </row>
    <row r="1590" spans="1:25" ht="33.75">
      <c r="A1590" s="317">
        <v>97334</v>
      </c>
      <c r="B1590" s="870">
        <v>97334</v>
      </c>
      <c r="C1590" s="871" t="s">
        <v>590</v>
      </c>
      <c r="D1590" s="881" t="s">
        <v>1499</v>
      </c>
      <c r="E1590" s="882">
        <f>'REF. DE PREÇOS n editavel'!E1590</f>
        <v>0</v>
      </c>
      <c r="F1590" s="883">
        <f>'REF. DE PREÇOS n editavel'!F1590</f>
        <v>0</v>
      </c>
      <c r="G1590" s="887">
        <f>'REF. DE PREÇOS n editavel'!G1590</f>
        <v>0</v>
      </c>
      <c r="H1590" s="876">
        <f>'REF. DE PREÇOS n editavel'!H1590</f>
        <v>81.89</v>
      </c>
      <c r="I1590" s="876">
        <f>'REF. DE PREÇOS n editavel'!I1590</f>
        <v>81.89</v>
      </c>
      <c r="J1590" s="877">
        <f>'REF. DE PREÇOS n editavel'!J1590</f>
        <v>100.09</v>
      </c>
      <c r="K1590" s="878" t="s">
        <v>62</v>
      </c>
      <c r="L1590" s="1092"/>
      <c r="M1590" s="1093">
        <f t="shared" si="167"/>
        <v>0</v>
      </c>
      <c r="N1590" s="868">
        <f t="shared" si="171"/>
        <v>0</v>
      </c>
      <c r="O1590" s="880"/>
      <c r="Q1590" s="317" t="str">
        <f t="shared" si="168"/>
        <v/>
      </c>
      <c r="R1590" s="317" t="str">
        <f t="shared" si="169"/>
        <v/>
      </c>
      <c r="S1590" s="317" t="str">
        <f t="shared" si="170"/>
        <v/>
      </c>
      <c r="T1590" s="317" t="str">
        <f>'REF. DE PREÇOS n editavel'!S1590</f>
        <v/>
      </c>
      <c r="W1590" s="577">
        <v>0</v>
      </c>
      <c r="X1590" s="575"/>
      <c r="Y1590" s="578">
        <f>IF('REF. DE PREÇOS n editavel'!W1590=0,0,IF('REF. DE PREÇOS n editavel'!W1590&gt;0,"c","b"))</f>
        <v>0</v>
      </c>
    </row>
    <row r="1591" spans="1:25" ht="15" customHeight="1">
      <c r="A1591" s="317">
        <v>844000</v>
      </c>
      <c r="B1591" s="870">
        <v>844000</v>
      </c>
      <c r="C1591" s="871" t="s">
        <v>184</v>
      </c>
      <c r="D1591" s="881" t="s">
        <v>486</v>
      </c>
      <c r="E1591" s="882">
        <f>'REF. DE PREÇOS n editavel'!E1591</f>
        <v>0</v>
      </c>
      <c r="F1591" s="883">
        <f>'REF. DE PREÇOS n editavel'!F1591</f>
        <v>0</v>
      </c>
      <c r="G1591" s="887">
        <f>'REF. DE PREÇOS n editavel'!G1591</f>
        <v>0</v>
      </c>
      <c r="H1591" s="876">
        <f>'REF. DE PREÇOS n editavel'!H1591</f>
        <v>5276</v>
      </c>
      <c r="I1591" s="876">
        <f>'REF. DE PREÇOS n editavel'!I1591</f>
        <v>5276</v>
      </c>
      <c r="J1591" s="877">
        <f>'REF. DE PREÇOS n editavel'!J1591</f>
        <v>6448.33</v>
      </c>
      <c r="K1591" s="878" t="s">
        <v>15</v>
      </c>
      <c r="L1591" s="1092"/>
      <c r="M1591" s="1093">
        <f t="shared" si="167"/>
        <v>0</v>
      </c>
      <c r="N1591" s="868">
        <f t="shared" si="171"/>
        <v>0</v>
      </c>
      <c r="O1591" s="880"/>
      <c r="Q1591" s="317" t="str">
        <f t="shared" si="168"/>
        <v/>
      </c>
      <c r="R1591" s="317" t="str">
        <f t="shared" si="169"/>
        <v/>
      </c>
      <c r="S1591" s="317" t="str">
        <f t="shared" si="170"/>
        <v/>
      </c>
      <c r="T1591" s="317" t="str">
        <f>'REF. DE PREÇOS n editavel'!S1591</f>
        <v/>
      </c>
      <c r="W1591" s="577">
        <v>0</v>
      </c>
      <c r="X1591" s="575"/>
      <c r="Y1591" s="578">
        <f>IF('REF. DE PREÇOS n editavel'!W1591=0,0,IF('REF. DE PREÇOS n editavel'!W1591&gt;0,"c","b"))</f>
        <v>0</v>
      </c>
    </row>
    <row r="1592" spans="1:25" ht="15" customHeight="1">
      <c r="A1592" s="634" t="s">
        <v>165</v>
      </c>
      <c r="B1592" s="888" t="s">
        <v>165</v>
      </c>
      <c r="C1592" s="889"/>
      <c r="D1592" s="890" t="s">
        <v>475</v>
      </c>
      <c r="E1592" s="891">
        <f>'REF. DE PREÇOS n editavel'!E1592</f>
        <v>0</v>
      </c>
      <c r="F1592" s="892">
        <f>'REF. DE PREÇOS n editavel'!F1592</f>
        <v>0</v>
      </c>
      <c r="G1592" s="893">
        <f>'REF. DE PREÇOS n editavel'!G1592</f>
        <v>0</v>
      </c>
      <c r="H1592" s="894">
        <f>'REF. DE PREÇOS n editavel'!H1592</f>
        <v>0</v>
      </c>
      <c r="I1592" s="894">
        <f>'REF. DE PREÇOS n editavel'!I1592</f>
        <v>0</v>
      </c>
      <c r="J1592" s="894">
        <f>'REF. DE PREÇOS n editavel'!J1592</f>
        <v>0</v>
      </c>
      <c r="K1592" s="895" t="s">
        <v>506</v>
      </c>
      <c r="L1592" s="1117"/>
      <c r="M1592" s="1093">
        <f t="shared" si="167"/>
        <v>0</v>
      </c>
      <c r="N1592" s="1119">
        <f t="shared" si="171"/>
        <v>0</v>
      </c>
      <c r="O1592" s="1120"/>
      <c r="P1592" s="58" t="str">
        <f>IF(OR(SUM(N1593:N1624)&gt;0,SUM(N1593:N1624)&gt;0),"y","")</f>
        <v/>
      </c>
      <c r="Q1592" s="317" t="str">
        <f t="shared" si="168"/>
        <v/>
      </c>
      <c r="R1592" s="317" t="str">
        <f t="shared" si="169"/>
        <v/>
      </c>
      <c r="S1592" s="317" t="str">
        <f t="shared" si="170"/>
        <v/>
      </c>
      <c r="T1592" s="317" t="str">
        <f>'REF. DE PREÇOS n editavel'!S1592</f>
        <v/>
      </c>
      <c r="W1592" s="577">
        <v>0</v>
      </c>
      <c r="X1592" s="575"/>
      <c r="Y1592" s="578">
        <f>IF('REF. DE PREÇOS n editavel'!W1592=0,0,IF('REF. DE PREÇOS n editavel'!W1592&gt;0,"c","b"))</f>
        <v>0</v>
      </c>
    </row>
    <row r="1593" spans="1:25" ht="15" customHeight="1">
      <c r="A1593" s="634" t="s">
        <v>165</v>
      </c>
      <c r="B1593" s="1010" t="str">
        <f>'REF. DE PREÇOS n editavel'!B1593</f>
        <v/>
      </c>
      <c r="C1593" s="1045" t="str">
        <f>'REF. DE PREÇOS n editavel'!C1593</f>
        <v/>
      </c>
      <c r="D1593" s="1096">
        <f>'REF. DE PREÇOS n editavel'!D1593</f>
        <v>0</v>
      </c>
      <c r="E1593" s="882">
        <f>'REF. DE PREÇOS n editavel'!E1593</f>
        <v>0</v>
      </c>
      <c r="F1593" s="883">
        <f>'REF. DE PREÇOS n editavel'!F1593</f>
        <v>0</v>
      </c>
      <c r="G1593" s="887">
        <f>'REF. DE PREÇOS n editavel'!G1593</f>
        <v>0</v>
      </c>
      <c r="H1593" s="876">
        <f>'REF. DE PREÇOS n editavel'!H1593</f>
        <v>0</v>
      </c>
      <c r="I1593" s="876" t="str">
        <f>'REF. DE PREÇOS n editavel'!I1593</f>
        <v/>
      </c>
      <c r="J1593" s="865">
        <f>'REF. DE PREÇOS n editavel'!J1593</f>
        <v>0</v>
      </c>
      <c r="K1593" s="878" t="str">
        <f>'REF. DE PREÇOS n editavel'!K1593</f>
        <v xml:space="preserve">     </v>
      </c>
      <c r="L1593" s="1092"/>
      <c r="M1593" s="1093">
        <f t="shared" si="167"/>
        <v>0</v>
      </c>
      <c r="N1593" s="1122">
        <f t="shared" si="171"/>
        <v>0</v>
      </c>
      <c r="O1593" s="1120"/>
      <c r="Q1593" s="317" t="str">
        <f t="shared" si="168"/>
        <v/>
      </c>
      <c r="R1593" s="317" t="str">
        <f t="shared" si="169"/>
        <v/>
      </c>
      <c r="S1593" s="317" t="str">
        <f t="shared" si="170"/>
        <v/>
      </c>
      <c r="T1593" s="317" t="str">
        <f>'REF. DE PREÇOS n editavel'!S1593</f>
        <v/>
      </c>
      <c r="W1593" s="577">
        <v>0</v>
      </c>
      <c r="X1593" s="575"/>
      <c r="Y1593" s="578">
        <f>IF('REF. DE PREÇOS n editavel'!W1593=0,0,IF('REF. DE PREÇOS n editavel'!W1593&gt;0,"c","b"))</f>
        <v>0</v>
      </c>
    </row>
    <row r="1594" spans="1:25" ht="15" customHeight="1">
      <c r="A1594" s="634" t="s">
        <v>165</v>
      </c>
      <c r="B1594" s="1010" t="str">
        <f>'REF. DE PREÇOS n editavel'!B1594</f>
        <v/>
      </c>
      <c r="C1594" s="1045" t="str">
        <f>'REF. DE PREÇOS n editavel'!C1594</f>
        <v/>
      </c>
      <c r="D1594" s="1096">
        <f>'REF. DE PREÇOS n editavel'!D1594</f>
        <v>0</v>
      </c>
      <c r="E1594" s="882">
        <f>'REF. DE PREÇOS n editavel'!E1594</f>
        <v>0</v>
      </c>
      <c r="F1594" s="883">
        <f>'REF. DE PREÇOS n editavel'!F1594</f>
        <v>0</v>
      </c>
      <c r="G1594" s="887">
        <f>'REF. DE PREÇOS n editavel'!G1594</f>
        <v>0</v>
      </c>
      <c r="H1594" s="876">
        <f>'REF. DE PREÇOS n editavel'!H1594</f>
        <v>0</v>
      </c>
      <c r="I1594" s="876" t="str">
        <f>'REF. DE PREÇOS n editavel'!I1594</f>
        <v/>
      </c>
      <c r="J1594" s="865">
        <f>'REF. DE PREÇOS n editavel'!J1594</f>
        <v>0</v>
      </c>
      <c r="K1594" s="878" t="str">
        <f>'REF. DE PREÇOS n editavel'!K1594</f>
        <v xml:space="preserve">     </v>
      </c>
      <c r="L1594" s="1092"/>
      <c r="M1594" s="1093">
        <f t="shared" si="167"/>
        <v>0</v>
      </c>
      <c r="N1594" s="1122">
        <f t="shared" si="171"/>
        <v>0</v>
      </c>
      <c r="O1594" s="1120"/>
      <c r="Q1594" s="317" t="str">
        <f t="shared" si="168"/>
        <v/>
      </c>
      <c r="R1594" s="317" t="str">
        <f t="shared" si="169"/>
        <v/>
      </c>
      <c r="S1594" s="317" t="str">
        <f t="shared" si="170"/>
        <v/>
      </c>
      <c r="T1594" s="317" t="str">
        <f>'REF. DE PREÇOS n editavel'!S1594</f>
        <v/>
      </c>
      <c r="W1594" s="577">
        <v>0</v>
      </c>
      <c r="X1594" s="575"/>
      <c r="Y1594" s="578">
        <f>IF('REF. DE PREÇOS n editavel'!W1594=0,0,IF('REF. DE PREÇOS n editavel'!W1594&gt;0,"c","b"))</f>
        <v>0</v>
      </c>
    </row>
    <row r="1595" spans="1:25" ht="15" customHeight="1">
      <c r="A1595" s="634" t="s">
        <v>165</v>
      </c>
      <c r="B1595" s="1010" t="str">
        <f>'REF. DE PREÇOS n editavel'!B1595</f>
        <v/>
      </c>
      <c r="C1595" s="1045" t="str">
        <f>'REF. DE PREÇOS n editavel'!C1595</f>
        <v/>
      </c>
      <c r="D1595" s="1096">
        <f>'REF. DE PREÇOS n editavel'!D1595</f>
        <v>0</v>
      </c>
      <c r="E1595" s="882">
        <f>'REF. DE PREÇOS n editavel'!E1595</f>
        <v>0</v>
      </c>
      <c r="F1595" s="883">
        <f>'REF. DE PREÇOS n editavel'!F1595</f>
        <v>0</v>
      </c>
      <c r="G1595" s="887">
        <f>'REF. DE PREÇOS n editavel'!G1595</f>
        <v>0</v>
      </c>
      <c r="H1595" s="876">
        <f>'REF. DE PREÇOS n editavel'!H1595</f>
        <v>0</v>
      </c>
      <c r="I1595" s="876" t="str">
        <f>'REF. DE PREÇOS n editavel'!I1595</f>
        <v/>
      </c>
      <c r="J1595" s="865">
        <f>'REF. DE PREÇOS n editavel'!J1595</f>
        <v>0</v>
      </c>
      <c r="K1595" s="878" t="str">
        <f>'REF. DE PREÇOS n editavel'!K1595</f>
        <v xml:space="preserve">     </v>
      </c>
      <c r="L1595" s="1092"/>
      <c r="M1595" s="1093">
        <f t="shared" si="167"/>
        <v>0</v>
      </c>
      <c r="N1595" s="1122">
        <f t="shared" si="171"/>
        <v>0</v>
      </c>
      <c r="O1595" s="1120"/>
      <c r="Q1595" s="317" t="str">
        <f t="shared" si="168"/>
        <v/>
      </c>
      <c r="R1595" s="317" t="str">
        <f t="shared" si="169"/>
        <v/>
      </c>
      <c r="S1595" s="317" t="str">
        <f t="shared" si="170"/>
        <v/>
      </c>
      <c r="T1595" s="317" t="str">
        <f>'REF. DE PREÇOS n editavel'!S1595</f>
        <v/>
      </c>
      <c r="W1595" s="577">
        <v>0</v>
      </c>
      <c r="X1595" s="575"/>
      <c r="Y1595" s="578">
        <f>IF('REF. DE PREÇOS n editavel'!W1595=0,0,IF('REF. DE PREÇOS n editavel'!W1595&gt;0,"c","b"))</f>
        <v>0</v>
      </c>
    </row>
    <row r="1596" spans="1:25" ht="15" customHeight="1">
      <c r="A1596" s="634" t="s">
        <v>165</v>
      </c>
      <c r="B1596" s="1010" t="str">
        <f>'REF. DE PREÇOS n editavel'!B1596</f>
        <v/>
      </c>
      <c r="C1596" s="1045" t="str">
        <f>'REF. DE PREÇOS n editavel'!C1596</f>
        <v/>
      </c>
      <c r="D1596" s="1096">
        <f>'REF. DE PREÇOS n editavel'!D1596</f>
        <v>0</v>
      </c>
      <c r="E1596" s="882">
        <f>'REF. DE PREÇOS n editavel'!E1596</f>
        <v>0</v>
      </c>
      <c r="F1596" s="883">
        <f>'REF. DE PREÇOS n editavel'!F1596</f>
        <v>0</v>
      </c>
      <c r="G1596" s="887">
        <f>'REF. DE PREÇOS n editavel'!G1596</f>
        <v>0</v>
      </c>
      <c r="H1596" s="876">
        <f>'REF. DE PREÇOS n editavel'!H1596</f>
        <v>0</v>
      </c>
      <c r="I1596" s="876" t="str">
        <f>'REF. DE PREÇOS n editavel'!I1596</f>
        <v/>
      </c>
      <c r="J1596" s="865">
        <f>'REF. DE PREÇOS n editavel'!J1596</f>
        <v>0</v>
      </c>
      <c r="K1596" s="878" t="str">
        <f>'REF. DE PREÇOS n editavel'!K1596</f>
        <v xml:space="preserve">     </v>
      </c>
      <c r="L1596" s="1092"/>
      <c r="M1596" s="1093">
        <f t="shared" si="167"/>
        <v>0</v>
      </c>
      <c r="N1596" s="1122">
        <f t="shared" si="171"/>
        <v>0</v>
      </c>
      <c r="O1596" s="1120"/>
      <c r="Q1596" s="317" t="str">
        <f t="shared" si="168"/>
        <v/>
      </c>
      <c r="R1596" s="317" t="str">
        <f t="shared" si="169"/>
        <v/>
      </c>
      <c r="S1596" s="317" t="str">
        <f t="shared" si="170"/>
        <v/>
      </c>
      <c r="T1596" s="317" t="str">
        <f>'REF. DE PREÇOS n editavel'!S1596</f>
        <v/>
      </c>
      <c r="W1596" s="577">
        <v>0</v>
      </c>
      <c r="X1596" s="575"/>
      <c r="Y1596" s="578">
        <f>IF('REF. DE PREÇOS n editavel'!W1596=0,0,IF('REF. DE PREÇOS n editavel'!W1596&gt;0,"c","b"))</f>
        <v>0</v>
      </c>
    </row>
    <row r="1597" spans="1:25" ht="15" customHeight="1">
      <c r="A1597" s="634" t="s">
        <v>165</v>
      </c>
      <c r="B1597" s="1010" t="str">
        <f>'REF. DE PREÇOS n editavel'!B1597</f>
        <v/>
      </c>
      <c r="C1597" s="1045" t="str">
        <f>'REF. DE PREÇOS n editavel'!C1597</f>
        <v/>
      </c>
      <c r="D1597" s="1096">
        <f>'REF. DE PREÇOS n editavel'!D1597</f>
        <v>0</v>
      </c>
      <c r="E1597" s="882">
        <f>'REF. DE PREÇOS n editavel'!E1597</f>
        <v>0</v>
      </c>
      <c r="F1597" s="883">
        <f>'REF. DE PREÇOS n editavel'!F1597</f>
        <v>0</v>
      </c>
      <c r="G1597" s="887">
        <f>'REF. DE PREÇOS n editavel'!G1597</f>
        <v>0</v>
      </c>
      <c r="H1597" s="876">
        <f>'REF. DE PREÇOS n editavel'!H1597</f>
        <v>0</v>
      </c>
      <c r="I1597" s="876" t="str">
        <f>'REF. DE PREÇOS n editavel'!I1597</f>
        <v/>
      </c>
      <c r="J1597" s="865">
        <f>'REF. DE PREÇOS n editavel'!J1597</f>
        <v>0</v>
      </c>
      <c r="K1597" s="878" t="str">
        <f>'REF. DE PREÇOS n editavel'!K1597</f>
        <v xml:space="preserve">     </v>
      </c>
      <c r="L1597" s="1092"/>
      <c r="M1597" s="1093">
        <f t="shared" si="167"/>
        <v>0</v>
      </c>
      <c r="N1597" s="1122">
        <f t="shared" si="171"/>
        <v>0</v>
      </c>
      <c r="O1597" s="1120"/>
      <c r="Q1597" s="317" t="str">
        <f t="shared" si="168"/>
        <v/>
      </c>
      <c r="R1597" s="317" t="str">
        <f t="shared" si="169"/>
        <v/>
      </c>
      <c r="S1597" s="317" t="str">
        <f t="shared" si="170"/>
        <v/>
      </c>
      <c r="T1597" s="317" t="str">
        <f>'REF. DE PREÇOS n editavel'!S1597</f>
        <v/>
      </c>
      <c r="W1597" s="577">
        <v>0</v>
      </c>
      <c r="X1597" s="575"/>
      <c r="Y1597" s="578">
        <f>IF('REF. DE PREÇOS n editavel'!W1597=0,0,IF('REF. DE PREÇOS n editavel'!W1597&gt;0,"c","b"))</f>
        <v>0</v>
      </c>
    </row>
    <row r="1598" spans="1:25" ht="15" customHeight="1">
      <c r="A1598" s="634" t="s">
        <v>165</v>
      </c>
      <c r="B1598" s="1010" t="str">
        <f>'REF. DE PREÇOS n editavel'!B1598</f>
        <v/>
      </c>
      <c r="C1598" s="1045" t="str">
        <f>'REF. DE PREÇOS n editavel'!C1598</f>
        <v/>
      </c>
      <c r="D1598" s="1096">
        <f>'REF. DE PREÇOS n editavel'!D1598</f>
        <v>0</v>
      </c>
      <c r="E1598" s="882">
        <f>'REF. DE PREÇOS n editavel'!E1598</f>
        <v>0</v>
      </c>
      <c r="F1598" s="883">
        <f>'REF. DE PREÇOS n editavel'!F1598</f>
        <v>0</v>
      </c>
      <c r="G1598" s="887">
        <f>'REF. DE PREÇOS n editavel'!G1598</f>
        <v>0</v>
      </c>
      <c r="H1598" s="876">
        <f>'REF. DE PREÇOS n editavel'!H1598</f>
        <v>0</v>
      </c>
      <c r="I1598" s="876" t="str">
        <f>'REF. DE PREÇOS n editavel'!I1598</f>
        <v/>
      </c>
      <c r="J1598" s="865">
        <f>'REF. DE PREÇOS n editavel'!J1598</f>
        <v>0</v>
      </c>
      <c r="K1598" s="878" t="str">
        <f>'REF. DE PREÇOS n editavel'!K1598</f>
        <v xml:space="preserve">     </v>
      </c>
      <c r="L1598" s="1092"/>
      <c r="M1598" s="1093">
        <f t="shared" si="167"/>
        <v>0</v>
      </c>
      <c r="N1598" s="1122">
        <f t="shared" si="171"/>
        <v>0</v>
      </c>
      <c r="O1598" s="1120"/>
      <c r="Q1598" s="317" t="str">
        <f t="shared" si="168"/>
        <v/>
      </c>
      <c r="R1598" s="317" t="str">
        <f t="shared" si="169"/>
        <v/>
      </c>
      <c r="S1598" s="317" t="str">
        <f t="shared" si="170"/>
        <v/>
      </c>
      <c r="T1598" s="317" t="str">
        <f>'REF. DE PREÇOS n editavel'!S1598</f>
        <v/>
      </c>
      <c r="W1598" s="577">
        <v>0</v>
      </c>
      <c r="X1598" s="575"/>
      <c r="Y1598" s="578">
        <f>IF('REF. DE PREÇOS n editavel'!W1598=0,0,IF('REF. DE PREÇOS n editavel'!W1598&gt;0,"c","b"))</f>
        <v>0</v>
      </c>
    </row>
    <row r="1599" spans="1:25" ht="15" customHeight="1">
      <c r="A1599" s="634" t="s">
        <v>165</v>
      </c>
      <c r="B1599" s="1010" t="str">
        <f>'REF. DE PREÇOS n editavel'!B1599</f>
        <v/>
      </c>
      <c r="C1599" s="1045" t="str">
        <f>'REF. DE PREÇOS n editavel'!C1599</f>
        <v/>
      </c>
      <c r="D1599" s="1096">
        <f>'REF. DE PREÇOS n editavel'!D1599</f>
        <v>0</v>
      </c>
      <c r="E1599" s="882">
        <f>'REF. DE PREÇOS n editavel'!E1599</f>
        <v>0</v>
      </c>
      <c r="F1599" s="883">
        <f>'REF. DE PREÇOS n editavel'!F1599</f>
        <v>0</v>
      </c>
      <c r="G1599" s="887">
        <f>'REF. DE PREÇOS n editavel'!G1599</f>
        <v>0</v>
      </c>
      <c r="H1599" s="876">
        <f>'REF. DE PREÇOS n editavel'!H1599</f>
        <v>0</v>
      </c>
      <c r="I1599" s="876" t="str">
        <f>'REF. DE PREÇOS n editavel'!I1599</f>
        <v/>
      </c>
      <c r="J1599" s="865">
        <f>'REF. DE PREÇOS n editavel'!J1599</f>
        <v>0</v>
      </c>
      <c r="K1599" s="878" t="str">
        <f>'REF. DE PREÇOS n editavel'!K1599</f>
        <v xml:space="preserve">     </v>
      </c>
      <c r="L1599" s="1092"/>
      <c r="M1599" s="1093">
        <f t="shared" si="167"/>
        <v>0</v>
      </c>
      <c r="N1599" s="1122">
        <f t="shared" si="171"/>
        <v>0</v>
      </c>
      <c r="O1599" s="1120"/>
      <c r="Q1599" s="317" t="str">
        <f t="shared" si="168"/>
        <v/>
      </c>
      <c r="R1599" s="317" t="str">
        <f t="shared" si="169"/>
        <v/>
      </c>
      <c r="S1599" s="317" t="str">
        <f t="shared" si="170"/>
        <v/>
      </c>
      <c r="T1599" s="317" t="str">
        <f>'REF. DE PREÇOS n editavel'!S1599</f>
        <v/>
      </c>
      <c r="W1599" s="577">
        <v>0</v>
      </c>
      <c r="X1599" s="575"/>
      <c r="Y1599" s="578">
        <f>IF('REF. DE PREÇOS n editavel'!W1599=0,0,IF('REF. DE PREÇOS n editavel'!W1599&gt;0,"c","b"))</f>
        <v>0</v>
      </c>
    </row>
    <row r="1600" spans="1:25" ht="15" customHeight="1">
      <c r="A1600" s="634" t="s">
        <v>165</v>
      </c>
      <c r="B1600" s="1010" t="str">
        <f>'REF. DE PREÇOS n editavel'!B1600</f>
        <v/>
      </c>
      <c r="C1600" s="1045" t="str">
        <f>'REF. DE PREÇOS n editavel'!C1600</f>
        <v/>
      </c>
      <c r="D1600" s="1096">
        <f>'REF. DE PREÇOS n editavel'!D1600</f>
        <v>0</v>
      </c>
      <c r="E1600" s="882">
        <f>'REF. DE PREÇOS n editavel'!E1600</f>
        <v>0</v>
      </c>
      <c r="F1600" s="883">
        <f>'REF. DE PREÇOS n editavel'!F1600</f>
        <v>0</v>
      </c>
      <c r="G1600" s="887">
        <f>'REF. DE PREÇOS n editavel'!G1600</f>
        <v>0</v>
      </c>
      <c r="H1600" s="876">
        <f>'REF. DE PREÇOS n editavel'!H1600</f>
        <v>0</v>
      </c>
      <c r="I1600" s="876" t="str">
        <f>'REF. DE PREÇOS n editavel'!I1600</f>
        <v/>
      </c>
      <c r="J1600" s="865">
        <f>'REF. DE PREÇOS n editavel'!J1600</f>
        <v>0</v>
      </c>
      <c r="K1600" s="878" t="str">
        <f>'REF. DE PREÇOS n editavel'!K1600</f>
        <v xml:space="preserve">     </v>
      </c>
      <c r="L1600" s="1092"/>
      <c r="M1600" s="1093">
        <f t="shared" si="167"/>
        <v>0</v>
      </c>
      <c r="N1600" s="1122">
        <f t="shared" si="171"/>
        <v>0</v>
      </c>
      <c r="O1600" s="1120"/>
      <c r="Q1600" s="317" t="str">
        <f t="shared" si="168"/>
        <v/>
      </c>
      <c r="R1600" s="317" t="str">
        <f t="shared" si="169"/>
        <v/>
      </c>
      <c r="S1600" s="317" t="str">
        <f t="shared" si="170"/>
        <v/>
      </c>
      <c r="T1600" s="317" t="str">
        <f>'REF. DE PREÇOS n editavel'!S1600</f>
        <v/>
      </c>
      <c r="W1600" s="577">
        <v>0</v>
      </c>
      <c r="X1600" s="575"/>
      <c r="Y1600" s="578">
        <f>IF('REF. DE PREÇOS n editavel'!W1600=0,0,IF('REF. DE PREÇOS n editavel'!W1600&gt;0,"c","b"))</f>
        <v>0</v>
      </c>
    </row>
    <row r="1601" spans="1:25" ht="15" customHeight="1">
      <c r="A1601" s="634" t="s">
        <v>165</v>
      </c>
      <c r="B1601" s="1010" t="str">
        <f>'REF. DE PREÇOS n editavel'!B1601</f>
        <v/>
      </c>
      <c r="C1601" s="1045" t="str">
        <f>'REF. DE PREÇOS n editavel'!C1601</f>
        <v/>
      </c>
      <c r="D1601" s="1096">
        <f>'REF. DE PREÇOS n editavel'!D1601</f>
        <v>0</v>
      </c>
      <c r="E1601" s="882">
        <f>'REF. DE PREÇOS n editavel'!E1601</f>
        <v>0</v>
      </c>
      <c r="F1601" s="883">
        <f>'REF. DE PREÇOS n editavel'!F1601</f>
        <v>0</v>
      </c>
      <c r="G1601" s="887">
        <f>'REF. DE PREÇOS n editavel'!G1601</f>
        <v>0</v>
      </c>
      <c r="H1601" s="876">
        <f>'REF. DE PREÇOS n editavel'!H1601</f>
        <v>0</v>
      </c>
      <c r="I1601" s="876" t="str">
        <f>'REF. DE PREÇOS n editavel'!I1601</f>
        <v/>
      </c>
      <c r="J1601" s="865">
        <f>'REF. DE PREÇOS n editavel'!J1601</f>
        <v>0</v>
      </c>
      <c r="K1601" s="878" t="str">
        <f>'REF. DE PREÇOS n editavel'!K1601</f>
        <v xml:space="preserve">     </v>
      </c>
      <c r="L1601" s="1092"/>
      <c r="M1601" s="1093">
        <f t="shared" si="167"/>
        <v>0</v>
      </c>
      <c r="N1601" s="1122">
        <f t="shared" si="171"/>
        <v>0</v>
      </c>
      <c r="O1601" s="1120"/>
      <c r="Q1601" s="317" t="str">
        <f t="shared" si="168"/>
        <v/>
      </c>
      <c r="R1601" s="317" t="str">
        <f t="shared" si="169"/>
        <v/>
      </c>
      <c r="S1601" s="317" t="str">
        <f t="shared" si="170"/>
        <v/>
      </c>
      <c r="T1601" s="317" t="str">
        <f>'REF. DE PREÇOS n editavel'!S1601</f>
        <v/>
      </c>
      <c r="W1601" s="577">
        <v>0</v>
      </c>
      <c r="X1601" s="575"/>
      <c r="Y1601" s="578">
        <f>IF('REF. DE PREÇOS n editavel'!W1601=0,0,IF('REF. DE PREÇOS n editavel'!W1601&gt;0,"c","b"))</f>
        <v>0</v>
      </c>
    </row>
    <row r="1602" spans="1:25" ht="15" customHeight="1">
      <c r="A1602" s="634" t="s">
        <v>165</v>
      </c>
      <c r="B1602" s="1010" t="str">
        <f>'REF. DE PREÇOS n editavel'!B1602</f>
        <v/>
      </c>
      <c r="C1602" s="1045" t="str">
        <f>'REF. DE PREÇOS n editavel'!C1602</f>
        <v/>
      </c>
      <c r="D1602" s="1096">
        <f>'REF. DE PREÇOS n editavel'!D1602</f>
        <v>0</v>
      </c>
      <c r="E1602" s="882">
        <f>'REF. DE PREÇOS n editavel'!E1602</f>
        <v>0</v>
      </c>
      <c r="F1602" s="883">
        <f>'REF. DE PREÇOS n editavel'!F1602</f>
        <v>0</v>
      </c>
      <c r="G1602" s="887">
        <f>'REF. DE PREÇOS n editavel'!G1602</f>
        <v>0</v>
      </c>
      <c r="H1602" s="876">
        <f>'REF. DE PREÇOS n editavel'!H1602</f>
        <v>0</v>
      </c>
      <c r="I1602" s="876" t="str">
        <f>'REF. DE PREÇOS n editavel'!I1602</f>
        <v/>
      </c>
      <c r="J1602" s="865">
        <f>'REF. DE PREÇOS n editavel'!J1602</f>
        <v>0</v>
      </c>
      <c r="K1602" s="878" t="str">
        <f>'REF. DE PREÇOS n editavel'!K1602</f>
        <v xml:space="preserve">     </v>
      </c>
      <c r="L1602" s="1092"/>
      <c r="M1602" s="1093">
        <f t="shared" si="167"/>
        <v>0</v>
      </c>
      <c r="N1602" s="1122">
        <f t="shared" si="171"/>
        <v>0</v>
      </c>
      <c r="O1602" s="1120"/>
      <c r="Q1602" s="317" t="str">
        <f t="shared" si="168"/>
        <v/>
      </c>
      <c r="R1602" s="317" t="str">
        <f t="shared" si="169"/>
        <v/>
      </c>
      <c r="S1602" s="317" t="str">
        <f t="shared" si="170"/>
        <v/>
      </c>
      <c r="T1602" s="317" t="str">
        <f>'REF. DE PREÇOS n editavel'!S1602</f>
        <v/>
      </c>
      <c r="W1602" s="577">
        <v>0</v>
      </c>
      <c r="X1602" s="575"/>
      <c r="Y1602" s="578">
        <f>IF('REF. DE PREÇOS n editavel'!W1602=0,0,IF('REF. DE PREÇOS n editavel'!W1602&gt;0,"c","b"))</f>
        <v>0</v>
      </c>
    </row>
    <row r="1603" spans="1:25" ht="15" customHeight="1">
      <c r="A1603" s="634" t="s">
        <v>165</v>
      </c>
      <c r="B1603" s="1010" t="str">
        <f>'REF. DE PREÇOS n editavel'!B1603</f>
        <v/>
      </c>
      <c r="C1603" s="1045" t="str">
        <f>'REF. DE PREÇOS n editavel'!C1603</f>
        <v/>
      </c>
      <c r="D1603" s="1096">
        <f>'REF. DE PREÇOS n editavel'!D1603</f>
        <v>0</v>
      </c>
      <c r="E1603" s="882">
        <f>'REF. DE PREÇOS n editavel'!E1603</f>
        <v>0</v>
      </c>
      <c r="F1603" s="883">
        <f>'REF. DE PREÇOS n editavel'!F1603</f>
        <v>0</v>
      </c>
      <c r="G1603" s="887">
        <f>'REF. DE PREÇOS n editavel'!G1603</f>
        <v>0</v>
      </c>
      <c r="H1603" s="876">
        <f>'REF. DE PREÇOS n editavel'!H1603</f>
        <v>0</v>
      </c>
      <c r="I1603" s="876" t="str">
        <f>'REF. DE PREÇOS n editavel'!I1603</f>
        <v/>
      </c>
      <c r="J1603" s="865">
        <f>'REF. DE PREÇOS n editavel'!J1603</f>
        <v>0</v>
      </c>
      <c r="K1603" s="878" t="str">
        <f>'REF. DE PREÇOS n editavel'!K1603</f>
        <v xml:space="preserve">     </v>
      </c>
      <c r="L1603" s="1092"/>
      <c r="M1603" s="1093">
        <f t="shared" si="167"/>
        <v>0</v>
      </c>
      <c r="N1603" s="1122">
        <f t="shared" si="171"/>
        <v>0</v>
      </c>
      <c r="O1603" s="1120"/>
      <c r="Q1603" s="317" t="str">
        <f t="shared" si="168"/>
        <v/>
      </c>
      <c r="R1603" s="317" t="str">
        <f t="shared" si="169"/>
        <v/>
      </c>
      <c r="S1603" s="317" t="str">
        <f t="shared" si="170"/>
        <v/>
      </c>
      <c r="T1603" s="317" t="str">
        <f>'REF. DE PREÇOS n editavel'!S1603</f>
        <v/>
      </c>
      <c r="W1603" s="577">
        <v>0</v>
      </c>
      <c r="X1603" s="575"/>
      <c r="Y1603" s="578">
        <f>IF('REF. DE PREÇOS n editavel'!W1603=0,0,IF('REF. DE PREÇOS n editavel'!W1603&gt;0,"c","b"))</f>
        <v>0</v>
      </c>
    </row>
    <row r="1604" spans="1:25" ht="15" customHeight="1">
      <c r="A1604" s="634" t="s">
        <v>165</v>
      </c>
      <c r="B1604" s="1010" t="str">
        <f>'REF. DE PREÇOS n editavel'!B1604</f>
        <v/>
      </c>
      <c r="C1604" s="1045" t="str">
        <f>'REF. DE PREÇOS n editavel'!C1604</f>
        <v/>
      </c>
      <c r="D1604" s="1096">
        <f>'REF. DE PREÇOS n editavel'!D1604</f>
        <v>0</v>
      </c>
      <c r="E1604" s="882">
        <f>'REF. DE PREÇOS n editavel'!E1604</f>
        <v>0</v>
      </c>
      <c r="F1604" s="883">
        <f>'REF. DE PREÇOS n editavel'!F1604</f>
        <v>0</v>
      </c>
      <c r="G1604" s="887">
        <f>'REF. DE PREÇOS n editavel'!G1604</f>
        <v>0</v>
      </c>
      <c r="H1604" s="876">
        <f>'REF. DE PREÇOS n editavel'!H1604</f>
        <v>0</v>
      </c>
      <c r="I1604" s="876" t="str">
        <f>'REF. DE PREÇOS n editavel'!I1604</f>
        <v/>
      </c>
      <c r="J1604" s="865">
        <f>'REF. DE PREÇOS n editavel'!J1604</f>
        <v>0</v>
      </c>
      <c r="K1604" s="878" t="str">
        <f>'REF. DE PREÇOS n editavel'!K1604</f>
        <v xml:space="preserve">     </v>
      </c>
      <c r="L1604" s="1092"/>
      <c r="M1604" s="1093">
        <f t="shared" si="167"/>
        <v>0</v>
      </c>
      <c r="N1604" s="1122">
        <f t="shared" si="171"/>
        <v>0</v>
      </c>
      <c r="O1604" s="1120"/>
      <c r="Q1604" s="317" t="str">
        <f t="shared" si="168"/>
        <v/>
      </c>
      <c r="R1604" s="317" t="str">
        <f t="shared" si="169"/>
        <v/>
      </c>
      <c r="S1604" s="317" t="str">
        <f t="shared" si="170"/>
        <v/>
      </c>
      <c r="T1604" s="317" t="str">
        <f>'REF. DE PREÇOS n editavel'!S1604</f>
        <v/>
      </c>
      <c r="W1604" s="577">
        <v>0</v>
      </c>
      <c r="X1604" s="575"/>
      <c r="Y1604" s="578">
        <f>IF('REF. DE PREÇOS n editavel'!W1604=0,0,IF('REF. DE PREÇOS n editavel'!W1604&gt;0,"c","b"))</f>
        <v>0</v>
      </c>
    </row>
    <row r="1605" spans="1:25" ht="15" customHeight="1">
      <c r="A1605" s="634" t="s">
        <v>165</v>
      </c>
      <c r="B1605" s="1010" t="str">
        <f>'REF. DE PREÇOS n editavel'!B1605</f>
        <v/>
      </c>
      <c r="C1605" s="1045" t="str">
        <f>'REF. DE PREÇOS n editavel'!C1605</f>
        <v/>
      </c>
      <c r="D1605" s="1096">
        <f>'REF. DE PREÇOS n editavel'!D1605</f>
        <v>0</v>
      </c>
      <c r="E1605" s="882">
        <f>'REF. DE PREÇOS n editavel'!E1605</f>
        <v>0</v>
      </c>
      <c r="F1605" s="883">
        <f>'REF. DE PREÇOS n editavel'!F1605</f>
        <v>0</v>
      </c>
      <c r="G1605" s="887">
        <f>'REF. DE PREÇOS n editavel'!G1605</f>
        <v>0</v>
      </c>
      <c r="H1605" s="876">
        <f>'REF. DE PREÇOS n editavel'!H1605</f>
        <v>0</v>
      </c>
      <c r="I1605" s="876" t="str">
        <f>'REF. DE PREÇOS n editavel'!I1605</f>
        <v/>
      </c>
      <c r="J1605" s="865">
        <f>'REF. DE PREÇOS n editavel'!J1605</f>
        <v>0</v>
      </c>
      <c r="K1605" s="878" t="str">
        <f>'REF. DE PREÇOS n editavel'!K1605</f>
        <v xml:space="preserve">     </v>
      </c>
      <c r="L1605" s="1092"/>
      <c r="M1605" s="1093">
        <f t="shared" si="167"/>
        <v>0</v>
      </c>
      <c r="N1605" s="1122">
        <f t="shared" si="171"/>
        <v>0</v>
      </c>
      <c r="O1605" s="1120"/>
      <c r="Q1605" s="317" t="str">
        <f t="shared" si="168"/>
        <v/>
      </c>
      <c r="R1605" s="317" t="str">
        <f t="shared" si="169"/>
        <v/>
      </c>
      <c r="S1605" s="317" t="str">
        <f t="shared" si="170"/>
        <v/>
      </c>
      <c r="T1605" s="317" t="str">
        <f>'REF. DE PREÇOS n editavel'!S1605</f>
        <v/>
      </c>
      <c r="W1605" s="577">
        <v>0</v>
      </c>
      <c r="X1605" s="575"/>
      <c r="Y1605" s="578">
        <f>IF('REF. DE PREÇOS n editavel'!W1605=0,0,IF('REF. DE PREÇOS n editavel'!W1605&gt;0,"c","b"))</f>
        <v>0</v>
      </c>
    </row>
    <row r="1606" spans="1:25" ht="15" customHeight="1">
      <c r="A1606" s="634" t="s">
        <v>165</v>
      </c>
      <c r="B1606" s="1010" t="str">
        <f>'REF. DE PREÇOS n editavel'!B1606</f>
        <v/>
      </c>
      <c r="C1606" s="1045" t="str">
        <f>'REF. DE PREÇOS n editavel'!C1606</f>
        <v/>
      </c>
      <c r="D1606" s="1096">
        <f>'REF. DE PREÇOS n editavel'!D1606</f>
        <v>0</v>
      </c>
      <c r="E1606" s="882">
        <f>'REF. DE PREÇOS n editavel'!E1606</f>
        <v>0</v>
      </c>
      <c r="F1606" s="883">
        <f>'REF. DE PREÇOS n editavel'!F1606</f>
        <v>0</v>
      </c>
      <c r="G1606" s="887">
        <f>'REF. DE PREÇOS n editavel'!G1606</f>
        <v>0</v>
      </c>
      <c r="H1606" s="876">
        <f>'REF. DE PREÇOS n editavel'!H1606</f>
        <v>0</v>
      </c>
      <c r="I1606" s="876" t="str">
        <f>'REF. DE PREÇOS n editavel'!I1606</f>
        <v/>
      </c>
      <c r="J1606" s="865">
        <f>'REF. DE PREÇOS n editavel'!J1606</f>
        <v>0</v>
      </c>
      <c r="K1606" s="878" t="str">
        <f>'REF. DE PREÇOS n editavel'!K1606</f>
        <v xml:space="preserve">     </v>
      </c>
      <c r="L1606" s="1092"/>
      <c r="M1606" s="1093">
        <f t="shared" ref="M1606:M1624" si="172">IF(L1606=0,0,ROUND(J1606,2))</f>
        <v>0</v>
      </c>
      <c r="N1606" s="1122">
        <f t="shared" si="171"/>
        <v>0</v>
      </c>
      <c r="O1606" s="1120"/>
      <c r="Q1606" s="317" t="str">
        <f t="shared" si="168"/>
        <v/>
      </c>
      <c r="R1606" s="317" t="str">
        <f t="shared" si="169"/>
        <v/>
      </c>
      <c r="S1606" s="317" t="str">
        <f t="shared" si="170"/>
        <v/>
      </c>
      <c r="T1606" s="317" t="str">
        <f>'REF. DE PREÇOS n editavel'!S1606</f>
        <v/>
      </c>
      <c r="W1606" s="577">
        <v>0</v>
      </c>
      <c r="X1606" s="575"/>
      <c r="Y1606" s="578">
        <f>IF('REF. DE PREÇOS n editavel'!W1606=0,0,IF('REF. DE PREÇOS n editavel'!W1606&gt;0,"c","b"))</f>
        <v>0</v>
      </c>
    </row>
    <row r="1607" spans="1:25" ht="15" customHeight="1">
      <c r="A1607" s="634" t="s">
        <v>165</v>
      </c>
      <c r="B1607" s="1010" t="str">
        <f>'REF. DE PREÇOS n editavel'!B1607</f>
        <v/>
      </c>
      <c r="C1607" s="1045" t="str">
        <f>'REF. DE PREÇOS n editavel'!C1607</f>
        <v/>
      </c>
      <c r="D1607" s="1096">
        <f>'REF. DE PREÇOS n editavel'!D1607</f>
        <v>0</v>
      </c>
      <c r="E1607" s="882">
        <f>'REF. DE PREÇOS n editavel'!E1607</f>
        <v>0</v>
      </c>
      <c r="F1607" s="883">
        <f>'REF. DE PREÇOS n editavel'!F1607</f>
        <v>0</v>
      </c>
      <c r="G1607" s="887">
        <f>'REF. DE PREÇOS n editavel'!G1607</f>
        <v>0</v>
      </c>
      <c r="H1607" s="876">
        <f>'REF. DE PREÇOS n editavel'!H1607</f>
        <v>0</v>
      </c>
      <c r="I1607" s="876" t="str">
        <f>'REF. DE PREÇOS n editavel'!I1607</f>
        <v/>
      </c>
      <c r="J1607" s="865">
        <f>'REF. DE PREÇOS n editavel'!J1607</f>
        <v>0</v>
      </c>
      <c r="K1607" s="878" t="str">
        <f>'REF. DE PREÇOS n editavel'!K1607</f>
        <v xml:space="preserve">     </v>
      </c>
      <c r="L1607" s="1092"/>
      <c r="M1607" s="1093">
        <f t="shared" si="172"/>
        <v>0</v>
      </c>
      <c r="N1607" s="1122">
        <f t="shared" si="171"/>
        <v>0</v>
      </c>
      <c r="O1607" s="1120"/>
      <c r="Q1607" s="317" t="str">
        <f t="shared" si="168"/>
        <v/>
      </c>
      <c r="R1607" s="317" t="str">
        <f t="shared" si="169"/>
        <v/>
      </c>
      <c r="S1607" s="317" t="str">
        <f t="shared" si="170"/>
        <v/>
      </c>
      <c r="T1607" s="317" t="str">
        <f>'REF. DE PREÇOS n editavel'!S1607</f>
        <v/>
      </c>
      <c r="W1607" s="577">
        <v>0</v>
      </c>
      <c r="X1607" s="575"/>
      <c r="Y1607" s="578">
        <f>IF('REF. DE PREÇOS n editavel'!W1607=0,0,IF('REF. DE PREÇOS n editavel'!W1607&gt;0,"c","b"))</f>
        <v>0</v>
      </c>
    </row>
    <row r="1608" spans="1:25" ht="15" customHeight="1">
      <c r="A1608" s="634" t="s">
        <v>165</v>
      </c>
      <c r="B1608" s="1010" t="str">
        <f>'REF. DE PREÇOS n editavel'!B1608</f>
        <v/>
      </c>
      <c r="C1608" s="1045" t="str">
        <f>'REF. DE PREÇOS n editavel'!C1608</f>
        <v/>
      </c>
      <c r="D1608" s="1096">
        <f>'REF. DE PREÇOS n editavel'!D1608</f>
        <v>0</v>
      </c>
      <c r="E1608" s="882">
        <f>'REF. DE PREÇOS n editavel'!E1608</f>
        <v>0</v>
      </c>
      <c r="F1608" s="883">
        <f>'REF. DE PREÇOS n editavel'!F1608</f>
        <v>0</v>
      </c>
      <c r="G1608" s="887">
        <f>'REF. DE PREÇOS n editavel'!G1608</f>
        <v>0</v>
      </c>
      <c r="H1608" s="876">
        <f>'REF. DE PREÇOS n editavel'!H1608</f>
        <v>0</v>
      </c>
      <c r="I1608" s="876" t="str">
        <f>'REF. DE PREÇOS n editavel'!I1608</f>
        <v/>
      </c>
      <c r="J1608" s="865">
        <f>'REF. DE PREÇOS n editavel'!J1608</f>
        <v>0</v>
      </c>
      <c r="K1608" s="878" t="str">
        <f>'REF. DE PREÇOS n editavel'!K1608</f>
        <v xml:space="preserve">     </v>
      </c>
      <c r="L1608" s="1092"/>
      <c r="M1608" s="1093">
        <f t="shared" si="172"/>
        <v>0</v>
      </c>
      <c r="N1608" s="1122">
        <f t="shared" si="171"/>
        <v>0</v>
      </c>
      <c r="O1608" s="1120"/>
      <c r="Q1608" s="317" t="str">
        <f t="shared" si="168"/>
        <v/>
      </c>
      <c r="R1608" s="317" t="str">
        <f t="shared" si="169"/>
        <v/>
      </c>
      <c r="S1608" s="317" t="str">
        <f t="shared" si="170"/>
        <v/>
      </c>
      <c r="T1608" s="317" t="str">
        <f>'REF. DE PREÇOS n editavel'!S1608</f>
        <v/>
      </c>
      <c r="W1608" s="577">
        <v>0</v>
      </c>
      <c r="X1608" s="575"/>
      <c r="Y1608" s="578">
        <f>IF('REF. DE PREÇOS n editavel'!W1608=0,0,IF('REF. DE PREÇOS n editavel'!W1608&gt;0,"c","b"))</f>
        <v>0</v>
      </c>
    </row>
    <row r="1609" spans="1:25" ht="15" customHeight="1">
      <c r="A1609" s="634" t="s">
        <v>165</v>
      </c>
      <c r="B1609" s="1010" t="str">
        <f>'REF. DE PREÇOS n editavel'!B1609</f>
        <v/>
      </c>
      <c r="C1609" s="1045" t="str">
        <f>'REF. DE PREÇOS n editavel'!C1609</f>
        <v/>
      </c>
      <c r="D1609" s="1096">
        <f>'REF. DE PREÇOS n editavel'!D1609</f>
        <v>0</v>
      </c>
      <c r="E1609" s="882">
        <f>'REF. DE PREÇOS n editavel'!E1609</f>
        <v>0</v>
      </c>
      <c r="F1609" s="883">
        <f>'REF. DE PREÇOS n editavel'!F1609</f>
        <v>0</v>
      </c>
      <c r="G1609" s="887">
        <f>'REF. DE PREÇOS n editavel'!G1609</f>
        <v>0</v>
      </c>
      <c r="H1609" s="876">
        <f>'REF. DE PREÇOS n editavel'!H1609</f>
        <v>0</v>
      </c>
      <c r="I1609" s="876" t="str">
        <f>'REF. DE PREÇOS n editavel'!I1609</f>
        <v/>
      </c>
      <c r="J1609" s="865">
        <f>'REF. DE PREÇOS n editavel'!J1609</f>
        <v>0</v>
      </c>
      <c r="K1609" s="878" t="str">
        <f>'REF. DE PREÇOS n editavel'!K1609</f>
        <v xml:space="preserve">     </v>
      </c>
      <c r="L1609" s="1092"/>
      <c r="M1609" s="1093">
        <f t="shared" si="172"/>
        <v>0</v>
      </c>
      <c r="N1609" s="1122">
        <f t="shared" si="171"/>
        <v>0</v>
      </c>
      <c r="O1609" s="1120"/>
      <c r="Q1609" s="317" t="str">
        <f t="shared" si="168"/>
        <v/>
      </c>
      <c r="R1609" s="317" t="str">
        <f t="shared" si="169"/>
        <v/>
      </c>
      <c r="S1609" s="317" t="str">
        <f t="shared" si="170"/>
        <v/>
      </c>
      <c r="T1609" s="317" t="str">
        <f>'REF. DE PREÇOS n editavel'!S1609</f>
        <v/>
      </c>
      <c r="W1609" s="577">
        <v>0</v>
      </c>
      <c r="X1609" s="575"/>
      <c r="Y1609" s="578">
        <f>IF('REF. DE PREÇOS n editavel'!W1609=0,0,IF('REF. DE PREÇOS n editavel'!W1609&gt;0,"c","b"))</f>
        <v>0</v>
      </c>
    </row>
    <row r="1610" spans="1:25" ht="15" customHeight="1">
      <c r="A1610" s="634" t="s">
        <v>165</v>
      </c>
      <c r="B1610" s="1010" t="str">
        <f>'REF. DE PREÇOS n editavel'!B1610</f>
        <v/>
      </c>
      <c r="C1610" s="1045" t="str">
        <f>'REF. DE PREÇOS n editavel'!C1610</f>
        <v/>
      </c>
      <c r="D1610" s="1096">
        <f>'REF. DE PREÇOS n editavel'!D1610</f>
        <v>0</v>
      </c>
      <c r="E1610" s="882">
        <f>'REF. DE PREÇOS n editavel'!E1610</f>
        <v>0</v>
      </c>
      <c r="F1610" s="883">
        <f>'REF. DE PREÇOS n editavel'!F1610</f>
        <v>0</v>
      </c>
      <c r="G1610" s="887">
        <f>'REF. DE PREÇOS n editavel'!G1610</f>
        <v>0</v>
      </c>
      <c r="H1610" s="876">
        <f>'REF. DE PREÇOS n editavel'!H1610</f>
        <v>0</v>
      </c>
      <c r="I1610" s="876" t="str">
        <f>'REF. DE PREÇOS n editavel'!I1610</f>
        <v/>
      </c>
      <c r="J1610" s="865">
        <f>'REF. DE PREÇOS n editavel'!J1610</f>
        <v>0</v>
      </c>
      <c r="K1610" s="878" t="str">
        <f>'REF. DE PREÇOS n editavel'!K1610</f>
        <v xml:space="preserve">     </v>
      </c>
      <c r="L1610" s="1092"/>
      <c r="M1610" s="1093">
        <f t="shared" si="172"/>
        <v>0</v>
      </c>
      <c r="N1610" s="1122">
        <f t="shared" si="171"/>
        <v>0</v>
      </c>
      <c r="O1610" s="1120"/>
      <c r="Q1610" s="317" t="str">
        <f t="shared" si="168"/>
        <v/>
      </c>
      <c r="R1610" s="317" t="str">
        <f t="shared" si="169"/>
        <v/>
      </c>
      <c r="S1610" s="317" t="str">
        <f t="shared" si="170"/>
        <v/>
      </c>
      <c r="T1610" s="317" t="str">
        <f>'REF. DE PREÇOS n editavel'!S1610</f>
        <v/>
      </c>
      <c r="W1610" s="577">
        <v>0</v>
      </c>
      <c r="X1610" s="575"/>
      <c r="Y1610" s="578">
        <f>IF('REF. DE PREÇOS n editavel'!W1610=0,0,IF('REF. DE PREÇOS n editavel'!W1610&gt;0,"c","b"))</f>
        <v>0</v>
      </c>
    </row>
    <row r="1611" spans="1:25" ht="15" customHeight="1">
      <c r="A1611" s="634" t="s">
        <v>165</v>
      </c>
      <c r="B1611" s="1010" t="str">
        <f>'REF. DE PREÇOS n editavel'!B1611</f>
        <v/>
      </c>
      <c r="C1611" s="1045" t="str">
        <f>'REF. DE PREÇOS n editavel'!C1611</f>
        <v/>
      </c>
      <c r="D1611" s="1096">
        <f>'REF. DE PREÇOS n editavel'!D1611</f>
        <v>0</v>
      </c>
      <c r="E1611" s="882">
        <f>'REF. DE PREÇOS n editavel'!E1611</f>
        <v>0</v>
      </c>
      <c r="F1611" s="883">
        <f>'REF. DE PREÇOS n editavel'!F1611</f>
        <v>0</v>
      </c>
      <c r="G1611" s="887">
        <f>'REF. DE PREÇOS n editavel'!G1611</f>
        <v>0</v>
      </c>
      <c r="H1611" s="876">
        <f>'REF. DE PREÇOS n editavel'!H1611</f>
        <v>0</v>
      </c>
      <c r="I1611" s="876" t="str">
        <f>'REF. DE PREÇOS n editavel'!I1611</f>
        <v/>
      </c>
      <c r="J1611" s="865">
        <f>'REF. DE PREÇOS n editavel'!J1611</f>
        <v>0</v>
      </c>
      <c r="K1611" s="878" t="str">
        <f>'REF. DE PREÇOS n editavel'!K1611</f>
        <v xml:space="preserve">     </v>
      </c>
      <c r="L1611" s="1092"/>
      <c r="M1611" s="1093">
        <f t="shared" si="172"/>
        <v>0</v>
      </c>
      <c r="N1611" s="1122">
        <f t="shared" si="171"/>
        <v>0</v>
      </c>
      <c r="O1611" s="1120"/>
      <c r="Q1611" s="317" t="str">
        <f t="shared" si="168"/>
        <v/>
      </c>
      <c r="R1611" s="317" t="str">
        <f t="shared" si="169"/>
        <v/>
      </c>
      <c r="S1611" s="317" t="str">
        <f t="shared" si="170"/>
        <v/>
      </c>
      <c r="T1611" s="317" t="str">
        <f>'REF. DE PREÇOS n editavel'!S1611</f>
        <v/>
      </c>
      <c r="W1611" s="577">
        <v>0</v>
      </c>
      <c r="X1611" s="575"/>
      <c r="Y1611" s="578">
        <f>IF('REF. DE PREÇOS n editavel'!W1611=0,0,IF('REF. DE PREÇOS n editavel'!W1611&gt;0,"c","b"))</f>
        <v>0</v>
      </c>
    </row>
    <row r="1612" spans="1:25" ht="15" customHeight="1">
      <c r="A1612" s="634" t="s">
        <v>165</v>
      </c>
      <c r="B1612" s="1010" t="str">
        <f>'REF. DE PREÇOS n editavel'!B1612</f>
        <v/>
      </c>
      <c r="C1612" s="1045" t="str">
        <f>'REF. DE PREÇOS n editavel'!C1612</f>
        <v/>
      </c>
      <c r="D1612" s="1096">
        <f>'REF. DE PREÇOS n editavel'!D1612</f>
        <v>0</v>
      </c>
      <c r="E1612" s="882">
        <f>'REF. DE PREÇOS n editavel'!E1612</f>
        <v>0</v>
      </c>
      <c r="F1612" s="883">
        <f>'REF. DE PREÇOS n editavel'!F1612</f>
        <v>0</v>
      </c>
      <c r="G1612" s="887">
        <f>'REF. DE PREÇOS n editavel'!G1612</f>
        <v>0</v>
      </c>
      <c r="H1612" s="876">
        <f>'REF. DE PREÇOS n editavel'!H1612</f>
        <v>0</v>
      </c>
      <c r="I1612" s="876" t="str">
        <f>'REF. DE PREÇOS n editavel'!I1612</f>
        <v/>
      </c>
      <c r="J1612" s="865">
        <f>'REF. DE PREÇOS n editavel'!J1612</f>
        <v>0</v>
      </c>
      <c r="K1612" s="878" t="str">
        <f>'REF. DE PREÇOS n editavel'!K1612</f>
        <v xml:space="preserve">     </v>
      </c>
      <c r="L1612" s="1092"/>
      <c r="M1612" s="1093">
        <f t="shared" si="172"/>
        <v>0</v>
      </c>
      <c r="N1612" s="1122">
        <f t="shared" si="171"/>
        <v>0</v>
      </c>
      <c r="O1612" s="1120"/>
      <c r="Q1612" s="317" t="str">
        <f t="shared" si="168"/>
        <v/>
      </c>
      <c r="R1612" s="317" t="str">
        <f t="shared" si="169"/>
        <v/>
      </c>
      <c r="S1612" s="317" t="str">
        <f t="shared" si="170"/>
        <v/>
      </c>
      <c r="T1612" s="317" t="str">
        <f>'REF. DE PREÇOS n editavel'!S1612</f>
        <v/>
      </c>
      <c r="W1612" s="577">
        <v>0</v>
      </c>
      <c r="X1612" s="575"/>
      <c r="Y1612" s="578">
        <f>IF('REF. DE PREÇOS n editavel'!W1612=0,0,IF('REF. DE PREÇOS n editavel'!W1612&gt;0,"c","b"))</f>
        <v>0</v>
      </c>
    </row>
    <row r="1613" spans="1:25" ht="15" customHeight="1">
      <c r="A1613" s="634" t="s">
        <v>165</v>
      </c>
      <c r="B1613" s="1010" t="str">
        <f>'REF. DE PREÇOS n editavel'!B1613</f>
        <v/>
      </c>
      <c r="C1613" s="1045" t="str">
        <f>'REF. DE PREÇOS n editavel'!C1613</f>
        <v/>
      </c>
      <c r="D1613" s="1096">
        <f>'REF. DE PREÇOS n editavel'!D1613</f>
        <v>0</v>
      </c>
      <c r="E1613" s="882">
        <f>'REF. DE PREÇOS n editavel'!E1613</f>
        <v>0</v>
      </c>
      <c r="F1613" s="883">
        <f>'REF. DE PREÇOS n editavel'!F1613</f>
        <v>0</v>
      </c>
      <c r="G1613" s="887">
        <f>'REF. DE PREÇOS n editavel'!G1613</f>
        <v>0</v>
      </c>
      <c r="H1613" s="876">
        <f>'REF. DE PREÇOS n editavel'!H1613</f>
        <v>0</v>
      </c>
      <c r="I1613" s="876" t="str">
        <f>'REF. DE PREÇOS n editavel'!I1613</f>
        <v/>
      </c>
      <c r="J1613" s="865">
        <f>'REF. DE PREÇOS n editavel'!J1613</f>
        <v>0</v>
      </c>
      <c r="K1613" s="878" t="str">
        <f>'REF. DE PREÇOS n editavel'!K1613</f>
        <v xml:space="preserve">     </v>
      </c>
      <c r="L1613" s="1092"/>
      <c r="M1613" s="1093">
        <f t="shared" si="172"/>
        <v>0</v>
      </c>
      <c r="N1613" s="1122">
        <f t="shared" si="171"/>
        <v>0</v>
      </c>
      <c r="O1613" s="1120"/>
      <c r="Q1613" s="317" t="str">
        <f t="shared" si="168"/>
        <v/>
      </c>
      <c r="R1613" s="317" t="str">
        <f t="shared" si="169"/>
        <v/>
      </c>
      <c r="S1613" s="317" t="str">
        <f t="shared" si="170"/>
        <v/>
      </c>
      <c r="T1613" s="317" t="str">
        <f>'REF. DE PREÇOS n editavel'!S1613</f>
        <v/>
      </c>
      <c r="W1613" s="577">
        <v>0</v>
      </c>
      <c r="X1613" s="575"/>
      <c r="Y1613" s="578">
        <f>IF('REF. DE PREÇOS n editavel'!W1613=0,0,IF('REF. DE PREÇOS n editavel'!W1613&gt;0,"c","b"))</f>
        <v>0</v>
      </c>
    </row>
    <row r="1614" spans="1:25" ht="15" customHeight="1">
      <c r="A1614" s="634" t="s">
        <v>165</v>
      </c>
      <c r="B1614" s="1010" t="str">
        <f>'REF. DE PREÇOS n editavel'!B1614</f>
        <v/>
      </c>
      <c r="C1614" s="1045" t="str">
        <f>'REF. DE PREÇOS n editavel'!C1614</f>
        <v/>
      </c>
      <c r="D1614" s="1096">
        <f>'REF. DE PREÇOS n editavel'!D1614</f>
        <v>0</v>
      </c>
      <c r="E1614" s="882">
        <f>'REF. DE PREÇOS n editavel'!E1614</f>
        <v>0</v>
      </c>
      <c r="F1614" s="883">
        <f>'REF. DE PREÇOS n editavel'!F1614</f>
        <v>0</v>
      </c>
      <c r="G1614" s="887">
        <f>'REF. DE PREÇOS n editavel'!G1614</f>
        <v>0</v>
      </c>
      <c r="H1614" s="876">
        <f>'REF. DE PREÇOS n editavel'!H1614</f>
        <v>0</v>
      </c>
      <c r="I1614" s="876" t="str">
        <f>'REF. DE PREÇOS n editavel'!I1614</f>
        <v/>
      </c>
      <c r="J1614" s="865">
        <f>'REF. DE PREÇOS n editavel'!J1614</f>
        <v>0</v>
      </c>
      <c r="K1614" s="878" t="str">
        <f>'REF. DE PREÇOS n editavel'!K1614</f>
        <v xml:space="preserve">     </v>
      </c>
      <c r="L1614" s="1092"/>
      <c r="M1614" s="1093">
        <f t="shared" si="172"/>
        <v>0</v>
      </c>
      <c r="N1614" s="1122">
        <f t="shared" si="171"/>
        <v>0</v>
      </c>
      <c r="O1614" s="1120"/>
      <c r="Q1614" s="317" t="str">
        <f t="shared" si="168"/>
        <v/>
      </c>
      <c r="R1614" s="317" t="str">
        <f t="shared" si="169"/>
        <v/>
      </c>
      <c r="S1614" s="317" t="str">
        <f t="shared" si="170"/>
        <v/>
      </c>
      <c r="T1614" s="317" t="str">
        <f>'REF. DE PREÇOS n editavel'!S1614</f>
        <v/>
      </c>
      <c r="W1614" s="577">
        <v>0</v>
      </c>
      <c r="X1614" s="575"/>
      <c r="Y1614" s="578">
        <f>IF('REF. DE PREÇOS n editavel'!W1614=0,0,IF('REF. DE PREÇOS n editavel'!W1614&gt;0,"c","b"))</f>
        <v>0</v>
      </c>
    </row>
    <row r="1615" spans="1:25" ht="15" customHeight="1">
      <c r="A1615" s="634" t="s">
        <v>165</v>
      </c>
      <c r="B1615" s="1010" t="str">
        <f>'REF. DE PREÇOS n editavel'!B1615</f>
        <v/>
      </c>
      <c r="C1615" s="1045" t="str">
        <f>'REF. DE PREÇOS n editavel'!C1615</f>
        <v/>
      </c>
      <c r="D1615" s="1096">
        <f>'REF. DE PREÇOS n editavel'!D1615</f>
        <v>0</v>
      </c>
      <c r="E1615" s="882">
        <f>'REF. DE PREÇOS n editavel'!E1615</f>
        <v>0</v>
      </c>
      <c r="F1615" s="883">
        <f>'REF. DE PREÇOS n editavel'!F1615</f>
        <v>0</v>
      </c>
      <c r="G1615" s="887">
        <f>'REF. DE PREÇOS n editavel'!G1615</f>
        <v>0</v>
      </c>
      <c r="H1615" s="876">
        <f>'REF. DE PREÇOS n editavel'!H1615</f>
        <v>0</v>
      </c>
      <c r="I1615" s="876" t="str">
        <f>'REF. DE PREÇOS n editavel'!I1615</f>
        <v/>
      </c>
      <c r="J1615" s="865">
        <f>'REF. DE PREÇOS n editavel'!J1615</f>
        <v>0</v>
      </c>
      <c r="K1615" s="878" t="str">
        <f>'REF. DE PREÇOS n editavel'!K1615</f>
        <v xml:space="preserve">     </v>
      </c>
      <c r="L1615" s="1092"/>
      <c r="M1615" s="1093">
        <f t="shared" si="172"/>
        <v>0</v>
      </c>
      <c r="N1615" s="1122">
        <f t="shared" si="171"/>
        <v>0</v>
      </c>
      <c r="O1615" s="1120"/>
      <c r="Q1615" s="317" t="str">
        <f t="shared" si="168"/>
        <v/>
      </c>
      <c r="R1615" s="317" t="str">
        <f t="shared" si="169"/>
        <v/>
      </c>
      <c r="S1615" s="317" t="str">
        <f t="shared" si="170"/>
        <v/>
      </c>
      <c r="T1615" s="317" t="str">
        <f>'REF. DE PREÇOS n editavel'!S1615</f>
        <v/>
      </c>
      <c r="W1615" s="577">
        <v>0</v>
      </c>
      <c r="X1615" s="575"/>
      <c r="Y1615" s="578">
        <f>IF('REF. DE PREÇOS n editavel'!W1615=0,0,IF('REF. DE PREÇOS n editavel'!W1615&gt;0,"c","b"))</f>
        <v>0</v>
      </c>
    </row>
    <row r="1616" spans="1:25" ht="15" customHeight="1">
      <c r="A1616" s="634" t="s">
        <v>165</v>
      </c>
      <c r="B1616" s="1010" t="str">
        <f>'REF. DE PREÇOS n editavel'!B1616</f>
        <v/>
      </c>
      <c r="C1616" s="1045" t="str">
        <f>'REF. DE PREÇOS n editavel'!C1616</f>
        <v/>
      </c>
      <c r="D1616" s="1096">
        <f>'REF. DE PREÇOS n editavel'!D1616</f>
        <v>0</v>
      </c>
      <c r="E1616" s="882">
        <f>'REF. DE PREÇOS n editavel'!E1616</f>
        <v>0</v>
      </c>
      <c r="F1616" s="883">
        <f>'REF. DE PREÇOS n editavel'!F1616</f>
        <v>0</v>
      </c>
      <c r="G1616" s="887">
        <f>'REF. DE PREÇOS n editavel'!G1616</f>
        <v>0</v>
      </c>
      <c r="H1616" s="876">
        <f>'REF. DE PREÇOS n editavel'!H1616</f>
        <v>0</v>
      </c>
      <c r="I1616" s="876" t="str">
        <f>'REF. DE PREÇOS n editavel'!I1616</f>
        <v/>
      </c>
      <c r="J1616" s="865">
        <f>'REF. DE PREÇOS n editavel'!J1616</f>
        <v>0</v>
      </c>
      <c r="K1616" s="878" t="str">
        <f>'REF. DE PREÇOS n editavel'!K1616</f>
        <v xml:space="preserve">     </v>
      </c>
      <c r="L1616" s="1092"/>
      <c r="M1616" s="1093">
        <f t="shared" si="172"/>
        <v>0</v>
      </c>
      <c r="N1616" s="1122">
        <f t="shared" si="171"/>
        <v>0</v>
      </c>
      <c r="O1616" s="1120"/>
      <c r="Q1616" s="317" t="str">
        <f t="shared" si="168"/>
        <v/>
      </c>
      <c r="R1616" s="317" t="str">
        <f t="shared" si="169"/>
        <v/>
      </c>
      <c r="S1616" s="317" t="str">
        <f t="shared" si="170"/>
        <v/>
      </c>
      <c r="T1616" s="317" t="str">
        <f>'REF. DE PREÇOS n editavel'!S1616</f>
        <v/>
      </c>
      <c r="W1616" s="577">
        <v>0</v>
      </c>
      <c r="X1616" s="575"/>
      <c r="Y1616" s="578">
        <f>IF('REF. DE PREÇOS n editavel'!W1616=0,0,IF('REF. DE PREÇOS n editavel'!W1616&gt;0,"c","b"))</f>
        <v>0</v>
      </c>
    </row>
    <row r="1617" spans="1:25" ht="15" customHeight="1">
      <c r="A1617" s="634" t="s">
        <v>165</v>
      </c>
      <c r="B1617" s="1010" t="str">
        <f>'REF. DE PREÇOS n editavel'!B1617</f>
        <v/>
      </c>
      <c r="C1617" s="1045" t="str">
        <f>'REF. DE PREÇOS n editavel'!C1617</f>
        <v/>
      </c>
      <c r="D1617" s="1096">
        <f>'REF. DE PREÇOS n editavel'!D1617</f>
        <v>0</v>
      </c>
      <c r="E1617" s="882">
        <f>'REF. DE PREÇOS n editavel'!E1617</f>
        <v>0</v>
      </c>
      <c r="F1617" s="883">
        <f>'REF. DE PREÇOS n editavel'!F1617</f>
        <v>0</v>
      </c>
      <c r="G1617" s="887">
        <f>'REF. DE PREÇOS n editavel'!G1617</f>
        <v>0</v>
      </c>
      <c r="H1617" s="876">
        <f>'REF. DE PREÇOS n editavel'!H1617</f>
        <v>0</v>
      </c>
      <c r="I1617" s="876" t="str">
        <f>'REF. DE PREÇOS n editavel'!I1617</f>
        <v/>
      </c>
      <c r="J1617" s="865">
        <f>'REF. DE PREÇOS n editavel'!J1617</f>
        <v>0</v>
      </c>
      <c r="K1617" s="878" t="str">
        <f>'REF. DE PREÇOS n editavel'!K1617</f>
        <v xml:space="preserve">     </v>
      </c>
      <c r="L1617" s="1092"/>
      <c r="M1617" s="1093">
        <f t="shared" si="172"/>
        <v>0</v>
      </c>
      <c r="N1617" s="1122">
        <f t="shared" si="171"/>
        <v>0</v>
      </c>
      <c r="O1617" s="1120"/>
      <c r="Q1617" s="317" t="str">
        <f t="shared" ref="Q1617:Q1680" si="173">IF(P1617="X","x",IF(P1617="xx","x",IF(P1617="xy","x",IF(P1617="y","x",IF(OR(N1617&gt;0,N1617&gt;0),"x","")))))</f>
        <v/>
      </c>
      <c r="R1617" s="317" t="str">
        <f t="shared" si="169"/>
        <v/>
      </c>
      <c r="S1617" s="317" t="str">
        <f t="shared" si="170"/>
        <v/>
      </c>
      <c r="T1617" s="317" t="str">
        <f>'REF. DE PREÇOS n editavel'!S1617</f>
        <v/>
      </c>
      <c r="W1617" s="577">
        <v>0</v>
      </c>
      <c r="X1617" s="575"/>
      <c r="Y1617" s="578">
        <f>IF('REF. DE PREÇOS n editavel'!W1617=0,0,IF('REF. DE PREÇOS n editavel'!W1617&gt;0,"c","b"))</f>
        <v>0</v>
      </c>
    </row>
    <row r="1618" spans="1:25" ht="15" customHeight="1">
      <c r="A1618" s="634" t="s">
        <v>165</v>
      </c>
      <c r="B1618" s="1010" t="str">
        <f>'REF. DE PREÇOS n editavel'!B1618</f>
        <v/>
      </c>
      <c r="C1618" s="1045" t="str">
        <f>'REF. DE PREÇOS n editavel'!C1618</f>
        <v/>
      </c>
      <c r="D1618" s="1096">
        <f>'REF. DE PREÇOS n editavel'!D1618</f>
        <v>0</v>
      </c>
      <c r="E1618" s="882">
        <f>'REF. DE PREÇOS n editavel'!E1618</f>
        <v>0</v>
      </c>
      <c r="F1618" s="883">
        <f>'REF. DE PREÇOS n editavel'!F1618</f>
        <v>0</v>
      </c>
      <c r="G1618" s="887">
        <f>'REF. DE PREÇOS n editavel'!G1618</f>
        <v>0</v>
      </c>
      <c r="H1618" s="876">
        <f>'REF. DE PREÇOS n editavel'!H1618</f>
        <v>0</v>
      </c>
      <c r="I1618" s="876" t="str">
        <f>'REF. DE PREÇOS n editavel'!I1618</f>
        <v/>
      </c>
      <c r="J1618" s="865">
        <f>'REF. DE PREÇOS n editavel'!J1618</f>
        <v>0</v>
      </c>
      <c r="K1618" s="878" t="str">
        <f>'REF. DE PREÇOS n editavel'!K1618</f>
        <v xml:space="preserve">     </v>
      </c>
      <c r="L1618" s="1092"/>
      <c r="M1618" s="1093">
        <f t="shared" si="172"/>
        <v>0</v>
      </c>
      <c r="N1618" s="1122">
        <f t="shared" si="171"/>
        <v>0</v>
      </c>
      <c r="O1618" s="1120"/>
      <c r="Q1618" s="317" t="str">
        <f t="shared" si="173"/>
        <v/>
      </c>
      <c r="R1618" s="317" t="str">
        <f t="shared" si="169"/>
        <v/>
      </c>
      <c r="S1618" s="317" t="str">
        <f t="shared" si="170"/>
        <v/>
      </c>
      <c r="T1618" s="317" t="str">
        <f>'REF. DE PREÇOS n editavel'!S1618</f>
        <v/>
      </c>
      <c r="W1618" s="577">
        <v>0</v>
      </c>
      <c r="X1618" s="575"/>
      <c r="Y1618" s="578">
        <f>IF('REF. DE PREÇOS n editavel'!W1618=0,0,IF('REF. DE PREÇOS n editavel'!W1618&gt;0,"c","b"))</f>
        <v>0</v>
      </c>
    </row>
    <row r="1619" spans="1:25" ht="15" customHeight="1">
      <c r="A1619" s="634" t="s">
        <v>165</v>
      </c>
      <c r="B1619" s="1010" t="str">
        <f>'REF. DE PREÇOS n editavel'!B1619</f>
        <v/>
      </c>
      <c r="C1619" s="1045" t="str">
        <f>'REF. DE PREÇOS n editavel'!C1619</f>
        <v/>
      </c>
      <c r="D1619" s="1096">
        <f>'REF. DE PREÇOS n editavel'!D1619</f>
        <v>0</v>
      </c>
      <c r="E1619" s="882">
        <f>'REF. DE PREÇOS n editavel'!E1619</f>
        <v>0</v>
      </c>
      <c r="F1619" s="883">
        <f>'REF. DE PREÇOS n editavel'!F1619</f>
        <v>0</v>
      </c>
      <c r="G1619" s="887">
        <f>'REF. DE PREÇOS n editavel'!G1619</f>
        <v>0</v>
      </c>
      <c r="H1619" s="876">
        <f>'REF. DE PREÇOS n editavel'!H1619</f>
        <v>0</v>
      </c>
      <c r="I1619" s="876" t="str">
        <f>'REF. DE PREÇOS n editavel'!I1619</f>
        <v/>
      </c>
      <c r="J1619" s="865">
        <f>'REF. DE PREÇOS n editavel'!J1619</f>
        <v>0</v>
      </c>
      <c r="K1619" s="878" t="str">
        <f>'REF. DE PREÇOS n editavel'!K1619</f>
        <v xml:space="preserve">     </v>
      </c>
      <c r="L1619" s="1092"/>
      <c r="M1619" s="1093">
        <f t="shared" si="172"/>
        <v>0</v>
      </c>
      <c r="N1619" s="1122">
        <f t="shared" si="171"/>
        <v>0</v>
      </c>
      <c r="O1619" s="1120"/>
      <c r="Q1619" s="317" t="str">
        <f t="shared" si="173"/>
        <v/>
      </c>
      <c r="R1619" s="317" t="str">
        <f t="shared" ref="R1619:R1682" si="174">IF(P1619="X","x",IF(P1619="y","x",IF(P1619="xx","x",IF(N1619&gt;0,"x",""))))</f>
        <v/>
      </c>
      <c r="S1619" s="317" t="str">
        <f t="shared" ref="S1619:S1682" si="175">IF(P1619="X","x",IF(N1619&gt;0,"x",""))</f>
        <v/>
      </c>
      <c r="T1619" s="317" t="str">
        <f>'REF. DE PREÇOS n editavel'!S1619</f>
        <v/>
      </c>
      <c r="W1619" s="577">
        <v>0</v>
      </c>
      <c r="X1619" s="575"/>
      <c r="Y1619" s="578">
        <f>IF('REF. DE PREÇOS n editavel'!W1619=0,0,IF('REF. DE PREÇOS n editavel'!W1619&gt;0,"c","b"))</f>
        <v>0</v>
      </c>
    </row>
    <row r="1620" spans="1:25" ht="15" customHeight="1">
      <c r="A1620" s="634" t="s">
        <v>165</v>
      </c>
      <c r="B1620" s="1010" t="str">
        <f>'REF. DE PREÇOS n editavel'!B1620</f>
        <v/>
      </c>
      <c r="C1620" s="1045" t="str">
        <f>'REF. DE PREÇOS n editavel'!C1620</f>
        <v/>
      </c>
      <c r="D1620" s="1096">
        <f>'REF. DE PREÇOS n editavel'!D1620</f>
        <v>0</v>
      </c>
      <c r="E1620" s="882">
        <f>'REF. DE PREÇOS n editavel'!E1620</f>
        <v>0</v>
      </c>
      <c r="F1620" s="883">
        <f>'REF. DE PREÇOS n editavel'!F1620</f>
        <v>0</v>
      </c>
      <c r="G1620" s="887">
        <f>'REF. DE PREÇOS n editavel'!G1620</f>
        <v>0</v>
      </c>
      <c r="H1620" s="876">
        <f>'REF. DE PREÇOS n editavel'!H1620</f>
        <v>0</v>
      </c>
      <c r="I1620" s="876" t="str">
        <f>'REF. DE PREÇOS n editavel'!I1620</f>
        <v/>
      </c>
      <c r="J1620" s="865">
        <f>'REF. DE PREÇOS n editavel'!J1620</f>
        <v>0</v>
      </c>
      <c r="K1620" s="878" t="str">
        <f>'REF. DE PREÇOS n editavel'!K1620</f>
        <v xml:space="preserve">     </v>
      </c>
      <c r="L1620" s="1092"/>
      <c r="M1620" s="1093">
        <f t="shared" si="172"/>
        <v>0</v>
      </c>
      <c r="N1620" s="1122">
        <f t="shared" si="171"/>
        <v>0</v>
      </c>
      <c r="O1620" s="1120"/>
      <c r="Q1620" s="317" t="str">
        <f t="shared" si="173"/>
        <v/>
      </c>
      <c r="R1620" s="317" t="str">
        <f t="shared" si="174"/>
        <v/>
      </c>
      <c r="S1620" s="317" t="str">
        <f t="shared" si="175"/>
        <v/>
      </c>
      <c r="T1620" s="317" t="str">
        <f>'REF. DE PREÇOS n editavel'!S1620</f>
        <v/>
      </c>
      <c r="W1620" s="577">
        <v>0</v>
      </c>
      <c r="X1620" s="575"/>
      <c r="Y1620" s="578">
        <f>IF('REF. DE PREÇOS n editavel'!W1620=0,0,IF('REF. DE PREÇOS n editavel'!W1620&gt;0,"c","b"))</f>
        <v>0</v>
      </c>
    </row>
    <row r="1621" spans="1:25" ht="15" customHeight="1">
      <c r="A1621" s="634" t="s">
        <v>165</v>
      </c>
      <c r="B1621" s="1010" t="str">
        <f>'REF. DE PREÇOS n editavel'!B1621</f>
        <v/>
      </c>
      <c r="C1621" s="1045" t="str">
        <f>'REF. DE PREÇOS n editavel'!C1621</f>
        <v/>
      </c>
      <c r="D1621" s="1096">
        <f>'REF. DE PREÇOS n editavel'!D1621</f>
        <v>0</v>
      </c>
      <c r="E1621" s="882">
        <f>'REF. DE PREÇOS n editavel'!E1621</f>
        <v>0</v>
      </c>
      <c r="F1621" s="883">
        <f>'REF. DE PREÇOS n editavel'!F1621</f>
        <v>0</v>
      </c>
      <c r="G1621" s="887">
        <f>'REF. DE PREÇOS n editavel'!G1621</f>
        <v>0</v>
      </c>
      <c r="H1621" s="876">
        <f>'REF. DE PREÇOS n editavel'!H1621</f>
        <v>0</v>
      </c>
      <c r="I1621" s="876" t="str">
        <f>'REF. DE PREÇOS n editavel'!I1621</f>
        <v/>
      </c>
      <c r="J1621" s="865">
        <f>'REF. DE PREÇOS n editavel'!J1621</f>
        <v>0</v>
      </c>
      <c r="K1621" s="878" t="str">
        <f>'REF. DE PREÇOS n editavel'!K1621</f>
        <v xml:space="preserve">     </v>
      </c>
      <c r="L1621" s="1092"/>
      <c r="M1621" s="1093">
        <f t="shared" si="172"/>
        <v>0</v>
      </c>
      <c r="N1621" s="1122">
        <f t="shared" si="171"/>
        <v>0</v>
      </c>
      <c r="O1621" s="1120"/>
      <c r="Q1621" s="317" t="str">
        <f t="shared" si="173"/>
        <v/>
      </c>
      <c r="R1621" s="317" t="str">
        <f t="shared" si="174"/>
        <v/>
      </c>
      <c r="S1621" s="317" t="str">
        <f t="shared" si="175"/>
        <v/>
      </c>
      <c r="T1621" s="317" t="str">
        <f>'REF. DE PREÇOS n editavel'!S1621</f>
        <v/>
      </c>
      <c r="W1621" s="577">
        <v>0</v>
      </c>
      <c r="X1621" s="575"/>
      <c r="Y1621" s="578">
        <f>IF('REF. DE PREÇOS n editavel'!W1621=0,0,IF('REF. DE PREÇOS n editavel'!W1621&gt;0,"c","b"))</f>
        <v>0</v>
      </c>
    </row>
    <row r="1622" spans="1:25" ht="15" customHeight="1">
      <c r="A1622" s="634" t="s">
        <v>165</v>
      </c>
      <c r="B1622" s="1010" t="str">
        <f>'REF. DE PREÇOS n editavel'!B1622</f>
        <v/>
      </c>
      <c r="C1622" s="1045" t="str">
        <f>'REF. DE PREÇOS n editavel'!C1622</f>
        <v/>
      </c>
      <c r="D1622" s="1096">
        <f>'REF. DE PREÇOS n editavel'!D1622</f>
        <v>0</v>
      </c>
      <c r="E1622" s="882">
        <f>'REF. DE PREÇOS n editavel'!E1622</f>
        <v>0</v>
      </c>
      <c r="F1622" s="883">
        <f>'REF. DE PREÇOS n editavel'!F1622</f>
        <v>0</v>
      </c>
      <c r="G1622" s="887">
        <f>'REF. DE PREÇOS n editavel'!G1622</f>
        <v>0</v>
      </c>
      <c r="H1622" s="876">
        <f>'REF. DE PREÇOS n editavel'!H1622</f>
        <v>0</v>
      </c>
      <c r="I1622" s="876" t="str">
        <f>'REF. DE PREÇOS n editavel'!I1622</f>
        <v/>
      </c>
      <c r="J1622" s="865">
        <f>'REF. DE PREÇOS n editavel'!J1622</f>
        <v>0</v>
      </c>
      <c r="K1622" s="878" t="str">
        <f>'REF. DE PREÇOS n editavel'!K1622</f>
        <v xml:space="preserve">     </v>
      </c>
      <c r="L1622" s="1092"/>
      <c r="M1622" s="1093">
        <f t="shared" si="172"/>
        <v>0</v>
      </c>
      <c r="N1622" s="1122">
        <f t="shared" si="171"/>
        <v>0</v>
      </c>
      <c r="O1622" s="1120"/>
      <c r="Q1622" s="317" t="str">
        <f t="shared" si="173"/>
        <v/>
      </c>
      <c r="R1622" s="317" t="str">
        <f t="shared" si="174"/>
        <v/>
      </c>
      <c r="S1622" s="317" t="str">
        <f t="shared" si="175"/>
        <v/>
      </c>
      <c r="T1622" s="317" t="str">
        <f>'REF. DE PREÇOS n editavel'!S1622</f>
        <v/>
      </c>
      <c r="W1622" s="577">
        <v>0</v>
      </c>
      <c r="X1622" s="575"/>
      <c r="Y1622" s="578">
        <f>IF('REF. DE PREÇOS n editavel'!W1622=0,0,IF('REF. DE PREÇOS n editavel'!W1622&gt;0,"c","b"))</f>
        <v>0</v>
      </c>
    </row>
    <row r="1623" spans="1:25" ht="15" customHeight="1">
      <c r="A1623" s="634" t="s">
        <v>165</v>
      </c>
      <c r="B1623" s="1010" t="str">
        <f>'REF. DE PREÇOS n editavel'!B1623</f>
        <v/>
      </c>
      <c r="C1623" s="1045" t="str">
        <f>'REF. DE PREÇOS n editavel'!C1623</f>
        <v/>
      </c>
      <c r="D1623" s="1096">
        <f>'REF. DE PREÇOS n editavel'!D1623</f>
        <v>0</v>
      </c>
      <c r="E1623" s="882">
        <f>'REF. DE PREÇOS n editavel'!E1623</f>
        <v>0</v>
      </c>
      <c r="F1623" s="883">
        <f>'REF. DE PREÇOS n editavel'!F1623</f>
        <v>0</v>
      </c>
      <c r="G1623" s="887">
        <f>'REF. DE PREÇOS n editavel'!G1623</f>
        <v>0</v>
      </c>
      <c r="H1623" s="876">
        <f>'REF. DE PREÇOS n editavel'!H1623</f>
        <v>0</v>
      </c>
      <c r="I1623" s="876" t="str">
        <f>'REF. DE PREÇOS n editavel'!I1623</f>
        <v/>
      </c>
      <c r="J1623" s="865">
        <f>'REF. DE PREÇOS n editavel'!J1623</f>
        <v>0</v>
      </c>
      <c r="K1623" s="878" t="str">
        <f>'REF. DE PREÇOS n editavel'!K1623</f>
        <v xml:space="preserve">     </v>
      </c>
      <c r="L1623" s="1092"/>
      <c r="M1623" s="1093">
        <f t="shared" si="172"/>
        <v>0</v>
      </c>
      <c r="N1623" s="1122">
        <f t="shared" ref="N1623:N1686" si="176">IF(ISBLANK(L1623),0,IF(W1623=0,ROUND(L1623*M1623,2),IF(W1623="b",ROUNDDOWN(L1623*M1623,2),ROUNDUP(L1623*M1623,2))))</f>
        <v>0</v>
      </c>
      <c r="O1623" s="1120"/>
      <c r="Q1623" s="317" t="str">
        <f t="shared" si="173"/>
        <v/>
      </c>
      <c r="R1623" s="317" t="str">
        <f t="shared" si="174"/>
        <v/>
      </c>
      <c r="S1623" s="317" t="str">
        <f t="shared" si="175"/>
        <v/>
      </c>
      <c r="T1623" s="317" t="str">
        <f>'REF. DE PREÇOS n editavel'!S1623</f>
        <v/>
      </c>
      <c r="W1623" s="577">
        <v>0</v>
      </c>
      <c r="X1623" s="575"/>
      <c r="Y1623" s="578">
        <f>IF('REF. DE PREÇOS n editavel'!W1623=0,0,IF('REF. DE PREÇOS n editavel'!W1623&gt;0,"c","b"))</f>
        <v>0</v>
      </c>
    </row>
    <row r="1624" spans="1:25" ht="15" customHeight="1" thickBot="1">
      <c r="A1624" s="634" t="s">
        <v>165</v>
      </c>
      <c r="B1624" s="1010" t="str">
        <f>'REF. DE PREÇOS n editavel'!B1624</f>
        <v/>
      </c>
      <c r="C1624" s="1045" t="str">
        <f>'REF. DE PREÇOS n editavel'!C1624</f>
        <v/>
      </c>
      <c r="D1624" s="1096">
        <f>'REF. DE PREÇOS n editavel'!D1624</f>
        <v>0</v>
      </c>
      <c r="E1624" s="882">
        <f>'REF. DE PREÇOS n editavel'!E1624</f>
        <v>0</v>
      </c>
      <c r="F1624" s="883">
        <f>'REF. DE PREÇOS n editavel'!F1624</f>
        <v>0</v>
      </c>
      <c r="G1624" s="887">
        <f>'REF. DE PREÇOS n editavel'!G1624</f>
        <v>0</v>
      </c>
      <c r="H1624" s="876">
        <f>'REF. DE PREÇOS n editavel'!H1624</f>
        <v>0</v>
      </c>
      <c r="I1624" s="876" t="str">
        <f>'REF. DE PREÇOS n editavel'!I1624</f>
        <v/>
      </c>
      <c r="J1624" s="865">
        <f>'REF. DE PREÇOS n editavel'!J1624</f>
        <v>0</v>
      </c>
      <c r="K1624" s="878" t="str">
        <f>'REF. DE PREÇOS n editavel'!K1624</f>
        <v xml:space="preserve">     </v>
      </c>
      <c r="L1624" s="1092"/>
      <c r="M1624" s="1093">
        <f t="shared" si="172"/>
        <v>0</v>
      </c>
      <c r="N1624" s="1122">
        <f t="shared" si="176"/>
        <v>0</v>
      </c>
      <c r="O1624" s="1120"/>
      <c r="Q1624" s="317" t="str">
        <f t="shared" si="173"/>
        <v/>
      </c>
      <c r="R1624" s="317" t="str">
        <f t="shared" si="174"/>
        <v/>
      </c>
      <c r="S1624" s="317" t="str">
        <f t="shared" si="175"/>
        <v/>
      </c>
      <c r="T1624" s="317" t="str">
        <f>'REF. DE PREÇOS n editavel'!S1624</f>
        <v/>
      </c>
      <c r="W1624" s="577">
        <v>0</v>
      </c>
      <c r="X1624" s="575"/>
      <c r="Y1624" s="578">
        <f>IF('REF. DE PREÇOS n editavel'!W1624=0,0,IF('REF. DE PREÇOS n editavel'!W1624&gt;0,"c","b"))</f>
        <v>0</v>
      </c>
    </row>
    <row r="1625" spans="1:25" ht="15" customHeight="1" thickBot="1">
      <c r="A1625" s="317" t="s">
        <v>441</v>
      </c>
      <c r="B1625" s="924" t="s">
        <v>439</v>
      </c>
      <c r="C1625" s="925"/>
      <c r="D1625" s="926" t="s">
        <v>440</v>
      </c>
      <c r="E1625" s="917">
        <f>'REF. DE PREÇOS n editavel'!E1625</f>
        <v>0</v>
      </c>
      <c r="F1625" s="851">
        <f>'REF. DE PREÇOS n editavel'!F1625</f>
        <v>0</v>
      </c>
      <c r="G1625" s="918"/>
      <c r="H1625" s="919">
        <f>'REF. DE PREÇOS n editavel'!H1625</f>
        <v>0</v>
      </c>
      <c r="I1625" s="919">
        <f>'REF. DE PREÇOS n editavel'!I1625</f>
        <v>0</v>
      </c>
      <c r="J1625" s="919">
        <f>'REF. DE PREÇOS n editavel'!J1625</f>
        <v>0</v>
      </c>
      <c r="K1625" s="853" t="s">
        <v>506</v>
      </c>
      <c r="L1625" s="1126"/>
      <c r="M1625" s="1127">
        <f t="shared" ref="M1625:M1669" si="177">IF(L1625=0,0,ROUND(J1625,2))</f>
        <v>0</v>
      </c>
      <c r="N1625" s="1128">
        <f t="shared" si="176"/>
        <v>0</v>
      </c>
      <c r="O1625" s="1129">
        <f>SUM(N1626:N1719)</f>
        <v>32567.4</v>
      </c>
      <c r="P1625" s="58" t="str">
        <f>IF(OR(O1625&gt;0,O1625&gt;0),"X","")</f>
        <v>X</v>
      </c>
      <c r="Q1625" s="317" t="str">
        <f t="shared" si="173"/>
        <v>x</v>
      </c>
      <c r="R1625" s="317" t="str">
        <f t="shared" si="174"/>
        <v>x</v>
      </c>
      <c r="S1625" s="317" t="str">
        <f t="shared" si="175"/>
        <v>x</v>
      </c>
      <c r="T1625" s="317" t="str">
        <f>'REF. DE PREÇOS n editavel'!S1625</f>
        <v>x</v>
      </c>
      <c r="W1625" s="577">
        <v>0</v>
      </c>
      <c r="X1625" s="575"/>
      <c r="Y1625" s="578">
        <f>IF('REF. DE PREÇOS n editavel'!W1625=0,0,IF('REF. DE PREÇOS n editavel'!W1625&gt;0,"c","b"))</f>
        <v>0</v>
      </c>
    </row>
    <row r="1626" spans="1:25" ht="15" customHeight="1">
      <c r="A1626" s="317">
        <v>850000</v>
      </c>
      <c r="B1626" s="870">
        <v>850000</v>
      </c>
      <c r="C1626" s="871" t="s">
        <v>184</v>
      </c>
      <c r="D1626" s="881" t="s">
        <v>279</v>
      </c>
      <c r="E1626" s="873">
        <f>'REF. DE PREÇOS n editavel'!E1626</f>
        <v>18</v>
      </c>
      <c r="F1626" s="883">
        <f>'REF. DE PREÇOS n editavel'!F1626</f>
        <v>1.73</v>
      </c>
      <c r="G1626" s="884">
        <f>'REF. DE PREÇOS n editavel'!G1626</f>
        <v>37.956200000000003</v>
      </c>
      <c r="H1626" s="876">
        <f>'REF. DE PREÇOS n editavel'!H1626</f>
        <v>7254.91</v>
      </c>
      <c r="I1626" s="876">
        <f>'REF. DE PREÇOS n editavel'!I1626</f>
        <v>7292.8661999999995</v>
      </c>
      <c r="J1626" s="877">
        <f>'REF. DE PREÇOS n editavel'!J1626</f>
        <v>8913.34</v>
      </c>
      <c r="K1626" s="878" t="s">
        <v>15</v>
      </c>
      <c r="L1626" s="1092"/>
      <c r="M1626" s="1093">
        <f t="shared" si="177"/>
        <v>0</v>
      </c>
      <c r="N1626" s="868">
        <f t="shared" si="176"/>
        <v>0</v>
      </c>
      <c r="O1626" s="880"/>
      <c r="Q1626" s="317" t="str">
        <f t="shared" si="173"/>
        <v/>
      </c>
      <c r="R1626" s="317" t="str">
        <f t="shared" si="174"/>
        <v/>
      </c>
      <c r="S1626" s="317" t="str">
        <f t="shared" si="175"/>
        <v/>
      </c>
      <c r="T1626" s="317" t="str">
        <f>'REF. DE PREÇOS n editavel'!S1626</f>
        <v/>
      </c>
      <c r="W1626" s="577">
        <v>0</v>
      </c>
      <c r="X1626" s="575"/>
      <c r="Y1626" s="578">
        <f>IF('REF. DE PREÇOS n editavel'!W1626=0,0,IF('REF. DE PREÇOS n editavel'!W1626&gt;0,"c","b"))</f>
        <v>0</v>
      </c>
    </row>
    <row r="1627" spans="1:25" ht="15" customHeight="1">
      <c r="A1627" s="317">
        <v>603000</v>
      </c>
      <c r="B1627" s="870" t="s">
        <v>1753</v>
      </c>
      <c r="C1627" s="871" t="s">
        <v>184</v>
      </c>
      <c r="D1627" s="881" t="s">
        <v>261</v>
      </c>
      <c r="E1627" s="882">
        <f>'REF. DE PREÇOS n editavel'!E1627</f>
        <v>0</v>
      </c>
      <c r="F1627" s="883">
        <f>'REF. DE PREÇOS n editavel'!F1627</f>
        <v>0</v>
      </c>
      <c r="G1627" s="923">
        <f>'REF. DE PREÇOS n editavel'!G1627</f>
        <v>0</v>
      </c>
      <c r="H1627" s="876">
        <f>'REF. DE PREÇOS n editavel'!H1627</f>
        <v>18.34</v>
      </c>
      <c r="I1627" s="876">
        <f>'REF. DE PREÇOS n editavel'!I1627</f>
        <v>18.34</v>
      </c>
      <c r="J1627" s="877">
        <f>'REF. DE PREÇOS n editavel'!J1627</f>
        <v>22.42</v>
      </c>
      <c r="K1627" s="878" t="s">
        <v>16</v>
      </c>
      <c r="L1627" s="1092"/>
      <c r="M1627" s="1093">
        <f t="shared" si="177"/>
        <v>0</v>
      </c>
      <c r="N1627" s="868">
        <f t="shared" si="176"/>
        <v>0</v>
      </c>
      <c r="O1627" s="880"/>
      <c r="Q1627" s="317" t="str">
        <f t="shared" si="173"/>
        <v/>
      </c>
      <c r="R1627" s="317" t="str">
        <f t="shared" si="174"/>
        <v/>
      </c>
      <c r="S1627" s="317" t="str">
        <f t="shared" si="175"/>
        <v/>
      </c>
      <c r="T1627" s="317" t="str">
        <f>'REF. DE PREÇOS n editavel'!S1627</f>
        <v/>
      </c>
      <c r="W1627" s="577">
        <v>0</v>
      </c>
      <c r="X1627" s="575"/>
      <c r="Y1627" s="578">
        <f>IF('REF. DE PREÇOS n editavel'!W1627=0,0,IF('REF. DE PREÇOS n editavel'!W1627&gt;0,"c","b"))</f>
        <v>0</v>
      </c>
    </row>
    <row r="1628" spans="1:25" ht="15" customHeight="1">
      <c r="A1628" s="317">
        <v>603300</v>
      </c>
      <c r="B1628" s="870" t="s">
        <v>1756</v>
      </c>
      <c r="C1628" s="871" t="s">
        <v>184</v>
      </c>
      <c r="D1628" s="881" t="s">
        <v>262</v>
      </c>
      <c r="E1628" s="882">
        <f>'REF. DE PREÇOS n editavel'!E1628</f>
        <v>0</v>
      </c>
      <c r="F1628" s="883">
        <f>'REF. DE PREÇOS n editavel'!F1628</f>
        <v>0</v>
      </c>
      <c r="G1628" s="923">
        <f>'REF. DE PREÇOS n editavel'!G1628</f>
        <v>0</v>
      </c>
      <c r="H1628" s="876">
        <f>'REF. DE PREÇOS n editavel'!H1628</f>
        <v>20.91</v>
      </c>
      <c r="I1628" s="876">
        <f>'REF. DE PREÇOS n editavel'!I1628</f>
        <v>20.91</v>
      </c>
      <c r="J1628" s="877">
        <f>'REF. DE PREÇOS n editavel'!J1628</f>
        <v>25.56</v>
      </c>
      <c r="K1628" s="878" t="s">
        <v>16</v>
      </c>
      <c r="L1628" s="1092"/>
      <c r="M1628" s="1093">
        <f t="shared" si="177"/>
        <v>0</v>
      </c>
      <c r="N1628" s="868">
        <f t="shared" si="176"/>
        <v>0</v>
      </c>
      <c r="O1628" s="880"/>
      <c r="Q1628" s="317" t="str">
        <f t="shared" si="173"/>
        <v/>
      </c>
      <c r="R1628" s="317" t="str">
        <f t="shared" si="174"/>
        <v/>
      </c>
      <c r="S1628" s="317" t="str">
        <f t="shared" si="175"/>
        <v/>
      </c>
      <c r="T1628" s="317" t="str">
        <f>'REF. DE PREÇOS n editavel'!S1628</f>
        <v/>
      </c>
      <c r="W1628" s="577">
        <v>0</v>
      </c>
      <c r="X1628" s="575"/>
      <c r="Y1628" s="578">
        <f>IF('REF. DE PREÇOS n editavel'!W1628=0,0,IF('REF. DE PREÇOS n editavel'!W1628&gt;0,"c","b"))</f>
        <v>0</v>
      </c>
    </row>
    <row r="1629" spans="1:25" ht="15" customHeight="1">
      <c r="A1629" s="317">
        <v>601100</v>
      </c>
      <c r="B1629" s="870" t="s">
        <v>1751</v>
      </c>
      <c r="C1629" s="871" t="s">
        <v>184</v>
      </c>
      <c r="D1629" s="881" t="s">
        <v>324</v>
      </c>
      <c r="E1629" s="882">
        <f>'REF. DE PREÇOS n editavel'!E1629</f>
        <v>0</v>
      </c>
      <c r="F1629" s="883">
        <f>'REF. DE PREÇOS n editavel'!F1629</f>
        <v>0</v>
      </c>
      <c r="G1629" s="887">
        <f>'REF. DE PREÇOS n editavel'!G1629</f>
        <v>0</v>
      </c>
      <c r="H1629" s="876">
        <f>'REF. DE PREÇOS n editavel'!H1629</f>
        <v>54.05</v>
      </c>
      <c r="I1629" s="876">
        <f>'REF. DE PREÇOS n editavel'!I1629</f>
        <v>54.05</v>
      </c>
      <c r="J1629" s="877">
        <f>'REF. DE PREÇOS n editavel'!J1629</f>
        <v>66.06</v>
      </c>
      <c r="K1629" s="878" t="s">
        <v>10</v>
      </c>
      <c r="L1629" s="1092"/>
      <c r="M1629" s="1093">
        <f t="shared" si="177"/>
        <v>0</v>
      </c>
      <c r="N1629" s="868">
        <f t="shared" si="176"/>
        <v>0</v>
      </c>
      <c r="O1629" s="880"/>
      <c r="Q1629" s="317" t="str">
        <f t="shared" si="173"/>
        <v/>
      </c>
      <c r="R1629" s="317" t="str">
        <f t="shared" si="174"/>
        <v/>
      </c>
      <c r="S1629" s="317" t="str">
        <f t="shared" si="175"/>
        <v/>
      </c>
      <c r="T1629" s="317" t="str">
        <f>'REF. DE PREÇOS n editavel'!S1629</f>
        <v/>
      </c>
      <c r="W1629" s="577">
        <v>0</v>
      </c>
      <c r="X1629" s="575"/>
      <c r="Y1629" s="578">
        <f>IF('REF. DE PREÇOS n editavel'!W1629=0,0,IF('REF. DE PREÇOS n editavel'!W1629&gt;0,"c","b"))</f>
        <v>0</v>
      </c>
    </row>
    <row r="1630" spans="1:25" ht="15" customHeight="1">
      <c r="A1630" s="317">
        <v>520100</v>
      </c>
      <c r="B1630" s="870" t="s">
        <v>1546</v>
      </c>
      <c r="C1630" s="871" t="s">
        <v>184</v>
      </c>
      <c r="D1630" s="881" t="s">
        <v>270</v>
      </c>
      <c r="E1630" s="873">
        <f>'REF. DE PREÇOS n editavel'!E1630</f>
        <v>1</v>
      </c>
      <c r="F1630" s="874">
        <f>'REF. DE PREÇOS n editavel'!F1630</f>
        <v>2.0999999999999996</v>
      </c>
      <c r="G1630" s="884">
        <f>'REF. DE PREÇOS n editavel'!G1630</f>
        <v>7.8749999999999982</v>
      </c>
      <c r="H1630" s="928">
        <f>'REF. DE PREÇOS n editavel'!H1630</f>
        <v>5.45</v>
      </c>
      <c r="I1630" s="876">
        <f>'REF. DE PREÇOS n editavel'!I1630</f>
        <v>13.324999999999999</v>
      </c>
      <c r="J1630" s="877">
        <f>'REF. DE PREÇOS n editavel'!J1630</f>
        <v>16.29</v>
      </c>
      <c r="K1630" s="878" t="s">
        <v>10</v>
      </c>
      <c r="L1630" s="1092"/>
      <c r="M1630" s="1093">
        <f t="shared" si="177"/>
        <v>0</v>
      </c>
      <c r="N1630" s="868">
        <f t="shared" si="176"/>
        <v>0</v>
      </c>
      <c r="O1630" s="880"/>
      <c r="Q1630" s="317" t="str">
        <f t="shared" si="173"/>
        <v/>
      </c>
      <c r="R1630" s="317" t="str">
        <f t="shared" si="174"/>
        <v/>
      </c>
      <c r="S1630" s="317" t="str">
        <f t="shared" si="175"/>
        <v/>
      </c>
      <c r="T1630" s="317" t="str">
        <f>'REF. DE PREÇOS n editavel'!S1630</f>
        <v/>
      </c>
      <c r="W1630" s="577">
        <v>0</v>
      </c>
      <c r="X1630" s="575"/>
      <c r="Y1630" s="578">
        <f>IF('REF. DE PREÇOS n editavel'!W1630=0,0,IF('REF. DE PREÇOS n editavel'!W1630&gt;0,"c","b"))</f>
        <v>0</v>
      </c>
    </row>
    <row r="1631" spans="1:25" ht="15" customHeight="1">
      <c r="A1631" s="317">
        <v>520100</v>
      </c>
      <c r="B1631" s="870" t="s">
        <v>1547</v>
      </c>
      <c r="C1631" s="871" t="s">
        <v>184</v>
      </c>
      <c r="D1631" s="881" t="s">
        <v>271</v>
      </c>
      <c r="E1631" s="873">
        <f>'REF. DE PREÇOS n editavel'!E1631</f>
        <v>10</v>
      </c>
      <c r="F1631" s="874">
        <f>'REF. DE PREÇOS n editavel'!F1631</f>
        <v>2.0999999999999996</v>
      </c>
      <c r="G1631" s="884">
        <f>'REF. DE PREÇOS n editavel'!G1631</f>
        <v>28.097999999999995</v>
      </c>
      <c r="H1631" s="928">
        <f>'REF. DE PREÇOS n editavel'!H1631</f>
        <v>5.45</v>
      </c>
      <c r="I1631" s="876">
        <f>'REF. DE PREÇOS n editavel'!I1631</f>
        <v>33.547999999999995</v>
      </c>
      <c r="J1631" s="877">
        <f>'REF. DE PREÇOS n editavel'!J1631</f>
        <v>41</v>
      </c>
      <c r="K1631" s="878" t="s">
        <v>10</v>
      </c>
      <c r="L1631" s="1092"/>
      <c r="M1631" s="1093">
        <f t="shared" si="177"/>
        <v>0</v>
      </c>
      <c r="N1631" s="868">
        <f t="shared" si="176"/>
        <v>0</v>
      </c>
      <c r="O1631" s="880"/>
      <c r="Q1631" s="317" t="str">
        <f t="shared" si="173"/>
        <v/>
      </c>
      <c r="R1631" s="317" t="str">
        <f t="shared" si="174"/>
        <v/>
      </c>
      <c r="S1631" s="317" t="str">
        <f t="shared" si="175"/>
        <v/>
      </c>
      <c r="T1631" s="317" t="str">
        <f>'REF. DE PREÇOS n editavel'!S1631</f>
        <v/>
      </c>
      <c r="W1631" s="577">
        <v>0</v>
      </c>
      <c r="X1631" s="575"/>
      <c r="Y1631" s="578">
        <f>IF('REF. DE PREÇOS n editavel'!W1631=0,0,IF('REF. DE PREÇOS n editavel'!W1631&gt;0,"c","b"))</f>
        <v>0</v>
      </c>
    </row>
    <row r="1632" spans="1:25" ht="15" customHeight="1">
      <c r="A1632" s="317">
        <v>532500</v>
      </c>
      <c r="B1632" s="870" t="s">
        <v>1721</v>
      </c>
      <c r="C1632" s="871" t="s">
        <v>184</v>
      </c>
      <c r="D1632" s="931" t="s">
        <v>329</v>
      </c>
      <c r="E1632" s="882">
        <f>'REF. DE PREÇOS n editavel'!E1632</f>
        <v>290</v>
      </c>
      <c r="F1632" s="883">
        <f>'REF. DE PREÇOS n editavel'!F1632</f>
        <v>1.7250000000000001</v>
      </c>
      <c r="G1632" s="884">
        <f>'REF. DE PREÇOS n editavel'!G1632</f>
        <v>539.89050000000009</v>
      </c>
      <c r="H1632" s="876">
        <f>'REF. DE PREÇOS n editavel'!H1632</f>
        <v>102.38</v>
      </c>
      <c r="I1632" s="876">
        <f>'REF. DE PREÇOS n editavel'!I1632</f>
        <v>642.27050000000008</v>
      </c>
      <c r="J1632" s="877">
        <f>'REF. DE PREÇOS n editavel'!J1632</f>
        <v>784.98</v>
      </c>
      <c r="K1632" s="878" t="s">
        <v>10</v>
      </c>
      <c r="L1632" s="1092"/>
      <c r="M1632" s="1093">
        <f t="shared" si="177"/>
        <v>0</v>
      </c>
      <c r="N1632" s="868">
        <f t="shared" si="176"/>
        <v>0</v>
      </c>
      <c r="O1632" s="880"/>
      <c r="Q1632" s="317" t="str">
        <f t="shared" si="173"/>
        <v/>
      </c>
      <c r="R1632" s="317" t="str">
        <f t="shared" si="174"/>
        <v/>
      </c>
      <c r="S1632" s="317" t="str">
        <f t="shared" si="175"/>
        <v/>
      </c>
      <c r="T1632" s="317" t="str">
        <f>'REF. DE PREÇOS n editavel'!S1632</f>
        <v/>
      </c>
      <c r="W1632" s="577">
        <v>0</v>
      </c>
      <c r="X1632" s="575"/>
      <c r="Y1632" s="578">
        <f>IF('REF. DE PREÇOS n editavel'!W1632=0,0,IF('REF. DE PREÇOS n editavel'!W1632&gt;0,"c","b"))</f>
        <v>0</v>
      </c>
    </row>
    <row r="1633" spans="1:25" ht="15" customHeight="1">
      <c r="A1633" s="317">
        <v>603900</v>
      </c>
      <c r="B1633" s="870" t="s">
        <v>1726</v>
      </c>
      <c r="C1633" s="871" t="s">
        <v>184</v>
      </c>
      <c r="D1633" s="931" t="s">
        <v>330</v>
      </c>
      <c r="E1633" s="882">
        <f>'REF. DE PREÇOS n editavel'!E1633</f>
        <v>43.1</v>
      </c>
      <c r="F1633" s="883">
        <f>'REF. DE PREÇOS n editavel'!F1633</f>
        <v>1.5</v>
      </c>
      <c r="G1633" s="884">
        <f>'REF. DE PREÇOS n editavel'!G1633</f>
        <v>73.19550000000001</v>
      </c>
      <c r="H1633" s="876">
        <f>'REF. DE PREÇOS n editavel'!H1633</f>
        <v>131.84</v>
      </c>
      <c r="I1633" s="876">
        <f>'REF. DE PREÇOS n editavel'!I1633</f>
        <v>205.03550000000001</v>
      </c>
      <c r="J1633" s="877">
        <f>'REF. DE PREÇOS n editavel'!J1633</f>
        <v>250.59</v>
      </c>
      <c r="K1633" s="878" t="s">
        <v>10</v>
      </c>
      <c r="L1633" s="1092"/>
      <c r="M1633" s="1093">
        <f t="shared" si="177"/>
        <v>0</v>
      </c>
      <c r="N1633" s="868">
        <f t="shared" si="176"/>
        <v>0</v>
      </c>
      <c r="O1633" s="880"/>
      <c r="Q1633" s="317" t="str">
        <f t="shared" si="173"/>
        <v/>
      </c>
      <c r="R1633" s="317" t="str">
        <f t="shared" si="174"/>
        <v/>
      </c>
      <c r="S1633" s="317" t="str">
        <f t="shared" si="175"/>
        <v/>
      </c>
      <c r="T1633" s="317" t="str">
        <f>'REF. DE PREÇOS n editavel'!S1633</f>
        <v/>
      </c>
      <c r="W1633" s="577">
        <v>0</v>
      </c>
      <c r="X1633" s="575"/>
      <c r="Y1633" s="578">
        <f>IF('REF. DE PREÇOS n editavel'!W1633=0,0,IF('REF. DE PREÇOS n editavel'!W1633&gt;0,"c","b"))</f>
        <v>0</v>
      </c>
    </row>
    <row r="1634" spans="1:25" ht="15" customHeight="1">
      <c r="A1634" s="317">
        <v>605000</v>
      </c>
      <c r="B1634" s="870" t="s">
        <v>1765</v>
      </c>
      <c r="C1634" s="871" t="s">
        <v>184</v>
      </c>
      <c r="D1634" s="881" t="s">
        <v>259</v>
      </c>
      <c r="E1634" s="882">
        <f>'REF. DE PREÇOS n editavel'!E1634</f>
        <v>0</v>
      </c>
      <c r="F1634" s="883">
        <f>'REF. DE PREÇOS n editavel'!F1634</f>
        <v>0</v>
      </c>
      <c r="G1634" s="887">
        <f>'REF. DE PREÇOS n editavel'!G1634</f>
        <v>449.80907000000002</v>
      </c>
      <c r="H1634" s="876">
        <f>'REF. DE PREÇOS n editavel'!H1634</f>
        <v>425.25</v>
      </c>
      <c r="I1634" s="876">
        <f>'REF. DE PREÇOS n editavel'!I1634</f>
        <v>875.05907000000002</v>
      </c>
      <c r="J1634" s="877">
        <f>'REF. DE PREÇOS n editavel'!J1634</f>
        <v>1069.5</v>
      </c>
      <c r="K1634" s="878" t="s">
        <v>10</v>
      </c>
      <c r="L1634" s="1092"/>
      <c r="M1634" s="1093">
        <f t="shared" si="177"/>
        <v>0</v>
      </c>
      <c r="N1634" s="868">
        <f t="shared" si="176"/>
        <v>0</v>
      </c>
      <c r="O1634" s="880"/>
      <c r="Q1634" s="317" t="str">
        <f t="shared" si="173"/>
        <v/>
      </c>
      <c r="R1634" s="317" t="str">
        <f t="shared" si="174"/>
        <v/>
      </c>
      <c r="S1634" s="317" t="str">
        <f t="shared" si="175"/>
        <v/>
      </c>
      <c r="T1634" s="317" t="str">
        <f>'REF. DE PREÇOS n editavel'!S1634</f>
        <v/>
      </c>
      <c r="W1634" s="577">
        <v>0</v>
      </c>
      <c r="X1634" s="575"/>
      <c r="Y1634" s="578">
        <f>IF('REF. DE PREÇOS n editavel'!W1634=0,0,IF('REF. DE PREÇOS n editavel'!W1634&gt;0,"c","b"))</f>
        <v>0</v>
      </c>
    </row>
    <row r="1635" spans="1:25" ht="15" customHeight="1">
      <c r="A1635" s="317" t="s">
        <v>147</v>
      </c>
      <c r="B1635" s="870" t="s">
        <v>147</v>
      </c>
      <c r="C1635" s="871"/>
      <c r="D1635" s="931" t="s">
        <v>190</v>
      </c>
      <c r="E1635" s="882">
        <f>'REF. DE PREÇOS n editavel'!E1635</f>
        <v>445</v>
      </c>
      <c r="F1635" s="883">
        <f>'REF. DE PREÇOS n editavel'!F1635</f>
        <v>0.18</v>
      </c>
      <c r="G1635" s="884">
        <f>'REF. DE PREÇOS n editavel'!G1635</f>
        <v>63.885600000000004</v>
      </c>
      <c r="H1635" s="876">
        <f>'REF. DE PREÇOS n editavel'!H1635</f>
        <v>0</v>
      </c>
      <c r="I1635" s="876">
        <f>'REF. DE PREÇOS n editavel'!I1635</f>
        <v>0</v>
      </c>
      <c r="J1635" s="877">
        <f>'REF. DE PREÇOS n editavel'!J1635</f>
        <v>0</v>
      </c>
      <c r="K1635" s="932" t="s">
        <v>506</v>
      </c>
      <c r="L1635" s="933"/>
      <c r="M1635" s="1112">
        <f t="shared" si="177"/>
        <v>0</v>
      </c>
      <c r="N1635" s="868">
        <f t="shared" si="176"/>
        <v>0</v>
      </c>
      <c r="O1635" s="880"/>
      <c r="P1635" s="58" t="str">
        <f>IF(N1634&gt;0,"xx",IF(N1634&gt;0,"xy",""))</f>
        <v/>
      </c>
      <c r="Q1635" s="317" t="str">
        <f t="shared" si="173"/>
        <v/>
      </c>
      <c r="R1635" s="317" t="str">
        <f t="shared" si="174"/>
        <v/>
      </c>
      <c r="S1635" s="317" t="str">
        <f t="shared" si="175"/>
        <v/>
      </c>
      <c r="T1635" s="317" t="str">
        <f>'REF. DE PREÇOS n editavel'!S1635</f>
        <v/>
      </c>
      <c r="W1635" s="577">
        <v>0</v>
      </c>
      <c r="X1635" s="575"/>
      <c r="Y1635" s="578">
        <f>IF('REF. DE PREÇOS n editavel'!W1635=0,0,IF('REF. DE PREÇOS n editavel'!W1635&gt;0,"c","b"))</f>
        <v>0</v>
      </c>
    </row>
    <row r="1636" spans="1:25" ht="15" customHeight="1">
      <c r="A1636" s="317" t="s">
        <v>147</v>
      </c>
      <c r="B1636" s="870" t="s">
        <v>147</v>
      </c>
      <c r="C1636" s="871"/>
      <c r="D1636" s="931" t="s">
        <v>229</v>
      </c>
      <c r="E1636" s="882">
        <f>'REF. DE PREÇOS n editavel'!E1636</f>
        <v>290</v>
      </c>
      <c r="F1636" s="883">
        <f>'REF. DE PREÇOS n editavel'!F1636</f>
        <v>1.06</v>
      </c>
      <c r="G1636" s="923">
        <f>'REF. DE PREÇOS n editavel'!G1636</f>
        <v>331.75880000000001</v>
      </c>
      <c r="H1636" s="876">
        <f>'REF. DE PREÇOS n editavel'!H1636</f>
        <v>0</v>
      </c>
      <c r="I1636" s="876">
        <f>'REF. DE PREÇOS n editavel'!I1636</f>
        <v>0</v>
      </c>
      <c r="J1636" s="877">
        <f>'REF. DE PREÇOS n editavel'!J1636</f>
        <v>0</v>
      </c>
      <c r="K1636" s="932" t="s">
        <v>506</v>
      </c>
      <c r="L1636" s="933"/>
      <c r="M1636" s="1112">
        <f t="shared" si="177"/>
        <v>0</v>
      </c>
      <c r="N1636" s="868">
        <f t="shared" si="176"/>
        <v>0</v>
      </c>
      <c r="O1636" s="880"/>
      <c r="P1636" s="58" t="str">
        <f>IF(N1634&gt;0,"xx",IF(N1634&gt;0,"xy",""))</f>
        <v/>
      </c>
      <c r="Q1636" s="317" t="str">
        <f t="shared" si="173"/>
        <v/>
      </c>
      <c r="R1636" s="317" t="str">
        <f t="shared" si="174"/>
        <v/>
      </c>
      <c r="S1636" s="317" t="str">
        <f t="shared" si="175"/>
        <v/>
      </c>
      <c r="T1636" s="317" t="str">
        <f>'REF. DE PREÇOS n editavel'!S1636</f>
        <v/>
      </c>
      <c r="W1636" s="577">
        <v>0</v>
      </c>
      <c r="X1636" s="575"/>
      <c r="Y1636" s="578">
        <f>IF('REF. DE PREÇOS n editavel'!W1636=0,0,IF('REF. DE PREÇOS n editavel'!W1636&gt;0,"c","b"))</f>
        <v>0</v>
      </c>
    </row>
    <row r="1637" spans="1:25" ht="15" customHeight="1">
      <c r="A1637" s="317" t="s">
        <v>147</v>
      </c>
      <c r="B1637" s="870" t="s">
        <v>147</v>
      </c>
      <c r="C1637" s="871"/>
      <c r="D1637" s="931" t="s">
        <v>233</v>
      </c>
      <c r="E1637" s="882">
        <f>'REF. DE PREÇOS n editavel'!E1637</f>
        <v>43.1</v>
      </c>
      <c r="F1637" s="883">
        <f>'REF. DE PREÇOS n editavel'!F1637</f>
        <v>1.1100000000000001</v>
      </c>
      <c r="G1637" s="923">
        <f>'REF. DE PREÇOS n editavel'!G1637</f>
        <v>54.164670000000008</v>
      </c>
      <c r="H1637" s="876">
        <f>'REF. DE PREÇOS n editavel'!H1637</f>
        <v>0</v>
      </c>
      <c r="I1637" s="876">
        <f>'REF. DE PREÇOS n editavel'!I1637</f>
        <v>0</v>
      </c>
      <c r="J1637" s="877">
        <f>'REF. DE PREÇOS n editavel'!J1637</f>
        <v>0</v>
      </c>
      <c r="K1637" s="932" t="s">
        <v>506</v>
      </c>
      <c r="L1637" s="933"/>
      <c r="M1637" s="1112">
        <f t="shared" si="177"/>
        <v>0</v>
      </c>
      <c r="N1637" s="868">
        <f t="shared" si="176"/>
        <v>0</v>
      </c>
      <c r="O1637" s="880"/>
      <c r="P1637" s="58" t="str">
        <f>IF(N1634&gt;0,"xx",IF(N1634&gt;0,"xy",""))</f>
        <v/>
      </c>
      <c r="Q1637" s="317" t="str">
        <f t="shared" si="173"/>
        <v/>
      </c>
      <c r="R1637" s="317" t="str">
        <f t="shared" si="174"/>
        <v/>
      </c>
      <c r="S1637" s="317" t="str">
        <f t="shared" si="175"/>
        <v/>
      </c>
      <c r="T1637" s="317" t="str">
        <f>'REF. DE PREÇOS n editavel'!S1637</f>
        <v/>
      </c>
      <c r="W1637" s="577">
        <v>0</v>
      </c>
      <c r="X1637" s="575"/>
      <c r="Y1637" s="578">
        <f>IF('REF. DE PREÇOS n editavel'!W1637=0,0,IF('REF. DE PREÇOS n editavel'!W1637&gt;0,"c","b"))</f>
        <v>0</v>
      </c>
    </row>
    <row r="1638" spans="1:25" ht="15" customHeight="1">
      <c r="A1638" s="317">
        <v>400500</v>
      </c>
      <c r="B1638" s="870" t="s">
        <v>1720</v>
      </c>
      <c r="C1638" s="871" t="s">
        <v>184</v>
      </c>
      <c r="D1638" s="881" t="s">
        <v>1716</v>
      </c>
      <c r="E1638" s="882">
        <f>'REF. DE PREÇOS n editavel'!E1638</f>
        <v>290</v>
      </c>
      <c r="F1638" s="883">
        <f>'REF. DE PREÇOS n editavel'!F1638</f>
        <v>1.73</v>
      </c>
      <c r="G1638" s="923">
        <f>'REF. DE PREÇOS n editavel'!G1638</f>
        <v>541.45540000000005</v>
      </c>
      <c r="H1638" s="876">
        <f>'REF. DE PREÇOS n editavel'!H1638</f>
        <v>83.83</v>
      </c>
      <c r="I1638" s="876">
        <f>'REF. DE PREÇOS n editavel'!I1638</f>
        <v>625.2854000000001</v>
      </c>
      <c r="J1638" s="877">
        <f>'REF. DE PREÇOS n editavel'!J1638</f>
        <v>764.22</v>
      </c>
      <c r="K1638" s="878" t="s">
        <v>10</v>
      </c>
      <c r="L1638" s="1092"/>
      <c r="M1638" s="1093">
        <f t="shared" si="177"/>
        <v>0</v>
      </c>
      <c r="N1638" s="868">
        <f t="shared" si="176"/>
        <v>0</v>
      </c>
      <c r="O1638" s="880"/>
      <c r="Q1638" s="317" t="str">
        <f t="shared" si="173"/>
        <v/>
      </c>
      <c r="R1638" s="317" t="str">
        <f t="shared" si="174"/>
        <v/>
      </c>
      <c r="S1638" s="317" t="str">
        <f t="shared" si="175"/>
        <v/>
      </c>
      <c r="T1638" s="317" t="str">
        <f>'REF. DE PREÇOS n editavel'!S1638</f>
        <v/>
      </c>
      <c r="W1638" s="577">
        <v>0</v>
      </c>
      <c r="X1638" s="575"/>
      <c r="Y1638" s="578">
        <f>IF('REF. DE PREÇOS n editavel'!W1638=0,0,IF('REF. DE PREÇOS n editavel'!W1638&gt;0,"c","b"))</f>
        <v>0</v>
      </c>
    </row>
    <row r="1639" spans="1:25" ht="15" customHeight="1">
      <c r="A1639" s="317">
        <v>532500</v>
      </c>
      <c r="B1639" s="870" t="s">
        <v>1722</v>
      </c>
      <c r="C1639" s="871" t="s">
        <v>184</v>
      </c>
      <c r="D1639" s="881" t="s">
        <v>1719</v>
      </c>
      <c r="E1639" s="882">
        <f>'REF. DE PREÇOS n editavel'!E1639</f>
        <v>290</v>
      </c>
      <c r="F1639" s="883">
        <f>'REF. DE PREÇOS n editavel'!F1639</f>
        <v>1.7250000000000001</v>
      </c>
      <c r="G1639" s="923">
        <f>'REF. DE PREÇOS n editavel'!G1639</f>
        <v>539.89050000000009</v>
      </c>
      <c r="H1639" s="876">
        <f>'REF. DE PREÇOS n editavel'!H1639</f>
        <v>102.38</v>
      </c>
      <c r="I1639" s="876">
        <f>'REF. DE PREÇOS n editavel'!I1639</f>
        <v>642.27050000000008</v>
      </c>
      <c r="J1639" s="877">
        <f>'REF. DE PREÇOS n editavel'!J1639</f>
        <v>784.98</v>
      </c>
      <c r="K1639" s="878" t="s">
        <v>10</v>
      </c>
      <c r="L1639" s="1092"/>
      <c r="M1639" s="1093">
        <f t="shared" si="177"/>
        <v>0</v>
      </c>
      <c r="N1639" s="868">
        <f t="shared" si="176"/>
        <v>0</v>
      </c>
      <c r="O1639" s="880"/>
      <c r="Q1639" s="317" t="str">
        <f t="shared" si="173"/>
        <v/>
      </c>
      <c r="R1639" s="317" t="str">
        <f t="shared" si="174"/>
        <v/>
      </c>
      <c r="S1639" s="317" t="str">
        <f t="shared" si="175"/>
        <v/>
      </c>
      <c r="T1639" s="317" t="str">
        <f>'REF. DE PREÇOS n editavel'!S1639</f>
        <v/>
      </c>
      <c r="W1639" s="577">
        <v>0</v>
      </c>
      <c r="X1639" s="575"/>
      <c r="Y1639" s="578">
        <f>IF('REF. DE PREÇOS n editavel'!W1639=0,0,IF('REF. DE PREÇOS n editavel'!W1639&gt;0,"c","b"))</f>
        <v>0</v>
      </c>
    </row>
    <row r="1640" spans="1:25" ht="15" customHeight="1">
      <c r="A1640" s="317">
        <v>532600</v>
      </c>
      <c r="B1640" s="870" t="s">
        <v>1551</v>
      </c>
      <c r="C1640" s="871" t="s">
        <v>184</v>
      </c>
      <c r="D1640" s="881" t="s">
        <v>1717</v>
      </c>
      <c r="E1640" s="873">
        <f>'REF. DE PREÇOS n editavel'!E1640</f>
        <v>43.1</v>
      </c>
      <c r="F1640" s="883">
        <f>'REF. DE PREÇOS n editavel'!F1640</f>
        <v>2.25</v>
      </c>
      <c r="G1640" s="923">
        <f>'REF. DE PREÇOS n editavel'!G1640</f>
        <v>109.79325000000001</v>
      </c>
      <c r="H1640" s="876">
        <f>'REF. DE PREÇOS n editavel'!H1640</f>
        <v>16.07</v>
      </c>
      <c r="I1640" s="876">
        <f>'REF. DE PREÇOS n editavel'!I1640</f>
        <v>125.86325000000002</v>
      </c>
      <c r="J1640" s="877">
        <f>'REF. DE PREÇOS n editavel'!J1640</f>
        <v>153.83000000000001</v>
      </c>
      <c r="K1640" s="878" t="s">
        <v>10</v>
      </c>
      <c r="L1640" s="1092"/>
      <c r="M1640" s="1093">
        <f t="shared" si="177"/>
        <v>0</v>
      </c>
      <c r="N1640" s="868">
        <f t="shared" si="176"/>
        <v>0</v>
      </c>
      <c r="O1640" s="880"/>
      <c r="Q1640" s="317" t="str">
        <f t="shared" si="173"/>
        <v/>
      </c>
      <c r="R1640" s="317" t="str">
        <f t="shared" si="174"/>
        <v/>
      </c>
      <c r="S1640" s="317" t="str">
        <f t="shared" si="175"/>
        <v/>
      </c>
      <c r="T1640" s="317" t="str">
        <f>'REF. DE PREÇOS n editavel'!S1640</f>
        <v/>
      </c>
      <c r="W1640" s="577">
        <v>0</v>
      </c>
      <c r="X1640" s="575"/>
      <c r="Y1640" s="578">
        <f>IF('REF. DE PREÇOS n editavel'!W1640=0,0,IF('REF. DE PREÇOS n editavel'!W1640&gt;0,"c","b"))</f>
        <v>0</v>
      </c>
    </row>
    <row r="1641" spans="1:25" ht="15" customHeight="1">
      <c r="A1641" s="317">
        <v>603900</v>
      </c>
      <c r="B1641" s="870" t="s">
        <v>1727</v>
      </c>
      <c r="C1641" s="871" t="s">
        <v>184</v>
      </c>
      <c r="D1641" s="881" t="s">
        <v>1718</v>
      </c>
      <c r="E1641" s="882">
        <f>'REF. DE PREÇOS n editavel'!E1641</f>
        <v>10</v>
      </c>
      <c r="F1641" s="883">
        <f>'REF. DE PREÇOS n editavel'!F1641</f>
        <v>1.5</v>
      </c>
      <c r="G1641" s="923">
        <f>'REF. DE PREÇOS n editavel'!G1641</f>
        <v>20.07</v>
      </c>
      <c r="H1641" s="876">
        <f>'REF. DE PREÇOS n editavel'!H1641</f>
        <v>131.84</v>
      </c>
      <c r="I1641" s="876">
        <f>'REF. DE PREÇOS n editavel'!I1641</f>
        <v>151.91</v>
      </c>
      <c r="J1641" s="877">
        <f>'REF. DE PREÇOS n editavel'!J1641</f>
        <v>185.66</v>
      </c>
      <c r="K1641" s="878" t="s">
        <v>10</v>
      </c>
      <c r="L1641" s="1092"/>
      <c r="M1641" s="1093">
        <f t="shared" si="177"/>
        <v>0</v>
      </c>
      <c r="N1641" s="868">
        <f t="shared" si="176"/>
        <v>0</v>
      </c>
      <c r="O1641" s="880"/>
      <c r="Q1641" s="317" t="str">
        <f t="shared" si="173"/>
        <v/>
      </c>
      <c r="R1641" s="317" t="str">
        <f t="shared" si="174"/>
        <v/>
      </c>
      <c r="S1641" s="317" t="str">
        <f t="shared" si="175"/>
        <v/>
      </c>
      <c r="T1641" s="317" t="str">
        <f>'REF. DE PREÇOS n editavel'!S1641</f>
        <v/>
      </c>
      <c r="W1641" s="577">
        <v>0</v>
      </c>
      <c r="X1641" s="575"/>
      <c r="Y1641" s="578">
        <f>IF('REF. DE PREÇOS n editavel'!W1641=0,0,IF('REF. DE PREÇOS n editavel'!W1641&gt;0,"c","b"))</f>
        <v>0</v>
      </c>
    </row>
    <row r="1642" spans="1:25" ht="15" customHeight="1">
      <c r="A1642" s="317">
        <v>605000</v>
      </c>
      <c r="B1642" s="870" t="s">
        <v>1766</v>
      </c>
      <c r="C1642" s="871" t="s">
        <v>184</v>
      </c>
      <c r="D1642" s="881" t="s">
        <v>337</v>
      </c>
      <c r="E1642" s="882">
        <f>'REF. DE PREÇOS n editavel'!E1642</f>
        <v>0</v>
      </c>
      <c r="F1642" s="883">
        <f>'REF. DE PREÇOS n editavel'!F1642</f>
        <v>0</v>
      </c>
      <c r="G1642" s="887">
        <f>'REF. DE PREÇOS n editavel'!G1642</f>
        <v>449.80907000000002</v>
      </c>
      <c r="H1642" s="876">
        <f>'REF. DE PREÇOS n editavel'!H1642</f>
        <v>425.25</v>
      </c>
      <c r="I1642" s="876">
        <f>'REF. DE PREÇOS n editavel'!I1642</f>
        <v>875.05907000000002</v>
      </c>
      <c r="J1642" s="877">
        <f>'REF. DE PREÇOS n editavel'!J1642</f>
        <v>1069.5</v>
      </c>
      <c r="K1642" s="878" t="s">
        <v>10</v>
      </c>
      <c r="L1642" s="1092"/>
      <c r="M1642" s="1093">
        <f t="shared" si="177"/>
        <v>0</v>
      </c>
      <c r="N1642" s="868">
        <f t="shared" si="176"/>
        <v>0</v>
      </c>
      <c r="O1642" s="880"/>
      <c r="Q1642" s="317" t="str">
        <f t="shared" si="173"/>
        <v/>
      </c>
      <c r="R1642" s="317" t="str">
        <f t="shared" si="174"/>
        <v/>
      </c>
      <c r="S1642" s="317" t="str">
        <f t="shared" si="175"/>
        <v/>
      </c>
      <c r="T1642" s="317" t="str">
        <f>'REF. DE PREÇOS n editavel'!S1642</f>
        <v/>
      </c>
      <c r="W1642" s="577">
        <v>0</v>
      </c>
      <c r="X1642" s="575"/>
      <c r="Y1642" s="578">
        <f>IF('REF. DE PREÇOS n editavel'!W1642=0,0,IF('REF. DE PREÇOS n editavel'!W1642&gt;0,"c","b"))</f>
        <v>0</v>
      </c>
    </row>
    <row r="1643" spans="1:25" ht="15" customHeight="1">
      <c r="A1643" s="317" t="s">
        <v>147</v>
      </c>
      <c r="B1643" s="870" t="s">
        <v>147</v>
      </c>
      <c r="C1643" s="871"/>
      <c r="D1643" s="931" t="s">
        <v>190</v>
      </c>
      <c r="E1643" s="882">
        <f>'REF. DE PREÇOS n editavel'!E1643</f>
        <v>445</v>
      </c>
      <c r="F1643" s="883">
        <f>'REF. DE PREÇOS n editavel'!F1643</f>
        <v>0.18</v>
      </c>
      <c r="G1643" s="884">
        <f>'REF. DE PREÇOS n editavel'!G1643</f>
        <v>63.885600000000004</v>
      </c>
      <c r="H1643" s="876">
        <f>'REF. DE PREÇOS n editavel'!H1643</f>
        <v>0</v>
      </c>
      <c r="I1643" s="876">
        <f>'REF. DE PREÇOS n editavel'!I1643</f>
        <v>0</v>
      </c>
      <c r="J1643" s="877">
        <f>'REF. DE PREÇOS n editavel'!J1643</f>
        <v>0</v>
      </c>
      <c r="K1643" s="932" t="s">
        <v>506</v>
      </c>
      <c r="L1643" s="933"/>
      <c r="M1643" s="1112">
        <f t="shared" si="177"/>
        <v>0</v>
      </c>
      <c r="N1643" s="868">
        <f t="shared" si="176"/>
        <v>0</v>
      </c>
      <c r="O1643" s="880"/>
      <c r="P1643" s="58" t="str">
        <f>IF(N1642&gt;0,"xx",IF(N1642&gt;0,"xy",""))</f>
        <v/>
      </c>
      <c r="Q1643" s="317" t="str">
        <f t="shared" si="173"/>
        <v/>
      </c>
      <c r="R1643" s="317" t="str">
        <f t="shared" si="174"/>
        <v/>
      </c>
      <c r="S1643" s="317" t="str">
        <f t="shared" si="175"/>
        <v/>
      </c>
      <c r="T1643" s="317" t="str">
        <f>'REF. DE PREÇOS n editavel'!S1643</f>
        <v/>
      </c>
      <c r="W1643" s="577">
        <v>0</v>
      </c>
      <c r="X1643" s="575"/>
      <c r="Y1643" s="578">
        <f>IF('REF. DE PREÇOS n editavel'!W1643=0,0,IF('REF. DE PREÇOS n editavel'!W1643&gt;0,"c","b"))</f>
        <v>0</v>
      </c>
    </row>
    <row r="1644" spans="1:25" ht="15" customHeight="1">
      <c r="A1644" s="317" t="s">
        <v>147</v>
      </c>
      <c r="B1644" s="870" t="s">
        <v>147</v>
      </c>
      <c r="C1644" s="871"/>
      <c r="D1644" s="931" t="s">
        <v>229</v>
      </c>
      <c r="E1644" s="882">
        <f>'REF. DE PREÇOS n editavel'!E1644</f>
        <v>290</v>
      </c>
      <c r="F1644" s="883">
        <f>'REF. DE PREÇOS n editavel'!F1644</f>
        <v>1.06</v>
      </c>
      <c r="G1644" s="923">
        <f>'REF. DE PREÇOS n editavel'!G1644</f>
        <v>331.75880000000001</v>
      </c>
      <c r="H1644" s="876">
        <f>'REF. DE PREÇOS n editavel'!H1644</f>
        <v>0</v>
      </c>
      <c r="I1644" s="876">
        <f>'REF. DE PREÇOS n editavel'!I1644</f>
        <v>0</v>
      </c>
      <c r="J1644" s="877">
        <f>'REF. DE PREÇOS n editavel'!J1644</f>
        <v>0</v>
      </c>
      <c r="K1644" s="932" t="s">
        <v>506</v>
      </c>
      <c r="L1644" s="933"/>
      <c r="M1644" s="1112">
        <f t="shared" si="177"/>
        <v>0</v>
      </c>
      <c r="N1644" s="868">
        <f t="shared" si="176"/>
        <v>0</v>
      </c>
      <c r="O1644" s="880"/>
      <c r="P1644" s="58" t="str">
        <f>IF(N1642&gt;0,"xx",IF(N1642&gt;0,"xy",""))</f>
        <v/>
      </c>
      <c r="Q1644" s="317" t="str">
        <f t="shared" si="173"/>
        <v/>
      </c>
      <c r="R1644" s="317" t="str">
        <f t="shared" si="174"/>
        <v/>
      </c>
      <c r="S1644" s="317" t="str">
        <f t="shared" si="175"/>
        <v/>
      </c>
      <c r="T1644" s="317" t="str">
        <f>'REF. DE PREÇOS n editavel'!S1644</f>
        <v/>
      </c>
      <c r="W1644" s="577">
        <v>0</v>
      </c>
      <c r="X1644" s="575"/>
      <c r="Y1644" s="578">
        <f>IF('REF. DE PREÇOS n editavel'!W1644=0,0,IF('REF. DE PREÇOS n editavel'!W1644&gt;0,"c","b"))</f>
        <v>0</v>
      </c>
    </row>
    <row r="1645" spans="1:25" ht="15" customHeight="1">
      <c r="A1645" s="317" t="s">
        <v>147</v>
      </c>
      <c r="B1645" s="870" t="s">
        <v>147</v>
      </c>
      <c r="C1645" s="871"/>
      <c r="D1645" s="931" t="s">
        <v>233</v>
      </c>
      <c r="E1645" s="882">
        <f>'REF. DE PREÇOS n editavel'!E1645</f>
        <v>43.1</v>
      </c>
      <c r="F1645" s="883">
        <f>'REF. DE PREÇOS n editavel'!F1645</f>
        <v>1.1100000000000001</v>
      </c>
      <c r="G1645" s="923">
        <f>'REF. DE PREÇOS n editavel'!G1645</f>
        <v>54.164670000000008</v>
      </c>
      <c r="H1645" s="876">
        <f>'REF. DE PREÇOS n editavel'!H1645</f>
        <v>0</v>
      </c>
      <c r="I1645" s="876">
        <f>'REF. DE PREÇOS n editavel'!I1645</f>
        <v>0</v>
      </c>
      <c r="J1645" s="877">
        <f>'REF. DE PREÇOS n editavel'!J1645</f>
        <v>0</v>
      </c>
      <c r="K1645" s="932" t="s">
        <v>506</v>
      </c>
      <c r="L1645" s="933"/>
      <c r="M1645" s="1112">
        <f t="shared" si="177"/>
        <v>0</v>
      </c>
      <c r="N1645" s="868">
        <f t="shared" si="176"/>
        <v>0</v>
      </c>
      <c r="O1645" s="880"/>
      <c r="P1645" s="58" t="str">
        <f>IF(N1642&gt;0,"xx",IF(N1642&gt;0,"xy",""))</f>
        <v/>
      </c>
      <c r="Q1645" s="317" t="str">
        <f t="shared" si="173"/>
        <v/>
      </c>
      <c r="R1645" s="317" t="str">
        <f t="shared" si="174"/>
        <v/>
      </c>
      <c r="S1645" s="317" t="str">
        <f t="shared" si="175"/>
        <v/>
      </c>
      <c r="T1645" s="317" t="str">
        <f>'REF. DE PREÇOS n editavel'!S1645</f>
        <v/>
      </c>
      <c r="W1645" s="577">
        <v>0</v>
      </c>
      <c r="X1645" s="575"/>
      <c r="Y1645" s="578">
        <f>IF('REF. DE PREÇOS n editavel'!W1645=0,0,IF('REF. DE PREÇOS n editavel'!W1645&gt;0,"c","b"))</f>
        <v>0</v>
      </c>
    </row>
    <row r="1646" spans="1:25" ht="15" customHeight="1">
      <c r="A1646" s="317">
        <v>606000</v>
      </c>
      <c r="B1646" s="870" t="s">
        <v>1775</v>
      </c>
      <c r="C1646" s="871" t="s">
        <v>184</v>
      </c>
      <c r="D1646" s="881" t="s">
        <v>338</v>
      </c>
      <c r="E1646" s="882">
        <f>'REF. DE PREÇOS n editavel'!E1646</f>
        <v>0</v>
      </c>
      <c r="F1646" s="883">
        <f>'REF. DE PREÇOS n editavel'!F1646</f>
        <v>0</v>
      </c>
      <c r="G1646" s="887">
        <f>'REF. DE PREÇOS n editavel'!G1646</f>
        <v>337.27635900000007</v>
      </c>
      <c r="H1646" s="876">
        <f>'REF. DE PREÇOS n editavel'!H1646</f>
        <v>378.9</v>
      </c>
      <c r="I1646" s="876">
        <f>'REF. DE PREÇOS n editavel'!I1646</f>
        <v>716.17635900000005</v>
      </c>
      <c r="J1646" s="877">
        <f>'REF. DE PREÇOS n editavel'!J1646</f>
        <v>875.31</v>
      </c>
      <c r="K1646" s="878" t="s">
        <v>10</v>
      </c>
      <c r="L1646" s="1092"/>
      <c r="M1646" s="1093">
        <f t="shared" si="177"/>
        <v>0</v>
      </c>
      <c r="N1646" s="868">
        <f t="shared" si="176"/>
        <v>0</v>
      </c>
      <c r="O1646" s="880"/>
      <c r="Q1646" s="317" t="str">
        <f t="shared" si="173"/>
        <v/>
      </c>
      <c r="R1646" s="317" t="str">
        <f t="shared" si="174"/>
        <v/>
      </c>
      <c r="S1646" s="317" t="str">
        <f t="shared" si="175"/>
        <v/>
      </c>
      <c r="T1646" s="317" t="str">
        <f>'REF. DE PREÇOS n editavel'!S1646</f>
        <v/>
      </c>
      <c r="W1646" s="577">
        <v>0</v>
      </c>
      <c r="X1646" s="575"/>
      <c r="Y1646" s="578">
        <f>IF('REF. DE PREÇOS n editavel'!W1646=0,0,IF('REF. DE PREÇOS n editavel'!W1646&gt;0,"c","b"))</f>
        <v>0</v>
      </c>
    </row>
    <row r="1647" spans="1:25" ht="15" customHeight="1">
      <c r="A1647" s="317" t="s">
        <v>147</v>
      </c>
      <c r="B1647" s="870" t="s">
        <v>147</v>
      </c>
      <c r="C1647" s="871"/>
      <c r="D1647" s="931" t="s">
        <v>190</v>
      </c>
      <c r="E1647" s="882">
        <f>'REF. DE PREÇOS n editavel'!E1647</f>
        <v>445</v>
      </c>
      <c r="F1647" s="883">
        <f>'REF. DE PREÇOS n editavel'!F1647</f>
        <v>0.189</v>
      </c>
      <c r="G1647" s="884">
        <f>'REF. DE PREÇOS n editavel'!G1647</f>
        <v>67.079880000000003</v>
      </c>
      <c r="H1647" s="876">
        <f>'REF. DE PREÇOS n editavel'!H1647</f>
        <v>0</v>
      </c>
      <c r="I1647" s="876">
        <f>'REF. DE PREÇOS n editavel'!I1647</f>
        <v>0</v>
      </c>
      <c r="J1647" s="877">
        <f>'REF. DE PREÇOS n editavel'!J1647</f>
        <v>0</v>
      </c>
      <c r="K1647" s="932" t="s">
        <v>506</v>
      </c>
      <c r="L1647" s="933"/>
      <c r="M1647" s="1112">
        <f t="shared" si="177"/>
        <v>0</v>
      </c>
      <c r="N1647" s="868">
        <f t="shared" si="176"/>
        <v>0</v>
      </c>
      <c r="O1647" s="880"/>
      <c r="P1647" s="58" t="str">
        <f>IF(N1646&gt;0,"xx",IF(N1646&gt;0,"xy",""))</f>
        <v/>
      </c>
      <c r="Q1647" s="317" t="str">
        <f t="shared" si="173"/>
        <v/>
      </c>
      <c r="R1647" s="317" t="str">
        <f t="shared" si="174"/>
        <v/>
      </c>
      <c r="S1647" s="317" t="str">
        <f t="shared" si="175"/>
        <v/>
      </c>
      <c r="T1647" s="317" t="str">
        <f>'REF. DE PREÇOS n editavel'!S1647</f>
        <v/>
      </c>
      <c r="W1647" s="577">
        <v>0</v>
      </c>
      <c r="X1647" s="575"/>
      <c r="Y1647" s="578">
        <f>IF('REF. DE PREÇOS n editavel'!W1647=0,0,IF('REF. DE PREÇOS n editavel'!W1647&gt;0,"c","b"))</f>
        <v>0</v>
      </c>
    </row>
    <row r="1648" spans="1:25" ht="15" customHeight="1">
      <c r="A1648" s="317" t="s">
        <v>147</v>
      </c>
      <c r="B1648" s="870" t="s">
        <v>147</v>
      </c>
      <c r="C1648" s="871"/>
      <c r="D1648" s="931" t="s">
        <v>229</v>
      </c>
      <c r="E1648" s="882">
        <f>'REF. DE PREÇOS n editavel'!E1648</f>
        <v>290</v>
      </c>
      <c r="F1648" s="883">
        <f>'REF. DE PREÇOS n editavel'!F1648</f>
        <v>0.67200000000000004</v>
      </c>
      <c r="G1648" s="923">
        <f>'REF. DE PREÇOS n editavel'!G1648</f>
        <v>210.32256000000004</v>
      </c>
      <c r="H1648" s="876">
        <f>'REF. DE PREÇOS n editavel'!H1648</f>
        <v>0</v>
      </c>
      <c r="I1648" s="876">
        <f>'REF. DE PREÇOS n editavel'!I1648</f>
        <v>0</v>
      </c>
      <c r="J1648" s="877">
        <f>'REF. DE PREÇOS n editavel'!J1648</f>
        <v>0</v>
      </c>
      <c r="K1648" s="932" t="s">
        <v>506</v>
      </c>
      <c r="L1648" s="933"/>
      <c r="M1648" s="1112">
        <f t="shared" si="177"/>
        <v>0</v>
      </c>
      <c r="N1648" s="868">
        <f t="shared" si="176"/>
        <v>0</v>
      </c>
      <c r="O1648" s="880"/>
      <c r="P1648" s="58" t="str">
        <f>IF(N1646&gt;0,"xx",IF(N1646&gt;0,"xy",""))</f>
        <v/>
      </c>
      <c r="Q1648" s="317" t="str">
        <f t="shared" si="173"/>
        <v/>
      </c>
      <c r="R1648" s="317" t="str">
        <f t="shared" si="174"/>
        <v/>
      </c>
      <c r="S1648" s="317" t="str">
        <f t="shared" si="175"/>
        <v/>
      </c>
      <c r="T1648" s="317" t="str">
        <f>'REF. DE PREÇOS n editavel'!S1648</f>
        <v/>
      </c>
      <c r="W1648" s="577">
        <v>0</v>
      </c>
      <c r="X1648" s="575"/>
      <c r="Y1648" s="578">
        <f>IF('REF. DE PREÇOS n editavel'!W1648=0,0,IF('REF. DE PREÇOS n editavel'!W1648&gt;0,"c","b"))</f>
        <v>0</v>
      </c>
    </row>
    <row r="1649" spans="1:25" ht="15" customHeight="1">
      <c r="A1649" s="317" t="s">
        <v>147</v>
      </c>
      <c r="B1649" s="870" t="s">
        <v>147</v>
      </c>
      <c r="C1649" s="871"/>
      <c r="D1649" s="931" t="s">
        <v>339</v>
      </c>
      <c r="E1649" s="882">
        <f>'REF. DE PREÇOS n editavel'!E1649</f>
        <v>43.1</v>
      </c>
      <c r="F1649" s="883">
        <f>'REF. DE PREÇOS n editavel'!F1649</f>
        <v>1.2270000000000001</v>
      </c>
      <c r="G1649" s="923">
        <f>'REF. DE PREÇOS n editavel'!G1649</f>
        <v>59.873919000000008</v>
      </c>
      <c r="H1649" s="876">
        <f>'REF. DE PREÇOS n editavel'!H1649</f>
        <v>0</v>
      </c>
      <c r="I1649" s="876">
        <f>'REF. DE PREÇOS n editavel'!I1649</f>
        <v>0</v>
      </c>
      <c r="J1649" s="877">
        <f>'REF. DE PREÇOS n editavel'!J1649</f>
        <v>0</v>
      </c>
      <c r="K1649" s="932" t="s">
        <v>506</v>
      </c>
      <c r="L1649" s="933"/>
      <c r="M1649" s="1112">
        <f t="shared" si="177"/>
        <v>0</v>
      </c>
      <c r="N1649" s="868">
        <f t="shared" si="176"/>
        <v>0</v>
      </c>
      <c r="O1649" s="880"/>
      <c r="P1649" s="58" t="str">
        <f>IF(N1646&gt;0,"xx",IF(N1646&gt;0,"xy",""))</f>
        <v/>
      </c>
      <c r="Q1649" s="317" t="str">
        <f t="shared" si="173"/>
        <v/>
      </c>
      <c r="R1649" s="317" t="str">
        <f t="shared" si="174"/>
        <v/>
      </c>
      <c r="S1649" s="317" t="str">
        <f t="shared" si="175"/>
        <v/>
      </c>
      <c r="T1649" s="317" t="str">
        <f>'REF. DE PREÇOS n editavel'!S1649</f>
        <v/>
      </c>
      <c r="W1649" s="577">
        <v>0</v>
      </c>
      <c r="X1649" s="575"/>
      <c r="Y1649" s="578">
        <f>IF('REF. DE PREÇOS n editavel'!W1649=0,0,IF('REF. DE PREÇOS n editavel'!W1649&gt;0,"c","b"))</f>
        <v>0</v>
      </c>
    </row>
    <row r="1650" spans="1:25" ht="15" customHeight="1">
      <c r="A1650" s="317">
        <v>605200</v>
      </c>
      <c r="B1650" s="870" t="s">
        <v>1777</v>
      </c>
      <c r="C1650" s="871" t="s">
        <v>184</v>
      </c>
      <c r="D1650" s="881" t="s">
        <v>340</v>
      </c>
      <c r="E1650" s="882">
        <f>'REF. DE PREÇOS n editavel'!E1650</f>
        <v>0</v>
      </c>
      <c r="F1650" s="883">
        <f>'REF. DE PREÇOS n editavel'!F1650</f>
        <v>0</v>
      </c>
      <c r="G1650" s="887">
        <f>'REF. DE PREÇOS n editavel'!G1650</f>
        <v>450.45387000000005</v>
      </c>
      <c r="H1650" s="876">
        <f>'REF. DE PREÇOS n editavel'!H1650</f>
        <v>471.16</v>
      </c>
      <c r="I1650" s="876">
        <f>'REF. DE PREÇOS n editavel'!I1650</f>
        <v>921.61387000000013</v>
      </c>
      <c r="J1650" s="877">
        <f>'REF. DE PREÇOS n editavel'!J1650</f>
        <v>1126.4000000000001</v>
      </c>
      <c r="K1650" s="878" t="s">
        <v>10</v>
      </c>
      <c r="L1650" s="1092"/>
      <c r="M1650" s="1093">
        <f t="shared" si="177"/>
        <v>0</v>
      </c>
      <c r="N1650" s="868">
        <f t="shared" si="176"/>
        <v>0</v>
      </c>
      <c r="O1650" s="880"/>
      <c r="Q1650" s="317" t="str">
        <f t="shared" si="173"/>
        <v/>
      </c>
      <c r="R1650" s="317" t="str">
        <f t="shared" si="174"/>
        <v/>
      </c>
      <c r="S1650" s="317" t="str">
        <f t="shared" si="175"/>
        <v/>
      </c>
      <c r="T1650" s="317" t="str">
        <f>'REF. DE PREÇOS n editavel'!S1650</f>
        <v/>
      </c>
      <c r="W1650" s="577">
        <v>0</v>
      </c>
      <c r="X1650" s="575"/>
      <c r="Y1650" s="578">
        <f>IF('REF. DE PREÇOS n editavel'!W1650=0,0,IF('REF. DE PREÇOS n editavel'!W1650&gt;0,"c","b"))</f>
        <v>0</v>
      </c>
    </row>
    <row r="1651" spans="1:25" ht="15" customHeight="1">
      <c r="A1651" s="317" t="s">
        <v>147</v>
      </c>
      <c r="B1651" s="870" t="s">
        <v>147</v>
      </c>
      <c r="C1651" s="871"/>
      <c r="D1651" s="931" t="s">
        <v>190</v>
      </c>
      <c r="E1651" s="882">
        <f>'REF. DE PREÇOS n editavel'!E1651</f>
        <v>445</v>
      </c>
      <c r="F1651" s="883">
        <f>'REF. DE PREÇOS n editavel'!F1651</f>
        <v>0.27</v>
      </c>
      <c r="G1651" s="884">
        <f>'REF. DE PREÇOS n editavel'!G1651</f>
        <v>95.828400000000016</v>
      </c>
      <c r="H1651" s="876">
        <f>'REF. DE PREÇOS n editavel'!H1651</f>
        <v>0</v>
      </c>
      <c r="I1651" s="876">
        <f>'REF. DE PREÇOS n editavel'!I1651</f>
        <v>0</v>
      </c>
      <c r="J1651" s="877">
        <f>'REF. DE PREÇOS n editavel'!J1651</f>
        <v>0</v>
      </c>
      <c r="K1651" s="932" t="s">
        <v>506</v>
      </c>
      <c r="L1651" s="933"/>
      <c r="M1651" s="1112">
        <f t="shared" si="177"/>
        <v>0</v>
      </c>
      <c r="N1651" s="868">
        <f t="shared" si="176"/>
        <v>0</v>
      </c>
      <c r="O1651" s="880"/>
      <c r="P1651" s="58" t="str">
        <f>IF(N1650&gt;0,"xx",IF(N1650&gt;0,"xy",""))</f>
        <v/>
      </c>
      <c r="Q1651" s="317" t="str">
        <f t="shared" si="173"/>
        <v/>
      </c>
      <c r="R1651" s="317" t="str">
        <f t="shared" si="174"/>
        <v/>
      </c>
      <c r="S1651" s="317" t="str">
        <f t="shared" si="175"/>
        <v/>
      </c>
      <c r="T1651" s="317" t="str">
        <f>'REF. DE PREÇOS n editavel'!S1651</f>
        <v/>
      </c>
      <c r="W1651" s="577">
        <v>0</v>
      </c>
      <c r="X1651" s="575"/>
      <c r="Y1651" s="578">
        <f>IF('REF. DE PREÇOS n editavel'!W1651=0,0,IF('REF. DE PREÇOS n editavel'!W1651&gt;0,"c","b"))</f>
        <v>0</v>
      </c>
    </row>
    <row r="1652" spans="1:25" ht="15" customHeight="1">
      <c r="A1652" s="317" t="s">
        <v>147</v>
      </c>
      <c r="B1652" s="870" t="s">
        <v>147</v>
      </c>
      <c r="C1652" s="871"/>
      <c r="D1652" s="931" t="s">
        <v>229</v>
      </c>
      <c r="E1652" s="882">
        <f>'REF. DE PREÇOS n editavel'!E1652</f>
        <v>290</v>
      </c>
      <c r="F1652" s="883">
        <f>'REF. DE PREÇOS n editavel'!F1652</f>
        <v>0.96</v>
      </c>
      <c r="G1652" s="923">
        <f>'REF. DE PREÇOS n editavel'!G1652</f>
        <v>300.46080000000001</v>
      </c>
      <c r="H1652" s="876">
        <f>'REF. DE PREÇOS n editavel'!H1652</f>
        <v>0</v>
      </c>
      <c r="I1652" s="876">
        <f>'REF. DE PREÇOS n editavel'!I1652</f>
        <v>0</v>
      </c>
      <c r="J1652" s="877">
        <f>'REF. DE PREÇOS n editavel'!J1652</f>
        <v>0</v>
      </c>
      <c r="K1652" s="932" t="s">
        <v>506</v>
      </c>
      <c r="L1652" s="933"/>
      <c r="M1652" s="1112">
        <f t="shared" si="177"/>
        <v>0</v>
      </c>
      <c r="N1652" s="868">
        <f t="shared" si="176"/>
        <v>0</v>
      </c>
      <c r="O1652" s="880"/>
      <c r="P1652" s="58" t="str">
        <f>IF(N1650&gt;0,"xx",IF(N1650&gt;0,"xy",""))</f>
        <v/>
      </c>
      <c r="Q1652" s="317" t="str">
        <f t="shared" si="173"/>
        <v/>
      </c>
      <c r="R1652" s="317" t="str">
        <f t="shared" si="174"/>
        <v/>
      </c>
      <c r="S1652" s="317" t="str">
        <f t="shared" si="175"/>
        <v/>
      </c>
      <c r="T1652" s="317" t="str">
        <f>'REF. DE PREÇOS n editavel'!S1652</f>
        <v/>
      </c>
      <c r="W1652" s="577">
        <v>0</v>
      </c>
      <c r="X1652" s="575"/>
      <c r="Y1652" s="578">
        <f>IF('REF. DE PREÇOS n editavel'!W1652=0,0,IF('REF. DE PREÇOS n editavel'!W1652&gt;0,"c","b"))</f>
        <v>0</v>
      </c>
    </row>
    <row r="1653" spans="1:25" ht="15" customHeight="1">
      <c r="A1653" s="317" t="s">
        <v>147</v>
      </c>
      <c r="B1653" s="870" t="s">
        <v>147</v>
      </c>
      <c r="C1653" s="871"/>
      <c r="D1653" s="931" t="s">
        <v>233</v>
      </c>
      <c r="E1653" s="882">
        <f>'REF. DE PREÇOS n editavel'!E1653</f>
        <v>43.1</v>
      </c>
      <c r="F1653" s="883">
        <f>'REF. DE PREÇOS n editavel'!F1653</f>
        <v>1.1100000000000001</v>
      </c>
      <c r="G1653" s="923">
        <f>'REF. DE PREÇOS n editavel'!G1653</f>
        <v>54.164670000000008</v>
      </c>
      <c r="H1653" s="876">
        <f>'REF. DE PREÇOS n editavel'!H1653</f>
        <v>0</v>
      </c>
      <c r="I1653" s="876">
        <f>'REF. DE PREÇOS n editavel'!I1653</f>
        <v>0</v>
      </c>
      <c r="J1653" s="877">
        <f>'REF. DE PREÇOS n editavel'!J1653</f>
        <v>0</v>
      </c>
      <c r="K1653" s="932" t="s">
        <v>506</v>
      </c>
      <c r="L1653" s="933"/>
      <c r="M1653" s="1112">
        <f t="shared" si="177"/>
        <v>0</v>
      </c>
      <c r="N1653" s="868">
        <f t="shared" si="176"/>
        <v>0</v>
      </c>
      <c r="O1653" s="880"/>
      <c r="P1653" s="58" t="str">
        <f>IF(N1650&gt;0,"xx",IF(N1650&gt;0,"xy",""))</f>
        <v/>
      </c>
      <c r="Q1653" s="317" t="str">
        <f t="shared" si="173"/>
        <v/>
      </c>
      <c r="R1653" s="317" t="str">
        <f t="shared" si="174"/>
        <v/>
      </c>
      <c r="S1653" s="317" t="str">
        <f t="shared" si="175"/>
        <v/>
      </c>
      <c r="T1653" s="317" t="str">
        <f>'REF. DE PREÇOS n editavel'!S1653</f>
        <v/>
      </c>
      <c r="W1653" s="577">
        <v>0</v>
      </c>
      <c r="X1653" s="575"/>
      <c r="Y1653" s="578">
        <f>IF('REF. DE PREÇOS n editavel'!W1653=0,0,IF('REF. DE PREÇOS n editavel'!W1653&gt;0,"c","b"))</f>
        <v>0</v>
      </c>
    </row>
    <row r="1654" spans="1:25" ht="15" customHeight="1">
      <c r="A1654" s="317">
        <v>605300</v>
      </c>
      <c r="B1654" s="870" t="s">
        <v>1779</v>
      </c>
      <c r="C1654" s="871" t="s">
        <v>184</v>
      </c>
      <c r="D1654" s="881" t="s">
        <v>341</v>
      </c>
      <c r="E1654" s="882">
        <f>'REF. DE PREÇOS n editavel'!E1654</f>
        <v>0</v>
      </c>
      <c r="F1654" s="883">
        <f>'REF. DE PREÇOS n editavel'!F1654</f>
        <v>0</v>
      </c>
      <c r="G1654" s="887">
        <f>'REF. DE PREÇOS n editavel'!G1654</f>
        <v>459.54285000000004</v>
      </c>
      <c r="H1654" s="876">
        <f>'REF. DE PREÇOS n editavel'!H1654</f>
        <v>503.25</v>
      </c>
      <c r="I1654" s="876">
        <f>'REF. DE PREÇOS n editavel'!I1654</f>
        <v>962.79285000000004</v>
      </c>
      <c r="J1654" s="877">
        <f>'REF. DE PREÇOS n editavel'!J1654</f>
        <v>1176.73</v>
      </c>
      <c r="K1654" s="878" t="s">
        <v>10</v>
      </c>
      <c r="L1654" s="1092"/>
      <c r="M1654" s="1093">
        <f t="shared" si="177"/>
        <v>0</v>
      </c>
      <c r="N1654" s="868">
        <f t="shared" si="176"/>
        <v>0</v>
      </c>
      <c r="O1654" s="880"/>
      <c r="Q1654" s="317" t="str">
        <f t="shared" si="173"/>
        <v/>
      </c>
      <c r="R1654" s="317" t="str">
        <f t="shared" si="174"/>
        <v/>
      </c>
      <c r="S1654" s="317" t="str">
        <f t="shared" si="175"/>
        <v/>
      </c>
      <c r="T1654" s="317" t="str">
        <f>'REF. DE PREÇOS n editavel'!S1654</f>
        <v/>
      </c>
      <c r="W1654" s="577">
        <v>0</v>
      </c>
      <c r="X1654" s="575"/>
      <c r="Y1654" s="578">
        <f>IF('REF. DE PREÇOS n editavel'!W1654=0,0,IF('REF. DE PREÇOS n editavel'!W1654&gt;0,"c","b"))</f>
        <v>0</v>
      </c>
    </row>
    <row r="1655" spans="1:25" ht="15" customHeight="1">
      <c r="A1655" s="317" t="s">
        <v>147</v>
      </c>
      <c r="B1655" s="870" t="s">
        <v>147</v>
      </c>
      <c r="C1655" s="871"/>
      <c r="D1655" s="931" t="s">
        <v>190</v>
      </c>
      <c r="E1655" s="882">
        <f>'REF. DE PREÇOS n editavel'!E1655</f>
        <v>445</v>
      </c>
      <c r="F1655" s="883">
        <f>'REF. DE PREÇOS n editavel'!F1655</f>
        <v>0.33</v>
      </c>
      <c r="G1655" s="884">
        <f>'REF. DE PREÇOS n editavel'!G1655</f>
        <v>117.12360000000001</v>
      </c>
      <c r="H1655" s="876">
        <f>'REF. DE PREÇOS n editavel'!H1655</f>
        <v>0</v>
      </c>
      <c r="I1655" s="876">
        <f>'REF. DE PREÇOS n editavel'!I1655</f>
        <v>0</v>
      </c>
      <c r="J1655" s="877">
        <f>'REF. DE PREÇOS n editavel'!J1655</f>
        <v>0</v>
      </c>
      <c r="K1655" s="932" t="s">
        <v>506</v>
      </c>
      <c r="L1655" s="933"/>
      <c r="M1655" s="1112">
        <f t="shared" si="177"/>
        <v>0</v>
      </c>
      <c r="N1655" s="868">
        <f t="shared" si="176"/>
        <v>0</v>
      </c>
      <c r="O1655" s="880"/>
      <c r="P1655" s="58" t="str">
        <f>IF(N1654&gt;0,"xx",IF(N1654&gt;0,"xy",""))</f>
        <v/>
      </c>
      <c r="Q1655" s="317" t="str">
        <f t="shared" si="173"/>
        <v/>
      </c>
      <c r="R1655" s="317" t="str">
        <f t="shared" si="174"/>
        <v/>
      </c>
      <c r="S1655" s="317" t="str">
        <f t="shared" si="175"/>
        <v/>
      </c>
      <c r="T1655" s="317" t="str">
        <f>'REF. DE PREÇOS n editavel'!S1655</f>
        <v/>
      </c>
      <c r="W1655" s="577">
        <v>0</v>
      </c>
      <c r="X1655" s="575"/>
      <c r="Y1655" s="578">
        <f>IF('REF. DE PREÇOS n editavel'!W1655=0,0,IF('REF. DE PREÇOS n editavel'!W1655&gt;0,"c","b"))</f>
        <v>0</v>
      </c>
    </row>
    <row r="1656" spans="1:25" ht="15" customHeight="1">
      <c r="A1656" s="317" t="s">
        <v>147</v>
      </c>
      <c r="B1656" s="870" t="s">
        <v>147</v>
      </c>
      <c r="C1656" s="871"/>
      <c r="D1656" s="931" t="s">
        <v>229</v>
      </c>
      <c r="E1656" s="882">
        <f>'REF. DE PREÇOS n editavel'!E1656</f>
        <v>290</v>
      </c>
      <c r="F1656" s="883">
        <f>'REF. DE PREÇOS n editavel'!F1656</f>
        <v>0.92100000000000004</v>
      </c>
      <c r="G1656" s="923">
        <f>'REF. DE PREÇOS n editavel'!G1656</f>
        <v>288.25458000000003</v>
      </c>
      <c r="H1656" s="876">
        <f>'REF. DE PREÇOS n editavel'!H1656</f>
        <v>0</v>
      </c>
      <c r="I1656" s="876">
        <f>'REF. DE PREÇOS n editavel'!I1656</f>
        <v>0</v>
      </c>
      <c r="J1656" s="877">
        <f>'REF. DE PREÇOS n editavel'!J1656</f>
        <v>0</v>
      </c>
      <c r="K1656" s="932" t="s">
        <v>506</v>
      </c>
      <c r="L1656" s="933"/>
      <c r="M1656" s="1112">
        <f t="shared" si="177"/>
        <v>0</v>
      </c>
      <c r="N1656" s="868">
        <f t="shared" si="176"/>
        <v>0</v>
      </c>
      <c r="O1656" s="880"/>
      <c r="P1656" s="58" t="str">
        <f>IF(N1654&gt;0,"xx",IF(N1654&gt;0,"xy",""))</f>
        <v/>
      </c>
      <c r="Q1656" s="317" t="str">
        <f t="shared" si="173"/>
        <v/>
      </c>
      <c r="R1656" s="317" t="str">
        <f t="shared" si="174"/>
        <v/>
      </c>
      <c r="S1656" s="317" t="str">
        <f t="shared" si="175"/>
        <v/>
      </c>
      <c r="T1656" s="317" t="str">
        <f>'REF. DE PREÇOS n editavel'!S1656</f>
        <v/>
      </c>
      <c r="W1656" s="577">
        <v>0</v>
      </c>
      <c r="X1656" s="575"/>
      <c r="Y1656" s="578">
        <f>IF('REF. DE PREÇOS n editavel'!W1656=0,0,IF('REF. DE PREÇOS n editavel'!W1656&gt;0,"c","b"))</f>
        <v>0</v>
      </c>
    </row>
    <row r="1657" spans="1:25" ht="15" customHeight="1">
      <c r="A1657" s="317" t="s">
        <v>147</v>
      </c>
      <c r="B1657" s="870" t="s">
        <v>147</v>
      </c>
      <c r="C1657" s="871"/>
      <c r="D1657" s="931" t="s">
        <v>233</v>
      </c>
      <c r="E1657" s="882">
        <f>'REF. DE PREÇOS n editavel'!E1657</f>
        <v>43.1</v>
      </c>
      <c r="F1657" s="883">
        <f>'REF. DE PREÇOS n editavel'!F1657</f>
        <v>1.1100000000000001</v>
      </c>
      <c r="G1657" s="923">
        <f>'REF. DE PREÇOS n editavel'!G1657</f>
        <v>54.164670000000008</v>
      </c>
      <c r="H1657" s="876">
        <f>'REF. DE PREÇOS n editavel'!H1657</f>
        <v>0</v>
      </c>
      <c r="I1657" s="876">
        <f>'REF. DE PREÇOS n editavel'!I1657</f>
        <v>0</v>
      </c>
      <c r="J1657" s="877">
        <f>'REF. DE PREÇOS n editavel'!J1657</f>
        <v>0</v>
      </c>
      <c r="K1657" s="932" t="s">
        <v>506</v>
      </c>
      <c r="L1657" s="933"/>
      <c r="M1657" s="1112">
        <f t="shared" si="177"/>
        <v>0</v>
      </c>
      <c r="N1657" s="868">
        <f t="shared" si="176"/>
        <v>0</v>
      </c>
      <c r="O1657" s="880"/>
      <c r="P1657" s="58" t="str">
        <f>IF(N1654&gt;0,"xx",IF(N1654&gt;0,"xy",""))</f>
        <v/>
      </c>
      <c r="Q1657" s="317" t="str">
        <f t="shared" si="173"/>
        <v/>
      </c>
      <c r="R1657" s="317" t="str">
        <f t="shared" si="174"/>
        <v/>
      </c>
      <c r="S1657" s="317" t="str">
        <f t="shared" si="175"/>
        <v/>
      </c>
      <c r="T1657" s="317" t="str">
        <f>'REF. DE PREÇOS n editavel'!S1657</f>
        <v/>
      </c>
      <c r="W1657" s="577">
        <v>0</v>
      </c>
      <c r="X1657" s="575"/>
      <c r="Y1657" s="578">
        <f>IF('REF. DE PREÇOS n editavel'!W1657=0,0,IF('REF. DE PREÇOS n editavel'!W1657&gt;0,"c","b"))</f>
        <v>0</v>
      </c>
    </row>
    <row r="1658" spans="1:25" ht="15" customHeight="1">
      <c r="A1658" s="317">
        <v>605400</v>
      </c>
      <c r="B1658" s="870" t="s">
        <v>1781</v>
      </c>
      <c r="C1658" s="871" t="s">
        <v>184</v>
      </c>
      <c r="D1658" s="881" t="s">
        <v>342</v>
      </c>
      <c r="E1658" s="882">
        <f>'REF. DE PREÇOS n editavel'!E1658</f>
        <v>0</v>
      </c>
      <c r="F1658" s="883">
        <f>'REF. DE PREÇOS n editavel'!F1658</f>
        <v>0</v>
      </c>
      <c r="G1658" s="887">
        <f>'REF. DE PREÇOS n editavel'!G1658</f>
        <v>495.49675000000002</v>
      </c>
      <c r="H1658" s="876">
        <f>'REF. DE PREÇOS n editavel'!H1658</f>
        <v>510.89</v>
      </c>
      <c r="I1658" s="876">
        <f>'REF. DE PREÇOS n editavel'!I1658</f>
        <v>1006.38675</v>
      </c>
      <c r="J1658" s="877">
        <f>'REF. DE PREÇOS n editavel'!J1658</f>
        <v>1230.01</v>
      </c>
      <c r="K1658" s="878" t="s">
        <v>10</v>
      </c>
      <c r="L1658" s="1092"/>
      <c r="M1658" s="1093">
        <f t="shared" si="177"/>
        <v>0</v>
      </c>
      <c r="N1658" s="868">
        <f t="shared" si="176"/>
        <v>0</v>
      </c>
      <c r="O1658" s="880"/>
      <c r="Q1658" s="317" t="str">
        <f t="shared" si="173"/>
        <v/>
      </c>
      <c r="R1658" s="317" t="str">
        <f t="shared" si="174"/>
        <v/>
      </c>
      <c r="S1658" s="317" t="str">
        <f t="shared" si="175"/>
        <v/>
      </c>
      <c r="T1658" s="317" t="str">
        <f>'REF. DE PREÇOS n editavel'!S1658</f>
        <v/>
      </c>
      <c r="W1658" s="577">
        <v>0</v>
      </c>
      <c r="X1658" s="575"/>
      <c r="Y1658" s="578">
        <f>IF('REF. DE PREÇOS n editavel'!W1658=0,0,IF('REF. DE PREÇOS n editavel'!W1658&gt;0,"c","b"))</f>
        <v>0</v>
      </c>
    </row>
    <row r="1659" spans="1:25" ht="15" customHeight="1">
      <c r="A1659" s="317" t="s">
        <v>147</v>
      </c>
      <c r="B1659" s="870" t="s">
        <v>147</v>
      </c>
      <c r="C1659" s="871"/>
      <c r="D1659" s="931" t="s">
        <v>190</v>
      </c>
      <c r="E1659" s="882">
        <f>'REF. DE PREÇOS n editavel'!E1659</f>
        <v>445</v>
      </c>
      <c r="F1659" s="883">
        <f>'REF. DE PREÇOS n editavel'!F1659</f>
        <v>0.34399999999999997</v>
      </c>
      <c r="G1659" s="884">
        <f>'REF. DE PREÇOS n editavel'!G1659</f>
        <v>122.09247999999999</v>
      </c>
      <c r="H1659" s="876">
        <f>'REF. DE PREÇOS n editavel'!H1659</f>
        <v>0</v>
      </c>
      <c r="I1659" s="876">
        <f>'REF. DE PREÇOS n editavel'!I1659</f>
        <v>0</v>
      </c>
      <c r="J1659" s="877">
        <f>'REF. DE PREÇOS n editavel'!J1659</f>
        <v>0</v>
      </c>
      <c r="K1659" s="932" t="s">
        <v>506</v>
      </c>
      <c r="L1659" s="933"/>
      <c r="M1659" s="1112">
        <f t="shared" si="177"/>
        <v>0</v>
      </c>
      <c r="N1659" s="868">
        <f t="shared" si="176"/>
        <v>0</v>
      </c>
      <c r="O1659" s="880"/>
      <c r="P1659" s="58" t="str">
        <f>IF(N1658&gt;0,"xx",IF(N1658&gt;0,"xy",""))</f>
        <v/>
      </c>
      <c r="Q1659" s="317" t="str">
        <f t="shared" si="173"/>
        <v/>
      </c>
      <c r="R1659" s="317" t="str">
        <f t="shared" si="174"/>
        <v/>
      </c>
      <c r="S1659" s="317" t="str">
        <f t="shared" si="175"/>
        <v/>
      </c>
      <c r="T1659" s="317" t="str">
        <f>'REF. DE PREÇOS n editavel'!S1659</f>
        <v/>
      </c>
      <c r="W1659" s="577">
        <v>0</v>
      </c>
      <c r="X1659" s="575"/>
      <c r="Y1659" s="578">
        <f>IF('REF. DE PREÇOS n editavel'!W1659=0,0,IF('REF. DE PREÇOS n editavel'!W1659&gt;0,"c","b"))</f>
        <v>0</v>
      </c>
    </row>
    <row r="1660" spans="1:25" ht="15" customHeight="1">
      <c r="A1660" s="317" t="s">
        <v>147</v>
      </c>
      <c r="B1660" s="870" t="s">
        <v>147</v>
      </c>
      <c r="C1660" s="871"/>
      <c r="D1660" s="931" t="s">
        <v>229</v>
      </c>
      <c r="E1660" s="882">
        <f>'REF. DE PREÇOS n editavel'!E1660</f>
        <v>290</v>
      </c>
      <c r="F1660" s="883">
        <f>'REF. DE PREÇOS n editavel'!F1660</f>
        <v>1.02</v>
      </c>
      <c r="G1660" s="923">
        <f>'REF. DE PREÇOS n editavel'!G1660</f>
        <v>319.2396</v>
      </c>
      <c r="H1660" s="876">
        <f>'REF. DE PREÇOS n editavel'!H1660</f>
        <v>0</v>
      </c>
      <c r="I1660" s="876">
        <f>'REF. DE PREÇOS n editavel'!I1660</f>
        <v>0</v>
      </c>
      <c r="J1660" s="877">
        <f>'REF. DE PREÇOS n editavel'!J1660</f>
        <v>0</v>
      </c>
      <c r="K1660" s="932" t="s">
        <v>506</v>
      </c>
      <c r="L1660" s="933"/>
      <c r="M1660" s="1112">
        <f t="shared" si="177"/>
        <v>0</v>
      </c>
      <c r="N1660" s="868">
        <f t="shared" si="176"/>
        <v>0</v>
      </c>
      <c r="O1660" s="880"/>
      <c r="P1660" s="58" t="str">
        <f>IF(N1658&gt;0,"xx",IF(N1658&gt;0,"xy",""))</f>
        <v/>
      </c>
      <c r="Q1660" s="317" t="str">
        <f t="shared" si="173"/>
        <v/>
      </c>
      <c r="R1660" s="317" t="str">
        <f t="shared" si="174"/>
        <v/>
      </c>
      <c r="S1660" s="317" t="str">
        <f t="shared" si="175"/>
        <v/>
      </c>
      <c r="T1660" s="317" t="str">
        <f>'REF. DE PREÇOS n editavel'!S1660</f>
        <v/>
      </c>
      <c r="W1660" s="577">
        <v>0</v>
      </c>
      <c r="X1660" s="575"/>
      <c r="Y1660" s="578">
        <f>IF('REF. DE PREÇOS n editavel'!W1660=0,0,IF('REF. DE PREÇOS n editavel'!W1660&gt;0,"c","b"))</f>
        <v>0</v>
      </c>
    </row>
    <row r="1661" spans="1:25" ht="15" customHeight="1">
      <c r="A1661" s="317" t="s">
        <v>147</v>
      </c>
      <c r="B1661" s="870" t="s">
        <v>147</v>
      </c>
      <c r="C1661" s="871"/>
      <c r="D1661" s="931" t="s">
        <v>233</v>
      </c>
      <c r="E1661" s="882">
        <f>'REF. DE PREÇOS n editavel'!E1661</f>
        <v>43.1</v>
      </c>
      <c r="F1661" s="883">
        <f>'REF. DE PREÇOS n editavel'!F1661</f>
        <v>1.1100000000000001</v>
      </c>
      <c r="G1661" s="923">
        <f>'REF. DE PREÇOS n editavel'!G1661</f>
        <v>54.164670000000008</v>
      </c>
      <c r="H1661" s="876">
        <f>'REF. DE PREÇOS n editavel'!H1661</f>
        <v>0</v>
      </c>
      <c r="I1661" s="876">
        <f>'REF. DE PREÇOS n editavel'!I1661</f>
        <v>0</v>
      </c>
      <c r="J1661" s="877">
        <f>'REF. DE PREÇOS n editavel'!J1661</f>
        <v>0</v>
      </c>
      <c r="K1661" s="932" t="s">
        <v>506</v>
      </c>
      <c r="L1661" s="933"/>
      <c r="M1661" s="1112">
        <f t="shared" si="177"/>
        <v>0</v>
      </c>
      <c r="N1661" s="868">
        <f t="shared" si="176"/>
        <v>0</v>
      </c>
      <c r="O1661" s="880"/>
      <c r="P1661" s="58" t="str">
        <f>IF(N1658&gt;0,"xx",IF(N1658&gt;0,"xy",""))</f>
        <v/>
      </c>
      <c r="Q1661" s="317" t="str">
        <f t="shared" si="173"/>
        <v/>
      </c>
      <c r="R1661" s="317" t="str">
        <f t="shared" si="174"/>
        <v/>
      </c>
      <c r="S1661" s="317" t="str">
        <f t="shared" si="175"/>
        <v/>
      </c>
      <c r="T1661" s="317" t="str">
        <f>'REF. DE PREÇOS n editavel'!S1661</f>
        <v/>
      </c>
      <c r="W1661" s="577">
        <v>0</v>
      </c>
      <c r="X1661" s="575"/>
      <c r="Y1661" s="578">
        <f>IF('REF. DE PREÇOS n editavel'!W1661=0,0,IF('REF. DE PREÇOS n editavel'!W1661&gt;0,"c","b"))</f>
        <v>0</v>
      </c>
    </row>
    <row r="1662" spans="1:25" ht="15" customHeight="1">
      <c r="A1662" s="317">
        <v>831000</v>
      </c>
      <c r="B1662" s="870" t="s">
        <v>1683</v>
      </c>
      <c r="C1662" s="871" t="s">
        <v>184</v>
      </c>
      <c r="D1662" s="881" t="s">
        <v>265</v>
      </c>
      <c r="E1662" s="882">
        <f>'REF. DE PREÇOS n editavel'!E1662</f>
        <v>0</v>
      </c>
      <c r="F1662" s="883">
        <f>'REF. DE PREÇOS n editavel'!F1662</f>
        <v>0</v>
      </c>
      <c r="G1662" s="887">
        <f>'REF. DE PREÇOS n editavel'!G1662</f>
        <v>0</v>
      </c>
      <c r="H1662" s="876">
        <f>'REF. DE PREÇOS n editavel'!H1662</f>
        <v>41.45</v>
      </c>
      <c r="I1662" s="876">
        <f>'REF. DE PREÇOS n editavel'!I1662</f>
        <v>41.45</v>
      </c>
      <c r="J1662" s="877">
        <f>'REF. DE PREÇOS n editavel'!J1662</f>
        <v>50.66</v>
      </c>
      <c r="K1662" s="878" t="s">
        <v>13</v>
      </c>
      <c r="L1662" s="1092"/>
      <c r="M1662" s="1093">
        <f t="shared" si="177"/>
        <v>0</v>
      </c>
      <c r="N1662" s="868">
        <f t="shared" si="176"/>
        <v>0</v>
      </c>
      <c r="O1662" s="880"/>
      <c r="Q1662" s="317" t="str">
        <f t="shared" si="173"/>
        <v/>
      </c>
      <c r="R1662" s="317" t="str">
        <f t="shared" si="174"/>
        <v/>
      </c>
      <c r="S1662" s="317" t="str">
        <f t="shared" si="175"/>
        <v/>
      </c>
      <c r="T1662" s="317" t="str">
        <f>'REF. DE PREÇOS n editavel'!S1662</f>
        <v/>
      </c>
      <c r="W1662" s="577">
        <v>0</v>
      </c>
      <c r="X1662" s="575"/>
      <c r="Y1662" s="578">
        <f>IF('REF. DE PREÇOS n editavel'!W1662=0,0,IF('REF. DE PREÇOS n editavel'!W1662&gt;0,"c","b"))</f>
        <v>0</v>
      </c>
    </row>
    <row r="1663" spans="1:25" ht="15" customHeight="1">
      <c r="A1663" s="317">
        <v>830000</v>
      </c>
      <c r="B1663" s="870" t="s">
        <v>1684</v>
      </c>
      <c r="C1663" s="871" t="s">
        <v>184</v>
      </c>
      <c r="D1663" s="881" t="s">
        <v>266</v>
      </c>
      <c r="E1663" s="882">
        <f>'REF. DE PREÇOS n editavel'!E1663</f>
        <v>0</v>
      </c>
      <c r="F1663" s="883">
        <f>'REF. DE PREÇOS n editavel'!F1663</f>
        <v>0</v>
      </c>
      <c r="G1663" s="887">
        <f>'REF. DE PREÇOS n editavel'!G1663</f>
        <v>0</v>
      </c>
      <c r="H1663" s="876">
        <f>'REF. DE PREÇOS n editavel'!H1663</f>
        <v>36.44</v>
      </c>
      <c r="I1663" s="876">
        <f>'REF. DE PREÇOS n editavel'!I1663</f>
        <v>36.44</v>
      </c>
      <c r="J1663" s="877">
        <f>'REF. DE PREÇOS n editavel'!J1663</f>
        <v>44.54</v>
      </c>
      <c r="K1663" s="878" t="s">
        <v>13</v>
      </c>
      <c r="L1663" s="1092"/>
      <c r="M1663" s="1093">
        <f t="shared" si="177"/>
        <v>0</v>
      </c>
      <c r="N1663" s="868">
        <f t="shared" si="176"/>
        <v>0</v>
      </c>
      <c r="O1663" s="880"/>
      <c r="Q1663" s="317" t="str">
        <f t="shared" si="173"/>
        <v/>
      </c>
      <c r="R1663" s="317" t="str">
        <f t="shared" si="174"/>
        <v/>
      </c>
      <c r="S1663" s="317" t="str">
        <f t="shared" si="175"/>
        <v/>
      </c>
      <c r="T1663" s="317" t="str">
        <f>'REF. DE PREÇOS n editavel'!S1663</f>
        <v/>
      </c>
      <c r="W1663" s="577">
        <v>0</v>
      </c>
      <c r="X1663" s="575"/>
      <c r="Y1663" s="578">
        <f>IF('REF. DE PREÇOS n editavel'!W1663=0,0,IF('REF. DE PREÇOS n editavel'!W1663&gt;0,"c","b"))</f>
        <v>0</v>
      </c>
    </row>
    <row r="1664" spans="1:25" ht="15" customHeight="1">
      <c r="A1664" s="317">
        <v>823000</v>
      </c>
      <c r="B1664" s="870" t="s">
        <v>1773</v>
      </c>
      <c r="C1664" s="871" t="s">
        <v>184</v>
      </c>
      <c r="D1664" s="881" t="s">
        <v>267</v>
      </c>
      <c r="E1664" s="882">
        <f>'REF. DE PREÇOS n editavel'!E1664</f>
        <v>0</v>
      </c>
      <c r="F1664" s="883">
        <f>'REF. DE PREÇOS n editavel'!F1664</f>
        <v>0</v>
      </c>
      <c r="G1664" s="887">
        <f>'REF. DE PREÇOS n editavel'!G1664</f>
        <v>0</v>
      </c>
      <c r="H1664" s="876">
        <f>'REF. DE PREÇOS n editavel'!H1664</f>
        <v>490.71</v>
      </c>
      <c r="I1664" s="876">
        <f>'REF. DE PREÇOS n editavel'!I1664</f>
        <v>490.71</v>
      </c>
      <c r="J1664" s="877">
        <f>'REF. DE PREÇOS n editavel'!J1664</f>
        <v>599.75</v>
      </c>
      <c r="K1664" s="878" t="s">
        <v>13</v>
      </c>
      <c r="L1664" s="1092"/>
      <c r="M1664" s="1093">
        <f t="shared" si="177"/>
        <v>0</v>
      </c>
      <c r="N1664" s="868">
        <f t="shared" si="176"/>
        <v>0</v>
      </c>
      <c r="O1664" s="880"/>
      <c r="Q1664" s="317" t="str">
        <f t="shared" si="173"/>
        <v/>
      </c>
      <c r="R1664" s="317" t="str">
        <f t="shared" si="174"/>
        <v/>
      </c>
      <c r="S1664" s="317" t="str">
        <f t="shared" si="175"/>
        <v/>
      </c>
      <c r="T1664" s="317" t="str">
        <f>'REF. DE PREÇOS n editavel'!S1664</f>
        <v/>
      </c>
      <c r="W1664" s="577">
        <v>0</v>
      </c>
      <c r="X1664" s="575"/>
      <c r="Y1664" s="578">
        <f>IF('REF. DE PREÇOS n editavel'!W1664=0,0,IF('REF. DE PREÇOS n editavel'!W1664&gt;0,"c","b"))</f>
        <v>0</v>
      </c>
    </row>
    <row r="1665" spans="1:25" ht="15" customHeight="1">
      <c r="A1665" s="317">
        <v>97623</v>
      </c>
      <c r="B1665" s="870" t="s">
        <v>1707</v>
      </c>
      <c r="C1665" s="871" t="s">
        <v>590</v>
      </c>
      <c r="D1665" s="872" t="s">
        <v>1708</v>
      </c>
      <c r="E1665" s="873">
        <f>'REF. DE PREÇOS n editavel'!E1665</f>
        <v>0</v>
      </c>
      <c r="F1665" s="874">
        <f>'REF. DE PREÇOS n editavel'!F1665</f>
        <v>0</v>
      </c>
      <c r="G1665" s="875">
        <f>'REF. DE PREÇOS n editavel'!G1665</f>
        <v>0</v>
      </c>
      <c r="H1665" s="876">
        <f>'REF. DE PREÇOS n editavel'!H1665</f>
        <v>201.31</v>
      </c>
      <c r="I1665" s="876">
        <f>'REF. DE PREÇOS n editavel'!I1665</f>
        <v>201.31</v>
      </c>
      <c r="J1665" s="877">
        <f>'REF. DE PREÇOS n editavel'!J1665</f>
        <v>246.04</v>
      </c>
      <c r="K1665" s="878" t="s">
        <v>10</v>
      </c>
      <c r="L1665" s="1094"/>
      <c r="M1665" s="1095">
        <f t="shared" si="177"/>
        <v>0</v>
      </c>
      <c r="N1665" s="868">
        <f t="shared" si="176"/>
        <v>0</v>
      </c>
      <c r="O1665" s="880"/>
      <c r="Q1665" s="317" t="str">
        <f t="shared" si="173"/>
        <v/>
      </c>
      <c r="R1665" s="317" t="str">
        <f t="shared" si="174"/>
        <v/>
      </c>
      <c r="S1665" s="317" t="str">
        <f t="shared" si="175"/>
        <v/>
      </c>
      <c r="T1665" s="317" t="str">
        <f>'REF. DE PREÇOS n editavel'!S1665</f>
        <v/>
      </c>
      <c r="W1665" s="577">
        <v>0</v>
      </c>
      <c r="X1665" s="575"/>
      <c r="Y1665" s="578">
        <f>IF('REF. DE PREÇOS n editavel'!W1665=0,0,IF('REF. DE PREÇOS n editavel'!W1665&gt;0,"c","b"))</f>
        <v>0</v>
      </c>
    </row>
    <row r="1666" spans="1:25" ht="15" customHeight="1">
      <c r="A1666" s="317">
        <v>97624</v>
      </c>
      <c r="B1666" s="870" t="s">
        <v>1704</v>
      </c>
      <c r="C1666" s="871" t="s">
        <v>590</v>
      </c>
      <c r="D1666" s="872" t="s">
        <v>1705</v>
      </c>
      <c r="E1666" s="873">
        <f>'REF. DE PREÇOS n editavel'!E1666</f>
        <v>0</v>
      </c>
      <c r="F1666" s="874">
        <f>'REF. DE PREÇOS n editavel'!F1666</f>
        <v>0</v>
      </c>
      <c r="G1666" s="875">
        <f>'REF. DE PREÇOS n editavel'!G1666</f>
        <v>0</v>
      </c>
      <c r="H1666" s="876">
        <f>'REF. DE PREÇOS n editavel'!H1666</f>
        <v>123.54</v>
      </c>
      <c r="I1666" s="876">
        <f>'REF. DE PREÇOS n editavel'!I1666</f>
        <v>123.54</v>
      </c>
      <c r="J1666" s="877">
        <f>'REF. DE PREÇOS n editavel'!J1666</f>
        <v>150.99</v>
      </c>
      <c r="K1666" s="878" t="s">
        <v>10</v>
      </c>
      <c r="L1666" s="1094"/>
      <c r="M1666" s="1095">
        <f t="shared" si="177"/>
        <v>0</v>
      </c>
      <c r="N1666" s="868">
        <f t="shared" si="176"/>
        <v>0</v>
      </c>
      <c r="O1666" s="880"/>
      <c r="Q1666" s="317" t="str">
        <f t="shared" si="173"/>
        <v/>
      </c>
      <c r="R1666" s="317" t="str">
        <f t="shared" si="174"/>
        <v/>
      </c>
      <c r="S1666" s="317" t="str">
        <f t="shared" si="175"/>
        <v/>
      </c>
      <c r="T1666" s="317" t="str">
        <f>'REF. DE PREÇOS n editavel'!S1666</f>
        <v/>
      </c>
      <c r="W1666" s="577">
        <v>0</v>
      </c>
      <c r="X1666" s="575"/>
      <c r="Y1666" s="578">
        <f>IF('REF. DE PREÇOS n editavel'!W1666=0,0,IF('REF. DE PREÇOS n editavel'!W1666&gt;0,"c","b"))</f>
        <v>0</v>
      </c>
    </row>
    <row r="1667" spans="1:25" ht="15" customHeight="1">
      <c r="A1667" s="317">
        <v>606500</v>
      </c>
      <c r="B1667" s="870" t="s">
        <v>1710</v>
      </c>
      <c r="C1667" s="871" t="s">
        <v>184</v>
      </c>
      <c r="D1667" s="872" t="s">
        <v>466</v>
      </c>
      <c r="E1667" s="873">
        <f>'REF. DE PREÇOS n editavel'!E1667</f>
        <v>0</v>
      </c>
      <c r="F1667" s="874">
        <f>'REF. DE PREÇOS n editavel'!F1667</f>
        <v>0</v>
      </c>
      <c r="G1667" s="875">
        <f>'REF. DE PREÇOS n editavel'!G1667</f>
        <v>0</v>
      </c>
      <c r="H1667" s="876">
        <f>'REF. DE PREÇOS n editavel'!H1667</f>
        <v>182.46</v>
      </c>
      <c r="I1667" s="876">
        <f>'REF. DE PREÇOS n editavel'!I1667</f>
        <v>182.46</v>
      </c>
      <c r="J1667" s="877">
        <f>'REF. DE PREÇOS n editavel'!J1667</f>
        <v>223</v>
      </c>
      <c r="K1667" s="878" t="s">
        <v>10</v>
      </c>
      <c r="L1667" s="1094"/>
      <c r="M1667" s="1095">
        <f t="shared" si="177"/>
        <v>0</v>
      </c>
      <c r="N1667" s="868">
        <f t="shared" si="176"/>
        <v>0</v>
      </c>
      <c r="O1667" s="880"/>
      <c r="Q1667" s="317" t="str">
        <f t="shared" si="173"/>
        <v/>
      </c>
      <c r="R1667" s="317" t="str">
        <f t="shared" si="174"/>
        <v/>
      </c>
      <c r="S1667" s="317" t="str">
        <f t="shared" si="175"/>
        <v/>
      </c>
      <c r="T1667" s="317" t="str">
        <f>'REF. DE PREÇOS n editavel'!S1667</f>
        <v/>
      </c>
      <c r="W1667" s="577">
        <v>0</v>
      </c>
      <c r="X1667" s="575"/>
      <c r="Y1667" s="578">
        <f>IF('REF. DE PREÇOS n editavel'!W1667=0,0,IF('REF. DE PREÇOS n editavel'!W1667&gt;0,"c","b"))</f>
        <v>0</v>
      </c>
    </row>
    <row r="1668" spans="1:25" ht="15" customHeight="1">
      <c r="A1668" s="317">
        <v>841000</v>
      </c>
      <c r="B1668" s="870" t="s">
        <v>1700</v>
      </c>
      <c r="C1668" s="871" t="s">
        <v>184</v>
      </c>
      <c r="D1668" s="881" t="s">
        <v>445</v>
      </c>
      <c r="E1668" s="882">
        <f>'REF. DE PREÇOS n editavel'!E1668</f>
        <v>0</v>
      </c>
      <c r="F1668" s="883">
        <f>'REF. DE PREÇOS n editavel'!F1668</f>
        <v>0</v>
      </c>
      <c r="G1668" s="887">
        <f>'REF. DE PREÇOS n editavel'!G1668</f>
        <v>0</v>
      </c>
      <c r="H1668" s="876">
        <f>'REF. DE PREÇOS n editavel'!H1668</f>
        <v>12.51</v>
      </c>
      <c r="I1668" s="876">
        <f>'REF. DE PREÇOS n editavel'!I1668</f>
        <v>12.51</v>
      </c>
      <c r="J1668" s="877">
        <f>'REF. DE PREÇOS n editavel'!J1668</f>
        <v>15.29</v>
      </c>
      <c r="K1668" s="878" t="s">
        <v>13</v>
      </c>
      <c r="L1668" s="1092"/>
      <c r="M1668" s="1093">
        <f t="shared" si="177"/>
        <v>0</v>
      </c>
      <c r="N1668" s="868">
        <f t="shared" si="176"/>
        <v>0</v>
      </c>
      <c r="O1668" s="880"/>
      <c r="Q1668" s="317" t="str">
        <f t="shared" si="173"/>
        <v/>
      </c>
      <c r="R1668" s="317" t="str">
        <f t="shared" si="174"/>
        <v/>
      </c>
      <c r="S1668" s="317" t="str">
        <f t="shared" si="175"/>
        <v/>
      </c>
      <c r="T1668" s="317" t="str">
        <f>'REF. DE PREÇOS n editavel'!S1668</f>
        <v/>
      </c>
      <c r="W1668" s="577">
        <v>0</v>
      </c>
      <c r="X1668" s="575"/>
      <c r="Y1668" s="578">
        <f>IF('REF. DE PREÇOS n editavel'!W1668=0,0,IF('REF. DE PREÇOS n editavel'!W1668&gt;0,"c","b"))</f>
        <v>0</v>
      </c>
    </row>
    <row r="1669" spans="1:25" ht="15" customHeight="1">
      <c r="A1669" s="317">
        <v>840000</v>
      </c>
      <c r="B1669" s="870" t="s">
        <v>1702</v>
      </c>
      <c r="C1669" s="871" t="s">
        <v>184</v>
      </c>
      <c r="D1669" s="881" t="s">
        <v>264</v>
      </c>
      <c r="E1669" s="882">
        <f>'REF. DE PREÇOS n editavel'!E1669</f>
        <v>0</v>
      </c>
      <c r="F1669" s="883">
        <f>'REF. DE PREÇOS n editavel'!F1669</f>
        <v>0</v>
      </c>
      <c r="G1669" s="887">
        <f>'REF. DE PREÇOS n editavel'!G1669</f>
        <v>0</v>
      </c>
      <c r="H1669" s="876">
        <f>'REF. DE PREÇOS n editavel'!H1669</f>
        <v>34.53</v>
      </c>
      <c r="I1669" s="876">
        <f>'REF. DE PREÇOS n editavel'!I1669</f>
        <v>34.53</v>
      </c>
      <c r="J1669" s="877">
        <f>'REF. DE PREÇOS n editavel'!J1669</f>
        <v>42.2</v>
      </c>
      <c r="K1669" s="878" t="s">
        <v>13</v>
      </c>
      <c r="L1669" s="1092"/>
      <c r="M1669" s="1093">
        <f t="shared" si="177"/>
        <v>0</v>
      </c>
      <c r="N1669" s="868">
        <f t="shared" si="176"/>
        <v>0</v>
      </c>
      <c r="O1669" s="880"/>
      <c r="Q1669" s="317" t="str">
        <f t="shared" si="173"/>
        <v/>
      </c>
      <c r="R1669" s="317" t="str">
        <f t="shared" si="174"/>
        <v/>
      </c>
      <c r="S1669" s="317" t="str">
        <f t="shared" si="175"/>
        <v/>
      </c>
      <c r="T1669" s="317" t="str">
        <f>'REF. DE PREÇOS n editavel'!S1669</f>
        <v/>
      </c>
      <c r="W1669" s="577">
        <v>0</v>
      </c>
      <c r="X1669" s="575"/>
      <c r="Y1669" s="578">
        <f>IF('REF. DE PREÇOS n editavel'!W1669=0,0,IF('REF. DE PREÇOS n editavel'!W1669&gt;0,"c","b"))</f>
        <v>0</v>
      </c>
    </row>
    <row r="1670" spans="1:25" ht="15" customHeight="1">
      <c r="A1670" s="317">
        <v>606600</v>
      </c>
      <c r="B1670" s="870" t="s">
        <v>1686</v>
      </c>
      <c r="C1670" s="871" t="s">
        <v>184</v>
      </c>
      <c r="D1670" s="881" t="s">
        <v>178</v>
      </c>
      <c r="E1670" s="882">
        <f>'REF. DE PREÇOS n editavel'!E1670</f>
        <v>0</v>
      </c>
      <c r="F1670" s="883">
        <f>'REF. DE PREÇOS n editavel'!F1670</f>
        <v>0</v>
      </c>
      <c r="G1670" s="887">
        <f>'REF. DE PREÇOS n editavel'!G1670</f>
        <v>0</v>
      </c>
      <c r="H1670" s="876">
        <f>'REF. DE PREÇOS n editavel'!H1670</f>
        <v>309.52999999999997</v>
      </c>
      <c r="I1670" s="876">
        <f>'REF. DE PREÇOS n editavel'!I1670</f>
        <v>309.52999999999997</v>
      </c>
      <c r="J1670" s="877">
        <f>'REF. DE PREÇOS n editavel'!J1670</f>
        <v>378.31</v>
      </c>
      <c r="K1670" s="878" t="s">
        <v>10</v>
      </c>
      <c r="L1670" s="1092"/>
      <c r="M1670" s="1093">
        <f t="shared" ref="M1670:M1733" si="178">IF(L1670=0,0,ROUND(J1670,2))</f>
        <v>0</v>
      </c>
      <c r="N1670" s="868">
        <f t="shared" si="176"/>
        <v>0</v>
      </c>
      <c r="O1670" s="880"/>
      <c r="Q1670" s="317" t="str">
        <f t="shared" si="173"/>
        <v/>
      </c>
      <c r="R1670" s="317" t="str">
        <f t="shared" si="174"/>
        <v/>
      </c>
      <c r="S1670" s="317" t="str">
        <f t="shared" si="175"/>
        <v/>
      </c>
      <c r="T1670" s="317" t="str">
        <f>'REF. DE PREÇOS n editavel'!S1670</f>
        <v/>
      </c>
      <c r="W1670" s="577">
        <v>0</v>
      </c>
      <c r="X1670" s="575"/>
      <c r="Y1670" s="578">
        <f>IF('REF. DE PREÇOS n editavel'!W1670=0,0,IF('REF. DE PREÇOS n editavel'!W1670&gt;0,"c","b"))</f>
        <v>0</v>
      </c>
    </row>
    <row r="1671" spans="1:25" ht="15" customHeight="1">
      <c r="A1671" s="317">
        <v>606700</v>
      </c>
      <c r="B1671" s="870" t="s">
        <v>1689</v>
      </c>
      <c r="C1671" s="871" t="s">
        <v>184</v>
      </c>
      <c r="D1671" s="881" t="s">
        <v>258</v>
      </c>
      <c r="E1671" s="882">
        <f>'REF. DE PREÇOS n editavel'!E1671</f>
        <v>0</v>
      </c>
      <c r="F1671" s="883">
        <f>'REF. DE PREÇOS n editavel'!F1671</f>
        <v>0</v>
      </c>
      <c r="G1671" s="887">
        <f>'REF. DE PREÇOS n editavel'!G1671</f>
        <v>0</v>
      </c>
      <c r="H1671" s="876">
        <f>'REF. DE PREÇOS n editavel'!H1671</f>
        <v>148.04</v>
      </c>
      <c r="I1671" s="876">
        <f>'REF. DE PREÇOS n editavel'!I1671</f>
        <v>148.04</v>
      </c>
      <c r="J1671" s="877">
        <f>'REF. DE PREÇOS n editavel'!J1671</f>
        <v>180.93</v>
      </c>
      <c r="K1671" s="878" t="s">
        <v>10</v>
      </c>
      <c r="L1671" s="1092">
        <v>180</v>
      </c>
      <c r="M1671" s="1093">
        <f t="shared" si="178"/>
        <v>180.93</v>
      </c>
      <c r="N1671" s="868">
        <f t="shared" si="176"/>
        <v>32567.4</v>
      </c>
      <c r="O1671" s="880"/>
      <c r="Q1671" s="317" t="str">
        <f t="shared" si="173"/>
        <v>x</v>
      </c>
      <c r="R1671" s="317" t="str">
        <f t="shared" si="174"/>
        <v>x</v>
      </c>
      <c r="S1671" s="317" t="str">
        <f t="shared" si="175"/>
        <v>x</v>
      </c>
      <c r="T1671" s="317" t="str">
        <f>'REF. DE PREÇOS n editavel'!S1671</f>
        <v>x</v>
      </c>
      <c r="W1671" s="577">
        <v>0</v>
      </c>
      <c r="X1671" s="575"/>
      <c r="Y1671" s="578">
        <f>IF('REF. DE PREÇOS n editavel'!W1671=0,0,IF('REF. DE PREÇOS n editavel'!W1671&gt;0,"c","b"))</f>
        <v>0</v>
      </c>
    </row>
    <row r="1672" spans="1:25" ht="15" customHeight="1">
      <c r="A1672" s="317">
        <v>603700</v>
      </c>
      <c r="B1672" s="870" t="s">
        <v>1783</v>
      </c>
      <c r="C1672" s="871" t="s">
        <v>184</v>
      </c>
      <c r="D1672" s="881" t="s">
        <v>327</v>
      </c>
      <c r="E1672" s="882">
        <f>'REF. DE PREÇOS n editavel'!E1672</f>
        <v>43.1</v>
      </c>
      <c r="F1672" s="883">
        <f>'REF. DE PREÇOS n editavel'!F1672</f>
        <v>1.8</v>
      </c>
      <c r="G1672" s="923">
        <f>'REF. DE PREÇOS n editavel'!G1672</f>
        <v>87.834600000000009</v>
      </c>
      <c r="H1672" s="876">
        <f>'REF. DE PREÇOS n editavel'!H1672</f>
        <v>213.87</v>
      </c>
      <c r="I1672" s="876">
        <f>'REF. DE PREÇOS n editavel'!I1672</f>
        <v>301.70460000000003</v>
      </c>
      <c r="J1672" s="877">
        <f>'REF. DE PREÇOS n editavel'!J1672</f>
        <v>368.74</v>
      </c>
      <c r="K1672" s="878" t="s">
        <v>10</v>
      </c>
      <c r="L1672" s="1092"/>
      <c r="M1672" s="1093">
        <f t="shared" si="178"/>
        <v>0</v>
      </c>
      <c r="N1672" s="868">
        <f t="shared" si="176"/>
        <v>0</v>
      </c>
      <c r="O1672" s="880"/>
      <c r="P1672" s="58"/>
      <c r="Q1672" s="317" t="str">
        <f t="shared" si="173"/>
        <v/>
      </c>
      <c r="R1672" s="317" t="str">
        <f t="shared" si="174"/>
        <v/>
      </c>
      <c r="S1672" s="317" t="str">
        <f t="shared" si="175"/>
        <v/>
      </c>
      <c r="T1672" s="317" t="str">
        <f>'REF. DE PREÇOS n editavel'!S1672</f>
        <v/>
      </c>
      <c r="W1672" s="577">
        <v>0</v>
      </c>
      <c r="X1672" s="575"/>
      <c r="Y1672" s="578">
        <f>IF('REF. DE PREÇOS n editavel'!W1672=0,0,IF('REF. DE PREÇOS n editavel'!W1672&gt;0,"c","b"))</f>
        <v>0</v>
      </c>
    </row>
    <row r="1673" spans="1:25" ht="15" customHeight="1">
      <c r="A1673" s="317">
        <v>603800</v>
      </c>
      <c r="B1673" s="870" t="s">
        <v>1784</v>
      </c>
      <c r="C1673" s="871" t="s">
        <v>184</v>
      </c>
      <c r="D1673" s="881" t="s">
        <v>328</v>
      </c>
      <c r="E1673" s="882">
        <f>'REF. DE PREÇOS n editavel'!E1673</f>
        <v>43.1</v>
      </c>
      <c r="F1673" s="883">
        <f>'REF. DE PREÇOS n editavel'!F1673</f>
        <v>1.5</v>
      </c>
      <c r="G1673" s="923">
        <f>'REF. DE PREÇOS n editavel'!G1673</f>
        <v>73.19550000000001</v>
      </c>
      <c r="H1673" s="876">
        <f>'REF. DE PREÇOS n editavel'!H1673</f>
        <v>126.05</v>
      </c>
      <c r="I1673" s="876">
        <f>'REF. DE PREÇOS n editavel'!I1673</f>
        <v>199.24549999999999</v>
      </c>
      <c r="J1673" s="877">
        <f>'REF. DE PREÇOS n editavel'!J1673</f>
        <v>243.52</v>
      </c>
      <c r="K1673" s="878" t="s">
        <v>10</v>
      </c>
      <c r="L1673" s="1092"/>
      <c r="M1673" s="1093">
        <f t="shared" si="178"/>
        <v>0</v>
      </c>
      <c r="N1673" s="868">
        <f t="shared" si="176"/>
        <v>0</v>
      </c>
      <c r="O1673" s="880"/>
      <c r="Q1673" s="317" t="str">
        <f t="shared" si="173"/>
        <v/>
      </c>
      <c r="R1673" s="317" t="str">
        <f t="shared" si="174"/>
        <v/>
      </c>
      <c r="S1673" s="317" t="str">
        <f t="shared" si="175"/>
        <v/>
      </c>
      <c r="T1673" s="317" t="str">
        <f>'REF. DE PREÇOS n editavel'!S1673</f>
        <v/>
      </c>
      <c r="W1673" s="577">
        <v>0</v>
      </c>
      <c r="X1673" s="575"/>
      <c r="Y1673" s="578">
        <f>IF('REF. DE PREÇOS n editavel'!W1673=0,0,IF('REF. DE PREÇOS n editavel'!W1673&gt;0,"c","b"))</f>
        <v>0</v>
      </c>
    </row>
    <row r="1674" spans="1:25" ht="15" customHeight="1">
      <c r="A1674" s="317">
        <v>600000</v>
      </c>
      <c r="B1674" s="870" t="s">
        <v>1787</v>
      </c>
      <c r="C1674" s="871" t="s">
        <v>184</v>
      </c>
      <c r="D1674" s="881" t="s">
        <v>311</v>
      </c>
      <c r="E1674" s="882">
        <f>'REF. DE PREÇOS n editavel'!E1674</f>
        <v>0</v>
      </c>
      <c r="F1674" s="883">
        <f>'REF. DE PREÇOS n editavel'!F1674</f>
        <v>0</v>
      </c>
      <c r="G1674" s="887">
        <f>'REF. DE PREÇOS n editavel'!G1674</f>
        <v>0</v>
      </c>
      <c r="H1674" s="876">
        <f>'REF. DE PREÇOS n editavel'!H1674</f>
        <v>49.54</v>
      </c>
      <c r="I1674" s="876">
        <f>'REF. DE PREÇOS n editavel'!I1674</f>
        <v>49.54</v>
      </c>
      <c r="J1674" s="877">
        <f>'REF. DE PREÇOS n editavel'!J1674</f>
        <v>60.55</v>
      </c>
      <c r="K1674" s="878" t="s">
        <v>10</v>
      </c>
      <c r="L1674" s="1092"/>
      <c r="M1674" s="1093">
        <f t="shared" si="178"/>
        <v>0</v>
      </c>
      <c r="N1674" s="868">
        <f t="shared" si="176"/>
        <v>0</v>
      </c>
      <c r="O1674" s="880"/>
      <c r="Q1674" s="317" t="str">
        <f t="shared" si="173"/>
        <v/>
      </c>
      <c r="R1674" s="317" t="str">
        <f t="shared" si="174"/>
        <v/>
      </c>
      <c r="S1674" s="317" t="str">
        <f t="shared" si="175"/>
        <v/>
      </c>
      <c r="T1674" s="317" t="str">
        <f>'REF. DE PREÇOS n editavel'!S1674</f>
        <v/>
      </c>
      <c r="W1674" s="577">
        <v>0</v>
      </c>
      <c r="X1674" s="575"/>
      <c r="Y1674" s="578">
        <f>IF('REF. DE PREÇOS n editavel'!W1674=0,0,IF('REF. DE PREÇOS n editavel'!W1674&gt;0,"c","b"))</f>
        <v>0</v>
      </c>
    </row>
    <row r="1675" spans="1:25" ht="15" customHeight="1">
      <c r="A1675" s="317">
        <v>602000</v>
      </c>
      <c r="B1675" s="870" t="s">
        <v>1979</v>
      </c>
      <c r="C1675" s="871" t="s">
        <v>184</v>
      </c>
      <c r="D1675" s="881" t="s">
        <v>1978</v>
      </c>
      <c r="E1675" s="882">
        <f>'REF. DE PREÇOS n editavel'!E1675</f>
        <v>0</v>
      </c>
      <c r="F1675" s="883">
        <f>'REF. DE PREÇOS n editavel'!F1675</f>
        <v>0</v>
      </c>
      <c r="G1675" s="887">
        <f>'REF. DE PREÇOS n editavel'!G1675</f>
        <v>0</v>
      </c>
      <c r="H1675" s="876">
        <f>'REF. DE PREÇOS n editavel'!H1675</f>
        <v>62.53</v>
      </c>
      <c r="I1675" s="876">
        <f>'REF. DE PREÇOS n editavel'!I1675</f>
        <v>62.53</v>
      </c>
      <c r="J1675" s="877">
        <f>'REF. DE PREÇOS n editavel'!J1675</f>
        <v>76.42</v>
      </c>
      <c r="K1675" s="878" t="s">
        <v>12</v>
      </c>
      <c r="L1675" s="1092"/>
      <c r="M1675" s="1093">
        <f t="shared" si="178"/>
        <v>0</v>
      </c>
      <c r="N1675" s="868">
        <f t="shared" si="176"/>
        <v>0</v>
      </c>
      <c r="O1675" s="880"/>
      <c r="Q1675" s="317" t="str">
        <f t="shared" si="173"/>
        <v/>
      </c>
      <c r="R1675" s="317" t="str">
        <f t="shared" si="174"/>
        <v/>
      </c>
      <c r="S1675" s="317" t="str">
        <f t="shared" si="175"/>
        <v/>
      </c>
      <c r="T1675" s="317" t="str">
        <f>'REF. DE PREÇOS n editavel'!S1675</f>
        <v/>
      </c>
      <c r="W1675" s="577">
        <v>0</v>
      </c>
      <c r="X1675" s="575"/>
      <c r="Y1675" s="578">
        <f>IF('REF. DE PREÇOS n editavel'!W1675=0,0,IF('REF. DE PREÇOS n editavel'!W1675&gt;0,"c","b"))</f>
        <v>0</v>
      </c>
    </row>
    <row r="1676" spans="1:25" ht="15" customHeight="1">
      <c r="A1676" s="317">
        <v>600310</v>
      </c>
      <c r="B1676" s="870" t="s">
        <v>1695</v>
      </c>
      <c r="C1676" s="871" t="s">
        <v>184</v>
      </c>
      <c r="D1676" s="872" t="s">
        <v>442</v>
      </c>
      <c r="E1676" s="873">
        <f>'REF. DE PREÇOS n editavel'!E1676</f>
        <v>0</v>
      </c>
      <c r="F1676" s="874">
        <f>'REF. DE PREÇOS n editavel'!F1676</f>
        <v>0</v>
      </c>
      <c r="G1676" s="875">
        <f>'REF. DE PREÇOS n editavel'!G1676</f>
        <v>0</v>
      </c>
      <c r="H1676" s="876">
        <f>'REF. DE PREÇOS n editavel'!H1676</f>
        <v>142.88</v>
      </c>
      <c r="I1676" s="876">
        <f>'REF. DE PREÇOS n editavel'!I1676</f>
        <v>142.88</v>
      </c>
      <c r="J1676" s="877">
        <f>'REF. DE PREÇOS n editavel'!J1676</f>
        <v>174.63</v>
      </c>
      <c r="K1676" s="878" t="s">
        <v>15</v>
      </c>
      <c r="L1676" s="1092"/>
      <c r="M1676" s="1093">
        <f t="shared" si="178"/>
        <v>0</v>
      </c>
      <c r="N1676" s="868">
        <f t="shared" si="176"/>
        <v>0</v>
      </c>
      <c r="O1676" s="880"/>
      <c r="Q1676" s="317" t="str">
        <f t="shared" si="173"/>
        <v/>
      </c>
      <c r="R1676" s="317" t="str">
        <f t="shared" si="174"/>
        <v/>
      </c>
      <c r="S1676" s="317" t="str">
        <f t="shared" si="175"/>
        <v/>
      </c>
      <c r="T1676" s="317" t="str">
        <f>'REF. DE PREÇOS n editavel'!S1676</f>
        <v/>
      </c>
      <c r="W1676" s="577">
        <v>0</v>
      </c>
      <c r="X1676" s="575"/>
      <c r="Y1676" s="578">
        <f>IF('REF. DE PREÇOS n editavel'!W1676=0,0,IF('REF. DE PREÇOS n editavel'!W1676&gt;0,"c","b"))</f>
        <v>0</v>
      </c>
    </row>
    <row r="1677" spans="1:25" ht="15" customHeight="1">
      <c r="A1677" s="317">
        <v>633000</v>
      </c>
      <c r="B1677" s="870" t="s">
        <v>1789</v>
      </c>
      <c r="C1677" s="871" t="s">
        <v>184</v>
      </c>
      <c r="D1677" s="872" t="s">
        <v>517</v>
      </c>
      <c r="E1677" s="873">
        <f>'REF. DE PREÇOS n editavel'!E1677</f>
        <v>0</v>
      </c>
      <c r="F1677" s="874">
        <f>'REF. DE PREÇOS n editavel'!F1677</f>
        <v>0</v>
      </c>
      <c r="G1677" s="875">
        <f>'REF. DE PREÇOS n editavel'!G1677</f>
        <v>0</v>
      </c>
      <c r="H1677" s="876">
        <f>'REF. DE PREÇOS n editavel'!H1677</f>
        <v>82.58</v>
      </c>
      <c r="I1677" s="876">
        <f>'REF. DE PREÇOS n editavel'!I1677</f>
        <v>82.58</v>
      </c>
      <c r="J1677" s="877">
        <f>'REF. DE PREÇOS n editavel'!J1677</f>
        <v>100.93</v>
      </c>
      <c r="K1677" s="878" t="s">
        <v>13</v>
      </c>
      <c r="L1677" s="1092"/>
      <c r="M1677" s="1093">
        <f t="shared" si="178"/>
        <v>0</v>
      </c>
      <c r="N1677" s="868">
        <f t="shared" si="176"/>
        <v>0</v>
      </c>
      <c r="O1677" s="880"/>
      <c r="Q1677" s="317" t="str">
        <f t="shared" si="173"/>
        <v/>
      </c>
      <c r="R1677" s="317" t="str">
        <f t="shared" si="174"/>
        <v/>
      </c>
      <c r="S1677" s="317" t="str">
        <f t="shared" si="175"/>
        <v/>
      </c>
      <c r="T1677" s="317" t="str">
        <f>'REF. DE PREÇOS n editavel'!S1677</f>
        <v/>
      </c>
      <c r="W1677" s="577">
        <v>0</v>
      </c>
      <c r="X1677" s="575"/>
      <c r="Y1677" s="578">
        <f>IF('REF. DE PREÇOS n editavel'!W1677=0,0,IF('REF. DE PREÇOS n editavel'!W1677&gt;0,"c","b"))</f>
        <v>0</v>
      </c>
    </row>
    <row r="1678" spans="1:25" ht="15" customHeight="1">
      <c r="A1678" s="317">
        <v>633100</v>
      </c>
      <c r="B1678" s="870" t="s">
        <v>1791</v>
      </c>
      <c r="C1678" s="871" t="s">
        <v>184</v>
      </c>
      <c r="D1678" s="872" t="s">
        <v>518</v>
      </c>
      <c r="E1678" s="873">
        <f>'REF. DE PREÇOS n editavel'!E1678</f>
        <v>0</v>
      </c>
      <c r="F1678" s="874">
        <f>'REF. DE PREÇOS n editavel'!F1678</f>
        <v>0</v>
      </c>
      <c r="G1678" s="875">
        <f>'REF. DE PREÇOS n editavel'!G1678</f>
        <v>0</v>
      </c>
      <c r="H1678" s="876">
        <f>'REF. DE PREÇOS n editavel'!H1678</f>
        <v>165.16</v>
      </c>
      <c r="I1678" s="876">
        <f>'REF. DE PREÇOS n editavel'!I1678</f>
        <v>165.16</v>
      </c>
      <c r="J1678" s="877">
        <f>'REF. DE PREÇOS n editavel'!J1678</f>
        <v>201.86</v>
      </c>
      <c r="K1678" s="878" t="s">
        <v>13</v>
      </c>
      <c r="L1678" s="1092"/>
      <c r="M1678" s="1093">
        <f t="shared" si="178"/>
        <v>0</v>
      </c>
      <c r="N1678" s="868">
        <f t="shared" si="176"/>
        <v>0</v>
      </c>
      <c r="O1678" s="880"/>
      <c r="Q1678" s="317" t="str">
        <f t="shared" si="173"/>
        <v/>
      </c>
      <c r="R1678" s="317" t="str">
        <f t="shared" si="174"/>
        <v/>
      </c>
      <c r="S1678" s="317" t="str">
        <f t="shared" si="175"/>
        <v/>
      </c>
      <c r="T1678" s="317" t="str">
        <f>'REF. DE PREÇOS n editavel'!S1678</f>
        <v/>
      </c>
      <c r="W1678" s="577">
        <v>0</v>
      </c>
      <c r="X1678" s="575"/>
      <c r="Y1678" s="578">
        <f>IF('REF. DE PREÇOS n editavel'!W1678=0,0,IF('REF. DE PREÇOS n editavel'!W1678&gt;0,"c","b"))</f>
        <v>0</v>
      </c>
    </row>
    <row r="1679" spans="1:25" ht="15" customHeight="1">
      <c r="A1679" s="317">
        <v>633200</v>
      </c>
      <c r="B1679" s="870" t="s">
        <v>1792</v>
      </c>
      <c r="C1679" s="871" t="s">
        <v>184</v>
      </c>
      <c r="D1679" s="872" t="s">
        <v>519</v>
      </c>
      <c r="E1679" s="873">
        <f>'REF. DE PREÇOS n editavel'!E1679</f>
        <v>0</v>
      </c>
      <c r="F1679" s="874">
        <f>'REF. DE PREÇOS n editavel'!F1679</f>
        <v>0</v>
      </c>
      <c r="G1679" s="875">
        <f>'REF. DE PREÇOS n editavel'!G1679</f>
        <v>0</v>
      </c>
      <c r="H1679" s="876">
        <f>'REF. DE PREÇOS n editavel'!H1679</f>
        <v>247.74</v>
      </c>
      <c r="I1679" s="876">
        <f>'REF. DE PREÇOS n editavel'!I1679</f>
        <v>247.74</v>
      </c>
      <c r="J1679" s="877">
        <f>'REF. DE PREÇOS n editavel'!J1679</f>
        <v>302.79000000000002</v>
      </c>
      <c r="K1679" s="878" t="s">
        <v>13</v>
      </c>
      <c r="L1679" s="1092"/>
      <c r="M1679" s="1093">
        <f t="shared" si="178"/>
        <v>0</v>
      </c>
      <c r="N1679" s="868">
        <f t="shared" si="176"/>
        <v>0</v>
      </c>
      <c r="O1679" s="880"/>
      <c r="Q1679" s="317" t="str">
        <f t="shared" si="173"/>
        <v/>
      </c>
      <c r="R1679" s="317" t="str">
        <f t="shared" si="174"/>
        <v/>
      </c>
      <c r="S1679" s="317" t="str">
        <f t="shared" si="175"/>
        <v/>
      </c>
      <c r="T1679" s="317" t="str">
        <f>'REF. DE PREÇOS n editavel'!S1679</f>
        <v/>
      </c>
      <c r="W1679" s="577">
        <v>0</v>
      </c>
      <c r="X1679" s="575"/>
      <c r="Y1679" s="578">
        <f>IF('REF. DE PREÇOS n editavel'!W1679=0,0,IF('REF. DE PREÇOS n editavel'!W1679&gt;0,"c","b"))</f>
        <v>0</v>
      </c>
    </row>
    <row r="1680" spans="1:25" ht="15" customHeight="1">
      <c r="A1680" s="317">
        <v>800900</v>
      </c>
      <c r="B1680" s="870" t="s">
        <v>1697</v>
      </c>
      <c r="C1680" s="871" t="s">
        <v>184</v>
      </c>
      <c r="D1680" s="872" t="s">
        <v>443</v>
      </c>
      <c r="E1680" s="873">
        <f>'REF. DE PREÇOS n editavel'!E1680</f>
        <v>0</v>
      </c>
      <c r="F1680" s="874">
        <f>'REF. DE PREÇOS n editavel'!F1680</f>
        <v>0</v>
      </c>
      <c r="G1680" s="875">
        <f>'REF. DE PREÇOS n editavel'!G1680</f>
        <v>0</v>
      </c>
      <c r="H1680" s="876">
        <f>'REF. DE PREÇOS n editavel'!H1680</f>
        <v>13.25</v>
      </c>
      <c r="I1680" s="876">
        <f>'REF. DE PREÇOS n editavel'!I1680</f>
        <v>13.25</v>
      </c>
      <c r="J1680" s="877">
        <f>'REF. DE PREÇOS n editavel'!J1680</f>
        <v>16.190000000000001</v>
      </c>
      <c r="K1680" s="878" t="s">
        <v>12</v>
      </c>
      <c r="L1680" s="1092"/>
      <c r="M1680" s="1093">
        <f t="shared" si="178"/>
        <v>0</v>
      </c>
      <c r="N1680" s="868">
        <f t="shared" si="176"/>
        <v>0</v>
      </c>
      <c r="O1680" s="880"/>
      <c r="Q1680" s="317" t="str">
        <f t="shared" si="173"/>
        <v/>
      </c>
      <c r="R1680" s="317" t="str">
        <f t="shared" si="174"/>
        <v/>
      </c>
      <c r="S1680" s="317" t="str">
        <f t="shared" si="175"/>
        <v/>
      </c>
      <c r="T1680" s="317" t="str">
        <f>'REF. DE PREÇOS n editavel'!S1680</f>
        <v/>
      </c>
      <c r="W1680" s="577">
        <v>0</v>
      </c>
      <c r="X1680" s="575"/>
      <c r="Y1680" s="578">
        <f>IF('REF. DE PREÇOS n editavel'!W1680=0,0,IF('REF. DE PREÇOS n editavel'!W1680&gt;0,"c","b"))</f>
        <v>0</v>
      </c>
    </row>
    <row r="1681" spans="1:25" ht="15" customHeight="1">
      <c r="A1681" s="317">
        <v>801100</v>
      </c>
      <c r="B1681" s="870" t="s">
        <v>1698</v>
      </c>
      <c r="C1681" s="871" t="s">
        <v>184</v>
      </c>
      <c r="D1681" s="872" t="s">
        <v>278</v>
      </c>
      <c r="E1681" s="873">
        <f>'REF. DE PREÇOS n editavel'!E1681</f>
        <v>0</v>
      </c>
      <c r="F1681" s="874">
        <f>'REF. DE PREÇOS n editavel'!F1681</f>
        <v>0</v>
      </c>
      <c r="G1681" s="875">
        <f>'REF. DE PREÇOS n editavel'!G1681</f>
        <v>0</v>
      </c>
      <c r="H1681" s="876">
        <f>'REF. DE PREÇOS n editavel'!H1681</f>
        <v>19.149999999999999</v>
      </c>
      <c r="I1681" s="876">
        <f>'REF. DE PREÇOS n editavel'!I1681</f>
        <v>19.149999999999999</v>
      </c>
      <c r="J1681" s="877">
        <f>'REF. DE PREÇOS n editavel'!J1681</f>
        <v>23.41</v>
      </c>
      <c r="K1681" s="878" t="s">
        <v>12</v>
      </c>
      <c r="L1681" s="1094"/>
      <c r="M1681" s="1095">
        <f t="shared" si="178"/>
        <v>0</v>
      </c>
      <c r="N1681" s="868">
        <f t="shared" si="176"/>
        <v>0</v>
      </c>
      <c r="O1681" s="880"/>
      <c r="Q1681" s="317" t="str">
        <f t="shared" ref="Q1681:Q1744" si="179">IF(P1681="X","x",IF(P1681="xx","x",IF(P1681="xy","x",IF(P1681="y","x",IF(OR(N1681&gt;0,N1681&gt;0),"x","")))))</f>
        <v/>
      </c>
      <c r="R1681" s="317" t="str">
        <f t="shared" si="174"/>
        <v/>
      </c>
      <c r="S1681" s="317" t="str">
        <f t="shared" si="175"/>
        <v/>
      </c>
      <c r="T1681" s="317" t="str">
        <f>'REF. DE PREÇOS n editavel'!S1681</f>
        <v/>
      </c>
      <c r="W1681" s="577">
        <v>0</v>
      </c>
      <c r="X1681" s="575"/>
      <c r="Y1681" s="578">
        <f>IF('REF. DE PREÇOS n editavel'!W1681=0,0,IF('REF. DE PREÇOS n editavel'!W1681&gt;0,"c","b"))</f>
        <v>0</v>
      </c>
    </row>
    <row r="1682" spans="1:25" ht="15" customHeight="1">
      <c r="A1682" s="317">
        <v>600510</v>
      </c>
      <c r="B1682" s="870" t="s">
        <v>1699</v>
      </c>
      <c r="C1682" s="871" t="s">
        <v>184</v>
      </c>
      <c r="D1682" s="872" t="s">
        <v>444</v>
      </c>
      <c r="E1682" s="873">
        <f>'REF. DE PREÇOS n editavel'!E1682</f>
        <v>0</v>
      </c>
      <c r="F1682" s="874">
        <f>'REF. DE PREÇOS n editavel'!F1682</f>
        <v>0</v>
      </c>
      <c r="G1682" s="875">
        <f>'REF. DE PREÇOS n editavel'!G1682</f>
        <v>0</v>
      </c>
      <c r="H1682" s="876">
        <f>'REF. DE PREÇOS n editavel'!H1682</f>
        <v>2.52</v>
      </c>
      <c r="I1682" s="876">
        <f>'REF. DE PREÇOS n editavel'!I1682</f>
        <v>2.52</v>
      </c>
      <c r="J1682" s="877">
        <f>'REF. DE PREÇOS n editavel'!J1682</f>
        <v>3.08</v>
      </c>
      <c r="K1682" s="878" t="s">
        <v>13</v>
      </c>
      <c r="L1682" s="1094"/>
      <c r="M1682" s="1095">
        <f t="shared" si="178"/>
        <v>0</v>
      </c>
      <c r="N1682" s="868">
        <f t="shared" si="176"/>
        <v>0</v>
      </c>
      <c r="O1682" s="880"/>
      <c r="Q1682" s="317" t="str">
        <f t="shared" si="179"/>
        <v/>
      </c>
      <c r="R1682" s="317" t="str">
        <f t="shared" si="174"/>
        <v/>
      </c>
      <c r="S1682" s="317" t="str">
        <f t="shared" si="175"/>
        <v/>
      </c>
      <c r="T1682" s="317" t="str">
        <f>'REF. DE PREÇOS n editavel'!S1682</f>
        <v/>
      </c>
      <c r="W1682" s="577">
        <v>0</v>
      </c>
      <c r="X1682" s="575"/>
      <c r="Y1682" s="578">
        <f>IF('REF. DE PREÇOS n editavel'!W1682=0,0,IF('REF. DE PREÇOS n editavel'!W1682&gt;0,"c","b"))</f>
        <v>0</v>
      </c>
    </row>
    <row r="1683" spans="1:25" ht="15" customHeight="1">
      <c r="A1683" s="317">
        <v>521450</v>
      </c>
      <c r="B1683" s="929" t="s">
        <v>1600</v>
      </c>
      <c r="C1683" s="930" t="s">
        <v>184</v>
      </c>
      <c r="D1683" s="881" t="s">
        <v>219</v>
      </c>
      <c r="E1683" s="882">
        <f>'REF. DE PREÇOS n editavel'!E1683</f>
        <v>43.1</v>
      </c>
      <c r="F1683" s="874">
        <f>'REF. DE PREÇOS n editavel'!F1683</f>
        <v>0.3</v>
      </c>
      <c r="G1683" s="923">
        <f>'REF. DE PREÇOS n editavel'!G1683</f>
        <v>14.639100000000001</v>
      </c>
      <c r="H1683" s="876">
        <f>'REF. DE PREÇOS n editavel'!H1683</f>
        <v>25.31</v>
      </c>
      <c r="I1683" s="876">
        <f>'REF. DE PREÇOS n editavel'!I1683</f>
        <v>39.949100000000001</v>
      </c>
      <c r="J1683" s="877">
        <f>'REF. DE PREÇOS n editavel'!J1683</f>
        <v>48.83</v>
      </c>
      <c r="K1683" s="878" t="s">
        <v>12</v>
      </c>
      <c r="L1683" s="1092"/>
      <c r="M1683" s="1093">
        <f t="shared" si="178"/>
        <v>0</v>
      </c>
      <c r="N1683" s="868">
        <f t="shared" si="176"/>
        <v>0</v>
      </c>
      <c r="O1683" s="880"/>
      <c r="Q1683" s="317" t="str">
        <f t="shared" si="179"/>
        <v/>
      </c>
      <c r="R1683" s="317" t="str">
        <f t="shared" ref="R1683:R1746" si="180">IF(P1683="X","x",IF(P1683="y","x",IF(P1683="xx","x",IF(N1683&gt;0,"x",""))))</f>
        <v/>
      </c>
      <c r="S1683" s="317" t="str">
        <f t="shared" ref="S1683:S1746" si="181">IF(P1683="X","x",IF(N1683&gt;0,"x",""))</f>
        <v/>
      </c>
      <c r="T1683" s="317" t="str">
        <f>'REF. DE PREÇOS n editavel'!S1683</f>
        <v/>
      </c>
      <c r="W1683" s="577">
        <v>0</v>
      </c>
      <c r="X1683" s="575"/>
      <c r="Y1683" s="578">
        <f>IF('REF. DE PREÇOS n editavel'!W1683=0,0,IF('REF. DE PREÇOS n editavel'!W1683&gt;0,"c","b"))</f>
        <v>0</v>
      </c>
    </row>
    <row r="1684" spans="1:25" ht="15" customHeight="1">
      <c r="A1684" s="317">
        <v>511300</v>
      </c>
      <c r="B1684" s="870" t="s">
        <v>1555</v>
      </c>
      <c r="C1684" s="871" t="s">
        <v>184</v>
      </c>
      <c r="D1684" s="881" t="s">
        <v>180</v>
      </c>
      <c r="E1684" s="882">
        <f>'REF. DE PREÇOS n editavel'!E1684</f>
        <v>0</v>
      </c>
      <c r="F1684" s="883">
        <f>'REF. DE PREÇOS n editavel'!F1684</f>
        <v>0</v>
      </c>
      <c r="G1684" s="887">
        <f>'REF. DE PREÇOS n editavel'!G1684</f>
        <v>0</v>
      </c>
      <c r="H1684" s="876">
        <f>'REF. DE PREÇOS n editavel'!H1684</f>
        <v>0.28999999999999998</v>
      </c>
      <c r="I1684" s="876">
        <f>'REF. DE PREÇOS n editavel'!I1684</f>
        <v>0.28999999999999998</v>
      </c>
      <c r="J1684" s="877">
        <f>'REF. DE PREÇOS n editavel'!J1684</f>
        <v>0.35</v>
      </c>
      <c r="K1684" s="878" t="s">
        <v>12</v>
      </c>
      <c r="L1684" s="1092"/>
      <c r="M1684" s="1093">
        <f t="shared" si="178"/>
        <v>0</v>
      </c>
      <c r="N1684" s="868">
        <f t="shared" si="176"/>
        <v>0</v>
      </c>
      <c r="O1684" s="880"/>
      <c r="Q1684" s="317" t="str">
        <f t="shared" si="179"/>
        <v/>
      </c>
      <c r="R1684" s="317" t="str">
        <f t="shared" si="180"/>
        <v/>
      </c>
      <c r="S1684" s="317" t="str">
        <f t="shared" si="181"/>
        <v/>
      </c>
      <c r="T1684" s="317" t="str">
        <f>'REF. DE PREÇOS n editavel'!S1684</f>
        <v/>
      </c>
      <c r="W1684" s="577">
        <v>0</v>
      </c>
      <c r="X1684" s="575"/>
      <c r="Y1684" s="578">
        <f>IF('REF. DE PREÇOS n editavel'!W1684=0,0,IF('REF. DE PREÇOS n editavel'!W1684&gt;0,"c","b"))</f>
        <v>0</v>
      </c>
    </row>
    <row r="1685" spans="1:25" ht="15" customHeight="1">
      <c r="A1685" s="317">
        <v>521450</v>
      </c>
      <c r="B1685" s="870" t="s">
        <v>1601</v>
      </c>
      <c r="C1685" s="871" t="s">
        <v>184</v>
      </c>
      <c r="D1685" s="881" t="s">
        <v>454</v>
      </c>
      <c r="E1685" s="882">
        <f>'REF. DE PREÇOS n editavel'!E1685</f>
        <v>0</v>
      </c>
      <c r="F1685" s="874">
        <f>'REF. DE PREÇOS n editavel'!F1685</f>
        <v>0</v>
      </c>
      <c r="G1685" s="887">
        <f>'REF. DE PREÇOS n editavel'!G1685</f>
        <v>0</v>
      </c>
      <c r="H1685" s="876">
        <f>'REF. DE PREÇOS n editavel'!H1685</f>
        <v>25.31</v>
      </c>
      <c r="I1685" s="876">
        <f>'REF. DE PREÇOS n editavel'!I1685</f>
        <v>25.31</v>
      </c>
      <c r="J1685" s="877">
        <f>'REF. DE PREÇOS n editavel'!J1685</f>
        <v>30.93</v>
      </c>
      <c r="K1685" s="878" t="s">
        <v>12</v>
      </c>
      <c r="L1685" s="1092"/>
      <c r="M1685" s="1093">
        <f t="shared" si="178"/>
        <v>0</v>
      </c>
      <c r="N1685" s="868">
        <f t="shared" si="176"/>
        <v>0</v>
      </c>
      <c r="O1685" s="880"/>
      <c r="Q1685" s="317" t="str">
        <f t="shared" si="179"/>
        <v/>
      </c>
      <c r="R1685" s="317" t="str">
        <f t="shared" si="180"/>
        <v/>
      </c>
      <c r="S1685" s="317" t="str">
        <f t="shared" si="181"/>
        <v/>
      </c>
      <c r="T1685" s="317" t="str">
        <f>'REF. DE PREÇOS n editavel'!S1685</f>
        <v/>
      </c>
      <c r="W1685" s="577">
        <v>0</v>
      </c>
      <c r="X1685" s="575"/>
      <c r="Y1685" s="578">
        <f>IF('REF. DE PREÇOS n editavel'!W1685=0,0,IF('REF. DE PREÇOS n editavel'!W1685&gt;0,"c","b"))</f>
        <v>0</v>
      </c>
    </row>
    <row r="1686" spans="1:25" ht="15" customHeight="1">
      <c r="A1686" s="317">
        <v>521450</v>
      </c>
      <c r="B1686" s="870" t="s">
        <v>1603</v>
      </c>
      <c r="C1686" s="871" t="s">
        <v>184</v>
      </c>
      <c r="D1686" s="881" t="s">
        <v>221</v>
      </c>
      <c r="E1686" s="882">
        <f>'REF. DE PREÇOS n editavel'!E1686</f>
        <v>0</v>
      </c>
      <c r="F1686" s="874">
        <f>'REF. DE PREÇOS n editavel'!F1686</f>
        <v>0</v>
      </c>
      <c r="G1686" s="887">
        <f>'REF. DE PREÇOS n editavel'!G1686</f>
        <v>0</v>
      </c>
      <c r="H1686" s="876">
        <f>'REF. DE PREÇOS n editavel'!H1686</f>
        <v>25.31</v>
      </c>
      <c r="I1686" s="876">
        <f>'REF. DE PREÇOS n editavel'!I1686</f>
        <v>25.31</v>
      </c>
      <c r="J1686" s="877">
        <f>'REF. DE PREÇOS n editavel'!J1686</f>
        <v>30.93</v>
      </c>
      <c r="K1686" s="878" t="s">
        <v>12</v>
      </c>
      <c r="L1686" s="1092"/>
      <c r="M1686" s="1093">
        <f t="shared" si="178"/>
        <v>0</v>
      </c>
      <c r="N1686" s="868">
        <f t="shared" si="176"/>
        <v>0</v>
      </c>
      <c r="O1686" s="880"/>
      <c r="Q1686" s="317" t="str">
        <f t="shared" si="179"/>
        <v/>
      </c>
      <c r="R1686" s="317" t="str">
        <f t="shared" si="180"/>
        <v/>
      </c>
      <c r="S1686" s="317" t="str">
        <f t="shared" si="181"/>
        <v/>
      </c>
      <c r="T1686" s="317" t="str">
        <f>'REF. DE PREÇOS n editavel'!S1686</f>
        <v/>
      </c>
      <c r="W1686" s="577">
        <v>0</v>
      </c>
      <c r="X1686" s="575"/>
      <c r="Y1686" s="578">
        <f>IF('REF. DE PREÇOS n editavel'!W1686=0,0,IF('REF. DE PREÇOS n editavel'!W1686&gt;0,"c","b"))</f>
        <v>0</v>
      </c>
    </row>
    <row r="1687" spans="1:25" ht="15" customHeight="1">
      <c r="A1687" s="634" t="s">
        <v>165</v>
      </c>
      <c r="B1687" s="888" t="s">
        <v>165</v>
      </c>
      <c r="C1687" s="889"/>
      <c r="D1687" s="890" t="s">
        <v>485</v>
      </c>
      <c r="E1687" s="891">
        <f>'REF. DE PREÇOS n editavel'!E1687</f>
        <v>0</v>
      </c>
      <c r="F1687" s="892">
        <f>'REF. DE PREÇOS n editavel'!F1687</f>
        <v>0</v>
      </c>
      <c r="G1687" s="893">
        <f>'REF. DE PREÇOS n editavel'!G1687</f>
        <v>0</v>
      </c>
      <c r="H1687" s="894">
        <f>'REF. DE PREÇOS n editavel'!H1687</f>
        <v>0</v>
      </c>
      <c r="I1687" s="894">
        <f>'REF. DE PREÇOS n editavel'!I1687</f>
        <v>0</v>
      </c>
      <c r="J1687" s="894">
        <f>'REF. DE PREÇOS n editavel'!J1687</f>
        <v>0</v>
      </c>
      <c r="K1687" s="895" t="s">
        <v>506</v>
      </c>
      <c r="L1687" s="896"/>
      <c r="M1687" s="1130">
        <f t="shared" si="178"/>
        <v>0</v>
      </c>
      <c r="N1687" s="898">
        <f t="shared" ref="N1687:N1750" si="182">IF(ISBLANK(L1687),0,IF(W1687=0,ROUND(L1687*M1687,2),IF(W1687="b",ROUNDDOWN(L1687*M1687,2),ROUNDUP(L1687*M1687,2))))</f>
        <v>0</v>
      </c>
      <c r="O1687" s="880"/>
      <c r="P1687" s="58" t="str">
        <f>IF(OR(SUM(N1688:N1719)&gt;0,SUM(N1688:N1719)&gt;0),"y","")</f>
        <v/>
      </c>
      <c r="Q1687" s="317" t="str">
        <f t="shared" si="179"/>
        <v/>
      </c>
      <c r="R1687" s="317" t="str">
        <f t="shared" si="180"/>
        <v/>
      </c>
      <c r="S1687" s="317" t="str">
        <f t="shared" si="181"/>
        <v/>
      </c>
      <c r="T1687" s="317" t="str">
        <f>'REF. DE PREÇOS n editavel'!S1687</f>
        <v/>
      </c>
      <c r="W1687" s="577">
        <v>0</v>
      </c>
      <c r="X1687" s="575"/>
      <c r="Y1687" s="578">
        <f>IF('REF. DE PREÇOS n editavel'!W1687=0,0,IF('REF. DE PREÇOS n editavel'!W1687&gt;0,"c","b"))</f>
        <v>0</v>
      </c>
    </row>
    <row r="1688" spans="1:25" ht="15" customHeight="1">
      <c r="A1688" s="634" t="s">
        <v>165</v>
      </c>
      <c r="B1688" s="1010" t="str">
        <f>'REF. DE PREÇOS n editavel'!B1688</f>
        <v/>
      </c>
      <c r="C1688" s="1045" t="str">
        <f>'REF. DE PREÇOS n editavel'!C1688</f>
        <v/>
      </c>
      <c r="D1688" s="1096">
        <f>'REF. DE PREÇOS n editavel'!D1688</f>
        <v>0</v>
      </c>
      <c r="E1688" s="882">
        <f>'REF. DE PREÇOS n editavel'!E1688</f>
        <v>0</v>
      </c>
      <c r="F1688" s="883">
        <f>'REF. DE PREÇOS n editavel'!F1688</f>
        <v>0</v>
      </c>
      <c r="G1688" s="887">
        <f>'REF. DE PREÇOS n editavel'!G1688</f>
        <v>0</v>
      </c>
      <c r="H1688" s="876">
        <f>'REF. DE PREÇOS n editavel'!H1688</f>
        <v>0</v>
      </c>
      <c r="I1688" s="876">
        <f>'REF. DE PREÇOS n editavel'!I1688</f>
        <v>0</v>
      </c>
      <c r="J1688" s="865">
        <f>'REF. DE PREÇOS n editavel'!J1688</f>
        <v>0</v>
      </c>
      <c r="K1688" s="878" t="str">
        <f>'REF. DE PREÇOS n editavel'!K1688</f>
        <v xml:space="preserve">     </v>
      </c>
      <c r="L1688" s="1092"/>
      <c r="M1688" s="1130">
        <f t="shared" si="178"/>
        <v>0</v>
      </c>
      <c r="N1688" s="1122">
        <f t="shared" si="182"/>
        <v>0</v>
      </c>
      <c r="O1688" s="1120"/>
      <c r="Q1688" s="317" t="str">
        <f t="shared" si="179"/>
        <v/>
      </c>
      <c r="R1688" s="317" t="str">
        <f t="shared" si="180"/>
        <v/>
      </c>
      <c r="S1688" s="317" t="str">
        <f t="shared" si="181"/>
        <v/>
      </c>
      <c r="T1688" s="317" t="str">
        <f>'REF. DE PREÇOS n editavel'!S1688</f>
        <v/>
      </c>
      <c r="W1688" s="577">
        <v>0</v>
      </c>
      <c r="X1688" s="575"/>
      <c r="Y1688" s="578">
        <f>IF('REF. DE PREÇOS n editavel'!W1688=0,0,IF('REF. DE PREÇOS n editavel'!W1688&gt;0,"c","b"))</f>
        <v>0</v>
      </c>
    </row>
    <row r="1689" spans="1:25" ht="15" customHeight="1">
      <c r="A1689" s="634" t="s">
        <v>165</v>
      </c>
      <c r="B1689" s="1010" t="str">
        <f>'REF. DE PREÇOS n editavel'!B1689</f>
        <v/>
      </c>
      <c r="C1689" s="1045" t="str">
        <f>'REF. DE PREÇOS n editavel'!C1689</f>
        <v/>
      </c>
      <c r="D1689" s="1096">
        <f>'REF. DE PREÇOS n editavel'!D1689</f>
        <v>0</v>
      </c>
      <c r="E1689" s="882">
        <f>'REF. DE PREÇOS n editavel'!E1689</f>
        <v>0</v>
      </c>
      <c r="F1689" s="883">
        <f>'REF. DE PREÇOS n editavel'!F1689</f>
        <v>0</v>
      </c>
      <c r="G1689" s="887">
        <f>'REF. DE PREÇOS n editavel'!G1689</f>
        <v>0</v>
      </c>
      <c r="H1689" s="876">
        <f>'REF. DE PREÇOS n editavel'!H1689</f>
        <v>0</v>
      </c>
      <c r="I1689" s="876">
        <f>'REF. DE PREÇOS n editavel'!I1689</f>
        <v>0</v>
      </c>
      <c r="J1689" s="865">
        <f>'REF. DE PREÇOS n editavel'!J1689</f>
        <v>0</v>
      </c>
      <c r="K1689" s="878" t="str">
        <f>'REF. DE PREÇOS n editavel'!K1689</f>
        <v xml:space="preserve">     </v>
      </c>
      <c r="L1689" s="1092"/>
      <c r="M1689" s="1130">
        <f t="shared" si="178"/>
        <v>0</v>
      </c>
      <c r="N1689" s="1122">
        <f t="shared" si="182"/>
        <v>0</v>
      </c>
      <c r="O1689" s="1120"/>
      <c r="Q1689" s="317" t="str">
        <f t="shared" si="179"/>
        <v/>
      </c>
      <c r="R1689" s="317" t="str">
        <f t="shared" si="180"/>
        <v/>
      </c>
      <c r="S1689" s="317" t="str">
        <f t="shared" si="181"/>
        <v/>
      </c>
      <c r="T1689" s="317" t="str">
        <f>'REF. DE PREÇOS n editavel'!S1689</f>
        <v/>
      </c>
      <c r="W1689" s="577">
        <v>0</v>
      </c>
      <c r="X1689" s="575"/>
      <c r="Y1689" s="578">
        <f>IF('REF. DE PREÇOS n editavel'!W1689=0,0,IF('REF. DE PREÇOS n editavel'!W1689&gt;0,"c","b"))</f>
        <v>0</v>
      </c>
    </row>
    <row r="1690" spans="1:25" ht="15" customHeight="1">
      <c r="A1690" s="634" t="s">
        <v>165</v>
      </c>
      <c r="B1690" s="1010" t="str">
        <f>'REF. DE PREÇOS n editavel'!B1690</f>
        <v/>
      </c>
      <c r="C1690" s="1045" t="str">
        <f>'REF. DE PREÇOS n editavel'!C1690</f>
        <v/>
      </c>
      <c r="D1690" s="1096">
        <f>'REF. DE PREÇOS n editavel'!D1690</f>
        <v>0</v>
      </c>
      <c r="E1690" s="882">
        <f>'REF. DE PREÇOS n editavel'!E1690</f>
        <v>0</v>
      </c>
      <c r="F1690" s="883">
        <f>'REF. DE PREÇOS n editavel'!F1690</f>
        <v>0</v>
      </c>
      <c r="G1690" s="887">
        <f>'REF. DE PREÇOS n editavel'!G1690</f>
        <v>0</v>
      </c>
      <c r="H1690" s="876">
        <f>'REF. DE PREÇOS n editavel'!H1690</f>
        <v>0</v>
      </c>
      <c r="I1690" s="876">
        <f>'REF. DE PREÇOS n editavel'!I1690</f>
        <v>0</v>
      </c>
      <c r="J1690" s="865">
        <f>'REF. DE PREÇOS n editavel'!J1690</f>
        <v>0</v>
      </c>
      <c r="K1690" s="878" t="str">
        <f>'REF. DE PREÇOS n editavel'!K1690</f>
        <v xml:space="preserve">     </v>
      </c>
      <c r="L1690" s="1092"/>
      <c r="M1690" s="1130">
        <f t="shared" si="178"/>
        <v>0</v>
      </c>
      <c r="N1690" s="1122">
        <f t="shared" si="182"/>
        <v>0</v>
      </c>
      <c r="O1690" s="1120"/>
      <c r="Q1690" s="317" t="str">
        <f t="shared" si="179"/>
        <v/>
      </c>
      <c r="R1690" s="317" t="str">
        <f t="shared" si="180"/>
        <v/>
      </c>
      <c r="S1690" s="317" t="str">
        <f t="shared" si="181"/>
        <v/>
      </c>
      <c r="T1690" s="317" t="str">
        <f>'REF. DE PREÇOS n editavel'!S1690</f>
        <v/>
      </c>
      <c r="W1690" s="577">
        <v>0</v>
      </c>
      <c r="X1690" s="575"/>
      <c r="Y1690" s="578">
        <f>IF('REF. DE PREÇOS n editavel'!W1690=0,0,IF('REF. DE PREÇOS n editavel'!W1690&gt;0,"c","b"))</f>
        <v>0</v>
      </c>
    </row>
    <row r="1691" spans="1:25" ht="15" customHeight="1">
      <c r="A1691" s="634" t="s">
        <v>165</v>
      </c>
      <c r="B1691" s="1010" t="str">
        <f>'REF. DE PREÇOS n editavel'!B1691</f>
        <v/>
      </c>
      <c r="C1691" s="1045" t="str">
        <f>'REF. DE PREÇOS n editavel'!C1691</f>
        <v/>
      </c>
      <c r="D1691" s="1096">
        <f>'REF. DE PREÇOS n editavel'!D1691</f>
        <v>0</v>
      </c>
      <c r="E1691" s="882">
        <f>'REF. DE PREÇOS n editavel'!E1691</f>
        <v>0</v>
      </c>
      <c r="F1691" s="883">
        <f>'REF. DE PREÇOS n editavel'!F1691</f>
        <v>0</v>
      </c>
      <c r="G1691" s="887">
        <f>'REF. DE PREÇOS n editavel'!G1691</f>
        <v>0</v>
      </c>
      <c r="H1691" s="876">
        <f>'REF. DE PREÇOS n editavel'!H1691</f>
        <v>0</v>
      </c>
      <c r="I1691" s="876">
        <f>'REF. DE PREÇOS n editavel'!I1691</f>
        <v>0</v>
      </c>
      <c r="J1691" s="865">
        <f>'REF. DE PREÇOS n editavel'!J1691</f>
        <v>0</v>
      </c>
      <c r="K1691" s="878" t="str">
        <f>'REF. DE PREÇOS n editavel'!K1691</f>
        <v xml:space="preserve">     </v>
      </c>
      <c r="L1691" s="1092"/>
      <c r="M1691" s="1130">
        <f t="shared" si="178"/>
        <v>0</v>
      </c>
      <c r="N1691" s="1122">
        <f t="shared" si="182"/>
        <v>0</v>
      </c>
      <c r="O1691" s="1120"/>
      <c r="Q1691" s="317" t="str">
        <f t="shared" si="179"/>
        <v/>
      </c>
      <c r="R1691" s="317" t="str">
        <f t="shared" si="180"/>
        <v/>
      </c>
      <c r="S1691" s="317" t="str">
        <f t="shared" si="181"/>
        <v/>
      </c>
      <c r="T1691" s="317" t="str">
        <f>'REF. DE PREÇOS n editavel'!S1691</f>
        <v/>
      </c>
      <c r="W1691" s="577">
        <v>0</v>
      </c>
      <c r="X1691" s="575"/>
      <c r="Y1691" s="578">
        <f>IF('REF. DE PREÇOS n editavel'!W1691=0,0,IF('REF. DE PREÇOS n editavel'!W1691&gt;0,"c","b"))</f>
        <v>0</v>
      </c>
    </row>
    <row r="1692" spans="1:25" ht="15" customHeight="1">
      <c r="A1692" s="634" t="s">
        <v>165</v>
      </c>
      <c r="B1692" s="1010" t="str">
        <f>'REF. DE PREÇOS n editavel'!B1692</f>
        <v/>
      </c>
      <c r="C1692" s="1045" t="str">
        <f>'REF. DE PREÇOS n editavel'!C1692</f>
        <v/>
      </c>
      <c r="D1692" s="1096">
        <f>'REF. DE PREÇOS n editavel'!D1692</f>
        <v>0</v>
      </c>
      <c r="E1692" s="882">
        <f>'REF. DE PREÇOS n editavel'!E1692</f>
        <v>0</v>
      </c>
      <c r="F1692" s="883">
        <f>'REF. DE PREÇOS n editavel'!F1692</f>
        <v>0</v>
      </c>
      <c r="G1692" s="887">
        <f>'REF. DE PREÇOS n editavel'!G1692</f>
        <v>0</v>
      </c>
      <c r="H1692" s="876">
        <f>'REF. DE PREÇOS n editavel'!H1692</f>
        <v>0</v>
      </c>
      <c r="I1692" s="876">
        <f>'REF. DE PREÇOS n editavel'!I1692</f>
        <v>0</v>
      </c>
      <c r="J1692" s="865">
        <f>'REF. DE PREÇOS n editavel'!J1692</f>
        <v>0</v>
      </c>
      <c r="K1692" s="878" t="str">
        <f>'REF. DE PREÇOS n editavel'!K1692</f>
        <v xml:space="preserve">     </v>
      </c>
      <c r="L1692" s="1092"/>
      <c r="M1692" s="1130">
        <f t="shared" si="178"/>
        <v>0</v>
      </c>
      <c r="N1692" s="1122">
        <f t="shared" si="182"/>
        <v>0</v>
      </c>
      <c r="O1692" s="1120"/>
      <c r="Q1692" s="317" t="str">
        <f t="shared" si="179"/>
        <v/>
      </c>
      <c r="R1692" s="317" t="str">
        <f t="shared" si="180"/>
        <v/>
      </c>
      <c r="S1692" s="317" t="str">
        <f t="shared" si="181"/>
        <v/>
      </c>
      <c r="T1692" s="317" t="str">
        <f>'REF. DE PREÇOS n editavel'!S1692</f>
        <v/>
      </c>
      <c r="W1692" s="577">
        <v>0</v>
      </c>
      <c r="X1692" s="575"/>
      <c r="Y1692" s="578">
        <f>IF('REF. DE PREÇOS n editavel'!W1692=0,0,IF('REF. DE PREÇOS n editavel'!W1692&gt;0,"c","b"))</f>
        <v>0</v>
      </c>
    </row>
    <row r="1693" spans="1:25" ht="15" customHeight="1">
      <c r="A1693" s="634" t="s">
        <v>165</v>
      </c>
      <c r="B1693" s="1010" t="str">
        <f>'REF. DE PREÇOS n editavel'!B1693</f>
        <v/>
      </c>
      <c r="C1693" s="1045" t="str">
        <f>'REF. DE PREÇOS n editavel'!C1693</f>
        <v/>
      </c>
      <c r="D1693" s="1096">
        <f>'REF. DE PREÇOS n editavel'!D1693</f>
        <v>0</v>
      </c>
      <c r="E1693" s="882">
        <f>'REF. DE PREÇOS n editavel'!E1693</f>
        <v>0</v>
      </c>
      <c r="F1693" s="883">
        <f>'REF. DE PREÇOS n editavel'!F1693</f>
        <v>0</v>
      </c>
      <c r="G1693" s="887">
        <f>'REF. DE PREÇOS n editavel'!G1693</f>
        <v>0</v>
      </c>
      <c r="H1693" s="876">
        <f>'REF. DE PREÇOS n editavel'!H1693</f>
        <v>0</v>
      </c>
      <c r="I1693" s="876">
        <f>'REF. DE PREÇOS n editavel'!I1693</f>
        <v>0</v>
      </c>
      <c r="J1693" s="865">
        <f>'REF. DE PREÇOS n editavel'!J1693</f>
        <v>0</v>
      </c>
      <c r="K1693" s="878" t="str">
        <f>'REF. DE PREÇOS n editavel'!K1693</f>
        <v xml:space="preserve">     </v>
      </c>
      <c r="L1693" s="1092"/>
      <c r="M1693" s="1130">
        <f t="shared" si="178"/>
        <v>0</v>
      </c>
      <c r="N1693" s="1122">
        <f t="shared" si="182"/>
        <v>0</v>
      </c>
      <c r="O1693" s="1120"/>
      <c r="Q1693" s="317" t="str">
        <f t="shared" si="179"/>
        <v/>
      </c>
      <c r="R1693" s="317" t="str">
        <f t="shared" si="180"/>
        <v/>
      </c>
      <c r="S1693" s="317" t="str">
        <f t="shared" si="181"/>
        <v/>
      </c>
      <c r="T1693" s="317" t="str">
        <f>'REF. DE PREÇOS n editavel'!S1693</f>
        <v/>
      </c>
      <c r="W1693" s="577">
        <v>0</v>
      </c>
      <c r="X1693" s="575"/>
      <c r="Y1693" s="578">
        <f>IF('REF. DE PREÇOS n editavel'!W1693=0,0,IF('REF. DE PREÇOS n editavel'!W1693&gt;0,"c","b"))</f>
        <v>0</v>
      </c>
    </row>
    <row r="1694" spans="1:25" ht="15" customHeight="1">
      <c r="A1694" s="634" t="s">
        <v>165</v>
      </c>
      <c r="B1694" s="1010" t="str">
        <f>'REF. DE PREÇOS n editavel'!B1694</f>
        <v/>
      </c>
      <c r="C1694" s="1045" t="str">
        <f>'REF. DE PREÇOS n editavel'!C1694</f>
        <v/>
      </c>
      <c r="D1694" s="1096">
        <f>'REF. DE PREÇOS n editavel'!D1694</f>
        <v>0</v>
      </c>
      <c r="E1694" s="882">
        <f>'REF. DE PREÇOS n editavel'!E1694</f>
        <v>0</v>
      </c>
      <c r="F1694" s="883">
        <f>'REF. DE PREÇOS n editavel'!F1694</f>
        <v>0</v>
      </c>
      <c r="G1694" s="887">
        <f>'REF. DE PREÇOS n editavel'!G1694</f>
        <v>0</v>
      </c>
      <c r="H1694" s="876">
        <f>'REF. DE PREÇOS n editavel'!H1694</f>
        <v>0</v>
      </c>
      <c r="I1694" s="876">
        <f>'REF. DE PREÇOS n editavel'!I1694</f>
        <v>0</v>
      </c>
      <c r="J1694" s="865">
        <f>'REF. DE PREÇOS n editavel'!J1694</f>
        <v>0</v>
      </c>
      <c r="K1694" s="878" t="str">
        <f>'REF. DE PREÇOS n editavel'!K1694</f>
        <v xml:space="preserve">     </v>
      </c>
      <c r="L1694" s="1092"/>
      <c r="M1694" s="1130">
        <f t="shared" si="178"/>
        <v>0</v>
      </c>
      <c r="N1694" s="1122">
        <f t="shared" si="182"/>
        <v>0</v>
      </c>
      <c r="O1694" s="1120"/>
      <c r="Q1694" s="317" t="str">
        <f t="shared" si="179"/>
        <v/>
      </c>
      <c r="R1694" s="317" t="str">
        <f t="shared" si="180"/>
        <v/>
      </c>
      <c r="S1694" s="317" t="str">
        <f t="shared" si="181"/>
        <v/>
      </c>
      <c r="T1694" s="317" t="str">
        <f>'REF. DE PREÇOS n editavel'!S1694</f>
        <v/>
      </c>
      <c r="W1694" s="577">
        <v>0</v>
      </c>
      <c r="X1694" s="575"/>
      <c r="Y1694" s="578">
        <f>IF('REF. DE PREÇOS n editavel'!W1694=0,0,IF('REF. DE PREÇOS n editavel'!W1694&gt;0,"c","b"))</f>
        <v>0</v>
      </c>
    </row>
    <row r="1695" spans="1:25" ht="15" customHeight="1">
      <c r="A1695" s="634" t="s">
        <v>165</v>
      </c>
      <c r="B1695" s="1010" t="str">
        <f>'REF. DE PREÇOS n editavel'!B1695</f>
        <v/>
      </c>
      <c r="C1695" s="1045" t="str">
        <f>'REF. DE PREÇOS n editavel'!C1695</f>
        <v/>
      </c>
      <c r="D1695" s="1096">
        <f>'REF. DE PREÇOS n editavel'!D1695</f>
        <v>0</v>
      </c>
      <c r="E1695" s="882">
        <f>'REF. DE PREÇOS n editavel'!E1695</f>
        <v>0</v>
      </c>
      <c r="F1695" s="883">
        <f>'REF. DE PREÇOS n editavel'!F1695</f>
        <v>0</v>
      </c>
      <c r="G1695" s="887">
        <f>'REF. DE PREÇOS n editavel'!G1695</f>
        <v>0</v>
      </c>
      <c r="H1695" s="876">
        <f>'REF. DE PREÇOS n editavel'!H1695</f>
        <v>0</v>
      </c>
      <c r="I1695" s="876">
        <f>'REF. DE PREÇOS n editavel'!I1695</f>
        <v>0</v>
      </c>
      <c r="J1695" s="865">
        <f>'REF. DE PREÇOS n editavel'!J1695</f>
        <v>0</v>
      </c>
      <c r="K1695" s="878" t="str">
        <f>'REF. DE PREÇOS n editavel'!K1695</f>
        <v xml:space="preserve">     </v>
      </c>
      <c r="L1695" s="1092"/>
      <c r="M1695" s="1130">
        <f t="shared" si="178"/>
        <v>0</v>
      </c>
      <c r="N1695" s="1122">
        <f t="shared" si="182"/>
        <v>0</v>
      </c>
      <c r="O1695" s="1120"/>
      <c r="Q1695" s="317" t="str">
        <f t="shared" si="179"/>
        <v/>
      </c>
      <c r="R1695" s="317" t="str">
        <f t="shared" si="180"/>
        <v/>
      </c>
      <c r="S1695" s="317" t="str">
        <f t="shared" si="181"/>
        <v/>
      </c>
      <c r="T1695" s="317" t="str">
        <f>'REF. DE PREÇOS n editavel'!S1695</f>
        <v/>
      </c>
      <c r="W1695" s="577">
        <v>0</v>
      </c>
      <c r="X1695" s="575"/>
      <c r="Y1695" s="578">
        <f>IF('REF. DE PREÇOS n editavel'!W1695=0,0,IF('REF. DE PREÇOS n editavel'!W1695&gt;0,"c","b"))</f>
        <v>0</v>
      </c>
    </row>
    <row r="1696" spans="1:25" ht="15" customHeight="1">
      <c r="A1696" s="634" t="s">
        <v>165</v>
      </c>
      <c r="B1696" s="1010" t="str">
        <f>'REF. DE PREÇOS n editavel'!B1696</f>
        <v/>
      </c>
      <c r="C1696" s="1045" t="str">
        <f>'REF. DE PREÇOS n editavel'!C1696</f>
        <v/>
      </c>
      <c r="D1696" s="1096">
        <f>'REF. DE PREÇOS n editavel'!D1696</f>
        <v>0</v>
      </c>
      <c r="E1696" s="882">
        <f>'REF. DE PREÇOS n editavel'!E1696</f>
        <v>0</v>
      </c>
      <c r="F1696" s="883">
        <f>'REF. DE PREÇOS n editavel'!F1696</f>
        <v>0</v>
      </c>
      <c r="G1696" s="887">
        <f>'REF. DE PREÇOS n editavel'!G1696</f>
        <v>0</v>
      </c>
      <c r="H1696" s="876">
        <f>'REF. DE PREÇOS n editavel'!H1696</f>
        <v>0</v>
      </c>
      <c r="I1696" s="876">
        <f>'REF. DE PREÇOS n editavel'!I1696</f>
        <v>0</v>
      </c>
      <c r="J1696" s="865">
        <f>'REF. DE PREÇOS n editavel'!J1696</f>
        <v>0</v>
      </c>
      <c r="K1696" s="878" t="str">
        <f>'REF. DE PREÇOS n editavel'!K1696</f>
        <v xml:space="preserve">     </v>
      </c>
      <c r="L1696" s="1092"/>
      <c r="M1696" s="1130">
        <f t="shared" si="178"/>
        <v>0</v>
      </c>
      <c r="N1696" s="1122">
        <f t="shared" si="182"/>
        <v>0</v>
      </c>
      <c r="O1696" s="880"/>
      <c r="Q1696" s="317" t="str">
        <f t="shared" si="179"/>
        <v/>
      </c>
      <c r="R1696" s="317" t="str">
        <f t="shared" si="180"/>
        <v/>
      </c>
      <c r="S1696" s="317" t="str">
        <f t="shared" si="181"/>
        <v/>
      </c>
      <c r="T1696" s="317" t="str">
        <f>'REF. DE PREÇOS n editavel'!S1696</f>
        <v/>
      </c>
      <c r="W1696" s="577">
        <v>0</v>
      </c>
      <c r="X1696" s="575"/>
      <c r="Y1696" s="578">
        <f>IF('REF. DE PREÇOS n editavel'!W1696=0,0,IF('REF. DE PREÇOS n editavel'!W1696&gt;0,"c","b"))</f>
        <v>0</v>
      </c>
    </row>
    <row r="1697" spans="1:25" ht="15" customHeight="1">
      <c r="A1697" s="634" t="s">
        <v>165</v>
      </c>
      <c r="B1697" s="1010" t="str">
        <f>'REF. DE PREÇOS n editavel'!B1697</f>
        <v/>
      </c>
      <c r="C1697" s="1045" t="str">
        <f>'REF. DE PREÇOS n editavel'!C1697</f>
        <v/>
      </c>
      <c r="D1697" s="1096">
        <f>'REF. DE PREÇOS n editavel'!D1697</f>
        <v>0</v>
      </c>
      <c r="E1697" s="882">
        <f>'REF. DE PREÇOS n editavel'!E1697</f>
        <v>0</v>
      </c>
      <c r="F1697" s="883">
        <f>'REF. DE PREÇOS n editavel'!F1697</f>
        <v>0</v>
      </c>
      <c r="G1697" s="887">
        <f>'REF. DE PREÇOS n editavel'!G1697</f>
        <v>0</v>
      </c>
      <c r="H1697" s="876">
        <f>'REF. DE PREÇOS n editavel'!H1697</f>
        <v>0</v>
      </c>
      <c r="I1697" s="876">
        <f>'REF. DE PREÇOS n editavel'!I1697</f>
        <v>0</v>
      </c>
      <c r="J1697" s="865">
        <f>'REF. DE PREÇOS n editavel'!J1697</f>
        <v>0</v>
      </c>
      <c r="K1697" s="878" t="str">
        <f>'REF. DE PREÇOS n editavel'!K1697</f>
        <v xml:space="preserve">     </v>
      </c>
      <c r="L1697" s="1092"/>
      <c r="M1697" s="1130">
        <f t="shared" si="178"/>
        <v>0</v>
      </c>
      <c r="N1697" s="1122">
        <f t="shared" si="182"/>
        <v>0</v>
      </c>
      <c r="O1697" s="880"/>
      <c r="Q1697" s="317" t="str">
        <f t="shared" si="179"/>
        <v/>
      </c>
      <c r="R1697" s="317" t="str">
        <f t="shared" si="180"/>
        <v/>
      </c>
      <c r="S1697" s="317" t="str">
        <f t="shared" si="181"/>
        <v/>
      </c>
      <c r="T1697" s="317" t="str">
        <f>'REF. DE PREÇOS n editavel'!S1697</f>
        <v/>
      </c>
      <c r="W1697" s="577">
        <v>0</v>
      </c>
      <c r="X1697" s="575"/>
      <c r="Y1697" s="578">
        <f>IF('REF. DE PREÇOS n editavel'!W1697=0,0,IF('REF. DE PREÇOS n editavel'!W1697&gt;0,"c","b"))</f>
        <v>0</v>
      </c>
    </row>
    <row r="1698" spans="1:25" ht="15" customHeight="1">
      <c r="A1698" s="634" t="s">
        <v>165</v>
      </c>
      <c r="B1698" s="1010" t="str">
        <f>'REF. DE PREÇOS n editavel'!B1698</f>
        <v/>
      </c>
      <c r="C1698" s="1045" t="str">
        <f>'REF. DE PREÇOS n editavel'!C1698</f>
        <v/>
      </c>
      <c r="D1698" s="1096">
        <f>'REF. DE PREÇOS n editavel'!D1698</f>
        <v>0</v>
      </c>
      <c r="E1698" s="882">
        <f>'REF. DE PREÇOS n editavel'!E1698</f>
        <v>0</v>
      </c>
      <c r="F1698" s="883">
        <f>'REF. DE PREÇOS n editavel'!F1698</f>
        <v>0</v>
      </c>
      <c r="G1698" s="887">
        <f>'REF. DE PREÇOS n editavel'!G1698</f>
        <v>0</v>
      </c>
      <c r="H1698" s="876">
        <f>'REF. DE PREÇOS n editavel'!H1698</f>
        <v>0</v>
      </c>
      <c r="I1698" s="876">
        <f>'REF. DE PREÇOS n editavel'!I1698</f>
        <v>0</v>
      </c>
      <c r="J1698" s="865">
        <f>'REF. DE PREÇOS n editavel'!J1698</f>
        <v>0</v>
      </c>
      <c r="K1698" s="878" t="str">
        <f>'REF. DE PREÇOS n editavel'!K1698</f>
        <v xml:space="preserve">     </v>
      </c>
      <c r="L1698" s="1092"/>
      <c r="M1698" s="1130">
        <f t="shared" si="178"/>
        <v>0</v>
      </c>
      <c r="N1698" s="1122">
        <f t="shared" si="182"/>
        <v>0</v>
      </c>
      <c r="O1698" s="880"/>
      <c r="Q1698" s="317" t="str">
        <f t="shared" si="179"/>
        <v/>
      </c>
      <c r="R1698" s="317" t="str">
        <f t="shared" si="180"/>
        <v/>
      </c>
      <c r="S1698" s="317" t="str">
        <f t="shared" si="181"/>
        <v/>
      </c>
      <c r="T1698" s="317" t="str">
        <f>'REF. DE PREÇOS n editavel'!S1698</f>
        <v/>
      </c>
      <c r="W1698" s="577">
        <v>0</v>
      </c>
      <c r="X1698" s="575"/>
      <c r="Y1698" s="578">
        <f>IF('REF. DE PREÇOS n editavel'!W1698=0,0,IF('REF. DE PREÇOS n editavel'!W1698&gt;0,"c","b"))</f>
        <v>0</v>
      </c>
    </row>
    <row r="1699" spans="1:25" ht="15" customHeight="1">
      <c r="A1699" s="634" t="s">
        <v>165</v>
      </c>
      <c r="B1699" s="1010" t="str">
        <f>'REF. DE PREÇOS n editavel'!B1699</f>
        <v/>
      </c>
      <c r="C1699" s="1045" t="str">
        <f>'REF. DE PREÇOS n editavel'!C1699</f>
        <v/>
      </c>
      <c r="D1699" s="1096">
        <f>'REF. DE PREÇOS n editavel'!D1699</f>
        <v>0</v>
      </c>
      <c r="E1699" s="882">
        <f>'REF. DE PREÇOS n editavel'!E1699</f>
        <v>0</v>
      </c>
      <c r="F1699" s="883">
        <f>'REF. DE PREÇOS n editavel'!F1699</f>
        <v>0</v>
      </c>
      <c r="G1699" s="887">
        <f>'REF. DE PREÇOS n editavel'!G1699</f>
        <v>0</v>
      </c>
      <c r="H1699" s="876">
        <f>'REF. DE PREÇOS n editavel'!H1699</f>
        <v>0</v>
      </c>
      <c r="I1699" s="876">
        <f>'REF. DE PREÇOS n editavel'!I1699</f>
        <v>0</v>
      </c>
      <c r="J1699" s="865">
        <f>'REF. DE PREÇOS n editavel'!J1699</f>
        <v>0</v>
      </c>
      <c r="K1699" s="878" t="str">
        <f>'REF. DE PREÇOS n editavel'!K1699</f>
        <v xml:space="preserve">     </v>
      </c>
      <c r="L1699" s="1092"/>
      <c r="M1699" s="1130">
        <f t="shared" si="178"/>
        <v>0</v>
      </c>
      <c r="N1699" s="1122">
        <f t="shared" si="182"/>
        <v>0</v>
      </c>
      <c r="O1699" s="880"/>
      <c r="Q1699" s="317" t="str">
        <f t="shared" si="179"/>
        <v/>
      </c>
      <c r="R1699" s="317" t="str">
        <f t="shared" si="180"/>
        <v/>
      </c>
      <c r="S1699" s="317" t="str">
        <f t="shared" si="181"/>
        <v/>
      </c>
      <c r="T1699" s="317" t="str">
        <f>'REF. DE PREÇOS n editavel'!S1699</f>
        <v/>
      </c>
      <c r="W1699" s="577">
        <v>0</v>
      </c>
      <c r="X1699" s="575"/>
      <c r="Y1699" s="578">
        <f>IF('REF. DE PREÇOS n editavel'!W1699=0,0,IF('REF. DE PREÇOS n editavel'!W1699&gt;0,"c","b"))</f>
        <v>0</v>
      </c>
    </row>
    <row r="1700" spans="1:25" ht="15" customHeight="1">
      <c r="A1700" s="634" t="s">
        <v>165</v>
      </c>
      <c r="B1700" s="1010" t="str">
        <f>'REF. DE PREÇOS n editavel'!B1700</f>
        <v/>
      </c>
      <c r="C1700" s="1045" t="str">
        <f>'REF. DE PREÇOS n editavel'!C1700</f>
        <v/>
      </c>
      <c r="D1700" s="1096">
        <f>'REF. DE PREÇOS n editavel'!D1700</f>
        <v>0</v>
      </c>
      <c r="E1700" s="882">
        <f>'REF. DE PREÇOS n editavel'!E1700</f>
        <v>0</v>
      </c>
      <c r="F1700" s="883">
        <f>'REF. DE PREÇOS n editavel'!F1700</f>
        <v>0</v>
      </c>
      <c r="G1700" s="887">
        <f>'REF. DE PREÇOS n editavel'!G1700</f>
        <v>0</v>
      </c>
      <c r="H1700" s="876">
        <f>'REF. DE PREÇOS n editavel'!H1700</f>
        <v>0</v>
      </c>
      <c r="I1700" s="876">
        <f>'REF. DE PREÇOS n editavel'!I1700</f>
        <v>0</v>
      </c>
      <c r="J1700" s="865">
        <f>'REF. DE PREÇOS n editavel'!J1700</f>
        <v>0</v>
      </c>
      <c r="K1700" s="878" t="str">
        <f>'REF. DE PREÇOS n editavel'!K1700</f>
        <v xml:space="preserve">     </v>
      </c>
      <c r="L1700" s="1092"/>
      <c r="M1700" s="1130">
        <f t="shared" si="178"/>
        <v>0</v>
      </c>
      <c r="N1700" s="1122">
        <f t="shared" si="182"/>
        <v>0</v>
      </c>
      <c r="O1700" s="880"/>
      <c r="Q1700" s="317" t="str">
        <f t="shared" si="179"/>
        <v/>
      </c>
      <c r="R1700" s="317" t="str">
        <f t="shared" si="180"/>
        <v/>
      </c>
      <c r="S1700" s="317" t="str">
        <f t="shared" si="181"/>
        <v/>
      </c>
      <c r="T1700" s="317" t="str">
        <f>'REF. DE PREÇOS n editavel'!S1700</f>
        <v/>
      </c>
      <c r="W1700" s="577">
        <v>0</v>
      </c>
      <c r="X1700" s="575"/>
      <c r="Y1700" s="578">
        <f>IF('REF. DE PREÇOS n editavel'!W1700=0,0,IF('REF. DE PREÇOS n editavel'!W1700&gt;0,"c","b"))</f>
        <v>0</v>
      </c>
    </row>
    <row r="1701" spans="1:25" ht="15" customHeight="1">
      <c r="A1701" s="634" t="s">
        <v>165</v>
      </c>
      <c r="B1701" s="1010" t="str">
        <f>'REF. DE PREÇOS n editavel'!B1701</f>
        <v/>
      </c>
      <c r="C1701" s="1045" t="str">
        <f>'REF. DE PREÇOS n editavel'!C1701</f>
        <v/>
      </c>
      <c r="D1701" s="1096">
        <f>'REF. DE PREÇOS n editavel'!D1701</f>
        <v>0</v>
      </c>
      <c r="E1701" s="882">
        <f>'REF. DE PREÇOS n editavel'!E1701</f>
        <v>0</v>
      </c>
      <c r="F1701" s="883">
        <f>'REF. DE PREÇOS n editavel'!F1701</f>
        <v>0</v>
      </c>
      <c r="G1701" s="887">
        <f>'REF. DE PREÇOS n editavel'!G1701</f>
        <v>0</v>
      </c>
      <c r="H1701" s="876">
        <f>'REF. DE PREÇOS n editavel'!H1701</f>
        <v>0</v>
      </c>
      <c r="I1701" s="876">
        <f>'REF. DE PREÇOS n editavel'!I1701</f>
        <v>0</v>
      </c>
      <c r="J1701" s="865">
        <f>'REF. DE PREÇOS n editavel'!J1701</f>
        <v>0</v>
      </c>
      <c r="K1701" s="878" t="str">
        <f>'REF. DE PREÇOS n editavel'!K1701</f>
        <v xml:space="preserve">     </v>
      </c>
      <c r="L1701" s="1092"/>
      <c r="M1701" s="1130">
        <f t="shared" si="178"/>
        <v>0</v>
      </c>
      <c r="N1701" s="1122">
        <f t="shared" si="182"/>
        <v>0</v>
      </c>
      <c r="O1701" s="880"/>
      <c r="Q1701" s="317" t="str">
        <f t="shared" si="179"/>
        <v/>
      </c>
      <c r="R1701" s="317" t="str">
        <f t="shared" si="180"/>
        <v/>
      </c>
      <c r="S1701" s="317" t="str">
        <f t="shared" si="181"/>
        <v/>
      </c>
      <c r="T1701" s="317" t="str">
        <f>'REF. DE PREÇOS n editavel'!S1701</f>
        <v/>
      </c>
      <c r="W1701" s="577">
        <v>0</v>
      </c>
      <c r="X1701" s="575"/>
      <c r="Y1701" s="578">
        <f>IF('REF. DE PREÇOS n editavel'!W1701=0,0,IF('REF. DE PREÇOS n editavel'!W1701&gt;0,"c","b"))</f>
        <v>0</v>
      </c>
    </row>
    <row r="1702" spans="1:25" ht="15" customHeight="1">
      <c r="A1702" s="634" t="s">
        <v>165</v>
      </c>
      <c r="B1702" s="1010" t="str">
        <f>'REF. DE PREÇOS n editavel'!B1702</f>
        <v/>
      </c>
      <c r="C1702" s="1045" t="str">
        <f>'REF. DE PREÇOS n editavel'!C1702</f>
        <v/>
      </c>
      <c r="D1702" s="1096">
        <f>'REF. DE PREÇOS n editavel'!D1702</f>
        <v>0</v>
      </c>
      <c r="E1702" s="882">
        <f>'REF. DE PREÇOS n editavel'!E1702</f>
        <v>0</v>
      </c>
      <c r="F1702" s="883">
        <f>'REF. DE PREÇOS n editavel'!F1702</f>
        <v>0</v>
      </c>
      <c r="G1702" s="887">
        <f>'REF. DE PREÇOS n editavel'!G1702</f>
        <v>0</v>
      </c>
      <c r="H1702" s="876">
        <f>'REF. DE PREÇOS n editavel'!H1702</f>
        <v>0</v>
      </c>
      <c r="I1702" s="876">
        <f>'REF. DE PREÇOS n editavel'!I1702</f>
        <v>0</v>
      </c>
      <c r="J1702" s="865">
        <f>'REF. DE PREÇOS n editavel'!J1702</f>
        <v>0</v>
      </c>
      <c r="K1702" s="878" t="str">
        <f>'REF. DE PREÇOS n editavel'!K1702</f>
        <v xml:space="preserve">     </v>
      </c>
      <c r="L1702" s="1092"/>
      <c r="M1702" s="1130">
        <f t="shared" si="178"/>
        <v>0</v>
      </c>
      <c r="N1702" s="1122">
        <f t="shared" si="182"/>
        <v>0</v>
      </c>
      <c r="O1702" s="880"/>
      <c r="Q1702" s="317" t="str">
        <f t="shared" si="179"/>
        <v/>
      </c>
      <c r="R1702" s="317" t="str">
        <f t="shared" si="180"/>
        <v/>
      </c>
      <c r="S1702" s="317" t="str">
        <f t="shared" si="181"/>
        <v/>
      </c>
      <c r="T1702" s="317" t="str">
        <f>'REF. DE PREÇOS n editavel'!S1702</f>
        <v/>
      </c>
      <c r="W1702" s="577">
        <v>0</v>
      </c>
      <c r="X1702" s="575"/>
      <c r="Y1702" s="578">
        <f>IF('REF. DE PREÇOS n editavel'!W1702=0,0,IF('REF. DE PREÇOS n editavel'!W1702&gt;0,"c","b"))</f>
        <v>0</v>
      </c>
    </row>
    <row r="1703" spans="1:25" ht="15" customHeight="1">
      <c r="A1703" s="634" t="s">
        <v>165</v>
      </c>
      <c r="B1703" s="1010" t="str">
        <f>'REF. DE PREÇOS n editavel'!B1703</f>
        <v/>
      </c>
      <c r="C1703" s="1045" t="str">
        <f>'REF. DE PREÇOS n editavel'!C1703</f>
        <v/>
      </c>
      <c r="D1703" s="1096">
        <f>'REF. DE PREÇOS n editavel'!D1703</f>
        <v>0</v>
      </c>
      <c r="E1703" s="882">
        <f>'REF. DE PREÇOS n editavel'!E1703</f>
        <v>0</v>
      </c>
      <c r="F1703" s="883">
        <f>'REF. DE PREÇOS n editavel'!F1703</f>
        <v>0</v>
      </c>
      <c r="G1703" s="887">
        <f>'REF. DE PREÇOS n editavel'!G1703</f>
        <v>0</v>
      </c>
      <c r="H1703" s="876">
        <f>'REF. DE PREÇOS n editavel'!H1703</f>
        <v>0</v>
      </c>
      <c r="I1703" s="876">
        <f>'REF. DE PREÇOS n editavel'!I1703</f>
        <v>0</v>
      </c>
      <c r="J1703" s="865">
        <f>'REF. DE PREÇOS n editavel'!J1703</f>
        <v>0</v>
      </c>
      <c r="K1703" s="878" t="str">
        <f>'REF. DE PREÇOS n editavel'!K1703</f>
        <v xml:space="preserve">     </v>
      </c>
      <c r="L1703" s="1092"/>
      <c r="M1703" s="1130">
        <f t="shared" si="178"/>
        <v>0</v>
      </c>
      <c r="N1703" s="1122">
        <f t="shared" si="182"/>
        <v>0</v>
      </c>
      <c r="O1703" s="880"/>
      <c r="Q1703" s="317" t="str">
        <f t="shared" si="179"/>
        <v/>
      </c>
      <c r="R1703" s="317" t="str">
        <f t="shared" si="180"/>
        <v/>
      </c>
      <c r="S1703" s="317" t="str">
        <f t="shared" si="181"/>
        <v/>
      </c>
      <c r="T1703" s="317" t="str">
        <f>'REF. DE PREÇOS n editavel'!S1703</f>
        <v/>
      </c>
      <c r="W1703" s="577">
        <v>0</v>
      </c>
      <c r="X1703" s="575"/>
      <c r="Y1703" s="578">
        <f>IF('REF. DE PREÇOS n editavel'!W1703=0,0,IF('REF. DE PREÇOS n editavel'!W1703&gt;0,"c","b"))</f>
        <v>0</v>
      </c>
    </row>
    <row r="1704" spans="1:25" ht="15" customHeight="1">
      <c r="A1704" s="634" t="s">
        <v>165</v>
      </c>
      <c r="B1704" s="1010" t="str">
        <f>'REF. DE PREÇOS n editavel'!B1704</f>
        <v/>
      </c>
      <c r="C1704" s="1045" t="str">
        <f>'REF. DE PREÇOS n editavel'!C1704</f>
        <v/>
      </c>
      <c r="D1704" s="1096">
        <f>'REF. DE PREÇOS n editavel'!D1704</f>
        <v>0</v>
      </c>
      <c r="E1704" s="882">
        <f>'REF. DE PREÇOS n editavel'!E1704</f>
        <v>0</v>
      </c>
      <c r="F1704" s="883">
        <f>'REF. DE PREÇOS n editavel'!F1704</f>
        <v>0</v>
      </c>
      <c r="G1704" s="887">
        <f>'REF. DE PREÇOS n editavel'!G1704</f>
        <v>0</v>
      </c>
      <c r="H1704" s="876">
        <f>'REF. DE PREÇOS n editavel'!H1704</f>
        <v>0</v>
      </c>
      <c r="I1704" s="876">
        <f>'REF. DE PREÇOS n editavel'!I1704</f>
        <v>0</v>
      </c>
      <c r="J1704" s="865">
        <f>'REF. DE PREÇOS n editavel'!J1704</f>
        <v>0</v>
      </c>
      <c r="K1704" s="878" t="str">
        <f>'REF. DE PREÇOS n editavel'!K1704</f>
        <v xml:space="preserve">     </v>
      </c>
      <c r="L1704" s="1092"/>
      <c r="M1704" s="1130">
        <f t="shared" si="178"/>
        <v>0</v>
      </c>
      <c r="N1704" s="1122">
        <f t="shared" si="182"/>
        <v>0</v>
      </c>
      <c r="O1704" s="880"/>
      <c r="Q1704" s="317" t="str">
        <f t="shared" si="179"/>
        <v/>
      </c>
      <c r="R1704" s="317" t="str">
        <f t="shared" si="180"/>
        <v/>
      </c>
      <c r="S1704" s="317" t="str">
        <f t="shared" si="181"/>
        <v/>
      </c>
      <c r="T1704" s="317" t="str">
        <f>'REF. DE PREÇOS n editavel'!S1704</f>
        <v/>
      </c>
      <c r="W1704" s="577">
        <v>0</v>
      </c>
      <c r="X1704" s="575"/>
      <c r="Y1704" s="578">
        <f>IF('REF. DE PREÇOS n editavel'!W1704=0,0,IF('REF. DE PREÇOS n editavel'!W1704&gt;0,"c","b"))</f>
        <v>0</v>
      </c>
    </row>
    <row r="1705" spans="1:25" ht="15" customHeight="1">
      <c r="A1705" s="634" t="s">
        <v>165</v>
      </c>
      <c r="B1705" s="1010" t="str">
        <f>'REF. DE PREÇOS n editavel'!B1705</f>
        <v/>
      </c>
      <c r="C1705" s="1045" t="str">
        <f>'REF. DE PREÇOS n editavel'!C1705</f>
        <v/>
      </c>
      <c r="D1705" s="1096">
        <f>'REF. DE PREÇOS n editavel'!D1705</f>
        <v>0</v>
      </c>
      <c r="E1705" s="882">
        <f>'REF. DE PREÇOS n editavel'!E1705</f>
        <v>0</v>
      </c>
      <c r="F1705" s="883">
        <f>'REF. DE PREÇOS n editavel'!F1705</f>
        <v>0</v>
      </c>
      <c r="G1705" s="887">
        <f>'REF. DE PREÇOS n editavel'!G1705</f>
        <v>0</v>
      </c>
      <c r="H1705" s="876">
        <f>'REF. DE PREÇOS n editavel'!H1705</f>
        <v>0</v>
      </c>
      <c r="I1705" s="876">
        <f>'REF. DE PREÇOS n editavel'!I1705</f>
        <v>0</v>
      </c>
      <c r="J1705" s="865">
        <f>'REF. DE PREÇOS n editavel'!J1705</f>
        <v>0</v>
      </c>
      <c r="K1705" s="878" t="str">
        <f>'REF. DE PREÇOS n editavel'!K1705</f>
        <v xml:space="preserve">     </v>
      </c>
      <c r="L1705" s="1092"/>
      <c r="M1705" s="1130">
        <f t="shared" si="178"/>
        <v>0</v>
      </c>
      <c r="N1705" s="1122">
        <f t="shared" si="182"/>
        <v>0</v>
      </c>
      <c r="O1705" s="880"/>
      <c r="Q1705" s="317" t="str">
        <f t="shared" si="179"/>
        <v/>
      </c>
      <c r="R1705" s="317" t="str">
        <f t="shared" si="180"/>
        <v/>
      </c>
      <c r="S1705" s="317" t="str">
        <f t="shared" si="181"/>
        <v/>
      </c>
      <c r="T1705" s="317" t="str">
        <f>'REF. DE PREÇOS n editavel'!S1705</f>
        <v/>
      </c>
      <c r="W1705" s="577">
        <v>0</v>
      </c>
      <c r="X1705" s="575"/>
      <c r="Y1705" s="578">
        <f>IF('REF. DE PREÇOS n editavel'!W1705=0,0,IF('REF. DE PREÇOS n editavel'!W1705&gt;0,"c","b"))</f>
        <v>0</v>
      </c>
    </row>
    <row r="1706" spans="1:25" ht="15" customHeight="1">
      <c r="A1706" s="634" t="s">
        <v>165</v>
      </c>
      <c r="B1706" s="1010" t="str">
        <f>'REF. DE PREÇOS n editavel'!B1706</f>
        <v/>
      </c>
      <c r="C1706" s="1045" t="str">
        <f>'REF. DE PREÇOS n editavel'!C1706</f>
        <v/>
      </c>
      <c r="D1706" s="1096">
        <f>'REF. DE PREÇOS n editavel'!D1706</f>
        <v>0</v>
      </c>
      <c r="E1706" s="882">
        <f>'REF. DE PREÇOS n editavel'!E1706</f>
        <v>0</v>
      </c>
      <c r="F1706" s="883">
        <f>'REF. DE PREÇOS n editavel'!F1706</f>
        <v>0</v>
      </c>
      <c r="G1706" s="887">
        <f>'REF. DE PREÇOS n editavel'!G1706</f>
        <v>0</v>
      </c>
      <c r="H1706" s="876">
        <f>'REF. DE PREÇOS n editavel'!H1706</f>
        <v>0</v>
      </c>
      <c r="I1706" s="876">
        <f>'REF. DE PREÇOS n editavel'!I1706</f>
        <v>0</v>
      </c>
      <c r="J1706" s="865">
        <f>'REF. DE PREÇOS n editavel'!J1706</f>
        <v>0</v>
      </c>
      <c r="K1706" s="878" t="str">
        <f>'REF. DE PREÇOS n editavel'!K1706</f>
        <v xml:space="preserve">     </v>
      </c>
      <c r="L1706" s="1092"/>
      <c r="M1706" s="1130">
        <f t="shared" si="178"/>
        <v>0</v>
      </c>
      <c r="N1706" s="1122">
        <f t="shared" si="182"/>
        <v>0</v>
      </c>
      <c r="O1706" s="880"/>
      <c r="Q1706" s="317" t="str">
        <f t="shared" si="179"/>
        <v/>
      </c>
      <c r="R1706" s="317" t="str">
        <f t="shared" si="180"/>
        <v/>
      </c>
      <c r="S1706" s="317" t="str">
        <f t="shared" si="181"/>
        <v/>
      </c>
      <c r="T1706" s="317" t="str">
        <f>'REF. DE PREÇOS n editavel'!S1706</f>
        <v/>
      </c>
      <c r="W1706" s="577">
        <v>0</v>
      </c>
      <c r="X1706" s="575"/>
      <c r="Y1706" s="578">
        <f>IF('REF. DE PREÇOS n editavel'!W1706=0,0,IF('REF. DE PREÇOS n editavel'!W1706&gt;0,"c","b"))</f>
        <v>0</v>
      </c>
    </row>
    <row r="1707" spans="1:25" ht="15" customHeight="1">
      <c r="A1707" s="634" t="s">
        <v>165</v>
      </c>
      <c r="B1707" s="1010" t="str">
        <f>'REF. DE PREÇOS n editavel'!B1707</f>
        <v/>
      </c>
      <c r="C1707" s="1045" t="str">
        <f>'REF. DE PREÇOS n editavel'!C1707</f>
        <v/>
      </c>
      <c r="D1707" s="1096">
        <f>'REF. DE PREÇOS n editavel'!D1707</f>
        <v>0</v>
      </c>
      <c r="E1707" s="882">
        <f>'REF. DE PREÇOS n editavel'!E1707</f>
        <v>0</v>
      </c>
      <c r="F1707" s="883">
        <f>'REF. DE PREÇOS n editavel'!F1707</f>
        <v>0</v>
      </c>
      <c r="G1707" s="887">
        <f>'REF. DE PREÇOS n editavel'!G1707</f>
        <v>0</v>
      </c>
      <c r="H1707" s="876">
        <f>'REF. DE PREÇOS n editavel'!H1707</f>
        <v>0</v>
      </c>
      <c r="I1707" s="876">
        <f>'REF. DE PREÇOS n editavel'!I1707</f>
        <v>0</v>
      </c>
      <c r="J1707" s="865">
        <f>'REF. DE PREÇOS n editavel'!J1707</f>
        <v>0</v>
      </c>
      <c r="K1707" s="878" t="str">
        <f>'REF. DE PREÇOS n editavel'!K1707</f>
        <v xml:space="preserve">     </v>
      </c>
      <c r="L1707" s="1092"/>
      <c r="M1707" s="1130">
        <f t="shared" si="178"/>
        <v>0</v>
      </c>
      <c r="N1707" s="1122">
        <f t="shared" si="182"/>
        <v>0</v>
      </c>
      <c r="O1707" s="880"/>
      <c r="Q1707" s="317" t="str">
        <f t="shared" si="179"/>
        <v/>
      </c>
      <c r="R1707" s="317" t="str">
        <f t="shared" si="180"/>
        <v/>
      </c>
      <c r="S1707" s="317" t="str">
        <f t="shared" si="181"/>
        <v/>
      </c>
      <c r="T1707" s="317" t="str">
        <f>'REF. DE PREÇOS n editavel'!S1707</f>
        <v/>
      </c>
      <c r="W1707" s="577">
        <v>0</v>
      </c>
      <c r="X1707" s="575"/>
      <c r="Y1707" s="578">
        <f>IF('REF. DE PREÇOS n editavel'!W1707=0,0,IF('REF. DE PREÇOS n editavel'!W1707&gt;0,"c","b"))</f>
        <v>0</v>
      </c>
    </row>
    <row r="1708" spans="1:25" ht="15" customHeight="1">
      <c r="A1708" s="634" t="s">
        <v>165</v>
      </c>
      <c r="B1708" s="1010" t="str">
        <f>'REF. DE PREÇOS n editavel'!B1708</f>
        <v/>
      </c>
      <c r="C1708" s="1045" t="str">
        <f>'REF. DE PREÇOS n editavel'!C1708</f>
        <v/>
      </c>
      <c r="D1708" s="1096">
        <f>'REF. DE PREÇOS n editavel'!D1708</f>
        <v>0</v>
      </c>
      <c r="E1708" s="882">
        <f>'REF. DE PREÇOS n editavel'!E1708</f>
        <v>0</v>
      </c>
      <c r="F1708" s="883">
        <f>'REF. DE PREÇOS n editavel'!F1708</f>
        <v>0</v>
      </c>
      <c r="G1708" s="887">
        <f>'REF. DE PREÇOS n editavel'!G1708</f>
        <v>0</v>
      </c>
      <c r="H1708" s="876">
        <f>'REF. DE PREÇOS n editavel'!H1708</f>
        <v>0</v>
      </c>
      <c r="I1708" s="876">
        <f>'REF. DE PREÇOS n editavel'!I1708</f>
        <v>0</v>
      </c>
      <c r="J1708" s="865">
        <f>'REF. DE PREÇOS n editavel'!J1708</f>
        <v>0</v>
      </c>
      <c r="K1708" s="878" t="str">
        <f>'REF. DE PREÇOS n editavel'!K1708</f>
        <v xml:space="preserve">     </v>
      </c>
      <c r="L1708" s="1092"/>
      <c r="M1708" s="1130">
        <f t="shared" si="178"/>
        <v>0</v>
      </c>
      <c r="N1708" s="1122">
        <f t="shared" si="182"/>
        <v>0</v>
      </c>
      <c r="O1708" s="880"/>
      <c r="Q1708" s="317" t="str">
        <f t="shared" si="179"/>
        <v/>
      </c>
      <c r="R1708" s="317" t="str">
        <f t="shared" si="180"/>
        <v/>
      </c>
      <c r="S1708" s="317" t="str">
        <f t="shared" si="181"/>
        <v/>
      </c>
      <c r="T1708" s="317" t="str">
        <f>'REF. DE PREÇOS n editavel'!S1708</f>
        <v/>
      </c>
      <c r="W1708" s="577">
        <v>0</v>
      </c>
      <c r="X1708" s="575"/>
      <c r="Y1708" s="578">
        <f>IF('REF. DE PREÇOS n editavel'!W1708=0,0,IF('REF. DE PREÇOS n editavel'!W1708&gt;0,"c","b"))</f>
        <v>0</v>
      </c>
    </row>
    <row r="1709" spans="1:25" ht="15" customHeight="1">
      <c r="A1709" s="634" t="s">
        <v>165</v>
      </c>
      <c r="B1709" s="1010" t="str">
        <f>'REF. DE PREÇOS n editavel'!B1709</f>
        <v/>
      </c>
      <c r="C1709" s="1045" t="str">
        <f>'REF. DE PREÇOS n editavel'!C1709</f>
        <v/>
      </c>
      <c r="D1709" s="1096">
        <f>'REF. DE PREÇOS n editavel'!D1709</f>
        <v>0</v>
      </c>
      <c r="E1709" s="882">
        <f>'REF. DE PREÇOS n editavel'!E1709</f>
        <v>0</v>
      </c>
      <c r="F1709" s="883">
        <f>'REF. DE PREÇOS n editavel'!F1709</f>
        <v>0</v>
      </c>
      <c r="G1709" s="887">
        <f>'REF. DE PREÇOS n editavel'!G1709</f>
        <v>0</v>
      </c>
      <c r="H1709" s="876">
        <f>'REF. DE PREÇOS n editavel'!H1709</f>
        <v>0</v>
      </c>
      <c r="I1709" s="876">
        <f>'REF. DE PREÇOS n editavel'!I1709</f>
        <v>0</v>
      </c>
      <c r="J1709" s="865">
        <f>'REF. DE PREÇOS n editavel'!J1709</f>
        <v>0</v>
      </c>
      <c r="K1709" s="878" t="str">
        <f>'REF. DE PREÇOS n editavel'!K1709</f>
        <v xml:space="preserve">     </v>
      </c>
      <c r="L1709" s="1092"/>
      <c r="M1709" s="1130">
        <f t="shared" si="178"/>
        <v>0</v>
      </c>
      <c r="N1709" s="1122">
        <f t="shared" si="182"/>
        <v>0</v>
      </c>
      <c r="O1709" s="880"/>
      <c r="Q1709" s="317" t="str">
        <f t="shared" si="179"/>
        <v/>
      </c>
      <c r="R1709" s="317" t="str">
        <f t="shared" si="180"/>
        <v/>
      </c>
      <c r="S1709" s="317" t="str">
        <f t="shared" si="181"/>
        <v/>
      </c>
      <c r="T1709" s="317" t="str">
        <f>'REF. DE PREÇOS n editavel'!S1709</f>
        <v/>
      </c>
      <c r="W1709" s="577">
        <v>0</v>
      </c>
      <c r="X1709" s="575"/>
      <c r="Y1709" s="578">
        <f>IF('REF. DE PREÇOS n editavel'!W1709=0,0,IF('REF. DE PREÇOS n editavel'!W1709&gt;0,"c","b"))</f>
        <v>0</v>
      </c>
    </row>
    <row r="1710" spans="1:25" ht="15" customHeight="1">
      <c r="A1710" s="634" t="s">
        <v>165</v>
      </c>
      <c r="B1710" s="1010" t="str">
        <f>'REF. DE PREÇOS n editavel'!B1710</f>
        <v/>
      </c>
      <c r="C1710" s="1045" t="str">
        <f>'REF. DE PREÇOS n editavel'!C1710</f>
        <v/>
      </c>
      <c r="D1710" s="1096">
        <f>'REF. DE PREÇOS n editavel'!D1710</f>
        <v>0</v>
      </c>
      <c r="E1710" s="882">
        <f>'REF. DE PREÇOS n editavel'!E1710</f>
        <v>0</v>
      </c>
      <c r="F1710" s="883">
        <f>'REF. DE PREÇOS n editavel'!F1710</f>
        <v>0</v>
      </c>
      <c r="G1710" s="887">
        <f>'REF. DE PREÇOS n editavel'!G1710</f>
        <v>0</v>
      </c>
      <c r="H1710" s="876">
        <f>'REF. DE PREÇOS n editavel'!H1710</f>
        <v>0</v>
      </c>
      <c r="I1710" s="876">
        <f>'REF. DE PREÇOS n editavel'!I1710</f>
        <v>0</v>
      </c>
      <c r="J1710" s="865">
        <f>'REF. DE PREÇOS n editavel'!J1710</f>
        <v>0</v>
      </c>
      <c r="K1710" s="878" t="str">
        <f>'REF. DE PREÇOS n editavel'!K1710</f>
        <v xml:space="preserve">     </v>
      </c>
      <c r="L1710" s="1092"/>
      <c r="M1710" s="1130">
        <f t="shared" si="178"/>
        <v>0</v>
      </c>
      <c r="N1710" s="1122">
        <f t="shared" si="182"/>
        <v>0</v>
      </c>
      <c r="O1710" s="880"/>
      <c r="Q1710" s="317" t="str">
        <f t="shared" si="179"/>
        <v/>
      </c>
      <c r="R1710" s="317" t="str">
        <f t="shared" si="180"/>
        <v/>
      </c>
      <c r="S1710" s="317" t="str">
        <f t="shared" si="181"/>
        <v/>
      </c>
      <c r="T1710" s="317" t="str">
        <f>'REF. DE PREÇOS n editavel'!S1710</f>
        <v/>
      </c>
      <c r="W1710" s="577">
        <v>0</v>
      </c>
      <c r="X1710" s="575"/>
      <c r="Y1710" s="578">
        <f>IF('REF. DE PREÇOS n editavel'!W1710=0,0,IF('REF. DE PREÇOS n editavel'!W1710&gt;0,"c","b"))</f>
        <v>0</v>
      </c>
    </row>
    <row r="1711" spans="1:25" ht="15" customHeight="1">
      <c r="A1711" s="634" t="s">
        <v>165</v>
      </c>
      <c r="B1711" s="1010" t="str">
        <f>'REF. DE PREÇOS n editavel'!B1711</f>
        <v/>
      </c>
      <c r="C1711" s="1045" t="str">
        <f>'REF. DE PREÇOS n editavel'!C1711</f>
        <v/>
      </c>
      <c r="D1711" s="1096">
        <f>'REF. DE PREÇOS n editavel'!D1711</f>
        <v>0</v>
      </c>
      <c r="E1711" s="882">
        <f>'REF. DE PREÇOS n editavel'!E1711</f>
        <v>0</v>
      </c>
      <c r="F1711" s="883">
        <f>'REF. DE PREÇOS n editavel'!F1711</f>
        <v>0</v>
      </c>
      <c r="G1711" s="887">
        <f>'REF. DE PREÇOS n editavel'!G1711</f>
        <v>0</v>
      </c>
      <c r="H1711" s="876">
        <f>'REF. DE PREÇOS n editavel'!H1711</f>
        <v>0</v>
      </c>
      <c r="I1711" s="876">
        <f>'REF. DE PREÇOS n editavel'!I1711</f>
        <v>0</v>
      </c>
      <c r="J1711" s="865">
        <f>'REF. DE PREÇOS n editavel'!J1711</f>
        <v>0</v>
      </c>
      <c r="K1711" s="878" t="str">
        <f>'REF. DE PREÇOS n editavel'!K1711</f>
        <v xml:space="preserve">     </v>
      </c>
      <c r="L1711" s="1092"/>
      <c r="M1711" s="1130">
        <f t="shared" si="178"/>
        <v>0</v>
      </c>
      <c r="N1711" s="1122">
        <f t="shared" si="182"/>
        <v>0</v>
      </c>
      <c r="O1711" s="880"/>
      <c r="Q1711" s="317" t="str">
        <f t="shared" si="179"/>
        <v/>
      </c>
      <c r="R1711" s="317" t="str">
        <f t="shared" si="180"/>
        <v/>
      </c>
      <c r="S1711" s="317" t="str">
        <f t="shared" si="181"/>
        <v/>
      </c>
      <c r="T1711" s="317" t="str">
        <f>'REF. DE PREÇOS n editavel'!S1711</f>
        <v/>
      </c>
      <c r="W1711" s="577">
        <v>0</v>
      </c>
      <c r="X1711" s="575"/>
      <c r="Y1711" s="578">
        <f>IF('REF. DE PREÇOS n editavel'!W1711=0,0,IF('REF. DE PREÇOS n editavel'!W1711&gt;0,"c","b"))</f>
        <v>0</v>
      </c>
    </row>
    <row r="1712" spans="1:25" ht="15" customHeight="1">
      <c r="A1712" s="634" t="s">
        <v>165</v>
      </c>
      <c r="B1712" s="1010" t="str">
        <f>'REF. DE PREÇOS n editavel'!B1712</f>
        <v/>
      </c>
      <c r="C1712" s="1045" t="str">
        <f>'REF. DE PREÇOS n editavel'!C1712</f>
        <v/>
      </c>
      <c r="D1712" s="1096">
        <f>'REF. DE PREÇOS n editavel'!D1712</f>
        <v>0</v>
      </c>
      <c r="E1712" s="882">
        <f>'REF. DE PREÇOS n editavel'!E1712</f>
        <v>0</v>
      </c>
      <c r="F1712" s="883">
        <f>'REF. DE PREÇOS n editavel'!F1712</f>
        <v>0</v>
      </c>
      <c r="G1712" s="887">
        <f>'REF. DE PREÇOS n editavel'!G1712</f>
        <v>0</v>
      </c>
      <c r="H1712" s="876">
        <f>'REF. DE PREÇOS n editavel'!H1712</f>
        <v>0</v>
      </c>
      <c r="I1712" s="876">
        <f>'REF. DE PREÇOS n editavel'!I1712</f>
        <v>0</v>
      </c>
      <c r="J1712" s="865">
        <f>'REF. DE PREÇOS n editavel'!J1712</f>
        <v>0</v>
      </c>
      <c r="K1712" s="878" t="str">
        <f>'REF. DE PREÇOS n editavel'!K1712</f>
        <v xml:space="preserve">     </v>
      </c>
      <c r="L1712" s="1092"/>
      <c r="M1712" s="1130">
        <f t="shared" si="178"/>
        <v>0</v>
      </c>
      <c r="N1712" s="1122">
        <f t="shared" si="182"/>
        <v>0</v>
      </c>
      <c r="O1712" s="880"/>
      <c r="Q1712" s="317" t="str">
        <f t="shared" si="179"/>
        <v/>
      </c>
      <c r="R1712" s="317" t="str">
        <f t="shared" si="180"/>
        <v/>
      </c>
      <c r="S1712" s="317" t="str">
        <f t="shared" si="181"/>
        <v/>
      </c>
      <c r="T1712" s="317" t="str">
        <f>'REF. DE PREÇOS n editavel'!S1712</f>
        <v/>
      </c>
      <c r="W1712" s="577">
        <v>0</v>
      </c>
      <c r="X1712" s="575"/>
      <c r="Y1712" s="578">
        <f>IF('REF. DE PREÇOS n editavel'!W1712=0,0,IF('REF. DE PREÇOS n editavel'!W1712&gt;0,"c","b"))</f>
        <v>0</v>
      </c>
    </row>
    <row r="1713" spans="1:25" ht="15" customHeight="1">
      <c r="A1713" s="634" t="s">
        <v>165</v>
      </c>
      <c r="B1713" s="1010" t="str">
        <f>'REF. DE PREÇOS n editavel'!B1713</f>
        <v/>
      </c>
      <c r="C1713" s="1045" t="str">
        <f>'REF. DE PREÇOS n editavel'!C1713</f>
        <v/>
      </c>
      <c r="D1713" s="1096">
        <f>'REF. DE PREÇOS n editavel'!D1713</f>
        <v>0</v>
      </c>
      <c r="E1713" s="882">
        <f>'REF. DE PREÇOS n editavel'!E1713</f>
        <v>0</v>
      </c>
      <c r="F1713" s="883">
        <f>'REF. DE PREÇOS n editavel'!F1713</f>
        <v>0</v>
      </c>
      <c r="G1713" s="887">
        <f>'REF. DE PREÇOS n editavel'!G1713</f>
        <v>0</v>
      </c>
      <c r="H1713" s="876">
        <f>'REF. DE PREÇOS n editavel'!H1713</f>
        <v>0</v>
      </c>
      <c r="I1713" s="876">
        <f>'REF. DE PREÇOS n editavel'!I1713</f>
        <v>0</v>
      </c>
      <c r="J1713" s="865">
        <f>'REF. DE PREÇOS n editavel'!J1713</f>
        <v>0</v>
      </c>
      <c r="K1713" s="878" t="str">
        <f>'REF. DE PREÇOS n editavel'!K1713</f>
        <v xml:space="preserve">     </v>
      </c>
      <c r="L1713" s="1092"/>
      <c r="M1713" s="1130">
        <f t="shared" si="178"/>
        <v>0</v>
      </c>
      <c r="N1713" s="1122">
        <f t="shared" si="182"/>
        <v>0</v>
      </c>
      <c r="O1713" s="880"/>
      <c r="Q1713" s="317" t="str">
        <f t="shared" si="179"/>
        <v/>
      </c>
      <c r="R1713" s="317" t="str">
        <f t="shared" si="180"/>
        <v/>
      </c>
      <c r="S1713" s="317" t="str">
        <f t="shared" si="181"/>
        <v/>
      </c>
      <c r="T1713" s="317" t="str">
        <f>'REF. DE PREÇOS n editavel'!S1713</f>
        <v/>
      </c>
      <c r="W1713" s="577">
        <v>0</v>
      </c>
      <c r="X1713" s="575"/>
      <c r="Y1713" s="578">
        <f>IF('REF. DE PREÇOS n editavel'!W1713=0,0,IF('REF. DE PREÇOS n editavel'!W1713&gt;0,"c","b"))</f>
        <v>0</v>
      </c>
    </row>
    <row r="1714" spans="1:25" ht="15" customHeight="1">
      <c r="A1714" s="634" t="s">
        <v>165</v>
      </c>
      <c r="B1714" s="1010" t="str">
        <f>'REF. DE PREÇOS n editavel'!B1714</f>
        <v/>
      </c>
      <c r="C1714" s="1045" t="str">
        <f>'REF. DE PREÇOS n editavel'!C1714</f>
        <v/>
      </c>
      <c r="D1714" s="1096">
        <f>'REF. DE PREÇOS n editavel'!D1714</f>
        <v>0</v>
      </c>
      <c r="E1714" s="882">
        <f>'REF. DE PREÇOS n editavel'!E1714</f>
        <v>0</v>
      </c>
      <c r="F1714" s="883">
        <f>'REF. DE PREÇOS n editavel'!F1714</f>
        <v>0</v>
      </c>
      <c r="G1714" s="887">
        <f>'REF. DE PREÇOS n editavel'!G1714</f>
        <v>0</v>
      </c>
      <c r="H1714" s="876">
        <f>'REF. DE PREÇOS n editavel'!H1714</f>
        <v>0</v>
      </c>
      <c r="I1714" s="876">
        <f>'REF. DE PREÇOS n editavel'!I1714</f>
        <v>0</v>
      </c>
      <c r="J1714" s="865">
        <f>'REF. DE PREÇOS n editavel'!J1714</f>
        <v>0</v>
      </c>
      <c r="K1714" s="878" t="str">
        <f>'REF. DE PREÇOS n editavel'!K1714</f>
        <v xml:space="preserve">     </v>
      </c>
      <c r="L1714" s="1092"/>
      <c r="M1714" s="1130">
        <f t="shared" si="178"/>
        <v>0</v>
      </c>
      <c r="N1714" s="1122">
        <f t="shared" si="182"/>
        <v>0</v>
      </c>
      <c r="O1714" s="880"/>
      <c r="Q1714" s="317" t="str">
        <f t="shared" si="179"/>
        <v/>
      </c>
      <c r="R1714" s="317" t="str">
        <f t="shared" si="180"/>
        <v/>
      </c>
      <c r="S1714" s="317" t="str">
        <f t="shared" si="181"/>
        <v/>
      </c>
      <c r="T1714" s="317" t="str">
        <f>'REF. DE PREÇOS n editavel'!S1714</f>
        <v/>
      </c>
      <c r="W1714" s="577">
        <v>0</v>
      </c>
      <c r="X1714" s="575"/>
      <c r="Y1714" s="578">
        <f>IF('REF. DE PREÇOS n editavel'!W1714=0,0,IF('REF. DE PREÇOS n editavel'!W1714&gt;0,"c","b"))</f>
        <v>0</v>
      </c>
    </row>
    <row r="1715" spans="1:25" ht="15" customHeight="1">
      <c r="A1715" s="634" t="s">
        <v>165</v>
      </c>
      <c r="B1715" s="1010" t="str">
        <f>'REF. DE PREÇOS n editavel'!B1715</f>
        <v/>
      </c>
      <c r="C1715" s="1045" t="str">
        <f>'REF. DE PREÇOS n editavel'!C1715</f>
        <v/>
      </c>
      <c r="D1715" s="1096">
        <f>'REF. DE PREÇOS n editavel'!D1715</f>
        <v>0</v>
      </c>
      <c r="E1715" s="882">
        <f>'REF. DE PREÇOS n editavel'!E1715</f>
        <v>0</v>
      </c>
      <c r="F1715" s="883">
        <f>'REF. DE PREÇOS n editavel'!F1715</f>
        <v>0</v>
      </c>
      <c r="G1715" s="887">
        <f>'REF. DE PREÇOS n editavel'!G1715</f>
        <v>0</v>
      </c>
      <c r="H1715" s="876">
        <f>'REF. DE PREÇOS n editavel'!H1715</f>
        <v>0</v>
      </c>
      <c r="I1715" s="876">
        <f>'REF. DE PREÇOS n editavel'!I1715</f>
        <v>0</v>
      </c>
      <c r="J1715" s="865">
        <f>'REF. DE PREÇOS n editavel'!J1715</f>
        <v>0</v>
      </c>
      <c r="K1715" s="878" t="str">
        <f>'REF. DE PREÇOS n editavel'!K1715</f>
        <v xml:space="preserve">     </v>
      </c>
      <c r="L1715" s="1092"/>
      <c r="M1715" s="1130">
        <f t="shared" si="178"/>
        <v>0</v>
      </c>
      <c r="N1715" s="1122">
        <f t="shared" si="182"/>
        <v>0</v>
      </c>
      <c r="O1715" s="880"/>
      <c r="Q1715" s="317" t="str">
        <f t="shared" si="179"/>
        <v/>
      </c>
      <c r="R1715" s="317" t="str">
        <f t="shared" si="180"/>
        <v/>
      </c>
      <c r="S1715" s="317" t="str">
        <f t="shared" si="181"/>
        <v/>
      </c>
      <c r="T1715" s="317" t="str">
        <f>'REF. DE PREÇOS n editavel'!S1715</f>
        <v/>
      </c>
      <c r="W1715" s="577">
        <v>0</v>
      </c>
      <c r="X1715" s="575"/>
      <c r="Y1715" s="578">
        <f>IF('REF. DE PREÇOS n editavel'!W1715=0,0,IF('REF. DE PREÇOS n editavel'!W1715&gt;0,"c","b"))</f>
        <v>0</v>
      </c>
    </row>
    <row r="1716" spans="1:25" ht="15" customHeight="1">
      <c r="A1716" s="634" t="s">
        <v>165</v>
      </c>
      <c r="B1716" s="1010" t="str">
        <f>'REF. DE PREÇOS n editavel'!B1716</f>
        <v/>
      </c>
      <c r="C1716" s="1045" t="str">
        <f>'REF. DE PREÇOS n editavel'!C1716</f>
        <v/>
      </c>
      <c r="D1716" s="1096">
        <f>'REF. DE PREÇOS n editavel'!D1716</f>
        <v>0</v>
      </c>
      <c r="E1716" s="882">
        <f>'REF. DE PREÇOS n editavel'!E1716</f>
        <v>0</v>
      </c>
      <c r="F1716" s="883">
        <f>'REF. DE PREÇOS n editavel'!F1716</f>
        <v>0</v>
      </c>
      <c r="G1716" s="887">
        <f>'REF. DE PREÇOS n editavel'!G1716</f>
        <v>0</v>
      </c>
      <c r="H1716" s="876">
        <f>'REF. DE PREÇOS n editavel'!H1716</f>
        <v>0</v>
      </c>
      <c r="I1716" s="876">
        <f>'REF. DE PREÇOS n editavel'!I1716</f>
        <v>0</v>
      </c>
      <c r="J1716" s="865">
        <f>'REF. DE PREÇOS n editavel'!J1716</f>
        <v>0</v>
      </c>
      <c r="K1716" s="878" t="str">
        <f>'REF. DE PREÇOS n editavel'!K1716</f>
        <v xml:space="preserve">     </v>
      </c>
      <c r="L1716" s="1092"/>
      <c r="M1716" s="1130">
        <f t="shared" si="178"/>
        <v>0</v>
      </c>
      <c r="N1716" s="1122">
        <f t="shared" si="182"/>
        <v>0</v>
      </c>
      <c r="O1716" s="880"/>
      <c r="Q1716" s="317" t="str">
        <f t="shared" si="179"/>
        <v/>
      </c>
      <c r="R1716" s="317" t="str">
        <f t="shared" si="180"/>
        <v/>
      </c>
      <c r="S1716" s="317" t="str">
        <f t="shared" si="181"/>
        <v/>
      </c>
      <c r="T1716" s="317" t="str">
        <f>'REF. DE PREÇOS n editavel'!S1716</f>
        <v/>
      </c>
      <c r="W1716" s="577">
        <v>0</v>
      </c>
      <c r="X1716" s="575"/>
      <c r="Y1716" s="578">
        <f>IF('REF. DE PREÇOS n editavel'!W1716=0,0,IF('REF. DE PREÇOS n editavel'!W1716&gt;0,"c","b"))</f>
        <v>0</v>
      </c>
    </row>
    <row r="1717" spans="1:25" ht="15" customHeight="1">
      <c r="A1717" s="634" t="s">
        <v>165</v>
      </c>
      <c r="B1717" s="1010" t="str">
        <f>'REF. DE PREÇOS n editavel'!B1717</f>
        <v/>
      </c>
      <c r="C1717" s="1045" t="str">
        <f>'REF. DE PREÇOS n editavel'!C1717</f>
        <v/>
      </c>
      <c r="D1717" s="1096">
        <f>'REF. DE PREÇOS n editavel'!D1717</f>
        <v>0</v>
      </c>
      <c r="E1717" s="882">
        <f>'REF. DE PREÇOS n editavel'!E1717</f>
        <v>0</v>
      </c>
      <c r="F1717" s="883">
        <f>'REF. DE PREÇOS n editavel'!F1717</f>
        <v>0</v>
      </c>
      <c r="G1717" s="887">
        <f>'REF. DE PREÇOS n editavel'!G1717</f>
        <v>0</v>
      </c>
      <c r="H1717" s="876">
        <f>'REF. DE PREÇOS n editavel'!H1717</f>
        <v>0</v>
      </c>
      <c r="I1717" s="876">
        <f>'REF. DE PREÇOS n editavel'!I1717</f>
        <v>0</v>
      </c>
      <c r="J1717" s="865">
        <f>'REF. DE PREÇOS n editavel'!J1717</f>
        <v>0</v>
      </c>
      <c r="K1717" s="878" t="str">
        <f>'REF. DE PREÇOS n editavel'!K1717</f>
        <v xml:space="preserve">     </v>
      </c>
      <c r="L1717" s="1092"/>
      <c r="M1717" s="1130">
        <f t="shared" si="178"/>
        <v>0</v>
      </c>
      <c r="N1717" s="1122">
        <f t="shared" si="182"/>
        <v>0</v>
      </c>
      <c r="O1717" s="880"/>
      <c r="Q1717" s="317" t="str">
        <f t="shared" si="179"/>
        <v/>
      </c>
      <c r="R1717" s="317" t="str">
        <f t="shared" si="180"/>
        <v/>
      </c>
      <c r="S1717" s="317" t="str">
        <f t="shared" si="181"/>
        <v/>
      </c>
      <c r="T1717" s="317" t="str">
        <f>'REF. DE PREÇOS n editavel'!S1717</f>
        <v/>
      </c>
      <c r="W1717" s="577">
        <v>0</v>
      </c>
      <c r="X1717" s="575"/>
      <c r="Y1717" s="578">
        <f>IF('REF. DE PREÇOS n editavel'!W1717=0,0,IF('REF. DE PREÇOS n editavel'!W1717&gt;0,"c","b"))</f>
        <v>0</v>
      </c>
    </row>
    <row r="1718" spans="1:25" ht="15" customHeight="1">
      <c r="A1718" s="634" t="s">
        <v>165</v>
      </c>
      <c r="B1718" s="1010" t="str">
        <f>'REF. DE PREÇOS n editavel'!B1718</f>
        <v/>
      </c>
      <c r="C1718" s="1045" t="str">
        <f>'REF. DE PREÇOS n editavel'!C1718</f>
        <v/>
      </c>
      <c r="D1718" s="1096">
        <f>'REF. DE PREÇOS n editavel'!D1718</f>
        <v>0</v>
      </c>
      <c r="E1718" s="882">
        <f>'REF. DE PREÇOS n editavel'!E1718</f>
        <v>0</v>
      </c>
      <c r="F1718" s="883">
        <f>'REF. DE PREÇOS n editavel'!F1718</f>
        <v>0</v>
      </c>
      <c r="G1718" s="887">
        <f>'REF. DE PREÇOS n editavel'!G1718</f>
        <v>0</v>
      </c>
      <c r="H1718" s="876">
        <f>'REF. DE PREÇOS n editavel'!H1718</f>
        <v>0</v>
      </c>
      <c r="I1718" s="876">
        <f>'REF. DE PREÇOS n editavel'!I1718</f>
        <v>0</v>
      </c>
      <c r="J1718" s="865">
        <f>'REF. DE PREÇOS n editavel'!J1718</f>
        <v>0</v>
      </c>
      <c r="K1718" s="878" t="str">
        <f>'REF. DE PREÇOS n editavel'!K1718</f>
        <v xml:space="preserve">     </v>
      </c>
      <c r="L1718" s="1092"/>
      <c r="M1718" s="1130">
        <f t="shared" si="178"/>
        <v>0</v>
      </c>
      <c r="N1718" s="1122">
        <f t="shared" si="182"/>
        <v>0</v>
      </c>
      <c r="O1718" s="880"/>
      <c r="Q1718" s="317" t="str">
        <f t="shared" si="179"/>
        <v/>
      </c>
      <c r="R1718" s="317" t="str">
        <f t="shared" si="180"/>
        <v/>
      </c>
      <c r="S1718" s="317" t="str">
        <f t="shared" si="181"/>
        <v/>
      </c>
      <c r="T1718" s="317" t="str">
        <f>'REF. DE PREÇOS n editavel'!S1718</f>
        <v/>
      </c>
      <c r="W1718" s="577">
        <v>0</v>
      </c>
      <c r="X1718" s="575"/>
      <c r="Y1718" s="578">
        <f>IF('REF. DE PREÇOS n editavel'!W1718=0,0,IF('REF. DE PREÇOS n editavel'!W1718&gt;0,"c","b"))</f>
        <v>0</v>
      </c>
    </row>
    <row r="1719" spans="1:25" ht="15" customHeight="1" thickBot="1">
      <c r="A1719" s="634" t="s">
        <v>165</v>
      </c>
      <c r="B1719" s="1010" t="str">
        <f>'REF. DE PREÇOS n editavel'!B1719</f>
        <v/>
      </c>
      <c r="C1719" s="1045" t="str">
        <f>'REF. DE PREÇOS n editavel'!C1719</f>
        <v/>
      </c>
      <c r="D1719" s="1096">
        <f>'REF. DE PREÇOS n editavel'!D1719</f>
        <v>0</v>
      </c>
      <c r="E1719" s="882">
        <f>'REF. DE PREÇOS n editavel'!E1719</f>
        <v>0</v>
      </c>
      <c r="F1719" s="883">
        <f>'REF. DE PREÇOS n editavel'!F1719</f>
        <v>0</v>
      </c>
      <c r="G1719" s="887">
        <f>'REF. DE PREÇOS n editavel'!G1719</f>
        <v>0</v>
      </c>
      <c r="H1719" s="876">
        <f>'REF. DE PREÇOS n editavel'!H1719</f>
        <v>0</v>
      </c>
      <c r="I1719" s="876">
        <f>'REF. DE PREÇOS n editavel'!I1719</f>
        <v>0</v>
      </c>
      <c r="J1719" s="865">
        <f>'REF. DE PREÇOS n editavel'!J1719</f>
        <v>0</v>
      </c>
      <c r="K1719" s="878" t="str">
        <f>'REF. DE PREÇOS n editavel'!K1719</f>
        <v xml:space="preserve">     </v>
      </c>
      <c r="L1719" s="1092"/>
      <c r="M1719" s="1130">
        <f t="shared" si="178"/>
        <v>0</v>
      </c>
      <c r="N1719" s="1122">
        <f t="shared" si="182"/>
        <v>0</v>
      </c>
      <c r="O1719" s="880"/>
      <c r="Q1719" s="317" t="str">
        <f t="shared" si="179"/>
        <v/>
      </c>
      <c r="R1719" s="317" t="str">
        <f t="shared" si="180"/>
        <v/>
      </c>
      <c r="S1719" s="317" t="str">
        <f t="shared" si="181"/>
        <v/>
      </c>
      <c r="T1719" s="317" t="str">
        <f>'REF. DE PREÇOS n editavel'!S1719</f>
        <v/>
      </c>
      <c r="W1719" s="577">
        <v>0</v>
      </c>
      <c r="X1719" s="575"/>
      <c r="Y1719" s="578">
        <f>IF('REF. DE PREÇOS n editavel'!W1719=0,0,IF('REF. DE PREÇOS n editavel'!W1719&gt;0,"c","b"))</f>
        <v>0</v>
      </c>
    </row>
    <row r="1720" spans="1:25" ht="15" customHeight="1" thickBot="1">
      <c r="A1720" s="634" t="s">
        <v>165</v>
      </c>
      <c r="B1720" s="924" t="s">
        <v>441</v>
      </c>
      <c r="C1720" s="925"/>
      <c r="D1720" s="926" t="s">
        <v>431</v>
      </c>
      <c r="E1720" s="917">
        <f>'REF. DE PREÇOS n editavel'!E1720</f>
        <v>0</v>
      </c>
      <c r="F1720" s="851">
        <f>'REF. DE PREÇOS n editavel'!F1720</f>
        <v>0</v>
      </c>
      <c r="G1720" s="918"/>
      <c r="H1720" s="919">
        <f>'REF. DE PREÇOS n editavel'!H1720</f>
        <v>0</v>
      </c>
      <c r="I1720" s="919">
        <f>'REF. DE PREÇOS n editavel'!I1720</f>
        <v>0</v>
      </c>
      <c r="J1720" s="919">
        <f>'REF. DE PREÇOS n editavel'!J1720</f>
        <v>0</v>
      </c>
      <c r="K1720" s="853" t="s">
        <v>506</v>
      </c>
      <c r="L1720" s="854"/>
      <c r="M1720" s="855">
        <f t="shared" si="178"/>
        <v>0</v>
      </c>
      <c r="N1720" s="856">
        <f t="shared" si="182"/>
        <v>0</v>
      </c>
      <c r="O1720" s="857">
        <f>SUM(N1721:N2499)</f>
        <v>1093168.6499999999</v>
      </c>
      <c r="P1720" s="58" t="str">
        <f>IF(OR(O1720&gt;0,O1720&gt;0),"X","")</f>
        <v>X</v>
      </c>
      <c r="Q1720" s="317" t="str">
        <f t="shared" si="179"/>
        <v>x</v>
      </c>
      <c r="R1720" s="317" t="str">
        <f t="shared" si="180"/>
        <v>x</v>
      </c>
      <c r="S1720" s="317" t="str">
        <f t="shared" si="181"/>
        <v>x</v>
      </c>
      <c r="T1720" s="317" t="str">
        <f>'REF. DE PREÇOS n editavel'!S1720</f>
        <v>x</v>
      </c>
      <c r="W1720" s="577">
        <v>0</v>
      </c>
      <c r="X1720" s="575"/>
      <c r="Y1720" s="578">
        <f>IF('REF. DE PREÇOS n editavel'!W1720=0,0,IF('REF. DE PREÇOS n editavel'!W1720&gt;0,"c","b"))</f>
        <v>0</v>
      </c>
    </row>
    <row r="1721" spans="1:25" ht="15" customHeight="1">
      <c r="A1721" s="317">
        <v>600000</v>
      </c>
      <c r="B1721" s="870" t="s">
        <v>1788</v>
      </c>
      <c r="C1721" s="871" t="s">
        <v>184</v>
      </c>
      <c r="D1721" s="881" t="s">
        <v>311</v>
      </c>
      <c r="E1721" s="882">
        <f>'REF. DE PREÇOS n editavel'!E1721</f>
        <v>0</v>
      </c>
      <c r="F1721" s="883">
        <f>'REF. DE PREÇOS n editavel'!F1721</f>
        <v>0</v>
      </c>
      <c r="G1721" s="887">
        <f>'REF. DE PREÇOS n editavel'!G1721</f>
        <v>0</v>
      </c>
      <c r="H1721" s="876">
        <f>'REF. DE PREÇOS n editavel'!H1721</f>
        <v>49.54</v>
      </c>
      <c r="I1721" s="876">
        <f>'REF. DE PREÇOS n editavel'!I1721</f>
        <v>49.54</v>
      </c>
      <c r="J1721" s="877">
        <f>'REF. DE PREÇOS n editavel'!J1721</f>
        <v>60.55</v>
      </c>
      <c r="K1721" s="878" t="s">
        <v>10</v>
      </c>
      <c r="L1721" s="1092"/>
      <c r="M1721" s="1093">
        <f t="shared" si="178"/>
        <v>0</v>
      </c>
      <c r="N1721" s="1131">
        <f t="shared" si="182"/>
        <v>0</v>
      </c>
      <c r="O1721" s="880"/>
      <c r="Q1721" s="317" t="str">
        <f t="shared" si="179"/>
        <v/>
      </c>
      <c r="R1721" s="317" t="str">
        <f t="shared" si="180"/>
        <v/>
      </c>
      <c r="S1721" s="317" t="str">
        <f t="shared" si="181"/>
        <v/>
      </c>
      <c r="T1721" s="317" t="str">
        <f>'REF. DE PREÇOS n editavel'!S1721</f>
        <v/>
      </c>
      <c r="W1721" s="577">
        <v>0</v>
      </c>
      <c r="X1721" s="575"/>
      <c r="Y1721" s="578">
        <f>IF('REF. DE PREÇOS n editavel'!W1721=0,0,IF('REF. DE PREÇOS n editavel'!W1721&gt;0,"c","b"))</f>
        <v>0</v>
      </c>
    </row>
    <row r="1722" spans="1:25" ht="15" customHeight="1">
      <c r="A1722" s="317">
        <v>600300</v>
      </c>
      <c r="B1722" s="870">
        <v>600300</v>
      </c>
      <c r="C1722" s="871" t="s">
        <v>184</v>
      </c>
      <c r="D1722" s="881" t="s">
        <v>312</v>
      </c>
      <c r="E1722" s="882">
        <f>'REF. DE PREÇOS n editavel'!E1722</f>
        <v>0</v>
      </c>
      <c r="F1722" s="883">
        <f>'REF. DE PREÇOS n editavel'!F1722</f>
        <v>0</v>
      </c>
      <c r="G1722" s="887">
        <f>'REF. DE PREÇOS n editavel'!G1722</f>
        <v>0</v>
      </c>
      <c r="H1722" s="876">
        <f>'REF. DE PREÇOS n editavel'!H1722</f>
        <v>11.83</v>
      </c>
      <c r="I1722" s="876">
        <f>'REF. DE PREÇOS n editavel'!I1722</f>
        <v>11.83</v>
      </c>
      <c r="J1722" s="877">
        <f>'REF. DE PREÇOS n editavel'!J1722</f>
        <v>14.46</v>
      </c>
      <c r="K1722" s="878" t="s">
        <v>10</v>
      </c>
      <c r="L1722" s="1092">
        <v>336.16</v>
      </c>
      <c r="M1722" s="1093">
        <f t="shared" si="178"/>
        <v>14.46</v>
      </c>
      <c r="N1722" s="1131">
        <f t="shared" si="182"/>
        <v>4860.87</v>
      </c>
      <c r="O1722" s="880"/>
      <c r="Q1722" s="317" t="str">
        <f t="shared" si="179"/>
        <v>x</v>
      </c>
      <c r="R1722" s="317" t="str">
        <f t="shared" si="180"/>
        <v>x</v>
      </c>
      <c r="S1722" s="317" t="str">
        <f t="shared" si="181"/>
        <v>x</v>
      </c>
      <c r="T1722" s="317" t="str">
        <f>'REF. DE PREÇOS n editavel'!S1722</f>
        <v>x</v>
      </c>
      <c r="W1722" s="577">
        <v>0</v>
      </c>
      <c r="X1722" s="575"/>
      <c r="Y1722" s="578">
        <f>IF('REF. DE PREÇOS n editavel'!W1722=0,0,IF('REF. DE PREÇOS n editavel'!W1722&gt;0,"c","b"))</f>
        <v>0</v>
      </c>
    </row>
    <row r="1723" spans="1:25" ht="15" customHeight="1">
      <c r="A1723" s="317">
        <v>600400</v>
      </c>
      <c r="B1723" s="870">
        <v>600400</v>
      </c>
      <c r="C1723" s="871" t="s">
        <v>184</v>
      </c>
      <c r="D1723" s="881" t="s">
        <v>313</v>
      </c>
      <c r="E1723" s="882">
        <f>'REF. DE PREÇOS n editavel'!E1723</f>
        <v>0</v>
      </c>
      <c r="F1723" s="883">
        <f>'REF. DE PREÇOS n editavel'!F1723</f>
        <v>0</v>
      </c>
      <c r="G1723" s="887">
        <f>'REF. DE PREÇOS n editavel'!G1723</f>
        <v>0</v>
      </c>
      <c r="H1723" s="876">
        <f>'REF. DE PREÇOS n editavel'!H1723</f>
        <v>12.15</v>
      </c>
      <c r="I1723" s="876">
        <f>'REF. DE PREÇOS n editavel'!I1723</f>
        <v>12.15</v>
      </c>
      <c r="J1723" s="877">
        <f>'REF. DE PREÇOS n editavel'!J1723</f>
        <v>14.85</v>
      </c>
      <c r="K1723" s="878" t="s">
        <v>10</v>
      </c>
      <c r="L1723" s="1092"/>
      <c r="M1723" s="1093">
        <f t="shared" si="178"/>
        <v>0</v>
      </c>
      <c r="N1723" s="1131">
        <f t="shared" si="182"/>
        <v>0</v>
      </c>
      <c r="O1723" s="880"/>
      <c r="Q1723" s="317" t="str">
        <f t="shared" si="179"/>
        <v/>
      </c>
      <c r="R1723" s="317" t="str">
        <f t="shared" si="180"/>
        <v/>
      </c>
      <c r="S1723" s="317" t="str">
        <f t="shared" si="181"/>
        <v/>
      </c>
      <c r="T1723" s="317" t="str">
        <f>'REF. DE PREÇOS n editavel'!S1723</f>
        <v/>
      </c>
      <c r="W1723" s="577">
        <v>0</v>
      </c>
      <c r="X1723" s="575"/>
      <c r="Y1723" s="578">
        <f>IF('REF. DE PREÇOS n editavel'!W1723=0,0,IF('REF. DE PREÇOS n editavel'!W1723&gt;0,"c","b"))</f>
        <v>0</v>
      </c>
    </row>
    <row r="1724" spans="1:25" ht="15" customHeight="1">
      <c r="A1724" s="317">
        <v>600500</v>
      </c>
      <c r="B1724" s="870">
        <v>600500</v>
      </c>
      <c r="C1724" s="871" t="s">
        <v>184</v>
      </c>
      <c r="D1724" s="881" t="s">
        <v>314</v>
      </c>
      <c r="E1724" s="882">
        <f>'REF. DE PREÇOS n editavel'!E1724</f>
        <v>0</v>
      </c>
      <c r="F1724" s="883">
        <f>'REF. DE PREÇOS n editavel'!F1724</f>
        <v>0</v>
      </c>
      <c r="G1724" s="887">
        <f>'REF. DE PREÇOS n editavel'!G1724</f>
        <v>0</v>
      </c>
      <c r="H1724" s="876">
        <f>'REF. DE PREÇOS n editavel'!H1724</f>
        <v>123.95</v>
      </c>
      <c r="I1724" s="876">
        <f>'REF. DE PREÇOS n editavel'!I1724</f>
        <v>123.95</v>
      </c>
      <c r="J1724" s="877">
        <f>'REF. DE PREÇOS n editavel'!J1724</f>
        <v>151.49</v>
      </c>
      <c r="K1724" s="878" t="s">
        <v>10</v>
      </c>
      <c r="L1724" s="1092"/>
      <c r="M1724" s="1093">
        <f t="shared" si="178"/>
        <v>0</v>
      </c>
      <c r="N1724" s="1131">
        <f t="shared" si="182"/>
        <v>0</v>
      </c>
      <c r="O1724" s="880"/>
      <c r="Q1724" s="317" t="str">
        <f t="shared" si="179"/>
        <v/>
      </c>
      <c r="R1724" s="317" t="str">
        <f t="shared" si="180"/>
        <v/>
      </c>
      <c r="S1724" s="317" t="str">
        <f t="shared" si="181"/>
        <v/>
      </c>
      <c r="T1724" s="317" t="str">
        <f>'REF. DE PREÇOS n editavel'!S1724</f>
        <v/>
      </c>
      <c r="W1724" s="577">
        <v>0</v>
      </c>
      <c r="X1724" s="575"/>
      <c r="Y1724" s="578">
        <f>IF('REF. DE PREÇOS n editavel'!W1724=0,0,IF('REF. DE PREÇOS n editavel'!W1724&gt;0,"c","b"))</f>
        <v>0</v>
      </c>
    </row>
    <row r="1725" spans="1:25" ht="15" customHeight="1">
      <c r="A1725" s="317">
        <v>600310</v>
      </c>
      <c r="B1725" s="870" t="s">
        <v>1696</v>
      </c>
      <c r="C1725" s="871" t="s">
        <v>184</v>
      </c>
      <c r="D1725" s="872" t="s">
        <v>442</v>
      </c>
      <c r="E1725" s="873">
        <f>'REF. DE PREÇOS n editavel'!E1725</f>
        <v>0</v>
      </c>
      <c r="F1725" s="874">
        <f>'REF. DE PREÇOS n editavel'!F1725</f>
        <v>0</v>
      </c>
      <c r="G1725" s="875">
        <f>'REF. DE PREÇOS n editavel'!G1725</f>
        <v>0</v>
      </c>
      <c r="H1725" s="876">
        <f>'REF. DE PREÇOS n editavel'!H1725</f>
        <v>142.88</v>
      </c>
      <c r="I1725" s="876">
        <f>'REF. DE PREÇOS n editavel'!I1725</f>
        <v>142.88</v>
      </c>
      <c r="J1725" s="877">
        <f>'REF. DE PREÇOS n editavel'!J1725</f>
        <v>174.63</v>
      </c>
      <c r="K1725" s="878" t="s">
        <v>15</v>
      </c>
      <c r="L1725" s="1092"/>
      <c r="M1725" s="1093">
        <f t="shared" si="178"/>
        <v>0</v>
      </c>
      <c r="N1725" s="1131">
        <f t="shared" si="182"/>
        <v>0</v>
      </c>
      <c r="O1725" s="880"/>
      <c r="Q1725" s="317" t="str">
        <f t="shared" si="179"/>
        <v/>
      </c>
      <c r="R1725" s="317" t="str">
        <f t="shared" si="180"/>
        <v/>
      </c>
      <c r="S1725" s="317" t="str">
        <f t="shared" si="181"/>
        <v/>
      </c>
      <c r="T1725" s="317" t="str">
        <f>'REF. DE PREÇOS n editavel'!S1725</f>
        <v/>
      </c>
      <c r="W1725" s="577">
        <v>0</v>
      </c>
      <c r="X1725" s="575"/>
      <c r="Y1725" s="578">
        <f>IF('REF. DE PREÇOS n editavel'!W1725=0,0,IF('REF. DE PREÇOS n editavel'!W1725&gt;0,"c","b"))</f>
        <v>0</v>
      </c>
    </row>
    <row r="1726" spans="1:25" ht="15" customHeight="1">
      <c r="A1726" s="317">
        <v>633000</v>
      </c>
      <c r="B1726" s="870" t="s">
        <v>1790</v>
      </c>
      <c r="C1726" s="871" t="s">
        <v>184</v>
      </c>
      <c r="D1726" s="872" t="s">
        <v>517</v>
      </c>
      <c r="E1726" s="873">
        <f>'REF. DE PREÇOS n editavel'!E1726</f>
        <v>0</v>
      </c>
      <c r="F1726" s="874">
        <f>'REF. DE PREÇOS n editavel'!F1726</f>
        <v>0</v>
      </c>
      <c r="G1726" s="875">
        <f>'REF. DE PREÇOS n editavel'!G1726</f>
        <v>0</v>
      </c>
      <c r="H1726" s="876">
        <f>'REF. DE PREÇOS n editavel'!H1726</f>
        <v>82.58</v>
      </c>
      <c r="I1726" s="876">
        <f>'REF. DE PREÇOS n editavel'!I1726</f>
        <v>82.58</v>
      </c>
      <c r="J1726" s="877">
        <f>'REF. DE PREÇOS n editavel'!J1726</f>
        <v>100.93</v>
      </c>
      <c r="K1726" s="878" t="s">
        <v>13</v>
      </c>
      <c r="L1726" s="1092"/>
      <c r="M1726" s="1093">
        <f t="shared" si="178"/>
        <v>0</v>
      </c>
      <c r="N1726" s="1131">
        <f t="shared" si="182"/>
        <v>0</v>
      </c>
      <c r="O1726" s="880"/>
      <c r="Q1726" s="317" t="str">
        <f t="shared" si="179"/>
        <v/>
      </c>
      <c r="R1726" s="317" t="str">
        <f t="shared" si="180"/>
        <v/>
      </c>
      <c r="S1726" s="317" t="str">
        <f t="shared" si="181"/>
        <v/>
      </c>
      <c r="T1726" s="317" t="str">
        <f>'REF. DE PREÇOS n editavel'!S1726</f>
        <v/>
      </c>
      <c r="W1726" s="577">
        <v>0</v>
      </c>
      <c r="X1726" s="575"/>
      <c r="Y1726" s="578">
        <f>IF('REF. DE PREÇOS n editavel'!W1726=0,0,IF('REF. DE PREÇOS n editavel'!W1726&gt;0,"c","b"))</f>
        <v>0</v>
      </c>
    </row>
    <row r="1727" spans="1:25" ht="15" customHeight="1">
      <c r="A1727" s="317">
        <v>633100</v>
      </c>
      <c r="B1727" s="870" t="s">
        <v>1793</v>
      </c>
      <c r="C1727" s="871" t="s">
        <v>184</v>
      </c>
      <c r="D1727" s="872" t="s">
        <v>518</v>
      </c>
      <c r="E1727" s="873">
        <f>'REF. DE PREÇOS n editavel'!E1727</f>
        <v>0</v>
      </c>
      <c r="F1727" s="874">
        <f>'REF. DE PREÇOS n editavel'!F1727</f>
        <v>0</v>
      </c>
      <c r="G1727" s="875">
        <f>'REF. DE PREÇOS n editavel'!G1727</f>
        <v>0</v>
      </c>
      <c r="H1727" s="876">
        <f>'REF. DE PREÇOS n editavel'!H1727</f>
        <v>165.16</v>
      </c>
      <c r="I1727" s="876">
        <f>'REF. DE PREÇOS n editavel'!I1727</f>
        <v>165.16</v>
      </c>
      <c r="J1727" s="877">
        <f>'REF. DE PREÇOS n editavel'!J1727</f>
        <v>201.86</v>
      </c>
      <c r="K1727" s="878" t="s">
        <v>13</v>
      </c>
      <c r="L1727" s="1092"/>
      <c r="M1727" s="1093">
        <f t="shared" si="178"/>
        <v>0</v>
      </c>
      <c r="N1727" s="1131">
        <f t="shared" si="182"/>
        <v>0</v>
      </c>
      <c r="O1727" s="880"/>
      <c r="Q1727" s="317" t="str">
        <f t="shared" si="179"/>
        <v/>
      </c>
      <c r="R1727" s="317" t="str">
        <f t="shared" si="180"/>
        <v/>
      </c>
      <c r="S1727" s="317" t="str">
        <f t="shared" si="181"/>
        <v/>
      </c>
      <c r="T1727" s="317" t="str">
        <f>'REF. DE PREÇOS n editavel'!S1727</f>
        <v/>
      </c>
      <c r="W1727" s="577">
        <v>0</v>
      </c>
      <c r="X1727" s="575"/>
      <c r="Y1727" s="578">
        <f>IF('REF. DE PREÇOS n editavel'!W1727=0,0,IF('REF. DE PREÇOS n editavel'!W1727&gt;0,"c","b"))</f>
        <v>0</v>
      </c>
    </row>
    <row r="1728" spans="1:25" ht="15" customHeight="1">
      <c r="A1728" s="317">
        <v>633200</v>
      </c>
      <c r="B1728" s="870" t="s">
        <v>1794</v>
      </c>
      <c r="C1728" s="871" t="s">
        <v>184</v>
      </c>
      <c r="D1728" s="872" t="s">
        <v>519</v>
      </c>
      <c r="E1728" s="873">
        <f>'REF. DE PREÇOS n editavel'!E1728</f>
        <v>0</v>
      </c>
      <c r="F1728" s="874">
        <f>'REF. DE PREÇOS n editavel'!F1728</f>
        <v>0</v>
      </c>
      <c r="G1728" s="875">
        <f>'REF. DE PREÇOS n editavel'!G1728</f>
        <v>0</v>
      </c>
      <c r="H1728" s="876">
        <f>'REF. DE PREÇOS n editavel'!H1728</f>
        <v>247.74</v>
      </c>
      <c r="I1728" s="876">
        <f>'REF. DE PREÇOS n editavel'!I1728</f>
        <v>247.74</v>
      </c>
      <c r="J1728" s="877">
        <f>'REF. DE PREÇOS n editavel'!J1728</f>
        <v>302.79000000000002</v>
      </c>
      <c r="K1728" s="878" t="s">
        <v>13</v>
      </c>
      <c r="L1728" s="1092"/>
      <c r="M1728" s="1093">
        <f t="shared" si="178"/>
        <v>0</v>
      </c>
      <c r="N1728" s="1131">
        <f t="shared" si="182"/>
        <v>0</v>
      </c>
      <c r="O1728" s="880"/>
      <c r="Q1728" s="317" t="str">
        <f t="shared" si="179"/>
        <v/>
      </c>
      <c r="R1728" s="317" t="str">
        <f t="shared" si="180"/>
        <v/>
      </c>
      <c r="S1728" s="317" t="str">
        <f t="shared" si="181"/>
        <v/>
      </c>
      <c r="T1728" s="317" t="str">
        <f>'REF. DE PREÇOS n editavel'!S1728</f>
        <v/>
      </c>
      <c r="W1728" s="577">
        <v>0</v>
      </c>
      <c r="X1728" s="575"/>
      <c r="Y1728" s="578">
        <f>IF('REF. DE PREÇOS n editavel'!W1728=0,0,IF('REF. DE PREÇOS n editavel'!W1728&gt;0,"c","b"))</f>
        <v>0</v>
      </c>
    </row>
    <row r="1729" spans="1:25" ht="15" customHeight="1">
      <c r="A1729" s="317">
        <v>630300</v>
      </c>
      <c r="B1729" s="870">
        <v>630300</v>
      </c>
      <c r="C1729" s="871" t="s">
        <v>184</v>
      </c>
      <c r="D1729" s="881" t="s">
        <v>315</v>
      </c>
      <c r="E1729" s="882">
        <f>'REF. DE PREÇOS n editavel'!E1729</f>
        <v>0</v>
      </c>
      <c r="F1729" s="883">
        <f>'REF. DE PREÇOS n editavel'!F1729</f>
        <v>0</v>
      </c>
      <c r="G1729" s="875">
        <f>'REF. DE PREÇOS n editavel'!G1729</f>
        <v>0</v>
      </c>
      <c r="H1729" s="876">
        <f>'REF. DE PREÇOS n editavel'!H1729</f>
        <v>15.85</v>
      </c>
      <c r="I1729" s="876">
        <f>'REF. DE PREÇOS n editavel'!I1729</f>
        <v>15.85</v>
      </c>
      <c r="J1729" s="877">
        <f>'REF. DE PREÇOS n editavel'!J1729</f>
        <v>19.37</v>
      </c>
      <c r="K1729" s="878" t="s">
        <v>13</v>
      </c>
      <c r="L1729" s="1092"/>
      <c r="M1729" s="1093">
        <f t="shared" si="178"/>
        <v>0</v>
      </c>
      <c r="N1729" s="1131">
        <f t="shared" si="182"/>
        <v>0</v>
      </c>
      <c r="O1729" s="880"/>
      <c r="Q1729" s="317" t="str">
        <f t="shared" si="179"/>
        <v/>
      </c>
      <c r="R1729" s="317" t="str">
        <f t="shared" si="180"/>
        <v/>
      </c>
      <c r="S1729" s="317" t="str">
        <f t="shared" si="181"/>
        <v/>
      </c>
      <c r="T1729" s="317" t="str">
        <f>'REF. DE PREÇOS n editavel'!S1729</f>
        <v/>
      </c>
      <c r="W1729" s="577">
        <v>0</v>
      </c>
      <c r="X1729" s="575"/>
      <c r="Y1729" s="578">
        <f>IF('REF. DE PREÇOS n editavel'!W1729=0,0,IF('REF. DE PREÇOS n editavel'!W1729&gt;0,"c","b"))</f>
        <v>0</v>
      </c>
    </row>
    <row r="1730" spans="1:25" ht="15" customHeight="1">
      <c r="A1730" s="317">
        <v>630400</v>
      </c>
      <c r="B1730" s="870">
        <v>630400</v>
      </c>
      <c r="C1730" s="871" t="s">
        <v>184</v>
      </c>
      <c r="D1730" s="931" t="s">
        <v>316</v>
      </c>
      <c r="E1730" s="882">
        <f>'REF. DE PREÇOS n editavel'!E1730</f>
        <v>0</v>
      </c>
      <c r="F1730" s="883">
        <f>'REF. DE PREÇOS n editavel'!F1730</f>
        <v>0</v>
      </c>
      <c r="G1730" s="875">
        <f>'REF. DE PREÇOS n editavel'!G1730</f>
        <v>0</v>
      </c>
      <c r="H1730" s="876">
        <f>'REF. DE PREÇOS n editavel'!H1730</f>
        <v>19.809999999999999</v>
      </c>
      <c r="I1730" s="876">
        <f>'REF. DE PREÇOS n editavel'!I1730</f>
        <v>19.809999999999999</v>
      </c>
      <c r="J1730" s="877">
        <f>'REF. DE PREÇOS n editavel'!J1730</f>
        <v>24.21</v>
      </c>
      <c r="K1730" s="878" t="s">
        <v>13</v>
      </c>
      <c r="L1730" s="1092"/>
      <c r="M1730" s="1093">
        <f t="shared" si="178"/>
        <v>0</v>
      </c>
      <c r="N1730" s="1131">
        <f t="shared" si="182"/>
        <v>0</v>
      </c>
      <c r="O1730" s="880"/>
      <c r="Q1730" s="317" t="str">
        <f t="shared" si="179"/>
        <v/>
      </c>
      <c r="R1730" s="317" t="str">
        <f t="shared" si="180"/>
        <v/>
      </c>
      <c r="S1730" s="317" t="str">
        <f t="shared" si="181"/>
        <v/>
      </c>
      <c r="T1730" s="317" t="str">
        <f>'REF. DE PREÇOS n editavel'!S1730</f>
        <v/>
      </c>
      <c r="W1730" s="577">
        <v>0</v>
      </c>
      <c r="X1730" s="575"/>
      <c r="Y1730" s="578">
        <f>IF('REF. DE PREÇOS n editavel'!W1730=0,0,IF('REF. DE PREÇOS n editavel'!W1730&gt;0,"c","b"))</f>
        <v>0</v>
      </c>
    </row>
    <row r="1731" spans="1:25" ht="15" customHeight="1">
      <c r="A1731" s="317">
        <v>630500</v>
      </c>
      <c r="B1731" s="870">
        <v>630500</v>
      </c>
      <c r="C1731" s="871" t="s">
        <v>184</v>
      </c>
      <c r="D1731" s="931" t="s">
        <v>317</v>
      </c>
      <c r="E1731" s="882">
        <f>'REF. DE PREÇOS n editavel'!E1731</f>
        <v>0</v>
      </c>
      <c r="F1731" s="883">
        <f>'REF. DE PREÇOS n editavel'!F1731</f>
        <v>0</v>
      </c>
      <c r="G1731" s="887">
        <f>'REF. DE PREÇOS n editavel'!G1731</f>
        <v>0</v>
      </c>
      <c r="H1731" s="876">
        <f>'REF. DE PREÇOS n editavel'!H1731</f>
        <v>21.61</v>
      </c>
      <c r="I1731" s="876">
        <f>'REF. DE PREÇOS n editavel'!I1731</f>
        <v>21.61</v>
      </c>
      <c r="J1731" s="877">
        <f>'REF. DE PREÇOS n editavel'!J1731</f>
        <v>26.41</v>
      </c>
      <c r="K1731" s="878" t="s">
        <v>13</v>
      </c>
      <c r="L1731" s="1092"/>
      <c r="M1731" s="1093">
        <f t="shared" si="178"/>
        <v>0</v>
      </c>
      <c r="N1731" s="1131">
        <f t="shared" si="182"/>
        <v>0</v>
      </c>
      <c r="O1731" s="880"/>
      <c r="Q1731" s="317" t="str">
        <f t="shared" si="179"/>
        <v/>
      </c>
      <c r="R1731" s="317" t="str">
        <f t="shared" si="180"/>
        <v/>
      </c>
      <c r="S1731" s="317" t="str">
        <f t="shared" si="181"/>
        <v/>
      </c>
      <c r="T1731" s="317" t="str">
        <f>'REF. DE PREÇOS n editavel'!S1731</f>
        <v/>
      </c>
      <c r="W1731" s="577">
        <v>0</v>
      </c>
      <c r="X1731" s="575"/>
      <c r="Y1731" s="578">
        <f>IF('REF. DE PREÇOS n editavel'!W1731=0,0,IF('REF. DE PREÇOS n editavel'!W1731&gt;0,"c","b"))</f>
        <v>0</v>
      </c>
    </row>
    <row r="1732" spans="1:25" ht="15" customHeight="1">
      <c r="A1732" s="317">
        <v>630600</v>
      </c>
      <c r="B1732" s="870">
        <v>630600</v>
      </c>
      <c r="C1732" s="871" t="s">
        <v>184</v>
      </c>
      <c r="D1732" s="931" t="s">
        <v>318</v>
      </c>
      <c r="E1732" s="882">
        <f>'REF. DE PREÇOS n editavel'!E1732</f>
        <v>0</v>
      </c>
      <c r="F1732" s="883">
        <f>'REF. DE PREÇOS n editavel'!F1732</f>
        <v>0</v>
      </c>
      <c r="G1732" s="887">
        <f>'REF. DE PREÇOS n editavel'!G1732</f>
        <v>0</v>
      </c>
      <c r="H1732" s="876">
        <f>'REF. DE PREÇOS n editavel'!H1732</f>
        <v>23.77</v>
      </c>
      <c r="I1732" s="876">
        <f>'REF. DE PREÇOS n editavel'!I1732</f>
        <v>23.77</v>
      </c>
      <c r="J1732" s="877">
        <f>'REF. DE PREÇOS n editavel'!J1732</f>
        <v>29.05</v>
      </c>
      <c r="K1732" s="878" t="s">
        <v>13</v>
      </c>
      <c r="L1732" s="1092"/>
      <c r="M1732" s="1093">
        <f t="shared" si="178"/>
        <v>0</v>
      </c>
      <c r="N1732" s="1131">
        <f t="shared" si="182"/>
        <v>0</v>
      </c>
      <c r="O1732" s="880"/>
      <c r="Q1732" s="317" t="str">
        <f t="shared" si="179"/>
        <v/>
      </c>
      <c r="R1732" s="317" t="str">
        <f t="shared" si="180"/>
        <v/>
      </c>
      <c r="S1732" s="317" t="str">
        <f t="shared" si="181"/>
        <v/>
      </c>
      <c r="T1732" s="317" t="str">
        <f>'REF. DE PREÇOS n editavel'!S1732</f>
        <v/>
      </c>
      <c r="W1732" s="577">
        <v>0</v>
      </c>
      <c r="X1732" s="575"/>
      <c r="Y1732" s="578">
        <f>IF('REF. DE PREÇOS n editavel'!W1732=0,0,IF('REF. DE PREÇOS n editavel'!W1732&gt;0,"c","b"))</f>
        <v>0</v>
      </c>
    </row>
    <row r="1733" spans="1:25" ht="15" customHeight="1">
      <c r="A1733" s="317">
        <v>630800</v>
      </c>
      <c r="B1733" s="870">
        <v>630800</v>
      </c>
      <c r="C1733" s="871" t="s">
        <v>184</v>
      </c>
      <c r="D1733" s="881" t="s">
        <v>319</v>
      </c>
      <c r="E1733" s="882">
        <f>'REF. DE PREÇOS n editavel'!E1733</f>
        <v>0</v>
      </c>
      <c r="F1733" s="883">
        <f>'REF. DE PREÇOS n editavel'!F1733</f>
        <v>0</v>
      </c>
      <c r="G1733" s="887">
        <f>'REF. DE PREÇOS n editavel'!G1733</f>
        <v>0</v>
      </c>
      <c r="H1733" s="876">
        <f>'REF. DE PREÇOS n editavel'!H1733</f>
        <v>47.55</v>
      </c>
      <c r="I1733" s="876">
        <f>'REF. DE PREÇOS n editavel'!I1733</f>
        <v>47.55</v>
      </c>
      <c r="J1733" s="877">
        <f>'REF. DE PREÇOS n editavel'!J1733</f>
        <v>58.12</v>
      </c>
      <c r="K1733" s="878" t="s">
        <v>13</v>
      </c>
      <c r="L1733" s="1092"/>
      <c r="M1733" s="1093">
        <f t="shared" si="178"/>
        <v>0</v>
      </c>
      <c r="N1733" s="1131">
        <f t="shared" si="182"/>
        <v>0</v>
      </c>
      <c r="O1733" s="880"/>
      <c r="Q1733" s="317" t="str">
        <f t="shared" si="179"/>
        <v/>
      </c>
      <c r="R1733" s="317" t="str">
        <f t="shared" si="180"/>
        <v/>
      </c>
      <c r="S1733" s="317" t="str">
        <f t="shared" si="181"/>
        <v/>
      </c>
      <c r="T1733" s="317" t="str">
        <f>'REF. DE PREÇOS n editavel'!S1733</f>
        <v/>
      </c>
      <c r="W1733" s="577">
        <v>0</v>
      </c>
      <c r="X1733" s="575"/>
      <c r="Y1733" s="578">
        <f>IF('REF. DE PREÇOS n editavel'!W1733=0,0,IF('REF. DE PREÇOS n editavel'!W1733&gt;0,"c","b"))</f>
        <v>0</v>
      </c>
    </row>
    <row r="1734" spans="1:25" ht="15" customHeight="1">
      <c r="A1734" s="317">
        <v>631000</v>
      </c>
      <c r="B1734" s="870">
        <v>631000</v>
      </c>
      <c r="C1734" s="871" t="s">
        <v>184</v>
      </c>
      <c r="D1734" s="881" t="s">
        <v>320</v>
      </c>
      <c r="E1734" s="882">
        <f>'REF. DE PREÇOS n editavel'!E1734</f>
        <v>0</v>
      </c>
      <c r="F1734" s="883">
        <f>'REF. DE PREÇOS n editavel'!F1734</f>
        <v>0</v>
      </c>
      <c r="G1734" s="887">
        <f>'REF. DE PREÇOS n editavel'!G1734</f>
        <v>0</v>
      </c>
      <c r="H1734" s="876">
        <f>'REF. DE PREÇOS n editavel'!H1734</f>
        <v>47.7</v>
      </c>
      <c r="I1734" s="876">
        <f>'REF. DE PREÇOS n editavel'!I1734</f>
        <v>47.7</v>
      </c>
      <c r="J1734" s="877">
        <f>'REF. DE PREÇOS n editavel'!J1734</f>
        <v>58.3</v>
      </c>
      <c r="K1734" s="878" t="s">
        <v>13</v>
      </c>
      <c r="L1734" s="1092"/>
      <c r="M1734" s="1093">
        <f t="shared" ref="M1734:M1797" si="183">IF(L1734=0,0,ROUND(J1734,2))</f>
        <v>0</v>
      </c>
      <c r="N1734" s="1131">
        <f t="shared" si="182"/>
        <v>0</v>
      </c>
      <c r="O1734" s="880"/>
      <c r="Q1734" s="317" t="str">
        <f t="shared" si="179"/>
        <v/>
      </c>
      <c r="R1734" s="317" t="str">
        <f t="shared" si="180"/>
        <v/>
      </c>
      <c r="S1734" s="317" t="str">
        <f t="shared" si="181"/>
        <v/>
      </c>
      <c r="T1734" s="317" t="str">
        <f>'REF. DE PREÇOS n editavel'!S1734</f>
        <v/>
      </c>
      <c r="W1734" s="577">
        <v>0</v>
      </c>
      <c r="X1734" s="575"/>
      <c r="Y1734" s="578">
        <f>IF('REF. DE PREÇOS n editavel'!W1734=0,0,IF('REF. DE PREÇOS n editavel'!W1734&gt;0,"c","b"))</f>
        <v>0</v>
      </c>
    </row>
    <row r="1735" spans="1:25" ht="15" customHeight="1">
      <c r="A1735" s="317">
        <v>631200</v>
      </c>
      <c r="B1735" s="870">
        <v>631200</v>
      </c>
      <c r="C1735" s="871" t="s">
        <v>184</v>
      </c>
      <c r="D1735" s="881" t="s">
        <v>321</v>
      </c>
      <c r="E1735" s="882">
        <f>'REF. DE PREÇOS n editavel'!E1735</f>
        <v>0</v>
      </c>
      <c r="F1735" s="883">
        <f>'REF. DE PREÇOS n editavel'!F1735</f>
        <v>0</v>
      </c>
      <c r="G1735" s="887">
        <f>'REF. DE PREÇOS n editavel'!G1735</f>
        <v>0</v>
      </c>
      <c r="H1735" s="876">
        <f>'REF. DE PREÇOS n editavel'!H1735</f>
        <v>57.25</v>
      </c>
      <c r="I1735" s="876">
        <f>'REF. DE PREÇOS n editavel'!I1735</f>
        <v>57.25</v>
      </c>
      <c r="J1735" s="877">
        <f>'REF. DE PREÇOS n editavel'!J1735</f>
        <v>69.97</v>
      </c>
      <c r="K1735" s="878" t="s">
        <v>13</v>
      </c>
      <c r="L1735" s="1092"/>
      <c r="M1735" s="1093">
        <f t="shared" si="183"/>
        <v>0</v>
      </c>
      <c r="N1735" s="1131">
        <f t="shared" si="182"/>
        <v>0</v>
      </c>
      <c r="O1735" s="880"/>
      <c r="Q1735" s="317" t="str">
        <f t="shared" si="179"/>
        <v/>
      </c>
      <c r="R1735" s="317" t="str">
        <f t="shared" si="180"/>
        <v/>
      </c>
      <c r="S1735" s="317" t="str">
        <f t="shared" si="181"/>
        <v/>
      </c>
      <c r="T1735" s="317" t="str">
        <f>'REF. DE PREÇOS n editavel'!S1735</f>
        <v/>
      </c>
      <c r="W1735" s="577">
        <v>0</v>
      </c>
      <c r="X1735" s="575"/>
      <c r="Y1735" s="578">
        <f>IF('REF. DE PREÇOS n editavel'!W1735=0,0,IF('REF. DE PREÇOS n editavel'!W1735&gt;0,"c","b"))</f>
        <v>0</v>
      </c>
    </row>
    <row r="1736" spans="1:25" ht="15" customHeight="1">
      <c r="A1736" s="317">
        <v>631500</v>
      </c>
      <c r="B1736" s="870">
        <v>631500</v>
      </c>
      <c r="C1736" s="871" t="s">
        <v>184</v>
      </c>
      <c r="D1736" s="881" t="s">
        <v>322</v>
      </c>
      <c r="E1736" s="882">
        <f>'REF. DE PREÇOS n editavel'!E1736</f>
        <v>0</v>
      </c>
      <c r="F1736" s="883">
        <f>'REF. DE PREÇOS n editavel'!F1736</f>
        <v>0</v>
      </c>
      <c r="G1736" s="887">
        <f>'REF. DE PREÇOS n editavel'!G1736</f>
        <v>0</v>
      </c>
      <c r="H1736" s="876">
        <f>'REF. DE PREÇOS n editavel'!H1736</f>
        <v>71.56</v>
      </c>
      <c r="I1736" s="876">
        <f>'REF. DE PREÇOS n editavel'!I1736</f>
        <v>71.56</v>
      </c>
      <c r="J1736" s="877">
        <f>'REF. DE PREÇOS n editavel'!J1736</f>
        <v>87.46</v>
      </c>
      <c r="K1736" s="878" t="s">
        <v>13</v>
      </c>
      <c r="L1736" s="1092"/>
      <c r="M1736" s="1093">
        <f t="shared" si="183"/>
        <v>0</v>
      </c>
      <c r="N1736" s="1131">
        <f t="shared" si="182"/>
        <v>0</v>
      </c>
      <c r="O1736" s="880"/>
      <c r="Q1736" s="317" t="str">
        <f t="shared" si="179"/>
        <v/>
      </c>
      <c r="R1736" s="317" t="str">
        <f t="shared" si="180"/>
        <v/>
      </c>
      <c r="S1736" s="317" t="str">
        <f t="shared" si="181"/>
        <v/>
      </c>
      <c r="T1736" s="317" t="str">
        <f>'REF. DE PREÇOS n editavel'!S1736</f>
        <v/>
      </c>
      <c r="W1736" s="577">
        <v>0</v>
      </c>
      <c r="X1736" s="575"/>
      <c r="Y1736" s="578">
        <f>IF('REF. DE PREÇOS n editavel'!W1736=0,0,IF('REF. DE PREÇOS n editavel'!W1736&gt;0,"c","b"))</f>
        <v>0</v>
      </c>
    </row>
    <row r="1737" spans="1:25" ht="15" customHeight="1">
      <c r="A1737" s="317">
        <v>860200</v>
      </c>
      <c r="B1737" s="870">
        <v>860200</v>
      </c>
      <c r="C1737" s="871" t="s">
        <v>184</v>
      </c>
      <c r="D1737" s="881" t="s">
        <v>801</v>
      </c>
      <c r="E1737" s="882">
        <f>'REF. DE PREÇOS n editavel'!E1737</f>
        <v>0</v>
      </c>
      <c r="F1737" s="883">
        <f>'REF. DE PREÇOS n editavel'!F1737</f>
        <v>0</v>
      </c>
      <c r="G1737" s="887">
        <f>'REF. DE PREÇOS n editavel'!G1737</f>
        <v>90.367137000000014</v>
      </c>
      <c r="H1737" s="876">
        <f>'REF. DE PREÇOS n editavel'!H1737</f>
        <v>858.72</v>
      </c>
      <c r="I1737" s="876">
        <f>'REF. DE PREÇOS n editavel'!I1737</f>
        <v>949.08713699999998</v>
      </c>
      <c r="J1737" s="877">
        <f>'REF. DE PREÇOS n editavel'!J1737</f>
        <v>1159.97</v>
      </c>
      <c r="K1737" s="878" t="s">
        <v>10</v>
      </c>
      <c r="L1737" s="1092"/>
      <c r="M1737" s="1093">
        <f t="shared" si="183"/>
        <v>0</v>
      </c>
      <c r="N1737" s="1131">
        <f t="shared" si="182"/>
        <v>0</v>
      </c>
      <c r="O1737" s="880"/>
      <c r="Q1737" s="317" t="str">
        <f t="shared" si="179"/>
        <v/>
      </c>
      <c r="R1737" s="317" t="str">
        <f t="shared" si="180"/>
        <v/>
      </c>
      <c r="S1737" s="317" t="str">
        <f t="shared" si="181"/>
        <v/>
      </c>
      <c r="T1737" s="317" t="str">
        <f>'REF. DE PREÇOS n editavel'!S1737</f>
        <v/>
      </c>
      <c r="W1737" s="577">
        <v>0</v>
      </c>
      <c r="X1737" s="575"/>
      <c r="Y1737" s="578">
        <f>IF('REF. DE PREÇOS n editavel'!W1737=0,0,IF('REF. DE PREÇOS n editavel'!W1737&gt;0,"c","b"))</f>
        <v>0</v>
      </c>
    </row>
    <row r="1738" spans="1:25" ht="15" customHeight="1">
      <c r="A1738" s="317" t="s">
        <v>147</v>
      </c>
      <c r="B1738" s="870" t="s">
        <v>147</v>
      </c>
      <c r="C1738" s="871"/>
      <c r="D1738" s="931" t="s">
        <v>802</v>
      </c>
      <c r="E1738" s="882">
        <f>'REF. DE PREÇOS n editavel'!E1738</f>
        <v>43.1</v>
      </c>
      <c r="F1738" s="883">
        <f>'REF. DE PREÇOS n editavel'!F1738</f>
        <v>1.7250000000000001</v>
      </c>
      <c r="G1738" s="923">
        <f>'REF. DE PREÇOS n editavel'!G1738</f>
        <v>84.174825000000013</v>
      </c>
      <c r="H1738" s="876">
        <f>'REF. DE PREÇOS n editavel'!H1738</f>
        <v>0</v>
      </c>
      <c r="I1738" s="876">
        <f>'REF. DE PREÇOS n editavel'!I1738</f>
        <v>0</v>
      </c>
      <c r="J1738" s="877">
        <f>'REF. DE PREÇOS n editavel'!J1738</f>
        <v>0</v>
      </c>
      <c r="K1738" s="932" t="s">
        <v>506</v>
      </c>
      <c r="L1738" s="933"/>
      <c r="M1738" s="1112">
        <f t="shared" si="183"/>
        <v>0</v>
      </c>
      <c r="N1738" s="1131">
        <f t="shared" si="182"/>
        <v>0</v>
      </c>
      <c r="O1738" s="880"/>
      <c r="P1738" s="58" t="str">
        <f>IF(N1737&gt;0,"xx",IF(N1737&gt;0,"xy",""))</f>
        <v/>
      </c>
      <c r="Q1738" s="317" t="str">
        <f t="shared" si="179"/>
        <v/>
      </c>
      <c r="R1738" s="317" t="str">
        <f t="shared" si="180"/>
        <v/>
      </c>
      <c r="S1738" s="317" t="str">
        <f t="shared" si="181"/>
        <v/>
      </c>
      <c r="T1738" s="317" t="str">
        <f>'REF. DE PREÇOS n editavel'!S1738</f>
        <v/>
      </c>
      <c r="W1738" s="577">
        <v>0</v>
      </c>
      <c r="X1738" s="575"/>
      <c r="Y1738" s="578">
        <f>IF('REF. DE PREÇOS n editavel'!W1738=0,0,IF('REF. DE PREÇOS n editavel'!W1738&gt;0,"c","b"))</f>
        <v>0</v>
      </c>
    </row>
    <row r="1739" spans="1:25" ht="15" customHeight="1">
      <c r="A1739" s="317" t="s">
        <v>147</v>
      </c>
      <c r="B1739" s="870" t="s">
        <v>147</v>
      </c>
      <c r="C1739" s="871"/>
      <c r="D1739" s="931" t="s">
        <v>323</v>
      </c>
      <c r="E1739" s="882">
        <f>'REF. DE PREÇOS n editavel'!E1739</f>
        <v>468</v>
      </c>
      <c r="F1739" s="883">
        <f>'REF. DE PREÇOS n editavel'!F1739</f>
        <v>1.23E-2</v>
      </c>
      <c r="G1739" s="923">
        <f>'REF. DE PREÇOS n editavel'!G1739</f>
        <v>6.1923120000000011</v>
      </c>
      <c r="H1739" s="876">
        <f>'REF. DE PREÇOS n editavel'!H1739</f>
        <v>0</v>
      </c>
      <c r="I1739" s="876">
        <f>'REF. DE PREÇOS n editavel'!I1739</f>
        <v>0</v>
      </c>
      <c r="J1739" s="877">
        <f>'REF. DE PREÇOS n editavel'!J1739</f>
        <v>0</v>
      </c>
      <c r="K1739" s="932" t="s">
        <v>506</v>
      </c>
      <c r="L1739" s="933"/>
      <c r="M1739" s="1112">
        <f t="shared" si="183"/>
        <v>0</v>
      </c>
      <c r="N1739" s="1131">
        <f t="shared" si="182"/>
        <v>0</v>
      </c>
      <c r="O1739" s="880"/>
      <c r="P1739" s="58" t="str">
        <f>IF(N1737&gt;0,"xx",IF(N1737&gt;0,"xy",""))</f>
        <v/>
      </c>
      <c r="Q1739" s="317" t="str">
        <f t="shared" si="179"/>
        <v/>
      </c>
      <c r="R1739" s="317" t="str">
        <f t="shared" si="180"/>
        <v/>
      </c>
      <c r="S1739" s="317" t="str">
        <f t="shared" si="181"/>
        <v/>
      </c>
      <c r="T1739" s="317" t="str">
        <f>'REF. DE PREÇOS n editavel'!S1739</f>
        <v/>
      </c>
      <c r="W1739" s="577">
        <v>0</v>
      </c>
      <c r="X1739" s="575"/>
      <c r="Y1739" s="578">
        <f>IF('REF. DE PREÇOS n editavel'!W1739=0,0,IF('REF. DE PREÇOS n editavel'!W1739&gt;0,"c","b"))</f>
        <v>0</v>
      </c>
    </row>
    <row r="1740" spans="1:25" ht="15" customHeight="1">
      <c r="A1740" s="317">
        <v>860100</v>
      </c>
      <c r="B1740" s="870">
        <v>860100</v>
      </c>
      <c r="C1740" s="871" t="s">
        <v>184</v>
      </c>
      <c r="D1740" s="881" t="s">
        <v>803</v>
      </c>
      <c r="E1740" s="882">
        <f>'REF. DE PREÇOS n editavel'!E1740</f>
        <v>0</v>
      </c>
      <c r="F1740" s="883">
        <f>'REF. DE PREÇOS n editavel'!F1740</f>
        <v>0</v>
      </c>
      <c r="G1740" s="887">
        <f>'REF. DE PREÇOS n editavel'!G1740</f>
        <v>90.669201000000015</v>
      </c>
      <c r="H1740" s="876">
        <f>'REF. DE PREÇOS n editavel'!H1740</f>
        <v>769.37</v>
      </c>
      <c r="I1740" s="876">
        <f>'REF. DE PREÇOS n editavel'!I1740</f>
        <v>860.03920100000005</v>
      </c>
      <c r="J1740" s="877">
        <f>'REF. DE PREÇOS n editavel'!J1740</f>
        <v>1051.1400000000001</v>
      </c>
      <c r="K1740" s="878" t="s">
        <v>10</v>
      </c>
      <c r="L1740" s="1092"/>
      <c r="M1740" s="1093">
        <f t="shared" si="183"/>
        <v>0</v>
      </c>
      <c r="N1740" s="1131">
        <f t="shared" si="182"/>
        <v>0</v>
      </c>
      <c r="O1740" s="880"/>
      <c r="Q1740" s="317" t="str">
        <f t="shared" si="179"/>
        <v/>
      </c>
      <c r="R1740" s="317" t="str">
        <f t="shared" si="180"/>
        <v/>
      </c>
      <c r="S1740" s="317" t="str">
        <f t="shared" si="181"/>
        <v/>
      </c>
      <c r="T1740" s="317" t="str">
        <f>'REF. DE PREÇOS n editavel'!S1740</f>
        <v/>
      </c>
      <c r="W1740" s="577">
        <v>0</v>
      </c>
      <c r="X1740" s="575"/>
      <c r="Y1740" s="578">
        <f>IF('REF. DE PREÇOS n editavel'!W1740=0,0,IF('REF. DE PREÇOS n editavel'!W1740&gt;0,"c","b"))</f>
        <v>0</v>
      </c>
    </row>
    <row r="1741" spans="1:25" ht="15" customHeight="1">
      <c r="A1741" s="317" t="s">
        <v>147</v>
      </c>
      <c r="B1741" s="870" t="s">
        <v>147</v>
      </c>
      <c r="C1741" s="871"/>
      <c r="D1741" s="931" t="s">
        <v>802</v>
      </c>
      <c r="E1741" s="882">
        <f>'REF. DE PREÇOS n editavel'!E1741</f>
        <v>43.1</v>
      </c>
      <c r="F1741" s="883">
        <f>'REF. DE PREÇOS n editavel'!F1741</f>
        <v>1.7250000000000001</v>
      </c>
      <c r="G1741" s="923">
        <f>'REF. DE PREÇOS n editavel'!G1741</f>
        <v>84.174825000000013</v>
      </c>
      <c r="H1741" s="876">
        <f>'REF. DE PREÇOS n editavel'!H1741</f>
        <v>0</v>
      </c>
      <c r="I1741" s="876">
        <f>'REF. DE PREÇOS n editavel'!I1741</f>
        <v>0</v>
      </c>
      <c r="J1741" s="877">
        <f>'REF. DE PREÇOS n editavel'!J1741</f>
        <v>0</v>
      </c>
      <c r="K1741" s="932" t="s">
        <v>506</v>
      </c>
      <c r="L1741" s="933"/>
      <c r="M1741" s="1112">
        <f t="shared" si="183"/>
        <v>0</v>
      </c>
      <c r="N1741" s="1131">
        <f t="shared" si="182"/>
        <v>0</v>
      </c>
      <c r="O1741" s="880"/>
      <c r="P1741" s="58" t="str">
        <f>IF(N1740&gt;0,"xx",IF(N1740&gt;0,"xy",""))</f>
        <v/>
      </c>
      <c r="Q1741" s="317" t="str">
        <f t="shared" si="179"/>
        <v/>
      </c>
      <c r="R1741" s="317" t="str">
        <f t="shared" si="180"/>
        <v/>
      </c>
      <c r="S1741" s="317" t="str">
        <f t="shared" si="181"/>
        <v/>
      </c>
      <c r="T1741" s="317" t="str">
        <f>'REF. DE PREÇOS n editavel'!S1741</f>
        <v/>
      </c>
      <c r="W1741" s="577">
        <v>0</v>
      </c>
      <c r="X1741" s="575"/>
      <c r="Y1741" s="578">
        <f>IF('REF. DE PREÇOS n editavel'!W1741=0,0,IF('REF. DE PREÇOS n editavel'!W1741&gt;0,"c","b"))</f>
        <v>0</v>
      </c>
    </row>
    <row r="1742" spans="1:25" ht="15" customHeight="1">
      <c r="A1742" s="317" t="s">
        <v>147</v>
      </c>
      <c r="B1742" s="870" t="s">
        <v>147</v>
      </c>
      <c r="C1742" s="871"/>
      <c r="D1742" s="931" t="s">
        <v>323</v>
      </c>
      <c r="E1742" s="882">
        <f>'REF. DE PREÇOS n editavel'!E1742</f>
        <v>468</v>
      </c>
      <c r="F1742" s="883">
        <f>'REF. DE PREÇOS n editavel'!F1742</f>
        <v>1.29E-2</v>
      </c>
      <c r="G1742" s="923">
        <f>'REF. DE PREÇOS n editavel'!G1742</f>
        <v>6.4943760000000008</v>
      </c>
      <c r="H1742" s="876">
        <f>'REF. DE PREÇOS n editavel'!H1742</f>
        <v>0</v>
      </c>
      <c r="I1742" s="876">
        <f>'REF. DE PREÇOS n editavel'!I1742</f>
        <v>0</v>
      </c>
      <c r="J1742" s="877">
        <f>'REF. DE PREÇOS n editavel'!J1742</f>
        <v>0</v>
      </c>
      <c r="K1742" s="932" t="s">
        <v>506</v>
      </c>
      <c r="L1742" s="933"/>
      <c r="M1742" s="1112">
        <f t="shared" si="183"/>
        <v>0</v>
      </c>
      <c r="N1742" s="1131">
        <f t="shared" si="182"/>
        <v>0</v>
      </c>
      <c r="O1742" s="880"/>
      <c r="P1742" s="58" t="str">
        <f>IF(N1740&gt;0,"xx",IF(N1740&gt;0,"xy",""))</f>
        <v/>
      </c>
      <c r="Q1742" s="317" t="str">
        <f t="shared" si="179"/>
        <v/>
      </c>
      <c r="R1742" s="317" t="str">
        <f t="shared" si="180"/>
        <v/>
      </c>
      <c r="S1742" s="317" t="str">
        <f t="shared" si="181"/>
        <v/>
      </c>
      <c r="T1742" s="317" t="str">
        <f>'REF. DE PREÇOS n editavel'!S1742</f>
        <v/>
      </c>
      <c r="W1742" s="577">
        <v>0</v>
      </c>
      <c r="X1742" s="575"/>
      <c r="Y1742" s="578">
        <f>IF('REF. DE PREÇOS n editavel'!W1742=0,0,IF('REF. DE PREÇOS n editavel'!W1742&gt;0,"c","b"))</f>
        <v>0</v>
      </c>
    </row>
    <row r="1743" spans="1:25" ht="15" customHeight="1">
      <c r="A1743" s="317">
        <v>860150</v>
      </c>
      <c r="B1743" s="870">
        <v>860150</v>
      </c>
      <c r="C1743" s="871" t="s">
        <v>184</v>
      </c>
      <c r="D1743" s="881" t="s">
        <v>804</v>
      </c>
      <c r="E1743" s="882">
        <f>'REF. DE PREÇOS n editavel'!E1743</f>
        <v>0</v>
      </c>
      <c r="F1743" s="883">
        <f>'REF. DE PREÇOS n editavel'!F1743</f>
        <v>0</v>
      </c>
      <c r="G1743" s="887">
        <f>'REF. DE PREÇOS n editavel'!G1743</f>
        <v>88.454065000000014</v>
      </c>
      <c r="H1743" s="876">
        <f>'REF. DE PREÇOS n editavel'!H1743</f>
        <v>688.53</v>
      </c>
      <c r="I1743" s="876">
        <f>'REF. DE PREÇOS n editavel'!I1743</f>
        <v>776.98406499999999</v>
      </c>
      <c r="J1743" s="877">
        <f>'REF. DE PREÇOS n editavel'!J1743</f>
        <v>949.63</v>
      </c>
      <c r="K1743" s="878" t="s">
        <v>10</v>
      </c>
      <c r="L1743" s="1092"/>
      <c r="M1743" s="1093">
        <f t="shared" si="183"/>
        <v>0</v>
      </c>
      <c r="N1743" s="1131">
        <f t="shared" si="182"/>
        <v>0</v>
      </c>
      <c r="O1743" s="880"/>
      <c r="Q1743" s="317" t="str">
        <f t="shared" si="179"/>
        <v/>
      </c>
      <c r="R1743" s="317" t="str">
        <f t="shared" si="180"/>
        <v/>
      </c>
      <c r="S1743" s="317" t="str">
        <f t="shared" si="181"/>
        <v/>
      </c>
      <c r="T1743" s="317" t="str">
        <f>'REF. DE PREÇOS n editavel'!S1743</f>
        <v/>
      </c>
      <c r="W1743" s="577">
        <v>0</v>
      </c>
      <c r="X1743" s="575"/>
      <c r="Y1743" s="578">
        <f>IF('REF. DE PREÇOS n editavel'!W1743=0,0,IF('REF. DE PREÇOS n editavel'!W1743&gt;0,"c","b"))</f>
        <v>0</v>
      </c>
    </row>
    <row r="1744" spans="1:25" ht="15" customHeight="1">
      <c r="A1744" s="317" t="s">
        <v>147</v>
      </c>
      <c r="B1744" s="870" t="s">
        <v>147</v>
      </c>
      <c r="C1744" s="871"/>
      <c r="D1744" s="931" t="s">
        <v>802</v>
      </c>
      <c r="E1744" s="882">
        <f>'REF. DE PREÇOS n editavel'!E1744</f>
        <v>43.1</v>
      </c>
      <c r="F1744" s="883">
        <f>'REF. DE PREÇOS n editavel'!F1744</f>
        <v>1.7250000000000001</v>
      </c>
      <c r="G1744" s="923">
        <f>'REF. DE PREÇOS n editavel'!G1744</f>
        <v>84.174825000000013</v>
      </c>
      <c r="H1744" s="876">
        <f>'REF. DE PREÇOS n editavel'!H1744</f>
        <v>0</v>
      </c>
      <c r="I1744" s="876">
        <f>'REF. DE PREÇOS n editavel'!I1744</f>
        <v>0</v>
      </c>
      <c r="J1744" s="877">
        <f>'REF. DE PREÇOS n editavel'!J1744</f>
        <v>0</v>
      </c>
      <c r="K1744" s="932" t="s">
        <v>506</v>
      </c>
      <c r="L1744" s="933"/>
      <c r="M1744" s="1112">
        <f t="shared" si="183"/>
        <v>0</v>
      </c>
      <c r="N1744" s="1131">
        <f t="shared" si="182"/>
        <v>0</v>
      </c>
      <c r="O1744" s="880"/>
      <c r="P1744" s="58" t="str">
        <f>IF(N1743&gt;0,"xx",IF(N1743&gt;0,"xy",""))</f>
        <v/>
      </c>
      <c r="Q1744" s="317" t="str">
        <f t="shared" si="179"/>
        <v/>
      </c>
      <c r="R1744" s="317" t="str">
        <f t="shared" si="180"/>
        <v/>
      </c>
      <c r="S1744" s="317" t="str">
        <f t="shared" si="181"/>
        <v/>
      </c>
      <c r="T1744" s="317" t="str">
        <f>'REF. DE PREÇOS n editavel'!S1744</f>
        <v/>
      </c>
      <c r="W1744" s="577">
        <v>0</v>
      </c>
      <c r="X1744" s="575"/>
      <c r="Y1744" s="578">
        <f>IF('REF. DE PREÇOS n editavel'!W1744=0,0,IF('REF. DE PREÇOS n editavel'!W1744&gt;0,"c","b"))</f>
        <v>0</v>
      </c>
    </row>
    <row r="1745" spans="1:25" ht="15" customHeight="1">
      <c r="A1745" s="317" t="s">
        <v>147</v>
      </c>
      <c r="B1745" s="870" t="s">
        <v>147</v>
      </c>
      <c r="C1745" s="871"/>
      <c r="D1745" s="931" t="s">
        <v>323</v>
      </c>
      <c r="E1745" s="882">
        <f>'REF. DE PREÇOS n editavel'!E1745</f>
        <v>468</v>
      </c>
      <c r="F1745" s="883">
        <f>'REF. DE PREÇOS n editavel'!F1745</f>
        <v>8.5000000000000006E-3</v>
      </c>
      <c r="G1745" s="923">
        <f>'REF. DE PREÇOS n editavel'!G1745</f>
        <v>4.2792400000000006</v>
      </c>
      <c r="H1745" s="876">
        <f>'REF. DE PREÇOS n editavel'!H1745</f>
        <v>0</v>
      </c>
      <c r="I1745" s="876">
        <f>'REF. DE PREÇOS n editavel'!I1745</f>
        <v>0</v>
      </c>
      <c r="J1745" s="877">
        <f>'REF. DE PREÇOS n editavel'!J1745</f>
        <v>0</v>
      </c>
      <c r="K1745" s="932" t="s">
        <v>506</v>
      </c>
      <c r="L1745" s="933"/>
      <c r="M1745" s="1112">
        <f t="shared" si="183"/>
        <v>0</v>
      </c>
      <c r="N1745" s="1131">
        <f t="shared" si="182"/>
        <v>0</v>
      </c>
      <c r="O1745" s="880"/>
      <c r="P1745" s="58" t="str">
        <f>IF(N1743&gt;0,"xx",IF(N1743&gt;0,"xy",""))</f>
        <v/>
      </c>
      <c r="Q1745" s="317" t="str">
        <f t="shared" ref="Q1745:Q1808" si="184">IF(P1745="X","x",IF(P1745="xx","x",IF(P1745="xy","x",IF(P1745="y","x",IF(OR(N1745&gt;0,N1745&gt;0),"x","")))))</f>
        <v/>
      </c>
      <c r="R1745" s="317" t="str">
        <f t="shared" si="180"/>
        <v/>
      </c>
      <c r="S1745" s="317" t="str">
        <f t="shared" si="181"/>
        <v/>
      </c>
      <c r="T1745" s="317" t="str">
        <f>'REF. DE PREÇOS n editavel'!S1745</f>
        <v/>
      </c>
      <c r="W1745" s="577">
        <v>0</v>
      </c>
      <c r="X1745" s="575"/>
      <c r="Y1745" s="578">
        <f>IF('REF. DE PREÇOS n editavel'!W1745=0,0,IF('REF. DE PREÇOS n editavel'!W1745&gt;0,"c","b"))</f>
        <v>0</v>
      </c>
    </row>
    <row r="1746" spans="1:25" ht="15" customHeight="1">
      <c r="A1746" s="317">
        <v>860000</v>
      </c>
      <c r="B1746" s="870">
        <v>860000</v>
      </c>
      <c r="C1746" s="871" t="s">
        <v>184</v>
      </c>
      <c r="D1746" s="881" t="s">
        <v>805</v>
      </c>
      <c r="E1746" s="882">
        <f>'REF. DE PREÇOS n editavel'!E1746</f>
        <v>0</v>
      </c>
      <c r="F1746" s="883">
        <f>'REF. DE PREÇOS n editavel'!F1746</f>
        <v>0</v>
      </c>
      <c r="G1746" s="887">
        <f>'REF. DE PREÇOS n editavel'!G1746</f>
        <v>88.756129000000016</v>
      </c>
      <c r="H1746" s="876">
        <f>'REF. DE PREÇOS n editavel'!H1746</f>
        <v>622.92999999999995</v>
      </c>
      <c r="I1746" s="876">
        <f>'REF. DE PREÇOS n editavel'!I1746</f>
        <v>711.68612899999994</v>
      </c>
      <c r="J1746" s="877">
        <f>'REF. DE PREÇOS n editavel'!J1746</f>
        <v>869.82</v>
      </c>
      <c r="K1746" s="878" t="s">
        <v>10</v>
      </c>
      <c r="L1746" s="1092"/>
      <c r="M1746" s="1093">
        <f t="shared" si="183"/>
        <v>0</v>
      </c>
      <c r="N1746" s="1131">
        <f t="shared" si="182"/>
        <v>0</v>
      </c>
      <c r="O1746" s="880"/>
      <c r="Q1746" s="317" t="str">
        <f t="shared" si="184"/>
        <v/>
      </c>
      <c r="R1746" s="317" t="str">
        <f t="shared" si="180"/>
        <v/>
      </c>
      <c r="S1746" s="317" t="str">
        <f t="shared" si="181"/>
        <v/>
      </c>
      <c r="T1746" s="317" t="str">
        <f>'REF. DE PREÇOS n editavel'!S1746</f>
        <v/>
      </c>
      <c r="W1746" s="577">
        <v>0</v>
      </c>
      <c r="X1746" s="575"/>
      <c r="Y1746" s="578">
        <f>IF('REF. DE PREÇOS n editavel'!W1746=0,0,IF('REF. DE PREÇOS n editavel'!W1746&gt;0,"c","b"))</f>
        <v>0</v>
      </c>
    </row>
    <row r="1747" spans="1:25" ht="15" customHeight="1">
      <c r="A1747" s="317" t="s">
        <v>147</v>
      </c>
      <c r="B1747" s="870" t="s">
        <v>147</v>
      </c>
      <c r="C1747" s="871"/>
      <c r="D1747" s="931" t="s">
        <v>802</v>
      </c>
      <c r="E1747" s="882">
        <f>'REF. DE PREÇOS n editavel'!E1747</f>
        <v>43.1</v>
      </c>
      <c r="F1747" s="883">
        <f>'REF. DE PREÇOS n editavel'!F1747</f>
        <v>1.7250000000000001</v>
      </c>
      <c r="G1747" s="923">
        <f>'REF. DE PREÇOS n editavel'!G1747</f>
        <v>84.174825000000013</v>
      </c>
      <c r="H1747" s="876">
        <f>'REF. DE PREÇOS n editavel'!H1747</f>
        <v>0</v>
      </c>
      <c r="I1747" s="876">
        <f>'REF. DE PREÇOS n editavel'!I1747</f>
        <v>0</v>
      </c>
      <c r="J1747" s="877">
        <f>'REF. DE PREÇOS n editavel'!J1747</f>
        <v>0</v>
      </c>
      <c r="K1747" s="932" t="s">
        <v>506</v>
      </c>
      <c r="L1747" s="933"/>
      <c r="M1747" s="1112">
        <f t="shared" si="183"/>
        <v>0</v>
      </c>
      <c r="N1747" s="1131">
        <f t="shared" si="182"/>
        <v>0</v>
      </c>
      <c r="O1747" s="880"/>
      <c r="P1747" s="58" t="str">
        <f>IF(N1746&gt;0,"xx",IF(N1746&gt;0,"xy",""))</f>
        <v/>
      </c>
      <c r="Q1747" s="317" t="str">
        <f t="shared" si="184"/>
        <v/>
      </c>
      <c r="R1747" s="317" t="str">
        <f t="shared" ref="R1747:R1810" si="185">IF(P1747="X","x",IF(P1747="y","x",IF(P1747="xx","x",IF(N1747&gt;0,"x",""))))</f>
        <v/>
      </c>
      <c r="S1747" s="317" t="str">
        <f t="shared" ref="S1747:S1810" si="186">IF(P1747="X","x",IF(N1747&gt;0,"x",""))</f>
        <v/>
      </c>
      <c r="T1747" s="317" t="str">
        <f>'REF. DE PREÇOS n editavel'!S1747</f>
        <v/>
      </c>
      <c r="W1747" s="577">
        <v>0</v>
      </c>
      <c r="X1747" s="575"/>
      <c r="Y1747" s="578">
        <f>IF('REF. DE PREÇOS n editavel'!W1747=0,0,IF('REF. DE PREÇOS n editavel'!W1747&gt;0,"c","b"))</f>
        <v>0</v>
      </c>
    </row>
    <row r="1748" spans="1:25" ht="15" customHeight="1">
      <c r="A1748" s="317" t="s">
        <v>147</v>
      </c>
      <c r="B1748" s="870" t="s">
        <v>147</v>
      </c>
      <c r="C1748" s="871"/>
      <c r="D1748" s="931" t="s">
        <v>323</v>
      </c>
      <c r="E1748" s="882">
        <f>'REF. DE PREÇOS n editavel'!E1748</f>
        <v>468</v>
      </c>
      <c r="F1748" s="883">
        <f>'REF. DE PREÇOS n editavel'!F1748</f>
        <v>9.1000000000000004E-3</v>
      </c>
      <c r="G1748" s="923">
        <f>'REF. DE PREÇOS n editavel'!G1748</f>
        <v>4.5813040000000012</v>
      </c>
      <c r="H1748" s="876">
        <f>'REF. DE PREÇOS n editavel'!H1748</f>
        <v>0</v>
      </c>
      <c r="I1748" s="876">
        <f>'REF. DE PREÇOS n editavel'!I1748</f>
        <v>0</v>
      </c>
      <c r="J1748" s="877">
        <f>'REF. DE PREÇOS n editavel'!J1748</f>
        <v>0</v>
      </c>
      <c r="K1748" s="932" t="s">
        <v>506</v>
      </c>
      <c r="L1748" s="933"/>
      <c r="M1748" s="1112">
        <f t="shared" si="183"/>
        <v>0</v>
      </c>
      <c r="N1748" s="1131">
        <f t="shared" si="182"/>
        <v>0</v>
      </c>
      <c r="O1748" s="880"/>
      <c r="P1748" s="58" t="str">
        <f>IF(N1746&gt;0,"xx",IF(N1746&gt;0,"xy",""))</f>
        <v/>
      </c>
      <c r="Q1748" s="317" t="str">
        <f t="shared" si="184"/>
        <v/>
      </c>
      <c r="R1748" s="317" t="str">
        <f t="shared" si="185"/>
        <v/>
      </c>
      <c r="S1748" s="317" t="str">
        <f t="shared" si="186"/>
        <v/>
      </c>
      <c r="T1748" s="317" t="str">
        <f>'REF. DE PREÇOS n editavel'!S1748</f>
        <v/>
      </c>
      <c r="W1748" s="577">
        <v>0</v>
      </c>
      <c r="X1748" s="575"/>
      <c r="Y1748" s="578">
        <f>IF('REF. DE PREÇOS n editavel'!W1748=0,0,IF('REF. DE PREÇOS n editavel'!W1748&gt;0,"c","b"))</f>
        <v>0</v>
      </c>
    </row>
    <row r="1749" spans="1:25" ht="15" customHeight="1">
      <c r="A1749" s="317">
        <v>860017</v>
      </c>
      <c r="B1749" s="870">
        <v>860017</v>
      </c>
      <c r="C1749" s="871" t="s">
        <v>184</v>
      </c>
      <c r="D1749" s="881" t="s">
        <v>806</v>
      </c>
      <c r="E1749" s="882">
        <f>'REF. DE PREÇOS n editavel'!E1749</f>
        <v>0</v>
      </c>
      <c r="F1749" s="883">
        <f>'REF. DE PREÇOS n editavel'!F1749</f>
        <v>0</v>
      </c>
      <c r="G1749" s="887">
        <f>'REF. DE PREÇOS n editavel'!G1749</f>
        <v>16.401140000000002</v>
      </c>
      <c r="H1749" s="876">
        <f>'REF. DE PREÇOS n editavel'!H1749</f>
        <v>213.32</v>
      </c>
      <c r="I1749" s="876">
        <f>'REF. DE PREÇOS n editavel'!I1749</f>
        <v>229.72113999999999</v>
      </c>
      <c r="J1749" s="877">
        <f>'REF. DE PREÇOS n editavel'!J1749</f>
        <v>280.77</v>
      </c>
      <c r="K1749" s="878" t="s">
        <v>10</v>
      </c>
      <c r="L1749" s="1092"/>
      <c r="M1749" s="1093">
        <f t="shared" si="183"/>
        <v>0</v>
      </c>
      <c r="N1749" s="1131">
        <f t="shared" si="182"/>
        <v>0</v>
      </c>
      <c r="O1749" s="880"/>
      <c r="Q1749" s="317" t="str">
        <f t="shared" si="184"/>
        <v/>
      </c>
      <c r="R1749" s="317" t="str">
        <f t="shared" si="185"/>
        <v/>
      </c>
      <c r="S1749" s="317" t="str">
        <f t="shared" si="186"/>
        <v/>
      </c>
      <c r="T1749" s="317" t="str">
        <f>'REF. DE PREÇOS n editavel'!S1749</f>
        <v/>
      </c>
      <c r="W1749" s="577">
        <v>0</v>
      </c>
      <c r="X1749" s="575"/>
      <c r="Y1749" s="578">
        <f>IF('REF. DE PREÇOS n editavel'!W1749=0,0,IF('REF. DE PREÇOS n editavel'!W1749&gt;0,"c","b"))</f>
        <v>0</v>
      </c>
    </row>
    <row r="1750" spans="1:25" ht="15" customHeight="1">
      <c r="A1750" s="317" t="s">
        <v>147</v>
      </c>
      <c r="B1750" s="870" t="s">
        <v>147</v>
      </c>
      <c r="C1750" s="871"/>
      <c r="D1750" s="931" t="s">
        <v>802</v>
      </c>
      <c r="E1750" s="882">
        <f>'REF. DE PREÇOS n editavel'!E1750</f>
        <v>43.1</v>
      </c>
      <c r="F1750" s="883">
        <f>'REF. DE PREÇOS n editavel'!F1750</f>
        <v>0.3</v>
      </c>
      <c r="G1750" s="923">
        <f>'REF. DE PREÇOS n editavel'!G1750</f>
        <v>14.639100000000001</v>
      </c>
      <c r="H1750" s="876">
        <f>'REF. DE PREÇOS n editavel'!H1750</f>
        <v>0</v>
      </c>
      <c r="I1750" s="876">
        <f>'REF. DE PREÇOS n editavel'!I1750</f>
        <v>0</v>
      </c>
      <c r="J1750" s="877">
        <f>'REF. DE PREÇOS n editavel'!J1750</f>
        <v>0</v>
      </c>
      <c r="K1750" s="932" t="s">
        <v>506</v>
      </c>
      <c r="L1750" s="933"/>
      <c r="M1750" s="1112">
        <f t="shared" si="183"/>
        <v>0</v>
      </c>
      <c r="N1750" s="1131">
        <f t="shared" si="182"/>
        <v>0</v>
      </c>
      <c r="O1750" s="880"/>
      <c r="P1750" s="58" t="str">
        <f>IF(N1749&gt;0,"xx",IF(N1749&gt;0,"xy",""))</f>
        <v/>
      </c>
      <c r="Q1750" s="317" t="str">
        <f t="shared" si="184"/>
        <v/>
      </c>
      <c r="R1750" s="317" t="str">
        <f t="shared" si="185"/>
        <v/>
      </c>
      <c r="S1750" s="317" t="str">
        <f t="shared" si="186"/>
        <v/>
      </c>
      <c r="T1750" s="317" t="str">
        <f>'REF. DE PREÇOS n editavel'!S1750</f>
        <v/>
      </c>
      <c r="W1750" s="577">
        <v>0</v>
      </c>
      <c r="X1750" s="575"/>
      <c r="Y1750" s="578">
        <f>IF('REF. DE PREÇOS n editavel'!W1750=0,0,IF('REF. DE PREÇOS n editavel'!W1750&gt;0,"c","b"))</f>
        <v>0</v>
      </c>
    </row>
    <row r="1751" spans="1:25" ht="15" customHeight="1">
      <c r="A1751" s="317" t="s">
        <v>147</v>
      </c>
      <c r="B1751" s="870" t="s">
        <v>147</v>
      </c>
      <c r="C1751" s="871"/>
      <c r="D1751" s="931" t="s">
        <v>323</v>
      </c>
      <c r="E1751" s="882">
        <f>'REF. DE PREÇOS n editavel'!E1751</f>
        <v>468</v>
      </c>
      <c r="F1751" s="883">
        <f>'REF. DE PREÇOS n editavel'!F1751</f>
        <v>3.5000000000000001E-3</v>
      </c>
      <c r="G1751" s="923">
        <f>'REF. DE PREÇOS n editavel'!G1751</f>
        <v>1.7620400000000003</v>
      </c>
      <c r="H1751" s="876">
        <f>'REF. DE PREÇOS n editavel'!H1751</f>
        <v>0</v>
      </c>
      <c r="I1751" s="876">
        <f>'REF. DE PREÇOS n editavel'!I1751</f>
        <v>0</v>
      </c>
      <c r="J1751" s="877">
        <f>'REF. DE PREÇOS n editavel'!J1751</f>
        <v>0</v>
      </c>
      <c r="K1751" s="932" t="s">
        <v>506</v>
      </c>
      <c r="L1751" s="933"/>
      <c r="M1751" s="1112">
        <f t="shared" si="183"/>
        <v>0</v>
      </c>
      <c r="N1751" s="1131">
        <f t="shared" ref="N1751:N1814" si="187">IF(ISBLANK(L1751),0,IF(W1751=0,ROUND(L1751*M1751,2),IF(W1751="b",ROUNDDOWN(L1751*M1751,2),ROUNDUP(L1751*M1751,2))))</f>
        <v>0</v>
      </c>
      <c r="O1751" s="880"/>
      <c r="P1751" s="58" t="str">
        <f>IF(N1749&gt;0,"xx",IF(N1749&gt;0,"xy",""))</f>
        <v/>
      </c>
      <c r="Q1751" s="317" t="str">
        <f t="shared" si="184"/>
        <v/>
      </c>
      <c r="R1751" s="317" t="str">
        <f t="shared" si="185"/>
        <v/>
      </c>
      <c r="S1751" s="317" t="str">
        <f t="shared" si="186"/>
        <v/>
      </c>
      <c r="T1751" s="317" t="str">
        <f>'REF. DE PREÇOS n editavel'!S1751</f>
        <v/>
      </c>
      <c r="W1751" s="577">
        <v>0</v>
      </c>
      <c r="X1751" s="575"/>
      <c r="Y1751" s="578">
        <f>IF('REF. DE PREÇOS n editavel'!W1751=0,0,IF('REF. DE PREÇOS n editavel'!W1751&gt;0,"c","b"))</f>
        <v>0</v>
      </c>
    </row>
    <row r="1752" spans="1:25" ht="15" customHeight="1">
      <c r="A1752" s="317">
        <v>860023</v>
      </c>
      <c r="B1752" s="870">
        <v>860023</v>
      </c>
      <c r="C1752" s="871" t="s">
        <v>184</v>
      </c>
      <c r="D1752" s="881" t="s">
        <v>807</v>
      </c>
      <c r="E1752" s="882">
        <f>'REF. DE PREÇOS n editavel'!E1752</f>
        <v>0</v>
      </c>
      <c r="F1752" s="883">
        <f>'REF. DE PREÇOS n editavel'!F1752</f>
        <v>0</v>
      </c>
      <c r="G1752" s="887">
        <f>'REF. DE PREÇOS n editavel'!G1752</f>
        <v>27.366895499999998</v>
      </c>
      <c r="H1752" s="876">
        <f>'REF. DE PREÇOS n editavel'!H1752</f>
        <v>257.19</v>
      </c>
      <c r="I1752" s="876">
        <f>'REF. DE PREÇOS n editavel'!I1752</f>
        <v>284.5568955</v>
      </c>
      <c r="J1752" s="877">
        <f>'REF. DE PREÇOS n editavel'!J1752</f>
        <v>347.79</v>
      </c>
      <c r="K1752" s="878" t="s">
        <v>10</v>
      </c>
      <c r="L1752" s="1092"/>
      <c r="M1752" s="1093">
        <f t="shared" si="183"/>
        <v>0</v>
      </c>
      <c r="N1752" s="1131">
        <f t="shared" si="187"/>
        <v>0</v>
      </c>
      <c r="O1752" s="880"/>
      <c r="Q1752" s="317" t="str">
        <f t="shared" si="184"/>
        <v/>
      </c>
      <c r="R1752" s="317" t="str">
        <f t="shared" si="185"/>
        <v/>
      </c>
      <c r="S1752" s="317" t="str">
        <f t="shared" si="186"/>
        <v/>
      </c>
      <c r="T1752" s="317" t="str">
        <f>'REF. DE PREÇOS n editavel'!S1752</f>
        <v/>
      </c>
      <c r="W1752" s="577">
        <v>0</v>
      </c>
      <c r="X1752" s="575"/>
      <c r="Y1752" s="578">
        <f>IF('REF. DE PREÇOS n editavel'!W1752=0,0,IF('REF. DE PREÇOS n editavel'!W1752&gt;0,"c","b"))</f>
        <v>0</v>
      </c>
    </row>
    <row r="1753" spans="1:25" ht="15" customHeight="1">
      <c r="A1753" s="317" t="s">
        <v>147</v>
      </c>
      <c r="B1753" s="870" t="s">
        <v>147</v>
      </c>
      <c r="C1753" s="871"/>
      <c r="D1753" s="931" t="s">
        <v>802</v>
      </c>
      <c r="E1753" s="882">
        <f>'REF. DE PREÇOS n editavel'!E1753</f>
        <v>43.1</v>
      </c>
      <c r="F1753" s="883">
        <f>'REF. DE PREÇOS n editavel'!F1753</f>
        <v>0.51749999999999996</v>
      </c>
      <c r="G1753" s="923">
        <f>'REF. DE PREÇOS n editavel'!G1753</f>
        <v>25.252447499999999</v>
      </c>
      <c r="H1753" s="876">
        <f>'REF. DE PREÇOS n editavel'!H1753</f>
        <v>0</v>
      </c>
      <c r="I1753" s="876">
        <f>'REF. DE PREÇOS n editavel'!I1753</f>
        <v>0</v>
      </c>
      <c r="J1753" s="877">
        <f>'REF. DE PREÇOS n editavel'!J1753</f>
        <v>0</v>
      </c>
      <c r="K1753" s="932" t="s">
        <v>506</v>
      </c>
      <c r="L1753" s="933"/>
      <c r="M1753" s="1112">
        <f t="shared" si="183"/>
        <v>0</v>
      </c>
      <c r="N1753" s="1131">
        <f t="shared" si="187"/>
        <v>0</v>
      </c>
      <c r="O1753" s="880"/>
      <c r="P1753" s="58" t="str">
        <f>IF(N1752&gt;0,"xx",IF(N1752&gt;0,"xy",""))</f>
        <v/>
      </c>
      <c r="Q1753" s="317" t="str">
        <f t="shared" si="184"/>
        <v/>
      </c>
      <c r="R1753" s="317" t="str">
        <f t="shared" si="185"/>
        <v/>
      </c>
      <c r="S1753" s="317" t="str">
        <f t="shared" si="186"/>
        <v/>
      </c>
      <c r="T1753" s="317" t="str">
        <f>'REF. DE PREÇOS n editavel'!S1753</f>
        <v/>
      </c>
      <c r="W1753" s="577">
        <v>0</v>
      </c>
      <c r="X1753" s="575"/>
      <c r="Y1753" s="578">
        <f>IF('REF. DE PREÇOS n editavel'!W1753=0,0,IF('REF. DE PREÇOS n editavel'!W1753&gt;0,"c","b"))</f>
        <v>0</v>
      </c>
    </row>
    <row r="1754" spans="1:25" ht="15" customHeight="1">
      <c r="A1754" s="317" t="s">
        <v>147</v>
      </c>
      <c r="B1754" s="870" t="s">
        <v>147</v>
      </c>
      <c r="C1754" s="871"/>
      <c r="D1754" s="931" t="s">
        <v>323</v>
      </c>
      <c r="E1754" s="882">
        <f>'REF. DE PREÇOS n editavel'!E1754</f>
        <v>468</v>
      </c>
      <c r="F1754" s="883">
        <f>'REF. DE PREÇOS n editavel'!F1754</f>
        <v>4.1999999999999997E-3</v>
      </c>
      <c r="G1754" s="923">
        <f>'REF. DE PREÇOS n editavel'!G1754</f>
        <v>2.1144479999999999</v>
      </c>
      <c r="H1754" s="876">
        <f>'REF. DE PREÇOS n editavel'!H1754</f>
        <v>0</v>
      </c>
      <c r="I1754" s="876">
        <f>'REF. DE PREÇOS n editavel'!I1754</f>
        <v>0</v>
      </c>
      <c r="J1754" s="877">
        <f>'REF. DE PREÇOS n editavel'!J1754</f>
        <v>0</v>
      </c>
      <c r="K1754" s="932" t="s">
        <v>506</v>
      </c>
      <c r="L1754" s="933"/>
      <c r="M1754" s="1112">
        <f t="shared" si="183"/>
        <v>0</v>
      </c>
      <c r="N1754" s="1131">
        <f t="shared" si="187"/>
        <v>0</v>
      </c>
      <c r="O1754" s="880"/>
      <c r="P1754" s="58" t="str">
        <f>IF(N1752&gt;0,"xx",IF(N1752&gt;0,"xy",""))</f>
        <v/>
      </c>
      <c r="Q1754" s="317" t="str">
        <f t="shared" si="184"/>
        <v/>
      </c>
      <c r="R1754" s="317" t="str">
        <f t="shared" si="185"/>
        <v/>
      </c>
      <c r="S1754" s="317" t="str">
        <f t="shared" si="186"/>
        <v/>
      </c>
      <c r="T1754" s="317" t="str">
        <f>'REF. DE PREÇOS n editavel'!S1754</f>
        <v/>
      </c>
      <c r="W1754" s="577">
        <v>0</v>
      </c>
      <c r="X1754" s="575"/>
      <c r="Y1754" s="578">
        <f>IF('REF. DE PREÇOS n editavel'!W1754=0,0,IF('REF. DE PREÇOS n editavel'!W1754&gt;0,"c","b"))</f>
        <v>0</v>
      </c>
    </row>
    <row r="1755" spans="1:25" ht="15" customHeight="1">
      <c r="A1755" s="317">
        <v>861030</v>
      </c>
      <c r="B1755" s="870">
        <v>861030</v>
      </c>
      <c r="C1755" s="871" t="s">
        <v>184</v>
      </c>
      <c r="D1755" s="881" t="s">
        <v>808</v>
      </c>
      <c r="E1755" s="882">
        <f>'REF. DE PREÇOS n editavel'!E1755</f>
        <v>0</v>
      </c>
      <c r="F1755" s="883">
        <f>'REF. DE PREÇOS n editavel'!F1755</f>
        <v>0</v>
      </c>
      <c r="G1755" s="887">
        <f>'REF. DE PREÇOS n editavel'!G1755</f>
        <v>90.367137000000014</v>
      </c>
      <c r="H1755" s="876">
        <f>'REF. DE PREÇOS n editavel'!H1755</f>
        <v>286.49</v>
      </c>
      <c r="I1755" s="876">
        <f>'REF. DE PREÇOS n editavel'!I1755</f>
        <v>376.85713700000002</v>
      </c>
      <c r="J1755" s="877">
        <f>'REF. DE PREÇOS n editavel'!J1755</f>
        <v>460.59</v>
      </c>
      <c r="K1755" s="878" t="s">
        <v>10</v>
      </c>
      <c r="L1755" s="1092"/>
      <c r="M1755" s="1093">
        <f t="shared" si="183"/>
        <v>0</v>
      </c>
      <c r="N1755" s="1131">
        <f t="shared" si="187"/>
        <v>0</v>
      </c>
      <c r="O1755" s="880"/>
      <c r="Q1755" s="317" t="str">
        <f t="shared" si="184"/>
        <v/>
      </c>
      <c r="R1755" s="317" t="str">
        <f t="shared" si="185"/>
        <v/>
      </c>
      <c r="S1755" s="317" t="str">
        <f t="shared" si="186"/>
        <v/>
      </c>
      <c r="T1755" s="317" t="str">
        <f>'REF. DE PREÇOS n editavel'!S1755</f>
        <v/>
      </c>
      <c r="W1755" s="577">
        <v>0</v>
      </c>
      <c r="X1755" s="575"/>
      <c r="Y1755" s="578">
        <f>IF('REF. DE PREÇOS n editavel'!W1755=0,0,IF('REF. DE PREÇOS n editavel'!W1755&gt;0,"c","b"))</f>
        <v>0</v>
      </c>
    </row>
    <row r="1756" spans="1:25" ht="15" customHeight="1">
      <c r="A1756" s="317" t="s">
        <v>147</v>
      </c>
      <c r="B1756" s="870" t="s">
        <v>147</v>
      </c>
      <c r="C1756" s="871"/>
      <c r="D1756" s="931" t="s">
        <v>802</v>
      </c>
      <c r="E1756" s="882">
        <f>'REF. DE PREÇOS n editavel'!E1756</f>
        <v>43.1</v>
      </c>
      <c r="F1756" s="883">
        <f>'REF. DE PREÇOS n editavel'!F1756</f>
        <v>1.7250000000000001</v>
      </c>
      <c r="G1756" s="923">
        <f>'REF. DE PREÇOS n editavel'!G1756</f>
        <v>84.174825000000013</v>
      </c>
      <c r="H1756" s="876">
        <f>'REF. DE PREÇOS n editavel'!H1756</f>
        <v>0</v>
      </c>
      <c r="I1756" s="876">
        <f>'REF. DE PREÇOS n editavel'!I1756</f>
        <v>0</v>
      </c>
      <c r="J1756" s="877">
        <f>'REF. DE PREÇOS n editavel'!J1756</f>
        <v>0</v>
      </c>
      <c r="K1756" s="932" t="s">
        <v>506</v>
      </c>
      <c r="L1756" s="933"/>
      <c r="M1756" s="1112">
        <f t="shared" si="183"/>
        <v>0</v>
      </c>
      <c r="N1756" s="1131">
        <f t="shared" si="187"/>
        <v>0</v>
      </c>
      <c r="O1756" s="880"/>
      <c r="P1756" s="58" t="str">
        <f>IF(N1755&gt;0,"xx",IF(N1755&gt;0,"xy",""))</f>
        <v/>
      </c>
      <c r="Q1756" s="317" t="str">
        <f t="shared" si="184"/>
        <v/>
      </c>
      <c r="R1756" s="317" t="str">
        <f t="shared" si="185"/>
        <v/>
      </c>
      <c r="S1756" s="317" t="str">
        <f t="shared" si="186"/>
        <v/>
      </c>
      <c r="T1756" s="317" t="str">
        <f>'REF. DE PREÇOS n editavel'!S1756</f>
        <v/>
      </c>
      <c r="W1756" s="577">
        <v>0</v>
      </c>
      <c r="X1756" s="575"/>
      <c r="Y1756" s="578">
        <f>IF('REF. DE PREÇOS n editavel'!W1756=0,0,IF('REF. DE PREÇOS n editavel'!W1756&gt;0,"c","b"))</f>
        <v>0</v>
      </c>
    </row>
    <row r="1757" spans="1:25" ht="15" customHeight="1">
      <c r="A1757" s="317" t="s">
        <v>147</v>
      </c>
      <c r="B1757" s="870" t="s">
        <v>147</v>
      </c>
      <c r="C1757" s="871"/>
      <c r="D1757" s="931" t="s">
        <v>323</v>
      </c>
      <c r="E1757" s="882">
        <f>'REF. DE PREÇOS n editavel'!E1757</f>
        <v>468</v>
      </c>
      <c r="F1757" s="883">
        <f>'REF. DE PREÇOS n editavel'!F1757</f>
        <v>1.23E-2</v>
      </c>
      <c r="G1757" s="923">
        <f>'REF. DE PREÇOS n editavel'!G1757</f>
        <v>6.1923120000000011</v>
      </c>
      <c r="H1757" s="876">
        <f>'REF. DE PREÇOS n editavel'!H1757</f>
        <v>0</v>
      </c>
      <c r="I1757" s="876">
        <f>'REF. DE PREÇOS n editavel'!I1757</f>
        <v>0</v>
      </c>
      <c r="J1757" s="877">
        <f>'REF. DE PREÇOS n editavel'!J1757</f>
        <v>0</v>
      </c>
      <c r="K1757" s="932" t="s">
        <v>506</v>
      </c>
      <c r="L1757" s="933"/>
      <c r="M1757" s="1112">
        <f t="shared" si="183"/>
        <v>0</v>
      </c>
      <c r="N1757" s="1131">
        <f t="shared" si="187"/>
        <v>0</v>
      </c>
      <c r="O1757" s="880"/>
      <c r="P1757" s="58" t="str">
        <f>IF(N1755&gt;0,"xx",IF(N1755&gt;0,"xy",""))</f>
        <v/>
      </c>
      <c r="Q1757" s="317" t="str">
        <f t="shared" si="184"/>
        <v/>
      </c>
      <c r="R1757" s="317" t="str">
        <f t="shared" si="185"/>
        <v/>
      </c>
      <c r="S1757" s="317" t="str">
        <f t="shared" si="186"/>
        <v/>
      </c>
      <c r="T1757" s="317" t="str">
        <f>'REF. DE PREÇOS n editavel'!S1757</f>
        <v/>
      </c>
      <c r="W1757" s="577">
        <v>0</v>
      </c>
      <c r="X1757" s="575"/>
      <c r="Y1757" s="578">
        <f>IF('REF. DE PREÇOS n editavel'!W1757=0,0,IF('REF. DE PREÇOS n editavel'!W1757&gt;0,"c","b"))</f>
        <v>0</v>
      </c>
    </row>
    <row r="1758" spans="1:25" ht="15" customHeight="1">
      <c r="A1758" s="317">
        <v>601200</v>
      </c>
      <c r="B1758" s="870" t="s">
        <v>1795</v>
      </c>
      <c r="C1758" s="871" t="s">
        <v>184</v>
      </c>
      <c r="D1758" s="881" t="s">
        <v>1503</v>
      </c>
      <c r="E1758" s="882">
        <f>'REF. DE PREÇOS n editavel'!E1758</f>
        <v>0</v>
      </c>
      <c r="F1758" s="883">
        <f>'REF. DE PREÇOS n editavel'!F1758</f>
        <v>0</v>
      </c>
      <c r="G1758" s="887">
        <f>'REF. DE PREÇOS n editavel'!G1758</f>
        <v>0</v>
      </c>
      <c r="H1758" s="876">
        <f>'REF. DE PREÇOS n editavel'!H1758</f>
        <v>34.119999999999997</v>
      </c>
      <c r="I1758" s="876">
        <f>'REF. DE PREÇOS n editavel'!I1758</f>
        <v>30.707999999999998</v>
      </c>
      <c r="J1758" s="877">
        <f>'REF. DE PREÇOS n editavel'!J1758</f>
        <v>37.53</v>
      </c>
      <c r="K1758" s="878" t="s">
        <v>10</v>
      </c>
      <c r="L1758" s="1092">
        <v>235.63</v>
      </c>
      <c r="M1758" s="1093">
        <f t="shared" si="183"/>
        <v>37.53</v>
      </c>
      <c r="N1758" s="1131">
        <f t="shared" si="187"/>
        <v>8843.19</v>
      </c>
      <c r="O1758" s="880"/>
      <c r="Q1758" s="317" t="str">
        <f t="shared" si="184"/>
        <v>x</v>
      </c>
      <c r="R1758" s="317" t="str">
        <f t="shared" si="185"/>
        <v>x</v>
      </c>
      <c r="S1758" s="317" t="str">
        <f t="shared" si="186"/>
        <v>x</v>
      </c>
      <c r="T1758" s="317" t="str">
        <f>'REF. DE PREÇOS n editavel'!S1758</f>
        <v>x</v>
      </c>
      <c r="W1758" s="577">
        <v>0</v>
      </c>
      <c r="X1758" s="575"/>
      <c r="Y1758" s="578">
        <f>IF('REF. DE PREÇOS n editavel'!W1758=0,0,IF('REF. DE PREÇOS n editavel'!W1758&gt;0,"c","b"))</f>
        <v>0</v>
      </c>
    </row>
    <row r="1759" spans="1:25" ht="15" customHeight="1">
      <c r="A1759" s="317">
        <v>601200</v>
      </c>
      <c r="B1759" s="870" t="s">
        <v>1796</v>
      </c>
      <c r="C1759" s="871" t="s">
        <v>184</v>
      </c>
      <c r="D1759" s="881" t="s">
        <v>325</v>
      </c>
      <c r="E1759" s="882">
        <f>'REF. DE PREÇOS n editavel'!E1759</f>
        <v>0</v>
      </c>
      <c r="F1759" s="883">
        <f>'REF. DE PREÇOS n editavel'!F1759</f>
        <v>0</v>
      </c>
      <c r="G1759" s="887">
        <f>'REF. DE PREÇOS n editavel'!G1759</f>
        <v>0</v>
      </c>
      <c r="H1759" s="876">
        <f>'REF. DE PREÇOS n editavel'!H1759</f>
        <v>17.059999999999999</v>
      </c>
      <c r="I1759" s="876">
        <f>'REF. DE PREÇOS n editavel'!I1759</f>
        <v>15.353999999999999</v>
      </c>
      <c r="J1759" s="877">
        <f>'REF. DE PREÇOS n editavel'!J1759</f>
        <v>18.77</v>
      </c>
      <c r="K1759" s="878" t="s">
        <v>1504</v>
      </c>
      <c r="L1759" s="1092"/>
      <c r="M1759" s="1093">
        <f t="shared" si="183"/>
        <v>0</v>
      </c>
      <c r="N1759" s="1131">
        <f t="shared" si="187"/>
        <v>0</v>
      </c>
      <c r="O1759" s="880"/>
      <c r="Q1759" s="317" t="str">
        <f t="shared" si="184"/>
        <v/>
      </c>
      <c r="R1759" s="317" t="str">
        <f t="shared" si="185"/>
        <v/>
      </c>
      <c r="S1759" s="317" t="str">
        <f t="shared" si="186"/>
        <v/>
      </c>
      <c r="T1759" s="317" t="str">
        <f>'REF. DE PREÇOS n editavel'!S1759</f>
        <v/>
      </c>
      <c r="W1759" s="577">
        <v>0</v>
      </c>
      <c r="X1759" s="575"/>
      <c r="Y1759" s="578">
        <f>IF('REF. DE PREÇOS n editavel'!W1759=0,0,IF('REF. DE PREÇOS n editavel'!W1759&gt;0,"c","b"))</f>
        <v>0</v>
      </c>
    </row>
    <row r="1760" spans="1:25" ht="15" customHeight="1">
      <c r="A1760" s="317">
        <v>97623</v>
      </c>
      <c r="B1760" s="870" t="s">
        <v>1712</v>
      </c>
      <c r="C1760" s="871" t="s">
        <v>590</v>
      </c>
      <c r="D1760" s="872" t="s">
        <v>1708</v>
      </c>
      <c r="E1760" s="873">
        <f>'REF. DE PREÇOS n editavel'!E1760</f>
        <v>0</v>
      </c>
      <c r="F1760" s="874">
        <f>'REF. DE PREÇOS n editavel'!F1760</f>
        <v>0</v>
      </c>
      <c r="G1760" s="875">
        <f>'REF. DE PREÇOS n editavel'!G1760</f>
        <v>0</v>
      </c>
      <c r="H1760" s="876">
        <f>'REF. DE PREÇOS n editavel'!H1760</f>
        <v>201.31</v>
      </c>
      <c r="I1760" s="876">
        <f>'REF. DE PREÇOS n editavel'!I1760</f>
        <v>201.31</v>
      </c>
      <c r="J1760" s="877">
        <f>'REF. DE PREÇOS n editavel'!J1760</f>
        <v>246.04</v>
      </c>
      <c r="K1760" s="878" t="s">
        <v>10</v>
      </c>
      <c r="L1760" s="1094"/>
      <c r="M1760" s="1095">
        <f t="shared" si="183"/>
        <v>0</v>
      </c>
      <c r="N1760" s="1131">
        <f t="shared" si="187"/>
        <v>0</v>
      </c>
      <c r="O1760" s="880"/>
      <c r="Q1760" s="317" t="str">
        <f t="shared" si="184"/>
        <v/>
      </c>
      <c r="R1760" s="317" t="str">
        <f t="shared" si="185"/>
        <v/>
      </c>
      <c r="S1760" s="317" t="str">
        <f t="shared" si="186"/>
        <v/>
      </c>
      <c r="T1760" s="317" t="str">
        <f>'REF. DE PREÇOS n editavel'!S1760</f>
        <v/>
      </c>
      <c r="W1760" s="577">
        <v>0</v>
      </c>
      <c r="X1760" s="575"/>
      <c r="Y1760" s="578">
        <f>IF('REF. DE PREÇOS n editavel'!W1760=0,0,IF('REF. DE PREÇOS n editavel'!W1760&gt;0,"c","b"))</f>
        <v>0</v>
      </c>
    </row>
    <row r="1761" spans="1:25" ht="15" customHeight="1">
      <c r="A1761" s="317">
        <v>97624</v>
      </c>
      <c r="B1761" s="870" t="s">
        <v>1711</v>
      </c>
      <c r="C1761" s="871" t="s">
        <v>590</v>
      </c>
      <c r="D1761" s="872" t="s">
        <v>1705</v>
      </c>
      <c r="E1761" s="873">
        <f>'REF. DE PREÇOS n editavel'!E1761</f>
        <v>0</v>
      </c>
      <c r="F1761" s="874">
        <f>'REF. DE PREÇOS n editavel'!F1761</f>
        <v>0</v>
      </c>
      <c r="G1761" s="875">
        <f>'REF. DE PREÇOS n editavel'!G1761</f>
        <v>0</v>
      </c>
      <c r="H1761" s="876">
        <f>'REF. DE PREÇOS n editavel'!H1761</f>
        <v>123.54</v>
      </c>
      <c r="I1761" s="876">
        <f>'REF. DE PREÇOS n editavel'!I1761</f>
        <v>123.54</v>
      </c>
      <c r="J1761" s="877">
        <f>'REF. DE PREÇOS n editavel'!J1761</f>
        <v>150.99</v>
      </c>
      <c r="K1761" s="878" t="s">
        <v>10</v>
      </c>
      <c r="L1761" s="1094"/>
      <c r="M1761" s="1095">
        <f t="shared" si="183"/>
        <v>0</v>
      </c>
      <c r="N1761" s="1131">
        <f t="shared" si="187"/>
        <v>0</v>
      </c>
      <c r="O1761" s="880"/>
      <c r="Q1761" s="317" t="str">
        <f t="shared" si="184"/>
        <v/>
      </c>
      <c r="R1761" s="317" t="str">
        <f t="shared" si="185"/>
        <v/>
      </c>
      <c r="S1761" s="317" t="str">
        <f t="shared" si="186"/>
        <v/>
      </c>
      <c r="T1761" s="317" t="str">
        <f>'REF. DE PREÇOS n editavel'!S1761</f>
        <v/>
      </c>
      <c r="W1761" s="577">
        <v>0</v>
      </c>
      <c r="X1761" s="575"/>
      <c r="Y1761" s="578">
        <f>IF('REF. DE PREÇOS n editavel'!W1761=0,0,IF('REF. DE PREÇOS n editavel'!W1761&gt;0,"c","b"))</f>
        <v>0</v>
      </c>
    </row>
    <row r="1762" spans="1:25" ht="15" customHeight="1">
      <c r="A1762" s="317">
        <v>606500</v>
      </c>
      <c r="B1762" s="870" t="s">
        <v>1713</v>
      </c>
      <c r="C1762" s="871" t="s">
        <v>184</v>
      </c>
      <c r="D1762" s="881" t="s">
        <v>466</v>
      </c>
      <c r="E1762" s="882">
        <f>'REF. DE PREÇOS n editavel'!E1762</f>
        <v>0</v>
      </c>
      <c r="F1762" s="883">
        <f>'REF. DE PREÇOS n editavel'!F1762</f>
        <v>0</v>
      </c>
      <c r="G1762" s="887">
        <f>'REF. DE PREÇOS n editavel'!G1762</f>
        <v>0</v>
      </c>
      <c r="H1762" s="876">
        <f>'REF. DE PREÇOS n editavel'!H1762</f>
        <v>182.46</v>
      </c>
      <c r="I1762" s="876">
        <f>'REF. DE PREÇOS n editavel'!I1762</f>
        <v>182.46</v>
      </c>
      <c r="J1762" s="877">
        <f>'REF. DE PREÇOS n editavel'!J1762</f>
        <v>223</v>
      </c>
      <c r="K1762" s="878" t="s">
        <v>10</v>
      </c>
      <c r="L1762" s="1092"/>
      <c r="M1762" s="1093">
        <f t="shared" si="183"/>
        <v>0</v>
      </c>
      <c r="N1762" s="1131">
        <f t="shared" si="187"/>
        <v>0</v>
      </c>
      <c r="O1762" s="880"/>
      <c r="Q1762" s="317" t="str">
        <f t="shared" si="184"/>
        <v/>
      </c>
      <c r="R1762" s="317" t="str">
        <f t="shared" si="185"/>
        <v/>
      </c>
      <c r="S1762" s="317" t="str">
        <f t="shared" si="186"/>
        <v/>
      </c>
      <c r="T1762" s="317" t="str">
        <f>'REF. DE PREÇOS n editavel'!S1762</f>
        <v/>
      </c>
      <c r="W1762" s="577">
        <v>0</v>
      </c>
      <c r="X1762" s="575"/>
      <c r="Y1762" s="578">
        <f>IF('REF. DE PREÇOS n editavel'!W1762=0,0,IF('REF. DE PREÇOS n editavel'!W1762&gt;0,"c","b"))</f>
        <v>0</v>
      </c>
    </row>
    <row r="1763" spans="1:25" ht="15" customHeight="1">
      <c r="A1763" s="317">
        <v>606700</v>
      </c>
      <c r="B1763" s="870" t="s">
        <v>1690</v>
      </c>
      <c r="C1763" s="871" t="s">
        <v>184</v>
      </c>
      <c r="D1763" s="881" t="s">
        <v>177</v>
      </c>
      <c r="E1763" s="882">
        <f>'REF. DE PREÇOS n editavel'!E1763</f>
        <v>0</v>
      </c>
      <c r="F1763" s="883">
        <f>'REF. DE PREÇOS n editavel'!F1763</f>
        <v>0</v>
      </c>
      <c r="G1763" s="887">
        <f>'REF. DE PREÇOS n editavel'!G1763</f>
        <v>0</v>
      </c>
      <c r="H1763" s="876">
        <f>'REF. DE PREÇOS n editavel'!H1763</f>
        <v>148.04</v>
      </c>
      <c r="I1763" s="876">
        <f>'REF. DE PREÇOS n editavel'!I1763</f>
        <v>148.04</v>
      </c>
      <c r="J1763" s="877">
        <f>'REF. DE PREÇOS n editavel'!J1763</f>
        <v>180.93</v>
      </c>
      <c r="K1763" s="878" t="s">
        <v>10</v>
      </c>
      <c r="L1763" s="1092"/>
      <c r="M1763" s="1093">
        <f t="shared" si="183"/>
        <v>0</v>
      </c>
      <c r="N1763" s="1131">
        <f t="shared" si="187"/>
        <v>0</v>
      </c>
      <c r="O1763" s="880"/>
      <c r="Q1763" s="317" t="str">
        <f t="shared" si="184"/>
        <v/>
      </c>
      <c r="R1763" s="317" t="str">
        <f t="shared" si="185"/>
        <v/>
      </c>
      <c r="S1763" s="317" t="str">
        <f t="shared" si="186"/>
        <v/>
      </c>
      <c r="T1763" s="317" t="str">
        <f>'REF. DE PREÇOS n editavel'!S1763</f>
        <v/>
      </c>
      <c r="W1763" s="577">
        <v>0</v>
      </c>
      <c r="X1763" s="575"/>
      <c r="Y1763" s="578">
        <f>IF('REF. DE PREÇOS n editavel'!W1763=0,0,IF('REF. DE PREÇOS n editavel'!W1763&gt;0,"c","b"))</f>
        <v>0</v>
      </c>
    </row>
    <row r="1764" spans="1:25" ht="15" customHeight="1">
      <c r="A1764" s="317">
        <v>606600</v>
      </c>
      <c r="B1764" s="870" t="s">
        <v>1687</v>
      </c>
      <c r="C1764" s="871" t="s">
        <v>184</v>
      </c>
      <c r="D1764" s="881" t="s">
        <v>178</v>
      </c>
      <c r="E1764" s="882">
        <f>'REF. DE PREÇOS n editavel'!E1764</f>
        <v>0</v>
      </c>
      <c r="F1764" s="883">
        <f>'REF. DE PREÇOS n editavel'!F1764</f>
        <v>0</v>
      </c>
      <c r="G1764" s="887">
        <f>'REF. DE PREÇOS n editavel'!G1764</f>
        <v>0</v>
      </c>
      <c r="H1764" s="876">
        <f>'REF. DE PREÇOS n editavel'!H1764</f>
        <v>309.52999999999997</v>
      </c>
      <c r="I1764" s="876">
        <f>'REF. DE PREÇOS n editavel'!I1764</f>
        <v>309.52999999999997</v>
      </c>
      <c r="J1764" s="877">
        <f>'REF. DE PREÇOS n editavel'!J1764</f>
        <v>378.31</v>
      </c>
      <c r="K1764" s="878" t="s">
        <v>10</v>
      </c>
      <c r="L1764" s="1092"/>
      <c r="M1764" s="1093">
        <f t="shared" si="183"/>
        <v>0</v>
      </c>
      <c r="N1764" s="1131">
        <f t="shared" si="187"/>
        <v>0</v>
      </c>
      <c r="O1764" s="880"/>
      <c r="Q1764" s="317" t="str">
        <f t="shared" si="184"/>
        <v/>
      </c>
      <c r="R1764" s="317" t="str">
        <f t="shared" si="185"/>
        <v/>
      </c>
      <c r="S1764" s="317" t="str">
        <f t="shared" si="186"/>
        <v/>
      </c>
      <c r="T1764" s="317" t="str">
        <f>'REF. DE PREÇOS n editavel'!S1764</f>
        <v/>
      </c>
      <c r="W1764" s="577">
        <v>0</v>
      </c>
      <c r="X1764" s="575"/>
      <c r="Y1764" s="578">
        <f>IF('REF. DE PREÇOS n editavel'!W1764=0,0,IF('REF. DE PREÇOS n editavel'!W1764&gt;0,"c","b"))</f>
        <v>0</v>
      </c>
    </row>
    <row r="1765" spans="1:25" ht="15" customHeight="1">
      <c r="A1765" s="317">
        <v>602000</v>
      </c>
      <c r="B1765" s="870" t="s">
        <v>1981</v>
      </c>
      <c r="C1765" s="871" t="s">
        <v>184</v>
      </c>
      <c r="D1765" s="881" t="s">
        <v>1978</v>
      </c>
      <c r="E1765" s="882">
        <f>'REF. DE PREÇOS n editavel'!E1765</f>
        <v>0</v>
      </c>
      <c r="F1765" s="883">
        <f>'REF. DE PREÇOS n editavel'!F1765</f>
        <v>0</v>
      </c>
      <c r="G1765" s="887">
        <f>'REF. DE PREÇOS n editavel'!G1765</f>
        <v>0</v>
      </c>
      <c r="H1765" s="876">
        <f>'REF. DE PREÇOS n editavel'!H1765</f>
        <v>62.53</v>
      </c>
      <c r="I1765" s="876">
        <f>'REF. DE PREÇOS n editavel'!I1765</f>
        <v>62.53</v>
      </c>
      <c r="J1765" s="877">
        <f>'REF. DE PREÇOS n editavel'!J1765</f>
        <v>76.42</v>
      </c>
      <c r="K1765" s="878" t="s">
        <v>12</v>
      </c>
      <c r="L1765" s="1092"/>
      <c r="M1765" s="1093">
        <f t="shared" si="183"/>
        <v>0</v>
      </c>
      <c r="N1765" s="1131">
        <f t="shared" si="187"/>
        <v>0</v>
      </c>
      <c r="O1765" s="880"/>
      <c r="Q1765" s="317" t="str">
        <f t="shared" si="184"/>
        <v/>
      </c>
      <c r="R1765" s="317" t="str">
        <f t="shared" si="185"/>
        <v/>
      </c>
      <c r="S1765" s="317" t="str">
        <f t="shared" si="186"/>
        <v/>
      </c>
      <c r="T1765" s="317" t="str">
        <f>'REF. DE PREÇOS n editavel'!S1765</f>
        <v/>
      </c>
      <c r="W1765" s="577">
        <v>0</v>
      </c>
      <c r="X1765" s="575"/>
      <c r="Y1765" s="578">
        <f>IF('REF. DE PREÇOS n editavel'!W1765=0,0,IF('REF. DE PREÇOS n editavel'!W1765&gt;0,"c","b"))</f>
        <v>0</v>
      </c>
    </row>
    <row r="1766" spans="1:25" ht="15" customHeight="1">
      <c r="A1766" s="317">
        <v>603000</v>
      </c>
      <c r="B1766" s="870" t="s">
        <v>1754</v>
      </c>
      <c r="C1766" s="871" t="s">
        <v>184</v>
      </c>
      <c r="D1766" s="881" t="s">
        <v>261</v>
      </c>
      <c r="E1766" s="882">
        <f>'REF. DE PREÇOS n editavel'!E1766</f>
        <v>0</v>
      </c>
      <c r="F1766" s="883">
        <f>'REF. DE PREÇOS n editavel'!F1766</f>
        <v>0</v>
      </c>
      <c r="G1766" s="887">
        <f>'REF. DE PREÇOS n editavel'!G1766</f>
        <v>0</v>
      </c>
      <c r="H1766" s="876">
        <f>'REF. DE PREÇOS n editavel'!H1766</f>
        <v>18.34</v>
      </c>
      <c r="I1766" s="876">
        <f>'REF. DE PREÇOS n editavel'!I1766</f>
        <v>18.34</v>
      </c>
      <c r="J1766" s="877">
        <f>'REF. DE PREÇOS n editavel'!J1766</f>
        <v>22.42</v>
      </c>
      <c r="K1766" s="878" t="s">
        <v>16</v>
      </c>
      <c r="L1766" s="1092"/>
      <c r="M1766" s="1093">
        <f t="shared" si="183"/>
        <v>0</v>
      </c>
      <c r="N1766" s="1131">
        <f t="shared" si="187"/>
        <v>0</v>
      </c>
      <c r="O1766" s="880"/>
      <c r="Q1766" s="317" t="str">
        <f t="shared" si="184"/>
        <v/>
      </c>
      <c r="R1766" s="317" t="str">
        <f t="shared" si="185"/>
        <v/>
      </c>
      <c r="S1766" s="317" t="str">
        <f t="shared" si="186"/>
        <v/>
      </c>
      <c r="T1766" s="317" t="str">
        <f>'REF. DE PREÇOS n editavel'!S1766</f>
        <v/>
      </c>
      <c r="W1766" s="577">
        <v>0</v>
      </c>
      <c r="X1766" s="575"/>
      <c r="Y1766" s="578">
        <f>IF('REF. DE PREÇOS n editavel'!W1766=0,0,IF('REF. DE PREÇOS n editavel'!W1766&gt;0,"c","b"))</f>
        <v>0</v>
      </c>
    </row>
    <row r="1767" spans="1:25" ht="15" customHeight="1">
      <c r="A1767" s="317">
        <v>603300</v>
      </c>
      <c r="B1767" s="870" t="s">
        <v>1757</v>
      </c>
      <c r="C1767" s="871" t="s">
        <v>184</v>
      </c>
      <c r="D1767" s="881" t="s">
        <v>262</v>
      </c>
      <c r="E1767" s="882">
        <f>'REF. DE PREÇOS n editavel'!E1767</f>
        <v>0</v>
      </c>
      <c r="F1767" s="883">
        <f>'REF. DE PREÇOS n editavel'!F1767</f>
        <v>0</v>
      </c>
      <c r="G1767" s="887">
        <f>'REF. DE PREÇOS n editavel'!G1767</f>
        <v>0</v>
      </c>
      <c r="H1767" s="876">
        <f>'REF. DE PREÇOS n editavel'!H1767</f>
        <v>20.91</v>
      </c>
      <c r="I1767" s="876">
        <f>'REF. DE PREÇOS n editavel'!I1767</f>
        <v>20.91</v>
      </c>
      <c r="J1767" s="877">
        <f>'REF. DE PREÇOS n editavel'!J1767</f>
        <v>25.56</v>
      </c>
      <c r="K1767" s="878" t="s">
        <v>16</v>
      </c>
      <c r="L1767" s="1092"/>
      <c r="M1767" s="1093">
        <f t="shared" si="183"/>
        <v>0</v>
      </c>
      <c r="N1767" s="1131">
        <f t="shared" si="187"/>
        <v>0</v>
      </c>
      <c r="O1767" s="880"/>
      <c r="Q1767" s="317" t="str">
        <f t="shared" si="184"/>
        <v/>
      </c>
      <c r="R1767" s="317" t="str">
        <f t="shared" si="185"/>
        <v/>
      </c>
      <c r="S1767" s="317" t="str">
        <f t="shared" si="186"/>
        <v/>
      </c>
      <c r="T1767" s="317" t="str">
        <f>'REF. DE PREÇOS n editavel'!S1767</f>
        <v/>
      </c>
      <c r="W1767" s="577">
        <v>0</v>
      </c>
      <c r="X1767" s="575"/>
      <c r="Y1767" s="578">
        <f>IF('REF. DE PREÇOS n editavel'!W1767=0,0,IF('REF. DE PREÇOS n editavel'!W1767&gt;0,"c","b"))</f>
        <v>0</v>
      </c>
    </row>
    <row r="1768" spans="1:25" ht="15" customHeight="1">
      <c r="A1768" s="317">
        <v>603600</v>
      </c>
      <c r="B1768" s="870">
        <v>603600</v>
      </c>
      <c r="C1768" s="871" t="s">
        <v>184</v>
      </c>
      <c r="D1768" s="881" t="s">
        <v>326</v>
      </c>
      <c r="E1768" s="882">
        <f>'REF. DE PREÇOS n editavel'!E1768</f>
        <v>0</v>
      </c>
      <c r="F1768" s="883">
        <f>'REF. DE PREÇOS n editavel'!F1768</f>
        <v>0</v>
      </c>
      <c r="G1768" s="887">
        <f>'REF. DE PREÇOS n editavel'!G1768</f>
        <v>268.30730000000005</v>
      </c>
      <c r="H1768" s="876">
        <f>'REF. DE PREÇOS n editavel'!H1768</f>
        <v>291.92</v>
      </c>
      <c r="I1768" s="876">
        <f>'REF. DE PREÇOS n editavel'!I1768</f>
        <v>560.22730000000001</v>
      </c>
      <c r="J1768" s="877">
        <f>'REF. DE PREÇOS n editavel'!J1768</f>
        <v>684.71</v>
      </c>
      <c r="K1768" s="878" t="s">
        <v>10</v>
      </c>
      <c r="L1768" s="1092"/>
      <c r="M1768" s="1093">
        <f t="shared" si="183"/>
        <v>0</v>
      </c>
      <c r="N1768" s="1131">
        <f t="shared" si="187"/>
        <v>0</v>
      </c>
      <c r="O1768" s="880"/>
      <c r="Q1768" s="317" t="str">
        <f t="shared" si="184"/>
        <v/>
      </c>
      <c r="R1768" s="317" t="str">
        <f t="shared" si="185"/>
        <v/>
      </c>
      <c r="S1768" s="317" t="str">
        <f t="shared" si="186"/>
        <v/>
      </c>
      <c r="T1768" s="317" t="str">
        <f>'REF. DE PREÇOS n editavel'!S1768</f>
        <v/>
      </c>
      <c r="W1768" s="577">
        <v>0</v>
      </c>
      <c r="X1768" s="575"/>
      <c r="Y1768" s="578">
        <f>IF('REF. DE PREÇOS n editavel'!W1768=0,0,IF('REF. DE PREÇOS n editavel'!W1768&gt;0,"c","b"))</f>
        <v>0</v>
      </c>
    </row>
    <row r="1769" spans="1:25" ht="15" customHeight="1">
      <c r="A1769" s="317" t="s">
        <v>147</v>
      </c>
      <c r="B1769" s="870" t="s">
        <v>147</v>
      </c>
      <c r="C1769" s="871"/>
      <c r="D1769" s="881" t="s">
        <v>190</v>
      </c>
      <c r="E1769" s="882">
        <f>'REF. DE PREÇOS n editavel'!E1769</f>
        <v>445</v>
      </c>
      <c r="F1769" s="883">
        <f>'REF. DE PREÇOS n editavel'!F1769</f>
        <v>0.1</v>
      </c>
      <c r="G1769" s="884">
        <f>'REF. DE PREÇOS n editavel'!G1769</f>
        <v>35.492000000000004</v>
      </c>
      <c r="H1769" s="876">
        <f>'REF. DE PREÇOS n editavel'!H1769</f>
        <v>0</v>
      </c>
      <c r="I1769" s="876">
        <f>'REF. DE PREÇOS n editavel'!I1769</f>
        <v>0</v>
      </c>
      <c r="J1769" s="877">
        <f>'REF. DE PREÇOS n editavel'!J1769</f>
        <v>0</v>
      </c>
      <c r="K1769" s="878"/>
      <c r="L1769" s="1132"/>
      <c r="M1769" s="1093">
        <f t="shared" si="183"/>
        <v>0</v>
      </c>
      <c r="N1769" s="1131">
        <f t="shared" si="187"/>
        <v>0</v>
      </c>
      <c r="O1769" s="880"/>
      <c r="P1769" s="36" t="str">
        <f>IF(N1768&gt;0,"xx",IF(N1768&gt;0,"xy",""))</f>
        <v/>
      </c>
      <c r="Q1769" s="317" t="str">
        <f t="shared" si="184"/>
        <v/>
      </c>
      <c r="R1769" s="317" t="str">
        <f t="shared" si="185"/>
        <v/>
      </c>
      <c r="S1769" s="317" t="str">
        <f t="shared" si="186"/>
        <v/>
      </c>
      <c r="T1769" s="317" t="str">
        <f>'REF. DE PREÇOS n editavel'!S1769</f>
        <v/>
      </c>
      <c r="W1769" s="577">
        <v>0</v>
      </c>
      <c r="X1769" s="575"/>
      <c r="Y1769" s="578">
        <f>IF('REF. DE PREÇOS n editavel'!W1769=0,0,IF('REF. DE PREÇOS n editavel'!W1769&gt;0,"c","b"))</f>
        <v>0</v>
      </c>
    </row>
    <row r="1770" spans="1:25" ht="15" customHeight="1">
      <c r="A1770" s="317" t="s">
        <v>147</v>
      </c>
      <c r="B1770" s="870" t="s">
        <v>147</v>
      </c>
      <c r="C1770" s="871"/>
      <c r="D1770" s="881" t="s">
        <v>229</v>
      </c>
      <c r="E1770" s="882">
        <f>'REF. DE PREÇOS n editavel'!E1770</f>
        <v>290</v>
      </c>
      <c r="F1770" s="883">
        <f>'REF. DE PREÇOS n editavel'!F1770</f>
        <v>0.51</v>
      </c>
      <c r="G1770" s="923">
        <f>'REF. DE PREÇOS n editavel'!G1770</f>
        <v>159.6198</v>
      </c>
      <c r="H1770" s="876">
        <f>'REF. DE PREÇOS n editavel'!H1770</f>
        <v>0</v>
      </c>
      <c r="I1770" s="876">
        <f>'REF. DE PREÇOS n editavel'!I1770</f>
        <v>0</v>
      </c>
      <c r="J1770" s="877">
        <f>'REF. DE PREÇOS n editavel'!J1770</f>
        <v>0</v>
      </c>
      <c r="K1770" s="878"/>
      <c r="L1770" s="1132"/>
      <c r="M1770" s="1093">
        <f t="shared" si="183"/>
        <v>0</v>
      </c>
      <c r="N1770" s="1131">
        <f t="shared" si="187"/>
        <v>0</v>
      </c>
      <c r="O1770" s="880"/>
      <c r="P1770" s="36" t="str">
        <f>IF(N1768&gt;0,"xx",IF(N1768&gt;0,"xy",""))</f>
        <v/>
      </c>
      <c r="Q1770" s="317" t="str">
        <f t="shared" si="184"/>
        <v/>
      </c>
      <c r="R1770" s="317" t="str">
        <f t="shared" si="185"/>
        <v/>
      </c>
      <c r="S1770" s="317" t="str">
        <f t="shared" si="186"/>
        <v/>
      </c>
      <c r="T1770" s="317" t="str">
        <f>'REF. DE PREÇOS n editavel'!S1770</f>
        <v/>
      </c>
      <c r="W1770" s="577">
        <v>0</v>
      </c>
      <c r="X1770" s="575"/>
      <c r="Y1770" s="578">
        <f>IF('REF. DE PREÇOS n editavel'!W1770=0,0,IF('REF. DE PREÇOS n editavel'!W1770&gt;0,"c","b"))</f>
        <v>0</v>
      </c>
    </row>
    <row r="1771" spans="1:25" ht="15" customHeight="1">
      <c r="A1771" s="317" t="s">
        <v>147</v>
      </c>
      <c r="B1771" s="870" t="s">
        <v>147</v>
      </c>
      <c r="C1771" s="871"/>
      <c r="D1771" s="881" t="s">
        <v>233</v>
      </c>
      <c r="E1771" s="882">
        <f>'REF. DE PREÇOS n editavel'!E1771</f>
        <v>43.1</v>
      </c>
      <c r="F1771" s="883">
        <f>'REF. DE PREÇOS n editavel'!F1771</f>
        <v>1.5</v>
      </c>
      <c r="G1771" s="923">
        <f>'REF. DE PREÇOS n editavel'!G1771</f>
        <v>73.19550000000001</v>
      </c>
      <c r="H1771" s="876">
        <f>'REF. DE PREÇOS n editavel'!H1771</f>
        <v>0</v>
      </c>
      <c r="I1771" s="876">
        <f>'REF. DE PREÇOS n editavel'!I1771</f>
        <v>0</v>
      </c>
      <c r="J1771" s="877">
        <f>'REF. DE PREÇOS n editavel'!J1771</f>
        <v>0</v>
      </c>
      <c r="K1771" s="878"/>
      <c r="L1771" s="1132"/>
      <c r="M1771" s="1093">
        <f t="shared" si="183"/>
        <v>0</v>
      </c>
      <c r="N1771" s="1131">
        <f t="shared" si="187"/>
        <v>0</v>
      </c>
      <c r="O1771" s="880"/>
      <c r="P1771" s="36" t="str">
        <f>IF(N1768&gt;0,"xx",IF(N1768&gt;0,"xy",""))</f>
        <v/>
      </c>
      <c r="Q1771" s="317" t="str">
        <f t="shared" si="184"/>
        <v/>
      </c>
      <c r="R1771" s="317" t="str">
        <f t="shared" si="185"/>
        <v/>
      </c>
      <c r="S1771" s="317" t="str">
        <f t="shared" si="186"/>
        <v/>
      </c>
      <c r="T1771" s="317" t="str">
        <f>'REF. DE PREÇOS n editavel'!S1771</f>
        <v/>
      </c>
      <c r="W1771" s="577">
        <v>0</v>
      </c>
      <c r="X1771" s="575"/>
      <c r="Y1771" s="578">
        <f>IF('REF. DE PREÇOS n editavel'!W1771=0,0,IF('REF. DE PREÇOS n editavel'!W1771&gt;0,"c","b"))</f>
        <v>0</v>
      </c>
    </row>
    <row r="1772" spans="1:25" ht="15" customHeight="1">
      <c r="A1772" s="317">
        <v>603700</v>
      </c>
      <c r="B1772" s="870" t="s">
        <v>1785</v>
      </c>
      <c r="C1772" s="871" t="s">
        <v>184</v>
      </c>
      <c r="D1772" s="881" t="s">
        <v>327</v>
      </c>
      <c r="E1772" s="882">
        <f>'REF. DE PREÇOS n editavel'!E1772</f>
        <v>43.1</v>
      </c>
      <c r="F1772" s="883">
        <f>'REF. DE PREÇOS n editavel'!F1772</f>
        <v>1.8</v>
      </c>
      <c r="G1772" s="923">
        <f>'REF. DE PREÇOS n editavel'!G1772</f>
        <v>87.834600000000009</v>
      </c>
      <c r="H1772" s="876">
        <f>'REF. DE PREÇOS n editavel'!H1772</f>
        <v>213.87</v>
      </c>
      <c r="I1772" s="876">
        <f>'REF. DE PREÇOS n editavel'!I1772</f>
        <v>301.70460000000003</v>
      </c>
      <c r="J1772" s="877">
        <f>'REF. DE PREÇOS n editavel'!J1772</f>
        <v>368.74</v>
      </c>
      <c r="K1772" s="878" t="s">
        <v>10</v>
      </c>
      <c r="L1772" s="1092"/>
      <c r="M1772" s="1093">
        <f t="shared" si="183"/>
        <v>0</v>
      </c>
      <c r="N1772" s="1131">
        <f t="shared" si="187"/>
        <v>0</v>
      </c>
      <c r="O1772" s="880"/>
      <c r="Q1772" s="317" t="str">
        <f t="shared" si="184"/>
        <v/>
      </c>
      <c r="R1772" s="317" t="str">
        <f t="shared" si="185"/>
        <v/>
      </c>
      <c r="S1772" s="317" t="str">
        <f t="shared" si="186"/>
        <v/>
      </c>
      <c r="T1772" s="317" t="str">
        <f>'REF. DE PREÇOS n editavel'!S1772</f>
        <v/>
      </c>
      <c r="W1772" s="577">
        <v>0</v>
      </c>
      <c r="X1772" s="575"/>
      <c r="Y1772" s="578">
        <f>IF('REF. DE PREÇOS n editavel'!W1772=0,0,IF('REF. DE PREÇOS n editavel'!W1772&gt;0,"c","b"))</f>
        <v>0</v>
      </c>
    </row>
    <row r="1773" spans="1:25" ht="15" customHeight="1">
      <c r="A1773" s="317">
        <v>603800</v>
      </c>
      <c r="B1773" s="870" t="s">
        <v>1786</v>
      </c>
      <c r="C1773" s="871" t="s">
        <v>184</v>
      </c>
      <c r="D1773" s="881" t="s">
        <v>328</v>
      </c>
      <c r="E1773" s="882">
        <f>'REF. DE PREÇOS n editavel'!E1773</f>
        <v>43.1</v>
      </c>
      <c r="F1773" s="883">
        <f>'REF. DE PREÇOS n editavel'!F1773</f>
        <v>1.5</v>
      </c>
      <c r="G1773" s="923">
        <f>'REF. DE PREÇOS n editavel'!G1773</f>
        <v>73.19550000000001</v>
      </c>
      <c r="H1773" s="876">
        <f>'REF. DE PREÇOS n editavel'!H1773</f>
        <v>126.05</v>
      </c>
      <c r="I1773" s="876">
        <f>'REF. DE PREÇOS n editavel'!I1773</f>
        <v>199.24549999999999</v>
      </c>
      <c r="J1773" s="877">
        <f>'REF. DE PREÇOS n editavel'!J1773</f>
        <v>243.52</v>
      </c>
      <c r="K1773" s="878" t="s">
        <v>10</v>
      </c>
      <c r="L1773" s="1092"/>
      <c r="M1773" s="1093">
        <f t="shared" si="183"/>
        <v>0</v>
      </c>
      <c r="N1773" s="1131">
        <f t="shared" si="187"/>
        <v>0</v>
      </c>
      <c r="O1773" s="880"/>
      <c r="Q1773" s="317" t="str">
        <f t="shared" si="184"/>
        <v/>
      </c>
      <c r="R1773" s="317" t="str">
        <f t="shared" si="185"/>
        <v/>
      </c>
      <c r="S1773" s="317" t="str">
        <f t="shared" si="186"/>
        <v/>
      </c>
      <c r="T1773" s="317" t="str">
        <f>'REF. DE PREÇOS n editavel'!S1773</f>
        <v/>
      </c>
      <c r="W1773" s="577">
        <v>0</v>
      </c>
      <c r="X1773" s="575"/>
      <c r="Y1773" s="578">
        <f>IF('REF. DE PREÇOS n editavel'!W1773=0,0,IF('REF. DE PREÇOS n editavel'!W1773&gt;0,"c","b"))</f>
        <v>0</v>
      </c>
    </row>
    <row r="1774" spans="1:25" ht="15" customHeight="1">
      <c r="A1774" s="317">
        <v>532500</v>
      </c>
      <c r="B1774" s="870" t="s">
        <v>1723</v>
      </c>
      <c r="C1774" s="871" t="s">
        <v>184</v>
      </c>
      <c r="D1774" s="931" t="s">
        <v>329</v>
      </c>
      <c r="E1774" s="882">
        <f>'REF. DE PREÇOS n editavel'!E1774</f>
        <v>290</v>
      </c>
      <c r="F1774" s="883">
        <f>'REF. DE PREÇOS n editavel'!F1774</f>
        <v>1.7250000000000001</v>
      </c>
      <c r="G1774" s="923">
        <f>'REF. DE PREÇOS n editavel'!G1774</f>
        <v>539.89050000000009</v>
      </c>
      <c r="H1774" s="876">
        <f>'REF. DE PREÇOS n editavel'!H1774</f>
        <v>102.38</v>
      </c>
      <c r="I1774" s="876">
        <f>'REF. DE PREÇOS n editavel'!I1774</f>
        <v>642.27050000000008</v>
      </c>
      <c r="J1774" s="877">
        <f>'REF. DE PREÇOS n editavel'!J1774</f>
        <v>784.98</v>
      </c>
      <c r="K1774" s="878" t="s">
        <v>10</v>
      </c>
      <c r="L1774" s="1092"/>
      <c r="M1774" s="1093">
        <f t="shared" si="183"/>
        <v>0</v>
      </c>
      <c r="N1774" s="1131">
        <f t="shared" si="187"/>
        <v>0</v>
      </c>
      <c r="O1774" s="880"/>
      <c r="Q1774" s="317" t="str">
        <f t="shared" si="184"/>
        <v/>
      </c>
      <c r="R1774" s="317" t="str">
        <f t="shared" si="185"/>
        <v/>
      </c>
      <c r="S1774" s="317" t="str">
        <f t="shared" si="186"/>
        <v/>
      </c>
      <c r="T1774" s="317" t="str">
        <f>'REF. DE PREÇOS n editavel'!S1774</f>
        <v/>
      </c>
      <c r="W1774" s="577">
        <v>0</v>
      </c>
      <c r="X1774" s="575"/>
      <c r="Y1774" s="578">
        <f>IF('REF. DE PREÇOS n editavel'!W1774=0,0,IF('REF. DE PREÇOS n editavel'!W1774&gt;0,"c","b"))</f>
        <v>0</v>
      </c>
    </row>
    <row r="1775" spans="1:25" ht="15" customHeight="1">
      <c r="A1775" s="317">
        <v>603900</v>
      </c>
      <c r="B1775" s="870" t="s">
        <v>1758</v>
      </c>
      <c r="C1775" s="871" t="s">
        <v>184</v>
      </c>
      <c r="D1775" s="881" t="s">
        <v>330</v>
      </c>
      <c r="E1775" s="882">
        <f>'REF. DE PREÇOS n editavel'!E1775</f>
        <v>43.1</v>
      </c>
      <c r="F1775" s="883">
        <f>'REF. DE PREÇOS n editavel'!F1775</f>
        <v>1.5</v>
      </c>
      <c r="G1775" s="923">
        <f>'REF. DE PREÇOS n editavel'!G1775</f>
        <v>73.19550000000001</v>
      </c>
      <c r="H1775" s="876">
        <f>'REF. DE PREÇOS n editavel'!H1775</f>
        <v>131.84</v>
      </c>
      <c r="I1775" s="876">
        <f>'REF. DE PREÇOS n editavel'!I1775</f>
        <v>205.03550000000001</v>
      </c>
      <c r="J1775" s="877">
        <f>'REF. DE PREÇOS n editavel'!J1775</f>
        <v>250.59</v>
      </c>
      <c r="K1775" s="878" t="s">
        <v>10</v>
      </c>
      <c r="L1775" s="1092"/>
      <c r="M1775" s="1093">
        <f t="shared" si="183"/>
        <v>0</v>
      </c>
      <c r="N1775" s="1131">
        <f t="shared" si="187"/>
        <v>0</v>
      </c>
      <c r="O1775" s="880"/>
      <c r="Q1775" s="317" t="str">
        <f t="shared" si="184"/>
        <v/>
      </c>
      <c r="R1775" s="317" t="str">
        <f t="shared" si="185"/>
        <v/>
      </c>
      <c r="S1775" s="317" t="str">
        <f t="shared" si="186"/>
        <v/>
      </c>
      <c r="T1775" s="317" t="str">
        <f>'REF. DE PREÇOS n editavel'!S1775</f>
        <v/>
      </c>
      <c r="W1775" s="577">
        <v>0</v>
      </c>
      <c r="X1775" s="575"/>
      <c r="Y1775" s="578">
        <f>IF('REF. DE PREÇOS n editavel'!W1775=0,0,IF('REF. DE PREÇOS n editavel'!W1775&gt;0,"c","b"))</f>
        <v>0</v>
      </c>
    </row>
    <row r="1776" spans="1:25" ht="15" customHeight="1">
      <c r="A1776" s="317">
        <v>605000</v>
      </c>
      <c r="B1776" s="870" t="s">
        <v>1767</v>
      </c>
      <c r="C1776" s="871" t="s">
        <v>184</v>
      </c>
      <c r="D1776" s="881" t="s">
        <v>259</v>
      </c>
      <c r="E1776" s="882">
        <f>'REF. DE PREÇOS n editavel'!E1776</f>
        <v>0</v>
      </c>
      <c r="F1776" s="883">
        <f>'REF. DE PREÇOS n editavel'!F1776</f>
        <v>0</v>
      </c>
      <c r="G1776" s="887">
        <f>'REF. DE PREÇOS n editavel'!G1776</f>
        <v>449.80907000000002</v>
      </c>
      <c r="H1776" s="876">
        <f>'REF. DE PREÇOS n editavel'!H1776</f>
        <v>425.25</v>
      </c>
      <c r="I1776" s="876">
        <f>'REF. DE PREÇOS n editavel'!I1776</f>
        <v>875.05907000000002</v>
      </c>
      <c r="J1776" s="877">
        <f>'REF. DE PREÇOS n editavel'!J1776</f>
        <v>1069.5</v>
      </c>
      <c r="K1776" s="878" t="s">
        <v>10</v>
      </c>
      <c r="L1776" s="1092"/>
      <c r="M1776" s="1093">
        <f t="shared" si="183"/>
        <v>0</v>
      </c>
      <c r="N1776" s="1131">
        <f t="shared" si="187"/>
        <v>0</v>
      </c>
      <c r="O1776" s="880"/>
      <c r="Q1776" s="317" t="str">
        <f t="shared" si="184"/>
        <v/>
      </c>
      <c r="R1776" s="317" t="str">
        <f t="shared" si="185"/>
        <v/>
      </c>
      <c r="S1776" s="317" t="str">
        <f t="shared" si="186"/>
        <v/>
      </c>
      <c r="T1776" s="317" t="str">
        <f>'REF. DE PREÇOS n editavel'!S1776</f>
        <v/>
      </c>
      <c r="W1776" s="577">
        <v>0</v>
      </c>
      <c r="X1776" s="575"/>
      <c r="Y1776" s="578">
        <f>IF('REF. DE PREÇOS n editavel'!W1776=0,0,IF('REF. DE PREÇOS n editavel'!W1776&gt;0,"c","b"))</f>
        <v>0</v>
      </c>
    </row>
    <row r="1777" spans="1:25" ht="15" customHeight="1">
      <c r="A1777" s="317" t="s">
        <v>147</v>
      </c>
      <c r="B1777" s="870" t="s">
        <v>147</v>
      </c>
      <c r="C1777" s="871"/>
      <c r="D1777" s="931" t="s">
        <v>190</v>
      </c>
      <c r="E1777" s="882">
        <f>'REF. DE PREÇOS n editavel'!E1777</f>
        <v>445</v>
      </c>
      <c r="F1777" s="883">
        <f>'REF. DE PREÇOS n editavel'!F1777</f>
        <v>0.18</v>
      </c>
      <c r="G1777" s="884">
        <f>'REF. DE PREÇOS n editavel'!G1777</f>
        <v>63.885600000000004</v>
      </c>
      <c r="H1777" s="876">
        <f>'REF. DE PREÇOS n editavel'!H1777</f>
        <v>0</v>
      </c>
      <c r="I1777" s="876">
        <f>'REF. DE PREÇOS n editavel'!I1777</f>
        <v>0</v>
      </c>
      <c r="J1777" s="877">
        <f>'REF. DE PREÇOS n editavel'!J1777</f>
        <v>0</v>
      </c>
      <c r="K1777" s="932" t="s">
        <v>506</v>
      </c>
      <c r="L1777" s="933"/>
      <c r="M1777" s="1112">
        <f t="shared" si="183"/>
        <v>0</v>
      </c>
      <c r="N1777" s="1131">
        <f t="shared" si="187"/>
        <v>0</v>
      </c>
      <c r="O1777" s="880"/>
      <c r="P1777" s="58" t="str">
        <f>IF(N1776&gt;0,"xx",IF(N1776&gt;0,"xy",""))</f>
        <v/>
      </c>
      <c r="Q1777" s="317" t="str">
        <f t="shared" si="184"/>
        <v/>
      </c>
      <c r="R1777" s="317" t="str">
        <f t="shared" si="185"/>
        <v/>
      </c>
      <c r="S1777" s="317" t="str">
        <f t="shared" si="186"/>
        <v/>
      </c>
      <c r="T1777" s="317" t="str">
        <f>'REF. DE PREÇOS n editavel'!S1777</f>
        <v/>
      </c>
      <c r="W1777" s="577">
        <v>0</v>
      </c>
      <c r="X1777" s="575"/>
      <c r="Y1777" s="578">
        <f>IF('REF. DE PREÇOS n editavel'!W1777=0,0,IF('REF. DE PREÇOS n editavel'!W1777&gt;0,"c","b"))</f>
        <v>0</v>
      </c>
    </row>
    <row r="1778" spans="1:25" ht="15" customHeight="1">
      <c r="A1778" s="317" t="s">
        <v>147</v>
      </c>
      <c r="B1778" s="870" t="s">
        <v>147</v>
      </c>
      <c r="C1778" s="871"/>
      <c r="D1778" s="931" t="s">
        <v>229</v>
      </c>
      <c r="E1778" s="882">
        <f>'REF. DE PREÇOS n editavel'!E1778</f>
        <v>290</v>
      </c>
      <c r="F1778" s="883">
        <f>'REF. DE PREÇOS n editavel'!F1778</f>
        <v>1.06</v>
      </c>
      <c r="G1778" s="923">
        <f>'REF. DE PREÇOS n editavel'!G1778</f>
        <v>331.75880000000001</v>
      </c>
      <c r="H1778" s="876">
        <f>'REF. DE PREÇOS n editavel'!H1778</f>
        <v>0</v>
      </c>
      <c r="I1778" s="876">
        <f>'REF. DE PREÇOS n editavel'!I1778</f>
        <v>0</v>
      </c>
      <c r="J1778" s="877">
        <f>'REF. DE PREÇOS n editavel'!J1778</f>
        <v>0</v>
      </c>
      <c r="K1778" s="932" t="s">
        <v>506</v>
      </c>
      <c r="L1778" s="933"/>
      <c r="M1778" s="1112">
        <f t="shared" si="183"/>
        <v>0</v>
      </c>
      <c r="N1778" s="1131">
        <f t="shared" si="187"/>
        <v>0</v>
      </c>
      <c r="O1778" s="880"/>
      <c r="P1778" s="58" t="str">
        <f>IF(N1776&gt;0,"xx",IF(N1776&gt;0,"xy",""))</f>
        <v/>
      </c>
      <c r="Q1778" s="317" t="str">
        <f t="shared" si="184"/>
        <v/>
      </c>
      <c r="R1778" s="317" t="str">
        <f t="shared" si="185"/>
        <v/>
      </c>
      <c r="S1778" s="317" t="str">
        <f t="shared" si="186"/>
        <v/>
      </c>
      <c r="T1778" s="317" t="str">
        <f>'REF. DE PREÇOS n editavel'!S1778</f>
        <v/>
      </c>
      <c r="W1778" s="577">
        <v>0</v>
      </c>
      <c r="X1778" s="575"/>
      <c r="Y1778" s="578">
        <f>IF('REF. DE PREÇOS n editavel'!W1778=0,0,IF('REF. DE PREÇOS n editavel'!W1778&gt;0,"c","b"))</f>
        <v>0</v>
      </c>
    </row>
    <row r="1779" spans="1:25" ht="15" customHeight="1">
      <c r="A1779" s="317" t="s">
        <v>147</v>
      </c>
      <c r="B1779" s="870" t="s">
        <v>147</v>
      </c>
      <c r="C1779" s="871"/>
      <c r="D1779" s="931" t="s">
        <v>233</v>
      </c>
      <c r="E1779" s="882">
        <f>'REF. DE PREÇOS n editavel'!E1779</f>
        <v>43.1</v>
      </c>
      <c r="F1779" s="883">
        <f>'REF. DE PREÇOS n editavel'!F1779</f>
        <v>1.1100000000000001</v>
      </c>
      <c r="G1779" s="923">
        <f>'REF. DE PREÇOS n editavel'!G1779</f>
        <v>54.164670000000008</v>
      </c>
      <c r="H1779" s="876">
        <f>'REF. DE PREÇOS n editavel'!H1779</f>
        <v>0</v>
      </c>
      <c r="I1779" s="876">
        <f>'REF. DE PREÇOS n editavel'!I1779</f>
        <v>0</v>
      </c>
      <c r="J1779" s="877">
        <f>'REF. DE PREÇOS n editavel'!J1779</f>
        <v>0</v>
      </c>
      <c r="K1779" s="932" t="s">
        <v>506</v>
      </c>
      <c r="L1779" s="933"/>
      <c r="M1779" s="1112">
        <f t="shared" si="183"/>
        <v>0</v>
      </c>
      <c r="N1779" s="1131">
        <f t="shared" si="187"/>
        <v>0</v>
      </c>
      <c r="O1779" s="880"/>
      <c r="P1779" s="58" t="str">
        <f>IF(N1776&gt;0,"xx",IF(N1776&gt;0,"xy",""))</f>
        <v/>
      </c>
      <c r="Q1779" s="317" t="str">
        <f t="shared" si="184"/>
        <v/>
      </c>
      <c r="R1779" s="317" t="str">
        <f t="shared" si="185"/>
        <v/>
      </c>
      <c r="S1779" s="317" t="str">
        <f t="shared" si="186"/>
        <v/>
      </c>
      <c r="T1779" s="317" t="str">
        <f>'REF. DE PREÇOS n editavel'!S1779</f>
        <v/>
      </c>
      <c r="W1779" s="577">
        <v>0</v>
      </c>
      <c r="X1779" s="575"/>
      <c r="Y1779" s="578">
        <f>IF('REF. DE PREÇOS n editavel'!W1779=0,0,IF('REF. DE PREÇOS n editavel'!W1779&gt;0,"c","b"))</f>
        <v>0</v>
      </c>
    </row>
    <row r="1780" spans="1:25" ht="15" customHeight="1">
      <c r="A1780" s="317">
        <v>603500</v>
      </c>
      <c r="B1780" s="870">
        <v>603500</v>
      </c>
      <c r="C1780" s="871" t="s">
        <v>184</v>
      </c>
      <c r="D1780" s="881" t="s">
        <v>331</v>
      </c>
      <c r="E1780" s="882">
        <f>'REF. DE PREÇOS n editavel'!E1780</f>
        <v>0</v>
      </c>
      <c r="F1780" s="883">
        <f>'REF. DE PREÇOS n editavel'!F1780</f>
        <v>0</v>
      </c>
      <c r="G1780" s="887">
        <f>'REF. DE PREÇOS n editavel'!G1780</f>
        <v>0</v>
      </c>
      <c r="H1780" s="876">
        <f>'REF. DE PREÇOS n editavel'!H1780</f>
        <v>1378.26</v>
      </c>
      <c r="I1780" s="876">
        <f>'REF. DE PREÇOS n editavel'!I1780</f>
        <v>1378.26</v>
      </c>
      <c r="J1780" s="877">
        <f>'REF. DE PREÇOS n editavel'!J1780</f>
        <v>1684.51</v>
      </c>
      <c r="K1780" s="878" t="s">
        <v>10</v>
      </c>
      <c r="L1780" s="1092"/>
      <c r="M1780" s="1093">
        <f t="shared" si="183"/>
        <v>0</v>
      </c>
      <c r="N1780" s="1131">
        <f t="shared" si="187"/>
        <v>0</v>
      </c>
      <c r="O1780" s="880"/>
      <c r="Q1780" s="317" t="str">
        <f t="shared" si="184"/>
        <v/>
      </c>
      <c r="R1780" s="317" t="str">
        <f t="shared" si="185"/>
        <v/>
      </c>
      <c r="S1780" s="317" t="str">
        <f t="shared" si="186"/>
        <v/>
      </c>
      <c r="T1780" s="317" t="str">
        <f>'REF. DE PREÇOS n editavel'!S1780</f>
        <v/>
      </c>
      <c r="W1780" s="577">
        <v>0</v>
      </c>
      <c r="X1780" s="575"/>
      <c r="Y1780" s="578">
        <f>IF('REF. DE PREÇOS n editavel'!W1780=0,0,IF('REF. DE PREÇOS n editavel'!W1780&gt;0,"c","b"))</f>
        <v>0</v>
      </c>
    </row>
    <row r="1781" spans="1:25" ht="15" customHeight="1">
      <c r="A1781" s="317">
        <v>603500</v>
      </c>
      <c r="B1781" s="870" t="s">
        <v>1882</v>
      </c>
      <c r="C1781" s="871" t="s">
        <v>184</v>
      </c>
      <c r="D1781" s="881" t="s">
        <v>332</v>
      </c>
      <c r="E1781" s="882">
        <f>'REF. DE PREÇOS n editavel'!E1781</f>
        <v>0</v>
      </c>
      <c r="F1781" s="883">
        <f>'REF. DE PREÇOS n editavel'!F1781</f>
        <v>0</v>
      </c>
      <c r="G1781" s="887">
        <f>'REF. DE PREÇOS n editavel'!G1781</f>
        <v>0</v>
      </c>
      <c r="H1781" s="876">
        <f>'REF. DE PREÇOS n editavel'!H1781</f>
        <v>1378.26</v>
      </c>
      <c r="I1781" s="876">
        <f>'REF. DE PREÇOS n editavel'!I1781</f>
        <v>1185.3036</v>
      </c>
      <c r="J1781" s="877">
        <f>'REF. DE PREÇOS n editavel'!J1781</f>
        <v>1448.68</v>
      </c>
      <c r="K1781" s="878" t="s">
        <v>10</v>
      </c>
      <c r="L1781" s="1092"/>
      <c r="M1781" s="1093">
        <f t="shared" si="183"/>
        <v>0</v>
      </c>
      <c r="N1781" s="1131">
        <f t="shared" si="187"/>
        <v>0</v>
      </c>
      <c r="O1781" s="880"/>
      <c r="Q1781" s="317" t="str">
        <f t="shared" si="184"/>
        <v/>
      </c>
      <c r="R1781" s="317" t="str">
        <f t="shared" si="185"/>
        <v/>
      </c>
      <c r="S1781" s="317" t="str">
        <f t="shared" si="186"/>
        <v/>
      </c>
      <c r="T1781" s="317" t="str">
        <f>'REF. DE PREÇOS n editavel'!S1781</f>
        <v/>
      </c>
      <c r="W1781" s="577">
        <v>0</v>
      </c>
      <c r="X1781" s="575"/>
      <c r="Y1781" s="578">
        <f>IF('REF. DE PREÇOS n editavel'!W1781=0,0,IF('REF. DE PREÇOS n editavel'!W1781&gt;0,"c","b"))</f>
        <v>0</v>
      </c>
    </row>
    <row r="1782" spans="1:25" ht="15" customHeight="1">
      <c r="A1782" s="317">
        <v>604000</v>
      </c>
      <c r="B1782" s="870">
        <v>604000</v>
      </c>
      <c r="C1782" s="871" t="s">
        <v>184</v>
      </c>
      <c r="D1782" s="881" t="s">
        <v>333</v>
      </c>
      <c r="E1782" s="882">
        <f>'REF. DE PREÇOS n editavel'!E1782</f>
        <v>0</v>
      </c>
      <c r="F1782" s="883">
        <f>'REF. DE PREÇOS n editavel'!F1782</f>
        <v>0</v>
      </c>
      <c r="G1782" s="887">
        <f>'REF. DE PREÇOS n editavel'!G1782</f>
        <v>646.97878000000003</v>
      </c>
      <c r="H1782" s="876">
        <f>'REF. DE PREÇOS n editavel'!H1782</f>
        <v>523.20000000000005</v>
      </c>
      <c r="I1782" s="876">
        <f>'REF. DE PREÇOS n editavel'!I1782</f>
        <v>1170.1787800000002</v>
      </c>
      <c r="J1782" s="877">
        <f>'REF. DE PREÇOS n editavel'!J1782</f>
        <v>1430.19</v>
      </c>
      <c r="K1782" s="878" t="s">
        <v>10</v>
      </c>
      <c r="L1782" s="1092"/>
      <c r="M1782" s="1093">
        <f t="shared" si="183"/>
        <v>0</v>
      </c>
      <c r="N1782" s="1131">
        <f t="shared" si="187"/>
        <v>0</v>
      </c>
      <c r="O1782" s="880"/>
      <c r="Q1782" s="317" t="str">
        <f t="shared" si="184"/>
        <v/>
      </c>
      <c r="R1782" s="317" t="str">
        <f t="shared" si="185"/>
        <v/>
      </c>
      <c r="S1782" s="317" t="str">
        <f t="shared" si="186"/>
        <v/>
      </c>
      <c r="T1782" s="317" t="str">
        <f>'REF. DE PREÇOS n editavel'!S1782</f>
        <v/>
      </c>
      <c r="W1782" s="577">
        <v>0</v>
      </c>
      <c r="X1782" s="575"/>
      <c r="Y1782" s="578">
        <f>IF('REF. DE PREÇOS n editavel'!W1782=0,0,IF('REF. DE PREÇOS n editavel'!W1782&gt;0,"c","b"))</f>
        <v>0</v>
      </c>
    </row>
    <row r="1783" spans="1:25" ht="15" customHeight="1">
      <c r="A1783" s="317" t="s">
        <v>147</v>
      </c>
      <c r="B1783" s="870" t="s">
        <v>147</v>
      </c>
      <c r="C1783" s="871"/>
      <c r="D1783" s="881" t="s">
        <v>190</v>
      </c>
      <c r="E1783" s="882">
        <f>'REF. DE PREÇOS n editavel'!E1783</f>
        <v>445</v>
      </c>
      <c r="F1783" s="883">
        <f>'REF. DE PREÇOS n editavel'!F1783</f>
        <v>0.434</v>
      </c>
      <c r="G1783" s="884">
        <f>'REF. DE PREÇOS n editavel'!G1783</f>
        <v>154.03528</v>
      </c>
      <c r="H1783" s="876">
        <f>'REF. DE PREÇOS n editavel'!H1783</f>
        <v>0</v>
      </c>
      <c r="I1783" s="876">
        <f>'REF. DE PREÇOS n editavel'!I1783</f>
        <v>0</v>
      </c>
      <c r="J1783" s="877">
        <f>'REF. DE PREÇOS n editavel'!J1783</f>
        <v>0</v>
      </c>
      <c r="K1783" s="878"/>
      <c r="L1783" s="1132"/>
      <c r="M1783" s="1093">
        <f t="shared" si="183"/>
        <v>0</v>
      </c>
      <c r="N1783" s="1131">
        <f t="shared" si="187"/>
        <v>0</v>
      </c>
      <c r="O1783" s="880"/>
      <c r="P1783" s="36" t="str">
        <f>IF(N1782&gt;0,"xx",IF(N1782&gt;0,"xy",""))</f>
        <v/>
      </c>
      <c r="Q1783" s="317" t="str">
        <f t="shared" si="184"/>
        <v/>
      </c>
      <c r="R1783" s="317" t="str">
        <f t="shared" si="185"/>
        <v/>
      </c>
      <c r="S1783" s="317" t="str">
        <f t="shared" si="186"/>
        <v/>
      </c>
      <c r="T1783" s="317" t="str">
        <f>'REF. DE PREÇOS n editavel'!S1783</f>
        <v/>
      </c>
      <c r="W1783" s="577">
        <v>0</v>
      </c>
      <c r="X1783" s="575"/>
      <c r="Y1783" s="578">
        <f>IF('REF. DE PREÇOS n editavel'!W1783=0,0,IF('REF. DE PREÇOS n editavel'!W1783&gt;0,"c","b"))</f>
        <v>0</v>
      </c>
    </row>
    <row r="1784" spans="1:25" ht="15" customHeight="1">
      <c r="A1784" s="317" t="s">
        <v>147</v>
      </c>
      <c r="B1784" s="870" t="s">
        <v>147</v>
      </c>
      <c r="C1784" s="871"/>
      <c r="D1784" s="881" t="s">
        <v>229</v>
      </c>
      <c r="E1784" s="882">
        <f>'REF. DE PREÇOS n editavel'!E1784</f>
        <v>290</v>
      </c>
      <c r="F1784" s="883">
        <f>'REF. DE PREÇOS n editavel'!F1784</f>
        <v>1.575</v>
      </c>
      <c r="G1784" s="923">
        <f>'REF. DE PREÇOS n editavel'!G1784</f>
        <v>492.94350000000003</v>
      </c>
      <c r="H1784" s="876">
        <f>'REF. DE PREÇOS n editavel'!H1784</f>
        <v>0</v>
      </c>
      <c r="I1784" s="876">
        <f>'REF. DE PREÇOS n editavel'!I1784</f>
        <v>0</v>
      </c>
      <c r="J1784" s="877">
        <f>'REF. DE PREÇOS n editavel'!J1784</f>
        <v>0</v>
      </c>
      <c r="K1784" s="878"/>
      <c r="L1784" s="1132"/>
      <c r="M1784" s="1093">
        <f t="shared" si="183"/>
        <v>0</v>
      </c>
      <c r="N1784" s="1131">
        <f t="shared" si="187"/>
        <v>0</v>
      </c>
      <c r="O1784" s="880"/>
      <c r="P1784" s="36" t="str">
        <f>IF(N1782&gt;0,"xx",IF(N1782&gt;0,"xy",""))</f>
        <v/>
      </c>
      <c r="Q1784" s="317" t="str">
        <f t="shared" si="184"/>
        <v/>
      </c>
      <c r="R1784" s="317" t="str">
        <f t="shared" si="185"/>
        <v/>
      </c>
      <c r="S1784" s="317" t="str">
        <f t="shared" si="186"/>
        <v/>
      </c>
      <c r="T1784" s="317" t="str">
        <f>'REF. DE PREÇOS n editavel'!S1784</f>
        <v/>
      </c>
      <c r="W1784" s="577">
        <v>0</v>
      </c>
      <c r="X1784" s="575"/>
      <c r="Y1784" s="578">
        <f>IF('REF. DE PREÇOS n editavel'!W1784=0,0,IF('REF. DE PREÇOS n editavel'!W1784&gt;0,"c","b"))</f>
        <v>0</v>
      </c>
    </row>
    <row r="1785" spans="1:25" ht="15" customHeight="1">
      <c r="A1785" s="317">
        <v>604100</v>
      </c>
      <c r="B1785" s="870">
        <v>604100</v>
      </c>
      <c r="C1785" s="871" t="s">
        <v>184</v>
      </c>
      <c r="D1785" s="881" t="s">
        <v>334</v>
      </c>
      <c r="E1785" s="882">
        <f>'REF. DE PREÇOS n editavel'!E1785</f>
        <v>0</v>
      </c>
      <c r="F1785" s="883">
        <f>'REF. DE PREÇOS n editavel'!F1785</f>
        <v>0</v>
      </c>
      <c r="G1785" s="887">
        <f>'REF. DE PREÇOS n editavel'!G1785</f>
        <v>676.64740000000006</v>
      </c>
      <c r="H1785" s="876">
        <f>'REF. DE PREÇOS n editavel'!H1785</f>
        <v>466.54</v>
      </c>
      <c r="I1785" s="876">
        <f>'REF. DE PREÇOS n editavel'!I1785</f>
        <v>1143.1874</v>
      </c>
      <c r="J1785" s="877">
        <f>'REF. DE PREÇOS n editavel'!J1785</f>
        <v>1397.2</v>
      </c>
      <c r="K1785" s="878" t="s">
        <v>10</v>
      </c>
      <c r="L1785" s="1092"/>
      <c r="M1785" s="1093">
        <f t="shared" si="183"/>
        <v>0</v>
      </c>
      <c r="N1785" s="1131">
        <f t="shared" si="187"/>
        <v>0</v>
      </c>
      <c r="O1785" s="880"/>
      <c r="Q1785" s="317" t="str">
        <f t="shared" si="184"/>
        <v/>
      </c>
      <c r="R1785" s="317" t="str">
        <f t="shared" si="185"/>
        <v/>
      </c>
      <c r="S1785" s="317" t="str">
        <f t="shared" si="186"/>
        <v/>
      </c>
      <c r="T1785" s="317" t="str">
        <f>'REF. DE PREÇOS n editavel'!S1785</f>
        <v/>
      </c>
      <c r="W1785" s="577">
        <v>0</v>
      </c>
      <c r="X1785" s="575"/>
      <c r="Y1785" s="578">
        <f>IF('REF. DE PREÇOS n editavel'!W1785=0,0,IF('REF. DE PREÇOS n editavel'!W1785&gt;0,"c","b"))</f>
        <v>0</v>
      </c>
    </row>
    <row r="1786" spans="1:25" ht="15" customHeight="1">
      <c r="A1786" s="317" t="s">
        <v>147</v>
      </c>
      <c r="B1786" s="870" t="s">
        <v>147</v>
      </c>
      <c r="C1786" s="871"/>
      <c r="D1786" s="881" t="s">
        <v>190</v>
      </c>
      <c r="E1786" s="882">
        <f>'REF. DE PREÇOS n editavel'!E1786</f>
        <v>445</v>
      </c>
      <c r="F1786" s="883">
        <f>'REF. DE PREÇOS n editavel'!F1786</f>
        <v>0.42499999999999999</v>
      </c>
      <c r="G1786" s="884">
        <f>'REF. DE PREÇOS n editavel'!G1786</f>
        <v>150.84100000000001</v>
      </c>
      <c r="H1786" s="876">
        <f>'REF. DE PREÇOS n editavel'!H1786</f>
        <v>0</v>
      </c>
      <c r="I1786" s="876">
        <f>'REF. DE PREÇOS n editavel'!I1786</f>
        <v>0</v>
      </c>
      <c r="J1786" s="877">
        <f>'REF. DE PREÇOS n editavel'!J1786</f>
        <v>0</v>
      </c>
      <c r="K1786" s="878"/>
      <c r="L1786" s="1132"/>
      <c r="M1786" s="1093">
        <f t="shared" si="183"/>
        <v>0</v>
      </c>
      <c r="N1786" s="1131">
        <f t="shared" si="187"/>
        <v>0</v>
      </c>
      <c r="O1786" s="880"/>
      <c r="P1786" s="36" t="str">
        <f>IF(N1785&gt;0,"xx",IF(N1785&gt;0,"xy",""))</f>
        <v/>
      </c>
      <c r="Q1786" s="317" t="str">
        <f t="shared" si="184"/>
        <v/>
      </c>
      <c r="R1786" s="317" t="str">
        <f t="shared" si="185"/>
        <v/>
      </c>
      <c r="S1786" s="317" t="str">
        <f t="shared" si="186"/>
        <v/>
      </c>
      <c r="T1786" s="317" t="str">
        <f>'REF. DE PREÇOS n editavel'!S1786</f>
        <v/>
      </c>
      <c r="W1786" s="577">
        <v>0</v>
      </c>
      <c r="X1786" s="575"/>
      <c r="Y1786" s="578">
        <f>IF('REF. DE PREÇOS n editavel'!W1786=0,0,IF('REF. DE PREÇOS n editavel'!W1786&gt;0,"c","b"))</f>
        <v>0</v>
      </c>
    </row>
    <row r="1787" spans="1:25" ht="15" customHeight="1">
      <c r="A1787" s="317" t="s">
        <v>147</v>
      </c>
      <c r="B1787" s="870" t="s">
        <v>147</v>
      </c>
      <c r="C1787" s="871"/>
      <c r="D1787" s="881" t="s">
        <v>229</v>
      </c>
      <c r="E1787" s="882">
        <f>'REF. DE PREÇOS n editavel'!E1787</f>
        <v>290</v>
      </c>
      <c r="F1787" s="883">
        <f>'REF. DE PREÇOS n editavel'!F1787</f>
        <v>1.68</v>
      </c>
      <c r="G1787" s="923">
        <f>'REF. DE PREÇOS n editavel'!G1787</f>
        <v>525.80640000000005</v>
      </c>
      <c r="H1787" s="876">
        <f>'REF. DE PREÇOS n editavel'!H1787</f>
        <v>0</v>
      </c>
      <c r="I1787" s="876">
        <f>'REF. DE PREÇOS n editavel'!I1787</f>
        <v>0</v>
      </c>
      <c r="J1787" s="877">
        <f>'REF. DE PREÇOS n editavel'!J1787</f>
        <v>0</v>
      </c>
      <c r="K1787" s="878"/>
      <c r="L1787" s="1132"/>
      <c r="M1787" s="1093">
        <f t="shared" si="183"/>
        <v>0</v>
      </c>
      <c r="N1787" s="1131">
        <f t="shared" si="187"/>
        <v>0</v>
      </c>
      <c r="O1787" s="880"/>
      <c r="P1787" s="36" t="str">
        <f>IF(N1785&gt;0,"xx",IF(N1785&gt;0,"xy",""))</f>
        <v/>
      </c>
      <c r="Q1787" s="317" t="str">
        <f t="shared" si="184"/>
        <v/>
      </c>
      <c r="R1787" s="317" t="str">
        <f t="shared" si="185"/>
        <v/>
      </c>
      <c r="S1787" s="317" t="str">
        <f t="shared" si="186"/>
        <v/>
      </c>
      <c r="T1787" s="317" t="str">
        <f>'REF. DE PREÇOS n editavel'!S1787</f>
        <v/>
      </c>
      <c r="W1787" s="577">
        <v>0</v>
      </c>
      <c r="X1787" s="575"/>
      <c r="Y1787" s="578">
        <f>IF('REF. DE PREÇOS n editavel'!W1787=0,0,IF('REF. DE PREÇOS n editavel'!W1787&gt;0,"c","b"))</f>
        <v>0</v>
      </c>
    </row>
    <row r="1788" spans="1:25" ht="15" customHeight="1">
      <c r="A1788" s="317">
        <v>640000</v>
      </c>
      <c r="B1788" s="870">
        <v>640000</v>
      </c>
      <c r="C1788" s="871" t="s">
        <v>184</v>
      </c>
      <c r="D1788" s="881" t="s">
        <v>335</v>
      </c>
      <c r="E1788" s="882">
        <f>'REF. DE PREÇOS n editavel'!E1788</f>
        <v>0</v>
      </c>
      <c r="F1788" s="883">
        <f>'REF. DE PREÇOS n editavel'!F1788</f>
        <v>0</v>
      </c>
      <c r="G1788" s="887">
        <f>'REF. DE PREÇOS n editavel'!G1788</f>
        <v>160.87890000000002</v>
      </c>
      <c r="H1788" s="876">
        <f>'REF. DE PREÇOS n editavel'!H1788</f>
        <v>104.04</v>
      </c>
      <c r="I1788" s="876">
        <f>'REF. DE PREÇOS n editavel'!I1788</f>
        <v>264.91890000000001</v>
      </c>
      <c r="J1788" s="877">
        <f>'REF. DE PREÇOS n editavel'!J1788</f>
        <v>323.77999999999997</v>
      </c>
      <c r="K1788" s="878" t="s">
        <v>13</v>
      </c>
      <c r="L1788" s="1092"/>
      <c r="M1788" s="1093">
        <f t="shared" si="183"/>
        <v>0</v>
      </c>
      <c r="N1788" s="1131">
        <f t="shared" si="187"/>
        <v>0</v>
      </c>
      <c r="O1788" s="880"/>
      <c r="Q1788" s="317" t="str">
        <f t="shared" si="184"/>
        <v/>
      </c>
      <c r="R1788" s="317" t="str">
        <f t="shared" si="185"/>
        <v/>
      </c>
      <c r="S1788" s="317" t="str">
        <f t="shared" si="186"/>
        <v/>
      </c>
      <c r="T1788" s="317" t="str">
        <f>'REF. DE PREÇOS n editavel'!S1788</f>
        <v/>
      </c>
      <c r="W1788" s="577">
        <v>0</v>
      </c>
      <c r="X1788" s="575"/>
      <c r="Y1788" s="578">
        <f>IF('REF. DE PREÇOS n editavel'!W1788=0,0,IF('REF. DE PREÇOS n editavel'!W1788&gt;0,"c","b"))</f>
        <v>0</v>
      </c>
    </row>
    <row r="1789" spans="1:25" ht="15" customHeight="1">
      <c r="A1789" s="317" t="s">
        <v>147</v>
      </c>
      <c r="B1789" s="870" t="s">
        <v>147</v>
      </c>
      <c r="C1789" s="871"/>
      <c r="D1789" s="881" t="s">
        <v>229</v>
      </c>
      <c r="E1789" s="882">
        <f>'REF. DE PREÇOS n editavel'!E1789</f>
        <v>290</v>
      </c>
      <c r="F1789" s="883">
        <f>'REF. DE PREÇOS n editavel'!F1789</f>
        <v>0.50700000000000001</v>
      </c>
      <c r="G1789" s="923">
        <f>'REF. DE PREÇOS n editavel'!G1789</f>
        <v>158.68086000000002</v>
      </c>
      <c r="H1789" s="876">
        <f>'REF. DE PREÇOS n editavel'!H1789</f>
        <v>0</v>
      </c>
      <c r="I1789" s="876">
        <f>'REF. DE PREÇOS n editavel'!I1789</f>
        <v>0</v>
      </c>
      <c r="J1789" s="877">
        <f>'REF. DE PREÇOS n editavel'!J1789</f>
        <v>0</v>
      </c>
      <c r="K1789" s="878"/>
      <c r="L1789" s="1132"/>
      <c r="M1789" s="1093">
        <f t="shared" si="183"/>
        <v>0</v>
      </c>
      <c r="N1789" s="1131">
        <f t="shared" si="187"/>
        <v>0</v>
      </c>
      <c r="O1789" s="880"/>
      <c r="P1789" s="36" t="str">
        <f>IF(N1788&gt;0,"xx",IF(N1788&gt;0,"xy",""))</f>
        <v/>
      </c>
      <c r="Q1789" s="317" t="str">
        <f t="shared" si="184"/>
        <v/>
      </c>
      <c r="R1789" s="317" t="str">
        <f t="shared" si="185"/>
        <v/>
      </c>
      <c r="S1789" s="317" t="str">
        <f t="shared" si="186"/>
        <v/>
      </c>
      <c r="T1789" s="317" t="str">
        <f>'REF. DE PREÇOS n editavel'!S1789</f>
        <v/>
      </c>
      <c r="W1789" s="577">
        <v>0</v>
      </c>
      <c r="X1789" s="575"/>
      <c r="Y1789" s="578">
        <f>IF('REF. DE PREÇOS n editavel'!W1789=0,0,IF('REF. DE PREÇOS n editavel'!W1789&gt;0,"c","b"))</f>
        <v>0</v>
      </c>
    </row>
    <row r="1790" spans="1:25" ht="15" customHeight="1">
      <c r="A1790" s="317" t="s">
        <v>147</v>
      </c>
      <c r="B1790" s="870" t="s">
        <v>147</v>
      </c>
      <c r="C1790" s="871"/>
      <c r="D1790" s="881" t="s">
        <v>336</v>
      </c>
      <c r="E1790" s="882">
        <f>'REF. DE PREÇOS n editavel'!E1790</f>
        <v>37</v>
      </c>
      <c r="F1790" s="883">
        <f>'REF. DE PREÇOS n editavel'!F1790</f>
        <v>5.1999999999999998E-2</v>
      </c>
      <c r="G1790" s="923">
        <f>'REF. DE PREÇOS n editavel'!G1790</f>
        <v>2.1980400000000002</v>
      </c>
      <c r="H1790" s="876">
        <f>'REF. DE PREÇOS n editavel'!H1790</f>
        <v>0</v>
      </c>
      <c r="I1790" s="876">
        <f>'REF. DE PREÇOS n editavel'!I1790</f>
        <v>0</v>
      </c>
      <c r="J1790" s="877">
        <f>'REF. DE PREÇOS n editavel'!J1790</f>
        <v>0</v>
      </c>
      <c r="K1790" s="878"/>
      <c r="L1790" s="1132"/>
      <c r="M1790" s="1093">
        <f t="shared" si="183"/>
        <v>0</v>
      </c>
      <c r="N1790" s="1131">
        <f t="shared" si="187"/>
        <v>0</v>
      </c>
      <c r="O1790" s="880"/>
      <c r="P1790" s="36" t="str">
        <f>IF(N1788&gt;0,"xx",IF(N1788&gt;0,"xy",""))</f>
        <v/>
      </c>
      <c r="Q1790" s="317" t="str">
        <f t="shared" si="184"/>
        <v/>
      </c>
      <c r="R1790" s="317" t="str">
        <f t="shared" si="185"/>
        <v/>
      </c>
      <c r="S1790" s="317" t="str">
        <f t="shared" si="186"/>
        <v/>
      </c>
      <c r="T1790" s="317" t="str">
        <f>'REF. DE PREÇOS n editavel'!S1790</f>
        <v/>
      </c>
      <c r="W1790" s="577">
        <v>0</v>
      </c>
      <c r="X1790" s="575"/>
      <c r="Y1790" s="578">
        <f>IF('REF. DE PREÇOS n editavel'!W1790=0,0,IF('REF. DE PREÇOS n editavel'!W1790&gt;0,"c","b"))</f>
        <v>0</v>
      </c>
    </row>
    <row r="1791" spans="1:25" ht="15" customHeight="1">
      <c r="A1791" s="317">
        <v>605000</v>
      </c>
      <c r="B1791" s="870" t="s">
        <v>1768</v>
      </c>
      <c r="C1791" s="871" t="s">
        <v>184</v>
      </c>
      <c r="D1791" s="881" t="s">
        <v>337</v>
      </c>
      <c r="E1791" s="882">
        <f>'REF. DE PREÇOS n editavel'!E1791</f>
        <v>0</v>
      </c>
      <c r="F1791" s="883">
        <f>'REF. DE PREÇOS n editavel'!F1791</f>
        <v>0</v>
      </c>
      <c r="G1791" s="887">
        <f>'REF. DE PREÇOS n editavel'!G1791</f>
        <v>449.80907000000002</v>
      </c>
      <c r="H1791" s="876">
        <f>'REF. DE PREÇOS n editavel'!H1791</f>
        <v>425.25</v>
      </c>
      <c r="I1791" s="876">
        <f>'REF. DE PREÇOS n editavel'!I1791</f>
        <v>875.05907000000002</v>
      </c>
      <c r="J1791" s="877">
        <f>'REF. DE PREÇOS n editavel'!J1791</f>
        <v>1069.5</v>
      </c>
      <c r="K1791" s="878" t="s">
        <v>10</v>
      </c>
      <c r="L1791" s="1092"/>
      <c r="M1791" s="1093">
        <f t="shared" si="183"/>
        <v>0</v>
      </c>
      <c r="N1791" s="1131">
        <f t="shared" si="187"/>
        <v>0</v>
      </c>
      <c r="O1791" s="880"/>
      <c r="Q1791" s="317" t="str">
        <f t="shared" si="184"/>
        <v/>
      </c>
      <c r="R1791" s="317" t="str">
        <f t="shared" si="185"/>
        <v/>
      </c>
      <c r="S1791" s="317" t="str">
        <f t="shared" si="186"/>
        <v/>
      </c>
      <c r="T1791" s="317" t="str">
        <f>'REF. DE PREÇOS n editavel'!S1791</f>
        <v/>
      </c>
      <c r="W1791" s="577">
        <v>0</v>
      </c>
      <c r="X1791" s="575"/>
      <c r="Y1791" s="578">
        <f>IF('REF. DE PREÇOS n editavel'!W1791=0,0,IF('REF. DE PREÇOS n editavel'!W1791&gt;0,"c","b"))</f>
        <v>0</v>
      </c>
    </row>
    <row r="1792" spans="1:25" ht="15" customHeight="1">
      <c r="A1792" s="317" t="s">
        <v>147</v>
      </c>
      <c r="B1792" s="870" t="s">
        <v>147</v>
      </c>
      <c r="C1792" s="871"/>
      <c r="D1792" s="881" t="s">
        <v>190</v>
      </c>
      <c r="E1792" s="882">
        <f>'REF. DE PREÇOS n editavel'!E1792</f>
        <v>445</v>
      </c>
      <c r="F1792" s="883">
        <f>'REF. DE PREÇOS n editavel'!F1792</f>
        <v>0.18</v>
      </c>
      <c r="G1792" s="884">
        <f>'REF. DE PREÇOS n editavel'!G1792</f>
        <v>63.885600000000004</v>
      </c>
      <c r="H1792" s="876">
        <f>'REF. DE PREÇOS n editavel'!H1792</f>
        <v>0</v>
      </c>
      <c r="I1792" s="876">
        <f>'REF. DE PREÇOS n editavel'!I1792</f>
        <v>0</v>
      </c>
      <c r="J1792" s="877">
        <f>'REF. DE PREÇOS n editavel'!J1792</f>
        <v>0</v>
      </c>
      <c r="K1792" s="878"/>
      <c r="L1792" s="1132"/>
      <c r="M1792" s="1093">
        <f t="shared" si="183"/>
        <v>0</v>
      </c>
      <c r="N1792" s="1131">
        <f t="shared" si="187"/>
        <v>0</v>
      </c>
      <c r="O1792" s="880"/>
      <c r="P1792" s="36" t="str">
        <f>IF(N1791&gt;0,"xx",IF(N1791&gt;0,"xy",""))</f>
        <v/>
      </c>
      <c r="Q1792" s="317" t="str">
        <f t="shared" si="184"/>
        <v/>
      </c>
      <c r="R1792" s="317" t="str">
        <f t="shared" si="185"/>
        <v/>
      </c>
      <c r="S1792" s="317" t="str">
        <f t="shared" si="186"/>
        <v/>
      </c>
      <c r="T1792" s="317" t="str">
        <f>'REF. DE PREÇOS n editavel'!S1792</f>
        <v/>
      </c>
      <c r="W1792" s="577">
        <v>0</v>
      </c>
      <c r="X1792" s="575"/>
      <c r="Y1792" s="578">
        <f>IF('REF. DE PREÇOS n editavel'!W1792=0,0,IF('REF. DE PREÇOS n editavel'!W1792&gt;0,"c","b"))</f>
        <v>0</v>
      </c>
    </row>
    <row r="1793" spans="1:25" ht="15" customHeight="1">
      <c r="A1793" s="317" t="s">
        <v>147</v>
      </c>
      <c r="B1793" s="870" t="s">
        <v>147</v>
      </c>
      <c r="C1793" s="871"/>
      <c r="D1793" s="881" t="s">
        <v>229</v>
      </c>
      <c r="E1793" s="882">
        <f>'REF. DE PREÇOS n editavel'!E1793</f>
        <v>290</v>
      </c>
      <c r="F1793" s="883">
        <f>'REF. DE PREÇOS n editavel'!F1793</f>
        <v>1.06</v>
      </c>
      <c r="G1793" s="923">
        <f>'REF. DE PREÇOS n editavel'!G1793</f>
        <v>331.75880000000001</v>
      </c>
      <c r="H1793" s="876">
        <f>'REF. DE PREÇOS n editavel'!H1793</f>
        <v>0</v>
      </c>
      <c r="I1793" s="876">
        <f>'REF. DE PREÇOS n editavel'!I1793</f>
        <v>0</v>
      </c>
      <c r="J1793" s="877">
        <f>'REF. DE PREÇOS n editavel'!J1793</f>
        <v>0</v>
      </c>
      <c r="K1793" s="878"/>
      <c r="L1793" s="1132"/>
      <c r="M1793" s="1093">
        <f t="shared" si="183"/>
        <v>0</v>
      </c>
      <c r="N1793" s="1131">
        <f t="shared" si="187"/>
        <v>0</v>
      </c>
      <c r="O1793" s="880"/>
      <c r="P1793" s="36" t="str">
        <f>IF(N1791&gt;0,"xx",IF(N1791&gt;0,"xy",""))</f>
        <v/>
      </c>
      <c r="Q1793" s="317" t="str">
        <f t="shared" si="184"/>
        <v/>
      </c>
      <c r="R1793" s="317" t="str">
        <f t="shared" si="185"/>
        <v/>
      </c>
      <c r="S1793" s="317" t="str">
        <f t="shared" si="186"/>
        <v/>
      </c>
      <c r="T1793" s="317" t="str">
        <f>'REF. DE PREÇOS n editavel'!S1793</f>
        <v/>
      </c>
      <c r="W1793" s="577">
        <v>0</v>
      </c>
      <c r="X1793" s="575"/>
      <c r="Y1793" s="578">
        <f>IF('REF. DE PREÇOS n editavel'!W1793=0,0,IF('REF. DE PREÇOS n editavel'!W1793&gt;0,"c","b"))</f>
        <v>0</v>
      </c>
    </row>
    <row r="1794" spans="1:25" ht="15" customHeight="1">
      <c r="A1794" s="317" t="s">
        <v>147</v>
      </c>
      <c r="B1794" s="870" t="s">
        <v>147</v>
      </c>
      <c r="C1794" s="871"/>
      <c r="D1794" s="881" t="s">
        <v>233</v>
      </c>
      <c r="E1794" s="882">
        <f>'REF. DE PREÇOS n editavel'!E1794</f>
        <v>43.1</v>
      </c>
      <c r="F1794" s="883">
        <f>'REF. DE PREÇOS n editavel'!F1794</f>
        <v>1.1100000000000001</v>
      </c>
      <c r="G1794" s="923">
        <f>'REF. DE PREÇOS n editavel'!G1794</f>
        <v>54.164670000000008</v>
      </c>
      <c r="H1794" s="876">
        <f>'REF. DE PREÇOS n editavel'!H1794</f>
        <v>0</v>
      </c>
      <c r="I1794" s="876">
        <f>'REF. DE PREÇOS n editavel'!I1794</f>
        <v>0</v>
      </c>
      <c r="J1794" s="877">
        <f>'REF. DE PREÇOS n editavel'!J1794</f>
        <v>0</v>
      </c>
      <c r="K1794" s="878"/>
      <c r="L1794" s="1132"/>
      <c r="M1794" s="1093">
        <f t="shared" si="183"/>
        <v>0</v>
      </c>
      <c r="N1794" s="1131">
        <f t="shared" si="187"/>
        <v>0</v>
      </c>
      <c r="O1794" s="880"/>
      <c r="P1794" s="36" t="str">
        <f>IF(N1791&gt;0,"xx",IF(N1791&gt;0,"xy",""))</f>
        <v/>
      </c>
      <c r="Q1794" s="317" t="str">
        <f t="shared" si="184"/>
        <v/>
      </c>
      <c r="R1794" s="317" t="str">
        <f t="shared" si="185"/>
        <v/>
      </c>
      <c r="S1794" s="317" t="str">
        <f t="shared" si="186"/>
        <v/>
      </c>
      <c r="T1794" s="317" t="str">
        <f>'REF. DE PREÇOS n editavel'!S1794</f>
        <v/>
      </c>
      <c r="W1794" s="577">
        <v>0</v>
      </c>
      <c r="X1794" s="575"/>
      <c r="Y1794" s="578">
        <f>IF('REF. DE PREÇOS n editavel'!W1794=0,0,IF('REF. DE PREÇOS n editavel'!W1794&gt;0,"c","b"))</f>
        <v>0</v>
      </c>
    </row>
    <row r="1795" spans="1:25" ht="15" customHeight="1">
      <c r="A1795" s="317">
        <v>606000</v>
      </c>
      <c r="B1795" s="870" t="s">
        <v>1776</v>
      </c>
      <c r="C1795" s="871" t="s">
        <v>184</v>
      </c>
      <c r="D1795" s="881" t="s">
        <v>529</v>
      </c>
      <c r="E1795" s="882">
        <f>'REF. DE PREÇOS n editavel'!E1795</f>
        <v>0</v>
      </c>
      <c r="F1795" s="883">
        <f>'REF. DE PREÇOS n editavel'!F1795</f>
        <v>0</v>
      </c>
      <c r="G1795" s="887">
        <f>'REF. DE PREÇOS n editavel'!G1795</f>
        <v>337.27635900000007</v>
      </c>
      <c r="H1795" s="876">
        <f>'REF. DE PREÇOS n editavel'!H1795</f>
        <v>378.9</v>
      </c>
      <c r="I1795" s="876">
        <f>'REF. DE PREÇOS n editavel'!I1795</f>
        <v>716.17635900000005</v>
      </c>
      <c r="J1795" s="877">
        <f>'REF. DE PREÇOS n editavel'!J1795</f>
        <v>875.31</v>
      </c>
      <c r="K1795" s="878" t="s">
        <v>10</v>
      </c>
      <c r="L1795" s="1092"/>
      <c r="M1795" s="1093">
        <f t="shared" si="183"/>
        <v>0</v>
      </c>
      <c r="N1795" s="1131">
        <f t="shared" si="187"/>
        <v>0</v>
      </c>
      <c r="O1795" s="880"/>
      <c r="Q1795" s="317" t="str">
        <f t="shared" si="184"/>
        <v/>
      </c>
      <c r="R1795" s="317" t="str">
        <f t="shared" si="185"/>
        <v/>
      </c>
      <c r="S1795" s="317" t="str">
        <f t="shared" si="186"/>
        <v/>
      </c>
      <c r="T1795" s="317" t="str">
        <f>'REF. DE PREÇOS n editavel'!S1795</f>
        <v/>
      </c>
      <c r="W1795" s="577">
        <v>0</v>
      </c>
      <c r="X1795" s="575"/>
      <c r="Y1795" s="578">
        <f>IF('REF. DE PREÇOS n editavel'!W1795=0,0,IF('REF. DE PREÇOS n editavel'!W1795&gt;0,"c","b"))</f>
        <v>0</v>
      </c>
    </row>
    <row r="1796" spans="1:25" ht="15" customHeight="1">
      <c r="A1796" s="317" t="s">
        <v>147</v>
      </c>
      <c r="B1796" s="870" t="s">
        <v>147</v>
      </c>
      <c r="C1796" s="871"/>
      <c r="D1796" s="881" t="s">
        <v>190</v>
      </c>
      <c r="E1796" s="882">
        <f>'REF. DE PREÇOS n editavel'!E1796</f>
        <v>445</v>
      </c>
      <c r="F1796" s="883">
        <f>'REF. DE PREÇOS n editavel'!F1796</f>
        <v>0.189</v>
      </c>
      <c r="G1796" s="884">
        <f>'REF. DE PREÇOS n editavel'!G1796</f>
        <v>67.079880000000003</v>
      </c>
      <c r="H1796" s="876">
        <f>'REF. DE PREÇOS n editavel'!H1796</f>
        <v>0</v>
      </c>
      <c r="I1796" s="876">
        <f>'REF. DE PREÇOS n editavel'!I1796</f>
        <v>0</v>
      </c>
      <c r="J1796" s="877">
        <f>'REF. DE PREÇOS n editavel'!J1796</f>
        <v>0</v>
      </c>
      <c r="K1796" s="878"/>
      <c r="L1796" s="1132"/>
      <c r="M1796" s="1093">
        <f t="shared" si="183"/>
        <v>0</v>
      </c>
      <c r="N1796" s="1131">
        <f t="shared" si="187"/>
        <v>0</v>
      </c>
      <c r="O1796" s="880"/>
      <c r="P1796" s="36" t="str">
        <f>IF(N1795&gt;0,"xx",IF(N1795&gt;0,"xy",""))</f>
        <v/>
      </c>
      <c r="Q1796" s="317" t="str">
        <f t="shared" si="184"/>
        <v/>
      </c>
      <c r="R1796" s="317" t="str">
        <f t="shared" si="185"/>
        <v/>
      </c>
      <c r="S1796" s="317" t="str">
        <f t="shared" si="186"/>
        <v/>
      </c>
      <c r="T1796" s="317" t="str">
        <f>'REF. DE PREÇOS n editavel'!S1796</f>
        <v/>
      </c>
      <c r="W1796" s="577">
        <v>0</v>
      </c>
      <c r="X1796" s="575"/>
      <c r="Y1796" s="578">
        <f>IF('REF. DE PREÇOS n editavel'!W1796=0,0,IF('REF. DE PREÇOS n editavel'!W1796&gt;0,"c","b"))</f>
        <v>0</v>
      </c>
    </row>
    <row r="1797" spans="1:25" ht="15" customHeight="1">
      <c r="A1797" s="317" t="s">
        <v>147</v>
      </c>
      <c r="B1797" s="870" t="s">
        <v>147</v>
      </c>
      <c r="C1797" s="871"/>
      <c r="D1797" s="881" t="s">
        <v>229</v>
      </c>
      <c r="E1797" s="882">
        <f>'REF. DE PREÇOS n editavel'!E1797</f>
        <v>290</v>
      </c>
      <c r="F1797" s="883">
        <f>'REF. DE PREÇOS n editavel'!F1797</f>
        <v>0.67200000000000004</v>
      </c>
      <c r="G1797" s="923">
        <f>'REF. DE PREÇOS n editavel'!G1797</f>
        <v>210.32256000000004</v>
      </c>
      <c r="H1797" s="876">
        <f>'REF. DE PREÇOS n editavel'!H1797</f>
        <v>0</v>
      </c>
      <c r="I1797" s="876">
        <f>'REF. DE PREÇOS n editavel'!I1797</f>
        <v>0</v>
      </c>
      <c r="J1797" s="877">
        <f>'REF. DE PREÇOS n editavel'!J1797</f>
        <v>0</v>
      </c>
      <c r="K1797" s="878"/>
      <c r="L1797" s="1132"/>
      <c r="M1797" s="1093">
        <f t="shared" si="183"/>
        <v>0</v>
      </c>
      <c r="N1797" s="1131">
        <f t="shared" si="187"/>
        <v>0</v>
      </c>
      <c r="O1797" s="880"/>
      <c r="P1797" s="36" t="str">
        <f>IF(N1795&gt;0,"xx",IF(N1795&gt;0,"xy",""))</f>
        <v/>
      </c>
      <c r="Q1797" s="317" t="str">
        <f t="shared" si="184"/>
        <v/>
      </c>
      <c r="R1797" s="317" t="str">
        <f t="shared" si="185"/>
        <v/>
      </c>
      <c r="S1797" s="317" t="str">
        <f t="shared" si="186"/>
        <v/>
      </c>
      <c r="T1797" s="317" t="str">
        <f>'REF. DE PREÇOS n editavel'!S1797</f>
        <v/>
      </c>
      <c r="W1797" s="577">
        <v>0</v>
      </c>
      <c r="X1797" s="575"/>
      <c r="Y1797" s="578">
        <f>IF('REF. DE PREÇOS n editavel'!W1797=0,0,IF('REF. DE PREÇOS n editavel'!W1797&gt;0,"c","b"))</f>
        <v>0</v>
      </c>
    </row>
    <row r="1798" spans="1:25" ht="15" customHeight="1">
      <c r="A1798" s="317" t="s">
        <v>147</v>
      </c>
      <c r="B1798" s="870" t="s">
        <v>147</v>
      </c>
      <c r="C1798" s="871"/>
      <c r="D1798" s="881" t="s">
        <v>339</v>
      </c>
      <c r="E1798" s="882">
        <f>'REF. DE PREÇOS n editavel'!E1798</f>
        <v>43.1</v>
      </c>
      <c r="F1798" s="883">
        <f>'REF. DE PREÇOS n editavel'!F1798</f>
        <v>1.2270000000000001</v>
      </c>
      <c r="G1798" s="923">
        <f>'REF. DE PREÇOS n editavel'!G1798</f>
        <v>59.873919000000008</v>
      </c>
      <c r="H1798" s="876">
        <f>'REF. DE PREÇOS n editavel'!H1798</f>
        <v>0</v>
      </c>
      <c r="I1798" s="876">
        <f>'REF. DE PREÇOS n editavel'!I1798</f>
        <v>0</v>
      </c>
      <c r="J1798" s="877">
        <f>'REF. DE PREÇOS n editavel'!J1798</f>
        <v>0</v>
      </c>
      <c r="K1798" s="878"/>
      <c r="L1798" s="1132"/>
      <c r="M1798" s="1093">
        <f t="shared" ref="M1798:M1861" si="188">IF(L1798=0,0,ROUND(J1798,2))</f>
        <v>0</v>
      </c>
      <c r="N1798" s="1131">
        <f t="shared" si="187"/>
        <v>0</v>
      </c>
      <c r="O1798" s="880"/>
      <c r="P1798" s="36" t="str">
        <f>IF(N1795&gt;0,"xx",IF(N1795&gt;0,"xy",""))</f>
        <v/>
      </c>
      <c r="Q1798" s="317" t="str">
        <f t="shared" si="184"/>
        <v/>
      </c>
      <c r="R1798" s="317" t="str">
        <f t="shared" si="185"/>
        <v/>
      </c>
      <c r="S1798" s="317" t="str">
        <f t="shared" si="186"/>
        <v/>
      </c>
      <c r="T1798" s="317" t="str">
        <f>'REF. DE PREÇOS n editavel'!S1798</f>
        <v/>
      </c>
      <c r="W1798" s="577">
        <v>0</v>
      </c>
      <c r="X1798" s="575"/>
      <c r="Y1798" s="578">
        <f>IF('REF. DE PREÇOS n editavel'!W1798=0,0,IF('REF. DE PREÇOS n editavel'!W1798&gt;0,"c","b"))</f>
        <v>0</v>
      </c>
    </row>
    <row r="1799" spans="1:25" ht="15" customHeight="1">
      <c r="A1799" s="317">
        <v>605100</v>
      </c>
      <c r="B1799" s="870">
        <v>605100</v>
      </c>
      <c r="C1799" s="871" t="s">
        <v>184</v>
      </c>
      <c r="D1799" s="881" t="s">
        <v>794</v>
      </c>
      <c r="E1799" s="882">
        <f>'REF. DE PREÇOS n editavel'!E1799</f>
        <v>0</v>
      </c>
      <c r="F1799" s="883">
        <f>'REF. DE PREÇOS n editavel'!F1799</f>
        <v>0</v>
      </c>
      <c r="G1799" s="887">
        <f>'REF. DE PREÇOS n editavel'!G1799</f>
        <v>456.90746999999999</v>
      </c>
      <c r="H1799" s="876">
        <f>'REF. DE PREÇOS n editavel'!H1799</f>
        <v>436.57</v>
      </c>
      <c r="I1799" s="876">
        <f>'REF. DE PREÇOS n editavel'!I1799</f>
        <v>893.47747000000004</v>
      </c>
      <c r="J1799" s="877">
        <f>'REF. DE PREÇOS n editavel'!J1799</f>
        <v>1092.01</v>
      </c>
      <c r="K1799" s="878" t="s">
        <v>10</v>
      </c>
      <c r="L1799" s="1092"/>
      <c r="M1799" s="1093">
        <f t="shared" si="188"/>
        <v>0</v>
      </c>
      <c r="N1799" s="1131">
        <f t="shared" si="187"/>
        <v>0</v>
      </c>
      <c r="O1799" s="880"/>
      <c r="Q1799" s="317" t="str">
        <f t="shared" si="184"/>
        <v/>
      </c>
      <c r="R1799" s="317" t="str">
        <f t="shared" si="185"/>
        <v/>
      </c>
      <c r="S1799" s="317" t="str">
        <f t="shared" si="186"/>
        <v/>
      </c>
      <c r="T1799" s="317" t="str">
        <f>'REF. DE PREÇOS n editavel'!S1799</f>
        <v/>
      </c>
      <c r="W1799" s="577">
        <v>0</v>
      </c>
      <c r="X1799" s="575"/>
      <c r="Y1799" s="578">
        <f>IF('REF. DE PREÇOS n editavel'!W1799=0,0,IF('REF. DE PREÇOS n editavel'!W1799&gt;0,"c","b"))</f>
        <v>0</v>
      </c>
    </row>
    <row r="1800" spans="1:25" ht="15" customHeight="1">
      <c r="A1800" s="317" t="s">
        <v>147</v>
      </c>
      <c r="B1800" s="870" t="s">
        <v>147</v>
      </c>
      <c r="C1800" s="871"/>
      <c r="D1800" s="881" t="s">
        <v>190</v>
      </c>
      <c r="E1800" s="882">
        <f>'REF. DE PREÇOS n editavel'!E1800</f>
        <v>445</v>
      </c>
      <c r="F1800" s="883">
        <f>'REF. DE PREÇOS n editavel'!F1800</f>
        <v>0.2</v>
      </c>
      <c r="G1800" s="884">
        <f>'REF. DE PREÇOS n editavel'!G1800</f>
        <v>70.984000000000009</v>
      </c>
      <c r="H1800" s="876">
        <f>'REF. DE PREÇOS n editavel'!H1800</f>
        <v>0</v>
      </c>
      <c r="I1800" s="876">
        <f>'REF. DE PREÇOS n editavel'!I1800</f>
        <v>0</v>
      </c>
      <c r="J1800" s="877">
        <f>'REF. DE PREÇOS n editavel'!J1800</f>
        <v>0</v>
      </c>
      <c r="K1800" s="878"/>
      <c r="L1800" s="1132"/>
      <c r="M1800" s="1093">
        <f t="shared" si="188"/>
        <v>0</v>
      </c>
      <c r="N1800" s="1131">
        <f t="shared" si="187"/>
        <v>0</v>
      </c>
      <c r="O1800" s="880"/>
      <c r="P1800" s="36" t="str">
        <f>IF(N1799&gt;0,"xx",IF(N1799&gt;0,"xy",""))</f>
        <v/>
      </c>
      <c r="Q1800" s="317" t="str">
        <f t="shared" si="184"/>
        <v/>
      </c>
      <c r="R1800" s="317" t="str">
        <f t="shared" si="185"/>
        <v/>
      </c>
      <c r="S1800" s="317" t="str">
        <f t="shared" si="186"/>
        <v/>
      </c>
      <c r="T1800" s="317" t="str">
        <f>'REF. DE PREÇOS n editavel'!S1800</f>
        <v/>
      </c>
      <c r="W1800" s="577">
        <v>0</v>
      </c>
      <c r="X1800" s="575"/>
      <c r="Y1800" s="578">
        <f>IF('REF. DE PREÇOS n editavel'!W1800=0,0,IF('REF. DE PREÇOS n editavel'!W1800&gt;0,"c","b"))</f>
        <v>0</v>
      </c>
    </row>
    <row r="1801" spans="1:25" ht="15" customHeight="1">
      <c r="A1801" s="317" t="s">
        <v>147</v>
      </c>
      <c r="B1801" s="870" t="s">
        <v>147</v>
      </c>
      <c r="C1801" s="871"/>
      <c r="D1801" s="881" t="s">
        <v>229</v>
      </c>
      <c r="E1801" s="882">
        <f>'REF. DE PREÇOS n editavel'!E1801</f>
        <v>290</v>
      </c>
      <c r="F1801" s="883">
        <f>'REF. DE PREÇOS n editavel'!F1801</f>
        <v>1.06</v>
      </c>
      <c r="G1801" s="923">
        <f>'REF. DE PREÇOS n editavel'!G1801</f>
        <v>331.75880000000001</v>
      </c>
      <c r="H1801" s="876">
        <f>'REF. DE PREÇOS n editavel'!H1801</f>
        <v>0</v>
      </c>
      <c r="I1801" s="876">
        <f>'REF. DE PREÇOS n editavel'!I1801</f>
        <v>0</v>
      </c>
      <c r="J1801" s="877">
        <f>'REF. DE PREÇOS n editavel'!J1801</f>
        <v>0</v>
      </c>
      <c r="K1801" s="878"/>
      <c r="L1801" s="1132"/>
      <c r="M1801" s="1093">
        <f t="shared" si="188"/>
        <v>0</v>
      </c>
      <c r="N1801" s="1131">
        <f t="shared" si="187"/>
        <v>0</v>
      </c>
      <c r="O1801" s="880"/>
      <c r="P1801" s="36" t="str">
        <f>IF(N1799&gt;0,"xx",IF(N1799&gt;0,"xy",""))</f>
        <v/>
      </c>
      <c r="Q1801" s="317" t="str">
        <f t="shared" si="184"/>
        <v/>
      </c>
      <c r="R1801" s="317" t="str">
        <f t="shared" si="185"/>
        <v/>
      </c>
      <c r="S1801" s="317" t="str">
        <f t="shared" si="186"/>
        <v/>
      </c>
      <c r="T1801" s="317" t="str">
        <f>'REF. DE PREÇOS n editavel'!S1801</f>
        <v/>
      </c>
      <c r="W1801" s="577">
        <v>0</v>
      </c>
      <c r="X1801" s="575"/>
      <c r="Y1801" s="578">
        <f>IF('REF. DE PREÇOS n editavel'!W1801=0,0,IF('REF. DE PREÇOS n editavel'!W1801&gt;0,"c","b"))</f>
        <v>0</v>
      </c>
    </row>
    <row r="1802" spans="1:25" ht="15" customHeight="1">
      <c r="A1802" s="317" t="s">
        <v>147</v>
      </c>
      <c r="B1802" s="870" t="s">
        <v>147</v>
      </c>
      <c r="C1802" s="871"/>
      <c r="D1802" s="881" t="s">
        <v>233</v>
      </c>
      <c r="E1802" s="882">
        <f>'REF. DE PREÇOS n editavel'!E1802</f>
        <v>43.1</v>
      </c>
      <c r="F1802" s="883">
        <f>'REF. DE PREÇOS n editavel'!F1802</f>
        <v>1.1100000000000001</v>
      </c>
      <c r="G1802" s="923">
        <f>'REF. DE PREÇOS n editavel'!G1802</f>
        <v>54.164670000000008</v>
      </c>
      <c r="H1802" s="876">
        <f>'REF. DE PREÇOS n editavel'!H1802</f>
        <v>0</v>
      </c>
      <c r="I1802" s="876">
        <f>'REF. DE PREÇOS n editavel'!I1802</f>
        <v>0</v>
      </c>
      <c r="J1802" s="877">
        <f>'REF. DE PREÇOS n editavel'!J1802</f>
        <v>0</v>
      </c>
      <c r="K1802" s="878"/>
      <c r="L1802" s="1132"/>
      <c r="M1802" s="1093">
        <f t="shared" si="188"/>
        <v>0</v>
      </c>
      <c r="N1802" s="1131">
        <f t="shared" si="187"/>
        <v>0</v>
      </c>
      <c r="O1802" s="880"/>
      <c r="P1802" s="36" t="str">
        <f>IF(N1799&gt;0,"xx",IF(N1799&gt;0,"xy",""))</f>
        <v/>
      </c>
      <c r="Q1802" s="317" t="str">
        <f t="shared" si="184"/>
        <v/>
      </c>
      <c r="R1802" s="317" t="str">
        <f t="shared" si="185"/>
        <v/>
      </c>
      <c r="S1802" s="317" t="str">
        <f t="shared" si="186"/>
        <v/>
      </c>
      <c r="T1802" s="317" t="str">
        <f>'REF. DE PREÇOS n editavel'!S1802</f>
        <v/>
      </c>
      <c r="W1802" s="577">
        <v>0</v>
      </c>
      <c r="X1802" s="575"/>
      <c r="Y1802" s="578">
        <f>IF('REF. DE PREÇOS n editavel'!W1802=0,0,IF('REF. DE PREÇOS n editavel'!W1802&gt;0,"c","b"))</f>
        <v>0</v>
      </c>
    </row>
    <row r="1803" spans="1:25" ht="15" customHeight="1">
      <c r="A1803" s="317">
        <v>605200</v>
      </c>
      <c r="B1803" s="870" t="s">
        <v>1778</v>
      </c>
      <c r="C1803" s="871" t="s">
        <v>184</v>
      </c>
      <c r="D1803" s="881" t="s">
        <v>340</v>
      </c>
      <c r="E1803" s="882">
        <f>'REF. DE PREÇOS n editavel'!E1803</f>
        <v>0</v>
      </c>
      <c r="F1803" s="883">
        <f>'REF. DE PREÇOS n editavel'!F1803</f>
        <v>0</v>
      </c>
      <c r="G1803" s="887">
        <f>'REF. DE PREÇOS n editavel'!G1803</f>
        <v>450.45387000000005</v>
      </c>
      <c r="H1803" s="876">
        <f>'REF. DE PREÇOS n editavel'!H1803</f>
        <v>471.16</v>
      </c>
      <c r="I1803" s="876">
        <f>'REF. DE PREÇOS n editavel'!I1803</f>
        <v>921.61387000000013</v>
      </c>
      <c r="J1803" s="877">
        <f>'REF. DE PREÇOS n editavel'!J1803</f>
        <v>1126.4000000000001</v>
      </c>
      <c r="K1803" s="878" t="s">
        <v>10</v>
      </c>
      <c r="L1803" s="1092"/>
      <c r="M1803" s="1093">
        <f t="shared" si="188"/>
        <v>0</v>
      </c>
      <c r="N1803" s="1131">
        <f t="shared" si="187"/>
        <v>0</v>
      </c>
      <c r="O1803" s="880"/>
      <c r="Q1803" s="317" t="str">
        <f t="shared" si="184"/>
        <v/>
      </c>
      <c r="R1803" s="317" t="str">
        <f t="shared" si="185"/>
        <v/>
      </c>
      <c r="S1803" s="317" t="str">
        <f t="shared" si="186"/>
        <v/>
      </c>
      <c r="T1803" s="317" t="str">
        <f>'REF. DE PREÇOS n editavel'!S1803</f>
        <v/>
      </c>
      <c r="W1803" s="577">
        <v>0</v>
      </c>
      <c r="X1803" s="575"/>
      <c r="Y1803" s="578">
        <f>IF('REF. DE PREÇOS n editavel'!W1803=0,0,IF('REF. DE PREÇOS n editavel'!W1803&gt;0,"c","b"))</f>
        <v>0</v>
      </c>
    </row>
    <row r="1804" spans="1:25" ht="15" customHeight="1">
      <c r="A1804" s="317" t="s">
        <v>147</v>
      </c>
      <c r="B1804" s="870" t="s">
        <v>147</v>
      </c>
      <c r="C1804" s="871"/>
      <c r="D1804" s="881" t="s">
        <v>190</v>
      </c>
      <c r="E1804" s="882">
        <f>'REF. DE PREÇOS n editavel'!E1804</f>
        <v>445</v>
      </c>
      <c r="F1804" s="883">
        <f>'REF. DE PREÇOS n editavel'!F1804</f>
        <v>0.27</v>
      </c>
      <c r="G1804" s="884">
        <f>'REF. DE PREÇOS n editavel'!G1804</f>
        <v>95.828400000000016</v>
      </c>
      <c r="H1804" s="876">
        <f>'REF. DE PREÇOS n editavel'!H1804</f>
        <v>0</v>
      </c>
      <c r="I1804" s="876">
        <f>'REF. DE PREÇOS n editavel'!I1804</f>
        <v>0</v>
      </c>
      <c r="J1804" s="877">
        <f>'REF. DE PREÇOS n editavel'!J1804</f>
        <v>0</v>
      </c>
      <c r="K1804" s="878"/>
      <c r="L1804" s="1132"/>
      <c r="M1804" s="1093">
        <f t="shared" si="188"/>
        <v>0</v>
      </c>
      <c r="N1804" s="1131">
        <f t="shared" si="187"/>
        <v>0</v>
      </c>
      <c r="O1804" s="880"/>
      <c r="P1804" s="36" t="str">
        <f>IF(N1803&gt;0,"xx",IF(N1803&gt;0,"xy",""))</f>
        <v/>
      </c>
      <c r="Q1804" s="317" t="str">
        <f t="shared" si="184"/>
        <v/>
      </c>
      <c r="R1804" s="317" t="str">
        <f t="shared" si="185"/>
        <v/>
      </c>
      <c r="S1804" s="317" t="str">
        <f t="shared" si="186"/>
        <v/>
      </c>
      <c r="T1804" s="317" t="str">
        <f>'REF. DE PREÇOS n editavel'!S1804</f>
        <v/>
      </c>
      <c r="W1804" s="577">
        <v>0</v>
      </c>
      <c r="X1804" s="575"/>
      <c r="Y1804" s="578">
        <f>IF('REF. DE PREÇOS n editavel'!W1804=0,0,IF('REF. DE PREÇOS n editavel'!W1804&gt;0,"c","b"))</f>
        <v>0</v>
      </c>
    </row>
    <row r="1805" spans="1:25" ht="15" customHeight="1">
      <c r="A1805" s="317" t="s">
        <v>147</v>
      </c>
      <c r="B1805" s="870" t="s">
        <v>147</v>
      </c>
      <c r="C1805" s="871"/>
      <c r="D1805" s="881" t="s">
        <v>229</v>
      </c>
      <c r="E1805" s="882">
        <f>'REF. DE PREÇOS n editavel'!E1805</f>
        <v>290</v>
      </c>
      <c r="F1805" s="883">
        <f>'REF. DE PREÇOS n editavel'!F1805</f>
        <v>0.96</v>
      </c>
      <c r="G1805" s="923">
        <f>'REF. DE PREÇOS n editavel'!G1805</f>
        <v>300.46080000000001</v>
      </c>
      <c r="H1805" s="876">
        <f>'REF. DE PREÇOS n editavel'!H1805</f>
        <v>0</v>
      </c>
      <c r="I1805" s="876">
        <f>'REF. DE PREÇOS n editavel'!I1805</f>
        <v>0</v>
      </c>
      <c r="J1805" s="877">
        <f>'REF. DE PREÇOS n editavel'!J1805</f>
        <v>0</v>
      </c>
      <c r="K1805" s="878"/>
      <c r="L1805" s="1132"/>
      <c r="M1805" s="1093">
        <f t="shared" si="188"/>
        <v>0</v>
      </c>
      <c r="N1805" s="1131">
        <f t="shared" si="187"/>
        <v>0</v>
      </c>
      <c r="O1805" s="880"/>
      <c r="P1805" s="36" t="str">
        <f>IF(N1803&gt;0,"xx",IF(N1803&gt;0,"xy",""))</f>
        <v/>
      </c>
      <c r="Q1805" s="317" t="str">
        <f t="shared" si="184"/>
        <v/>
      </c>
      <c r="R1805" s="317" t="str">
        <f t="shared" si="185"/>
        <v/>
      </c>
      <c r="S1805" s="317" t="str">
        <f t="shared" si="186"/>
        <v/>
      </c>
      <c r="T1805" s="317" t="str">
        <f>'REF. DE PREÇOS n editavel'!S1805</f>
        <v/>
      </c>
      <c r="W1805" s="577">
        <v>0</v>
      </c>
      <c r="X1805" s="575"/>
      <c r="Y1805" s="578">
        <f>IF('REF. DE PREÇOS n editavel'!W1805=0,0,IF('REF. DE PREÇOS n editavel'!W1805&gt;0,"c","b"))</f>
        <v>0</v>
      </c>
    </row>
    <row r="1806" spans="1:25" ht="15" customHeight="1">
      <c r="A1806" s="317" t="s">
        <v>147</v>
      </c>
      <c r="B1806" s="870" t="s">
        <v>147</v>
      </c>
      <c r="C1806" s="871"/>
      <c r="D1806" s="881" t="s">
        <v>233</v>
      </c>
      <c r="E1806" s="882">
        <f>'REF. DE PREÇOS n editavel'!E1806</f>
        <v>43.1</v>
      </c>
      <c r="F1806" s="883">
        <f>'REF. DE PREÇOS n editavel'!F1806</f>
        <v>1.1100000000000001</v>
      </c>
      <c r="G1806" s="923">
        <f>'REF. DE PREÇOS n editavel'!G1806</f>
        <v>54.164670000000008</v>
      </c>
      <c r="H1806" s="876">
        <f>'REF. DE PREÇOS n editavel'!H1806</f>
        <v>0</v>
      </c>
      <c r="I1806" s="876">
        <f>'REF. DE PREÇOS n editavel'!I1806</f>
        <v>0</v>
      </c>
      <c r="J1806" s="877">
        <f>'REF. DE PREÇOS n editavel'!J1806</f>
        <v>0</v>
      </c>
      <c r="K1806" s="878"/>
      <c r="L1806" s="1132"/>
      <c r="M1806" s="1093">
        <f t="shared" si="188"/>
        <v>0</v>
      </c>
      <c r="N1806" s="1131">
        <f t="shared" si="187"/>
        <v>0</v>
      </c>
      <c r="O1806" s="880"/>
      <c r="P1806" s="36" t="str">
        <f>IF(N1803&gt;0,"xx",IF(N1803&gt;0,"xy",""))</f>
        <v/>
      </c>
      <c r="Q1806" s="317" t="str">
        <f t="shared" si="184"/>
        <v/>
      </c>
      <c r="R1806" s="317" t="str">
        <f t="shared" si="185"/>
        <v/>
      </c>
      <c r="S1806" s="317" t="str">
        <f t="shared" si="186"/>
        <v/>
      </c>
      <c r="T1806" s="317" t="str">
        <f>'REF. DE PREÇOS n editavel'!S1806</f>
        <v/>
      </c>
      <c r="W1806" s="577">
        <v>0</v>
      </c>
      <c r="X1806" s="575"/>
      <c r="Y1806" s="578">
        <f>IF('REF. DE PREÇOS n editavel'!W1806=0,0,IF('REF. DE PREÇOS n editavel'!W1806&gt;0,"c","b"))</f>
        <v>0</v>
      </c>
    </row>
    <row r="1807" spans="1:25" ht="15" customHeight="1">
      <c r="A1807" s="317">
        <v>605300</v>
      </c>
      <c r="B1807" s="870" t="s">
        <v>1780</v>
      </c>
      <c r="C1807" s="871" t="s">
        <v>184</v>
      </c>
      <c r="D1807" s="881" t="s">
        <v>341</v>
      </c>
      <c r="E1807" s="882">
        <f>'REF. DE PREÇOS n editavel'!E1807</f>
        <v>0</v>
      </c>
      <c r="F1807" s="883">
        <f>'REF. DE PREÇOS n editavel'!F1807</f>
        <v>0</v>
      </c>
      <c r="G1807" s="887">
        <f>'REF. DE PREÇOS n editavel'!G1807</f>
        <v>459.54285000000004</v>
      </c>
      <c r="H1807" s="876">
        <f>'REF. DE PREÇOS n editavel'!H1807</f>
        <v>503.25</v>
      </c>
      <c r="I1807" s="876">
        <f>'REF. DE PREÇOS n editavel'!I1807</f>
        <v>962.79285000000004</v>
      </c>
      <c r="J1807" s="877">
        <f>'REF. DE PREÇOS n editavel'!J1807</f>
        <v>1176.73</v>
      </c>
      <c r="K1807" s="878" t="s">
        <v>10</v>
      </c>
      <c r="L1807" s="1092"/>
      <c r="M1807" s="1093">
        <f t="shared" si="188"/>
        <v>0</v>
      </c>
      <c r="N1807" s="1131">
        <f t="shared" si="187"/>
        <v>0</v>
      </c>
      <c r="O1807" s="880"/>
      <c r="Q1807" s="317" t="str">
        <f t="shared" si="184"/>
        <v/>
      </c>
      <c r="R1807" s="317" t="str">
        <f t="shared" si="185"/>
        <v/>
      </c>
      <c r="S1807" s="317" t="str">
        <f t="shared" si="186"/>
        <v/>
      </c>
      <c r="T1807" s="317" t="str">
        <f>'REF. DE PREÇOS n editavel'!S1807</f>
        <v/>
      </c>
      <c r="W1807" s="577">
        <v>0</v>
      </c>
      <c r="X1807" s="575"/>
      <c r="Y1807" s="578">
        <f>IF('REF. DE PREÇOS n editavel'!W1807=0,0,IF('REF. DE PREÇOS n editavel'!W1807&gt;0,"c","b"))</f>
        <v>0</v>
      </c>
    </row>
    <row r="1808" spans="1:25" ht="15" customHeight="1">
      <c r="A1808" s="317" t="s">
        <v>147</v>
      </c>
      <c r="B1808" s="870" t="s">
        <v>147</v>
      </c>
      <c r="C1808" s="871"/>
      <c r="D1808" s="881" t="s">
        <v>190</v>
      </c>
      <c r="E1808" s="882">
        <f>'REF. DE PREÇOS n editavel'!E1808</f>
        <v>445</v>
      </c>
      <c r="F1808" s="883">
        <f>'REF. DE PREÇOS n editavel'!F1808</f>
        <v>0.33</v>
      </c>
      <c r="G1808" s="884">
        <f>'REF. DE PREÇOS n editavel'!G1808</f>
        <v>117.12360000000001</v>
      </c>
      <c r="H1808" s="876">
        <f>'REF. DE PREÇOS n editavel'!H1808</f>
        <v>0</v>
      </c>
      <c r="I1808" s="876">
        <f>'REF. DE PREÇOS n editavel'!I1808</f>
        <v>0</v>
      </c>
      <c r="J1808" s="877">
        <f>'REF. DE PREÇOS n editavel'!J1808</f>
        <v>0</v>
      </c>
      <c r="K1808" s="878"/>
      <c r="L1808" s="1132"/>
      <c r="M1808" s="1093">
        <f t="shared" si="188"/>
        <v>0</v>
      </c>
      <c r="N1808" s="1131">
        <f t="shared" si="187"/>
        <v>0</v>
      </c>
      <c r="O1808" s="880"/>
      <c r="P1808" s="36" t="str">
        <f>IF(N1807&gt;0,"xx",IF(N1807&gt;0,"xy",""))</f>
        <v/>
      </c>
      <c r="Q1808" s="317" t="str">
        <f t="shared" si="184"/>
        <v/>
      </c>
      <c r="R1808" s="317" t="str">
        <f t="shared" si="185"/>
        <v/>
      </c>
      <c r="S1808" s="317" t="str">
        <f t="shared" si="186"/>
        <v/>
      </c>
      <c r="T1808" s="317" t="str">
        <f>'REF. DE PREÇOS n editavel'!S1808</f>
        <v/>
      </c>
      <c r="W1808" s="577">
        <v>0</v>
      </c>
      <c r="X1808" s="575"/>
      <c r="Y1808" s="578">
        <f>IF('REF. DE PREÇOS n editavel'!W1808=0,0,IF('REF. DE PREÇOS n editavel'!W1808&gt;0,"c","b"))</f>
        <v>0</v>
      </c>
    </row>
    <row r="1809" spans="1:25" ht="15" customHeight="1">
      <c r="A1809" s="317" t="s">
        <v>147</v>
      </c>
      <c r="B1809" s="870" t="s">
        <v>147</v>
      </c>
      <c r="C1809" s="871"/>
      <c r="D1809" s="881" t="s">
        <v>229</v>
      </c>
      <c r="E1809" s="882">
        <f>'REF. DE PREÇOS n editavel'!E1809</f>
        <v>290</v>
      </c>
      <c r="F1809" s="883">
        <f>'REF. DE PREÇOS n editavel'!F1809</f>
        <v>0.92100000000000004</v>
      </c>
      <c r="G1809" s="923">
        <f>'REF. DE PREÇOS n editavel'!G1809</f>
        <v>288.25458000000003</v>
      </c>
      <c r="H1809" s="876">
        <f>'REF. DE PREÇOS n editavel'!H1809</f>
        <v>0</v>
      </c>
      <c r="I1809" s="876">
        <f>'REF. DE PREÇOS n editavel'!I1809</f>
        <v>0</v>
      </c>
      <c r="J1809" s="877">
        <f>'REF. DE PREÇOS n editavel'!J1809</f>
        <v>0</v>
      </c>
      <c r="K1809" s="878"/>
      <c r="L1809" s="1132"/>
      <c r="M1809" s="1093">
        <f t="shared" si="188"/>
        <v>0</v>
      </c>
      <c r="N1809" s="1131">
        <f t="shared" si="187"/>
        <v>0</v>
      </c>
      <c r="O1809" s="880"/>
      <c r="P1809" s="36" t="str">
        <f>IF(N1807&gt;0,"xx",IF(N1807&gt;0,"xy",""))</f>
        <v/>
      </c>
      <c r="Q1809" s="317" t="str">
        <f t="shared" ref="Q1809:Q1872" si="189">IF(P1809="X","x",IF(P1809="xx","x",IF(P1809="xy","x",IF(P1809="y","x",IF(OR(N1809&gt;0,N1809&gt;0),"x","")))))</f>
        <v/>
      </c>
      <c r="R1809" s="317" t="str">
        <f t="shared" si="185"/>
        <v/>
      </c>
      <c r="S1809" s="317" t="str">
        <f t="shared" si="186"/>
        <v/>
      </c>
      <c r="T1809" s="317" t="str">
        <f>'REF. DE PREÇOS n editavel'!S1809</f>
        <v/>
      </c>
      <c r="W1809" s="577">
        <v>0</v>
      </c>
      <c r="X1809" s="575"/>
      <c r="Y1809" s="578">
        <f>IF('REF. DE PREÇOS n editavel'!W1809=0,0,IF('REF. DE PREÇOS n editavel'!W1809&gt;0,"c","b"))</f>
        <v>0</v>
      </c>
    </row>
    <row r="1810" spans="1:25" ht="15" customHeight="1">
      <c r="A1810" s="317" t="s">
        <v>147</v>
      </c>
      <c r="B1810" s="870" t="s">
        <v>147</v>
      </c>
      <c r="C1810" s="871"/>
      <c r="D1810" s="881" t="s">
        <v>233</v>
      </c>
      <c r="E1810" s="882">
        <f>'REF. DE PREÇOS n editavel'!E1810</f>
        <v>43.1</v>
      </c>
      <c r="F1810" s="883">
        <f>'REF. DE PREÇOS n editavel'!F1810</f>
        <v>1.1100000000000001</v>
      </c>
      <c r="G1810" s="923">
        <f>'REF. DE PREÇOS n editavel'!G1810</f>
        <v>54.164670000000008</v>
      </c>
      <c r="H1810" s="876">
        <f>'REF. DE PREÇOS n editavel'!H1810</f>
        <v>0</v>
      </c>
      <c r="I1810" s="876">
        <f>'REF. DE PREÇOS n editavel'!I1810</f>
        <v>0</v>
      </c>
      <c r="J1810" s="877">
        <f>'REF. DE PREÇOS n editavel'!J1810</f>
        <v>0</v>
      </c>
      <c r="K1810" s="878"/>
      <c r="L1810" s="1132"/>
      <c r="M1810" s="1093">
        <f t="shared" si="188"/>
        <v>0</v>
      </c>
      <c r="N1810" s="1131">
        <f t="shared" si="187"/>
        <v>0</v>
      </c>
      <c r="O1810" s="880"/>
      <c r="P1810" s="36" t="str">
        <f>IF(N1807&gt;0,"xx",IF(N1807&gt;0,"xy",""))</f>
        <v/>
      </c>
      <c r="Q1810" s="317" t="str">
        <f t="shared" si="189"/>
        <v/>
      </c>
      <c r="R1810" s="317" t="str">
        <f t="shared" si="185"/>
        <v/>
      </c>
      <c r="S1810" s="317" t="str">
        <f t="shared" si="186"/>
        <v/>
      </c>
      <c r="T1810" s="317" t="str">
        <f>'REF. DE PREÇOS n editavel'!S1810</f>
        <v/>
      </c>
      <c r="W1810" s="577">
        <v>0</v>
      </c>
      <c r="X1810" s="575"/>
      <c r="Y1810" s="578">
        <f>IF('REF. DE PREÇOS n editavel'!W1810=0,0,IF('REF. DE PREÇOS n editavel'!W1810&gt;0,"c","b"))</f>
        <v>0</v>
      </c>
    </row>
    <row r="1811" spans="1:25" ht="15" customHeight="1">
      <c r="A1811" s="317">
        <v>605400</v>
      </c>
      <c r="B1811" s="870" t="s">
        <v>1782</v>
      </c>
      <c r="C1811" s="871" t="s">
        <v>184</v>
      </c>
      <c r="D1811" s="881" t="s">
        <v>342</v>
      </c>
      <c r="E1811" s="882">
        <f>'REF. DE PREÇOS n editavel'!E1811</f>
        <v>0</v>
      </c>
      <c r="F1811" s="883">
        <f>'REF. DE PREÇOS n editavel'!F1811</f>
        <v>0</v>
      </c>
      <c r="G1811" s="887">
        <f>'REF. DE PREÇOS n editavel'!G1811</f>
        <v>495.49675000000002</v>
      </c>
      <c r="H1811" s="876">
        <f>'REF. DE PREÇOS n editavel'!H1811</f>
        <v>510.89</v>
      </c>
      <c r="I1811" s="876">
        <f>'REF. DE PREÇOS n editavel'!I1811</f>
        <v>1006.38675</v>
      </c>
      <c r="J1811" s="877">
        <f>'REF. DE PREÇOS n editavel'!J1811</f>
        <v>1230.01</v>
      </c>
      <c r="K1811" s="878" t="s">
        <v>10</v>
      </c>
      <c r="L1811" s="1092"/>
      <c r="M1811" s="1093">
        <f t="shared" si="188"/>
        <v>0</v>
      </c>
      <c r="N1811" s="1131">
        <f t="shared" si="187"/>
        <v>0</v>
      </c>
      <c r="O1811" s="880"/>
      <c r="Q1811" s="317" t="str">
        <f t="shared" si="189"/>
        <v/>
      </c>
      <c r="R1811" s="317" t="str">
        <f t="shared" ref="R1811:R1874" si="190">IF(P1811="X","x",IF(P1811="y","x",IF(P1811="xx","x",IF(N1811&gt;0,"x",""))))</f>
        <v/>
      </c>
      <c r="S1811" s="317" t="str">
        <f t="shared" ref="S1811:S1874" si="191">IF(P1811="X","x",IF(N1811&gt;0,"x",""))</f>
        <v/>
      </c>
      <c r="T1811" s="317" t="str">
        <f>'REF. DE PREÇOS n editavel'!S1811</f>
        <v/>
      </c>
      <c r="W1811" s="577">
        <v>0</v>
      </c>
      <c r="X1811" s="575"/>
      <c r="Y1811" s="578">
        <f>IF('REF. DE PREÇOS n editavel'!W1811=0,0,IF('REF. DE PREÇOS n editavel'!W1811&gt;0,"c","b"))</f>
        <v>0</v>
      </c>
    </row>
    <row r="1812" spans="1:25" ht="15" customHeight="1">
      <c r="A1812" s="317" t="s">
        <v>147</v>
      </c>
      <c r="B1812" s="870" t="s">
        <v>147</v>
      </c>
      <c r="C1812" s="871"/>
      <c r="D1812" s="881" t="s">
        <v>190</v>
      </c>
      <c r="E1812" s="882">
        <f>'REF. DE PREÇOS n editavel'!E1812</f>
        <v>445</v>
      </c>
      <c r="F1812" s="883">
        <f>'REF. DE PREÇOS n editavel'!F1812</f>
        <v>0.34399999999999997</v>
      </c>
      <c r="G1812" s="884">
        <f>'REF. DE PREÇOS n editavel'!G1812</f>
        <v>122.09247999999999</v>
      </c>
      <c r="H1812" s="876">
        <f>'REF. DE PREÇOS n editavel'!H1812</f>
        <v>0</v>
      </c>
      <c r="I1812" s="876">
        <f>'REF. DE PREÇOS n editavel'!I1812</f>
        <v>0</v>
      </c>
      <c r="J1812" s="877">
        <f>'REF. DE PREÇOS n editavel'!J1812</f>
        <v>0</v>
      </c>
      <c r="K1812" s="878"/>
      <c r="L1812" s="1132"/>
      <c r="M1812" s="1093">
        <f t="shared" si="188"/>
        <v>0</v>
      </c>
      <c r="N1812" s="1131">
        <f t="shared" si="187"/>
        <v>0</v>
      </c>
      <c r="O1812" s="880"/>
      <c r="P1812" s="36" t="str">
        <f>IF(N1811&gt;0,"xx",IF(N1811&gt;0,"xy",""))</f>
        <v/>
      </c>
      <c r="Q1812" s="317" t="str">
        <f t="shared" si="189"/>
        <v/>
      </c>
      <c r="R1812" s="317" t="str">
        <f t="shared" si="190"/>
        <v/>
      </c>
      <c r="S1812" s="317" t="str">
        <f t="shared" si="191"/>
        <v/>
      </c>
      <c r="T1812" s="317" t="str">
        <f>'REF. DE PREÇOS n editavel'!S1812</f>
        <v/>
      </c>
      <c r="W1812" s="577">
        <v>0</v>
      </c>
      <c r="X1812" s="575"/>
      <c r="Y1812" s="578">
        <f>IF('REF. DE PREÇOS n editavel'!W1812=0,0,IF('REF. DE PREÇOS n editavel'!W1812&gt;0,"c","b"))</f>
        <v>0</v>
      </c>
    </row>
    <row r="1813" spans="1:25" ht="15" customHeight="1">
      <c r="A1813" s="317" t="s">
        <v>147</v>
      </c>
      <c r="B1813" s="870" t="s">
        <v>147</v>
      </c>
      <c r="C1813" s="871"/>
      <c r="D1813" s="881" t="s">
        <v>229</v>
      </c>
      <c r="E1813" s="882">
        <f>'REF. DE PREÇOS n editavel'!E1813</f>
        <v>290</v>
      </c>
      <c r="F1813" s="883">
        <f>'REF. DE PREÇOS n editavel'!F1813</f>
        <v>1.02</v>
      </c>
      <c r="G1813" s="923">
        <f>'REF. DE PREÇOS n editavel'!G1813</f>
        <v>319.2396</v>
      </c>
      <c r="H1813" s="876">
        <f>'REF. DE PREÇOS n editavel'!H1813</f>
        <v>0</v>
      </c>
      <c r="I1813" s="876">
        <f>'REF. DE PREÇOS n editavel'!I1813</f>
        <v>0</v>
      </c>
      <c r="J1813" s="877">
        <f>'REF. DE PREÇOS n editavel'!J1813</f>
        <v>0</v>
      </c>
      <c r="K1813" s="878"/>
      <c r="L1813" s="1132"/>
      <c r="M1813" s="1093">
        <f t="shared" si="188"/>
        <v>0</v>
      </c>
      <c r="N1813" s="1131">
        <f t="shared" si="187"/>
        <v>0</v>
      </c>
      <c r="O1813" s="880"/>
      <c r="P1813" s="36" t="str">
        <f>IF(N1811&gt;0,"xx",IF(N1811&gt;0,"xy",""))</f>
        <v/>
      </c>
      <c r="Q1813" s="317" t="str">
        <f t="shared" si="189"/>
        <v/>
      </c>
      <c r="R1813" s="317" t="str">
        <f t="shared" si="190"/>
        <v/>
      </c>
      <c r="S1813" s="317" t="str">
        <f t="shared" si="191"/>
        <v/>
      </c>
      <c r="T1813" s="317" t="str">
        <f>'REF. DE PREÇOS n editavel'!S1813</f>
        <v/>
      </c>
      <c r="W1813" s="577">
        <v>0</v>
      </c>
      <c r="X1813" s="575"/>
      <c r="Y1813" s="578">
        <f>IF('REF. DE PREÇOS n editavel'!W1813=0,0,IF('REF. DE PREÇOS n editavel'!W1813&gt;0,"c","b"))</f>
        <v>0</v>
      </c>
    </row>
    <row r="1814" spans="1:25" ht="15" customHeight="1">
      <c r="A1814" s="317" t="s">
        <v>147</v>
      </c>
      <c r="B1814" s="870" t="s">
        <v>147</v>
      </c>
      <c r="C1814" s="871"/>
      <c r="D1814" s="881" t="s">
        <v>233</v>
      </c>
      <c r="E1814" s="882">
        <f>'REF. DE PREÇOS n editavel'!E1814</f>
        <v>43.1</v>
      </c>
      <c r="F1814" s="883">
        <f>'REF. DE PREÇOS n editavel'!F1814</f>
        <v>1.1100000000000001</v>
      </c>
      <c r="G1814" s="923">
        <f>'REF. DE PREÇOS n editavel'!G1814</f>
        <v>54.164670000000008</v>
      </c>
      <c r="H1814" s="876">
        <f>'REF. DE PREÇOS n editavel'!H1814</f>
        <v>0</v>
      </c>
      <c r="I1814" s="876">
        <f>'REF. DE PREÇOS n editavel'!I1814</f>
        <v>0</v>
      </c>
      <c r="J1814" s="877">
        <f>'REF. DE PREÇOS n editavel'!J1814</f>
        <v>0</v>
      </c>
      <c r="K1814" s="878"/>
      <c r="L1814" s="1132"/>
      <c r="M1814" s="1093">
        <f t="shared" si="188"/>
        <v>0</v>
      </c>
      <c r="N1814" s="1131">
        <f t="shared" si="187"/>
        <v>0</v>
      </c>
      <c r="O1814" s="880"/>
      <c r="P1814" s="36" t="str">
        <f>IF(N1811&gt;0,"xx",IF(N1811&gt;0,"xy",""))</f>
        <v/>
      </c>
      <c r="Q1814" s="317" t="str">
        <f t="shared" si="189"/>
        <v/>
      </c>
      <c r="R1814" s="317" t="str">
        <f t="shared" si="190"/>
        <v/>
      </c>
      <c r="S1814" s="317" t="str">
        <f t="shared" si="191"/>
        <v/>
      </c>
      <c r="T1814" s="317" t="str">
        <f>'REF. DE PREÇOS n editavel'!S1814</f>
        <v/>
      </c>
      <c r="W1814" s="577">
        <v>0</v>
      </c>
      <c r="X1814" s="575"/>
      <c r="Y1814" s="578">
        <f>IF('REF. DE PREÇOS n editavel'!W1814=0,0,IF('REF. DE PREÇOS n editavel'!W1814&gt;0,"c","b"))</f>
        <v>0</v>
      </c>
    </row>
    <row r="1815" spans="1:25" ht="15" customHeight="1">
      <c r="A1815" s="317">
        <v>605500</v>
      </c>
      <c r="B1815" s="870">
        <v>605500</v>
      </c>
      <c r="C1815" s="871" t="s">
        <v>184</v>
      </c>
      <c r="D1815" s="881" t="s">
        <v>795</v>
      </c>
      <c r="E1815" s="882">
        <f>'REF. DE PREÇOS n editavel'!E1815</f>
        <v>0</v>
      </c>
      <c r="F1815" s="883">
        <f>'REF. DE PREÇOS n editavel'!F1815</f>
        <v>0</v>
      </c>
      <c r="G1815" s="887">
        <f>'REF. DE PREÇOS n editavel'!G1815</f>
        <v>464.39533</v>
      </c>
      <c r="H1815" s="876">
        <f>'REF. DE PREÇOS n editavel'!H1815</f>
        <v>532.64</v>
      </c>
      <c r="I1815" s="876">
        <f>'REF. DE PREÇOS n editavel'!I1815</f>
        <v>997.03532999999993</v>
      </c>
      <c r="J1815" s="877">
        <f>'REF. DE PREÇOS n editavel'!J1815</f>
        <v>1218.58</v>
      </c>
      <c r="K1815" s="878" t="s">
        <v>10</v>
      </c>
      <c r="L1815" s="1092"/>
      <c r="M1815" s="1093">
        <f t="shared" si="188"/>
        <v>0</v>
      </c>
      <c r="N1815" s="1131">
        <f t="shared" ref="N1815:N1878" si="192">IF(ISBLANK(L1815),0,IF(W1815=0,ROUND(L1815*M1815,2),IF(W1815="b",ROUNDDOWN(L1815*M1815,2),ROUNDUP(L1815*M1815,2))))</f>
        <v>0</v>
      </c>
      <c r="O1815" s="880"/>
      <c r="Q1815" s="317" t="str">
        <f t="shared" si="189"/>
        <v/>
      </c>
      <c r="R1815" s="317" t="str">
        <f t="shared" si="190"/>
        <v/>
      </c>
      <c r="S1815" s="317" t="str">
        <f t="shared" si="191"/>
        <v/>
      </c>
      <c r="T1815" s="317" t="str">
        <f>'REF. DE PREÇOS n editavel'!S1815</f>
        <v/>
      </c>
      <c r="W1815" s="577">
        <v>0</v>
      </c>
      <c r="X1815" s="575"/>
      <c r="Y1815" s="578">
        <f>IF('REF. DE PREÇOS n editavel'!W1815=0,0,IF('REF. DE PREÇOS n editavel'!W1815&gt;0,"c","b"))</f>
        <v>0</v>
      </c>
    </row>
    <row r="1816" spans="1:25" ht="15" customHeight="1">
      <c r="A1816" s="317" t="s">
        <v>147</v>
      </c>
      <c r="B1816" s="870" t="s">
        <v>147</v>
      </c>
      <c r="C1816" s="871"/>
      <c r="D1816" s="881" t="s">
        <v>190</v>
      </c>
      <c r="E1816" s="882">
        <f>'REF. DE PREÇOS n editavel'!E1816</f>
        <v>445</v>
      </c>
      <c r="F1816" s="883">
        <f>'REF. DE PREÇOS n editavel'!F1816</f>
        <v>0.38600000000000001</v>
      </c>
      <c r="G1816" s="884">
        <f>'REF. DE PREÇOS n editavel'!G1816</f>
        <v>136.99912</v>
      </c>
      <c r="H1816" s="876">
        <f>'REF. DE PREÇOS n editavel'!H1816</f>
        <v>0</v>
      </c>
      <c r="I1816" s="876">
        <f>'REF. DE PREÇOS n editavel'!I1816</f>
        <v>0</v>
      </c>
      <c r="J1816" s="877">
        <f>'REF. DE PREÇOS n editavel'!J1816</f>
        <v>0</v>
      </c>
      <c r="K1816" s="878"/>
      <c r="L1816" s="1132"/>
      <c r="M1816" s="1093">
        <f t="shared" si="188"/>
        <v>0</v>
      </c>
      <c r="N1816" s="1131">
        <f t="shared" si="192"/>
        <v>0</v>
      </c>
      <c r="O1816" s="880"/>
      <c r="P1816" s="36" t="str">
        <f>IF(N1815&gt;0,"xx",IF(N1815&gt;0,"xy",""))</f>
        <v/>
      </c>
      <c r="Q1816" s="317" t="str">
        <f t="shared" si="189"/>
        <v/>
      </c>
      <c r="R1816" s="317" t="str">
        <f t="shared" si="190"/>
        <v/>
      </c>
      <c r="S1816" s="317" t="str">
        <f t="shared" si="191"/>
        <v/>
      </c>
      <c r="T1816" s="317" t="str">
        <f>'REF. DE PREÇOS n editavel'!S1816</f>
        <v/>
      </c>
      <c r="W1816" s="577">
        <v>0</v>
      </c>
      <c r="X1816" s="575"/>
      <c r="Y1816" s="578">
        <f>IF('REF. DE PREÇOS n editavel'!W1816=0,0,IF('REF. DE PREÇOS n editavel'!W1816&gt;0,"c","b"))</f>
        <v>0</v>
      </c>
    </row>
    <row r="1817" spans="1:25" ht="15" customHeight="1">
      <c r="A1817" s="317" t="s">
        <v>147</v>
      </c>
      <c r="B1817" s="870" t="s">
        <v>147</v>
      </c>
      <c r="C1817" s="871"/>
      <c r="D1817" s="881" t="s">
        <v>229</v>
      </c>
      <c r="E1817" s="882">
        <f>'REF. DE PREÇOS n editavel'!E1817</f>
        <v>290</v>
      </c>
      <c r="F1817" s="883">
        <f>'REF. DE PREÇOS n editavel'!F1817</f>
        <v>0.873</v>
      </c>
      <c r="G1817" s="923">
        <f>'REF. DE PREÇOS n editavel'!G1817</f>
        <v>273.23154</v>
      </c>
      <c r="H1817" s="876">
        <f>'REF. DE PREÇOS n editavel'!H1817</f>
        <v>0</v>
      </c>
      <c r="I1817" s="876">
        <f>'REF. DE PREÇOS n editavel'!I1817</f>
        <v>0</v>
      </c>
      <c r="J1817" s="877">
        <f>'REF. DE PREÇOS n editavel'!J1817</f>
        <v>0</v>
      </c>
      <c r="K1817" s="878"/>
      <c r="L1817" s="1132"/>
      <c r="M1817" s="1093">
        <f t="shared" si="188"/>
        <v>0</v>
      </c>
      <c r="N1817" s="1131">
        <f t="shared" si="192"/>
        <v>0</v>
      </c>
      <c r="O1817" s="880"/>
      <c r="P1817" s="36" t="str">
        <f>IF(N1815&gt;0,"xx",IF(N1815&gt;0,"xy",""))</f>
        <v/>
      </c>
      <c r="Q1817" s="317" t="str">
        <f t="shared" si="189"/>
        <v/>
      </c>
      <c r="R1817" s="317" t="str">
        <f t="shared" si="190"/>
        <v/>
      </c>
      <c r="S1817" s="317" t="str">
        <f t="shared" si="191"/>
        <v/>
      </c>
      <c r="T1817" s="317" t="str">
        <f>'REF. DE PREÇOS n editavel'!S1817</f>
        <v/>
      </c>
      <c r="W1817" s="577">
        <v>0</v>
      </c>
      <c r="X1817" s="575"/>
      <c r="Y1817" s="578">
        <f>IF('REF. DE PREÇOS n editavel'!W1817=0,0,IF('REF. DE PREÇOS n editavel'!W1817&gt;0,"c","b"))</f>
        <v>0</v>
      </c>
    </row>
    <row r="1818" spans="1:25" ht="15" customHeight="1">
      <c r="A1818" s="317" t="s">
        <v>147</v>
      </c>
      <c r="B1818" s="870" t="s">
        <v>147</v>
      </c>
      <c r="C1818" s="871"/>
      <c r="D1818" s="881" t="s">
        <v>233</v>
      </c>
      <c r="E1818" s="882">
        <f>'REF. DE PREÇOS n editavel'!E1818</f>
        <v>43.1</v>
      </c>
      <c r="F1818" s="883">
        <f>'REF. DE PREÇOS n editavel'!F1818</f>
        <v>1.1100000000000001</v>
      </c>
      <c r="G1818" s="923">
        <f>'REF. DE PREÇOS n editavel'!G1818</f>
        <v>54.164670000000008</v>
      </c>
      <c r="H1818" s="876">
        <f>'REF. DE PREÇOS n editavel'!H1818</f>
        <v>0</v>
      </c>
      <c r="I1818" s="876">
        <f>'REF. DE PREÇOS n editavel'!I1818</f>
        <v>0</v>
      </c>
      <c r="J1818" s="877">
        <f>'REF. DE PREÇOS n editavel'!J1818</f>
        <v>0</v>
      </c>
      <c r="K1818" s="878"/>
      <c r="L1818" s="1132"/>
      <c r="M1818" s="1093">
        <f t="shared" si="188"/>
        <v>0</v>
      </c>
      <c r="N1818" s="1131">
        <f t="shared" si="192"/>
        <v>0</v>
      </c>
      <c r="O1818" s="880"/>
      <c r="P1818" s="36" t="str">
        <f>IF(N1815&gt;0,"xx",IF(N1815&gt;0,"xy",""))</f>
        <v/>
      </c>
      <c r="Q1818" s="317" t="str">
        <f t="shared" si="189"/>
        <v/>
      </c>
      <c r="R1818" s="317" t="str">
        <f t="shared" si="190"/>
        <v/>
      </c>
      <c r="S1818" s="317" t="str">
        <f t="shared" si="191"/>
        <v/>
      </c>
      <c r="T1818" s="317" t="str">
        <f>'REF. DE PREÇOS n editavel'!S1818</f>
        <v/>
      </c>
      <c r="W1818" s="577">
        <v>0</v>
      </c>
      <c r="X1818" s="575"/>
      <c r="Y1818" s="578">
        <f>IF('REF. DE PREÇOS n editavel'!W1818=0,0,IF('REF. DE PREÇOS n editavel'!W1818&gt;0,"c","b"))</f>
        <v>0</v>
      </c>
    </row>
    <row r="1819" spans="1:25" ht="15" customHeight="1">
      <c r="A1819" s="317">
        <v>605600</v>
      </c>
      <c r="B1819" s="870">
        <v>605600</v>
      </c>
      <c r="C1819" s="871" t="s">
        <v>184</v>
      </c>
      <c r="D1819" s="881" t="s">
        <v>796</v>
      </c>
      <c r="E1819" s="882">
        <f>'REF. DE PREÇOS n editavel'!E1819</f>
        <v>0</v>
      </c>
      <c r="F1819" s="883">
        <f>'REF. DE PREÇOS n editavel'!F1819</f>
        <v>0</v>
      </c>
      <c r="G1819" s="887">
        <f>'REF. DE PREÇOS n editavel'!G1819</f>
        <v>462.58507000000003</v>
      </c>
      <c r="H1819" s="876">
        <f>'REF. DE PREÇOS n editavel'!H1819</f>
        <v>544.65</v>
      </c>
      <c r="I1819" s="876">
        <f>'REF. DE PREÇOS n editavel'!I1819</f>
        <v>1007.23507</v>
      </c>
      <c r="J1819" s="877">
        <f>'REF. DE PREÇOS n editavel'!J1819</f>
        <v>1231.04</v>
      </c>
      <c r="K1819" s="878" t="s">
        <v>10</v>
      </c>
      <c r="L1819" s="1092"/>
      <c r="M1819" s="1093">
        <f t="shared" si="188"/>
        <v>0</v>
      </c>
      <c r="N1819" s="1131">
        <f t="shared" si="192"/>
        <v>0</v>
      </c>
      <c r="O1819" s="880"/>
      <c r="Q1819" s="317" t="str">
        <f t="shared" si="189"/>
        <v/>
      </c>
      <c r="R1819" s="317" t="str">
        <f t="shared" si="190"/>
        <v/>
      </c>
      <c r="S1819" s="317" t="str">
        <f t="shared" si="191"/>
        <v/>
      </c>
      <c r="T1819" s="317" t="str">
        <f>'REF. DE PREÇOS n editavel'!S1819</f>
        <v/>
      </c>
      <c r="W1819" s="577">
        <v>0</v>
      </c>
      <c r="X1819" s="575"/>
      <c r="Y1819" s="578">
        <f>IF('REF. DE PREÇOS n editavel'!W1819=0,0,IF('REF. DE PREÇOS n editavel'!W1819&gt;0,"c","b"))</f>
        <v>0</v>
      </c>
    </row>
    <row r="1820" spans="1:25" ht="15" customHeight="1">
      <c r="A1820" s="317" t="s">
        <v>147</v>
      </c>
      <c r="B1820" s="870" t="s">
        <v>147</v>
      </c>
      <c r="C1820" s="871"/>
      <c r="D1820" s="881" t="s">
        <v>190</v>
      </c>
      <c r="E1820" s="882">
        <f>'REF. DE PREÇOS n editavel'!E1820</f>
        <v>445</v>
      </c>
      <c r="F1820" s="883">
        <f>'REF. DE PREÇOS n editavel'!F1820</f>
        <v>0.41</v>
      </c>
      <c r="G1820" s="884">
        <f>'REF. DE PREÇOS n editavel'!G1820</f>
        <v>145.5172</v>
      </c>
      <c r="H1820" s="876">
        <f>'REF. DE PREÇOS n editavel'!H1820</f>
        <v>0</v>
      </c>
      <c r="I1820" s="876">
        <f>'REF. DE PREÇOS n editavel'!I1820</f>
        <v>0</v>
      </c>
      <c r="J1820" s="877">
        <f>'REF. DE PREÇOS n editavel'!J1820</f>
        <v>0</v>
      </c>
      <c r="K1820" s="878"/>
      <c r="L1820" s="1132"/>
      <c r="M1820" s="1093">
        <f t="shared" si="188"/>
        <v>0</v>
      </c>
      <c r="N1820" s="1131">
        <f t="shared" si="192"/>
        <v>0</v>
      </c>
      <c r="O1820" s="880"/>
      <c r="P1820" s="36" t="str">
        <f>IF(N1819&gt;0,"xx",IF(N1819&gt;0,"xy",""))</f>
        <v/>
      </c>
      <c r="Q1820" s="317" t="str">
        <f t="shared" si="189"/>
        <v/>
      </c>
      <c r="R1820" s="317" t="str">
        <f t="shared" si="190"/>
        <v/>
      </c>
      <c r="S1820" s="317" t="str">
        <f t="shared" si="191"/>
        <v/>
      </c>
      <c r="T1820" s="317" t="str">
        <f>'REF. DE PREÇOS n editavel'!S1820</f>
        <v/>
      </c>
      <c r="W1820" s="577">
        <v>0</v>
      </c>
      <c r="X1820" s="575"/>
      <c r="Y1820" s="578">
        <f>IF('REF. DE PREÇOS n editavel'!W1820=0,0,IF('REF. DE PREÇOS n editavel'!W1820&gt;0,"c","b"))</f>
        <v>0</v>
      </c>
    </row>
    <row r="1821" spans="1:25" ht="15" customHeight="1">
      <c r="A1821" s="317" t="s">
        <v>147</v>
      </c>
      <c r="B1821" s="870" t="s">
        <v>147</v>
      </c>
      <c r="C1821" s="871"/>
      <c r="D1821" s="881" t="s">
        <v>229</v>
      </c>
      <c r="E1821" s="882">
        <f>'REF. DE PREÇOS n editavel'!E1821</f>
        <v>290</v>
      </c>
      <c r="F1821" s="883">
        <f>'REF. DE PREÇOS n editavel'!F1821</f>
        <v>0.84</v>
      </c>
      <c r="G1821" s="923">
        <f>'REF. DE PREÇOS n editavel'!G1821</f>
        <v>262.90320000000003</v>
      </c>
      <c r="H1821" s="876">
        <f>'REF. DE PREÇOS n editavel'!H1821</f>
        <v>0</v>
      </c>
      <c r="I1821" s="876">
        <f>'REF. DE PREÇOS n editavel'!I1821</f>
        <v>0</v>
      </c>
      <c r="J1821" s="877">
        <f>'REF. DE PREÇOS n editavel'!J1821</f>
        <v>0</v>
      </c>
      <c r="K1821" s="878"/>
      <c r="L1821" s="1132"/>
      <c r="M1821" s="1093">
        <f t="shared" si="188"/>
        <v>0</v>
      </c>
      <c r="N1821" s="1131">
        <f t="shared" si="192"/>
        <v>0</v>
      </c>
      <c r="O1821" s="880"/>
      <c r="P1821" s="36" t="str">
        <f>IF(N1819&gt;0,"xx",IF(N1819&gt;0,"xy",""))</f>
        <v/>
      </c>
      <c r="Q1821" s="317" t="str">
        <f t="shared" si="189"/>
        <v/>
      </c>
      <c r="R1821" s="317" t="str">
        <f t="shared" si="190"/>
        <v/>
      </c>
      <c r="S1821" s="317" t="str">
        <f t="shared" si="191"/>
        <v/>
      </c>
      <c r="T1821" s="317" t="str">
        <f>'REF. DE PREÇOS n editavel'!S1821</f>
        <v/>
      </c>
      <c r="W1821" s="577">
        <v>0</v>
      </c>
      <c r="X1821" s="575"/>
      <c r="Y1821" s="578">
        <f>IF('REF. DE PREÇOS n editavel'!W1821=0,0,IF('REF. DE PREÇOS n editavel'!W1821&gt;0,"c","b"))</f>
        <v>0</v>
      </c>
    </row>
    <row r="1822" spans="1:25" ht="15" customHeight="1">
      <c r="A1822" s="317" t="s">
        <v>147</v>
      </c>
      <c r="B1822" s="870" t="s">
        <v>147</v>
      </c>
      <c r="C1822" s="871"/>
      <c r="D1822" s="881" t="s">
        <v>233</v>
      </c>
      <c r="E1822" s="882">
        <f>'REF. DE PREÇOS n editavel'!E1822</f>
        <v>43.1</v>
      </c>
      <c r="F1822" s="883">
        <f>'REF. DE PREÇOS n editavel'!F1822</f>
        <v>1.1100000000000001</v>
      </c>
      <c r="G1822" s="923">
        <f>'REF. DE PREÇOS n editavel'!G1822</f>
        <v>54.164670000000008</v>
      </c>
      <c r="H1822" s="876">
        <f>'REF. DE PREÇOS n editavel'!H1822</f>
        <v>0</v>
      </c>
      <c r="I1822" s="876">
        <f>'REF. DE PREÇOS n editavel'!I1822</f>
        <v>0</v>
      </c>
      <c r="J1822" s="877">
        <f>'REF. DE PREÇOS n editavel'!J1822</f>
        <v>0</v>
      </c>
      <c r="K1822" s="878"/>
      <c r="L1822" s="1132"/>
      <c r="M1822" s="1093">
        <f t="shared" si="188"/>
        <v>0</v>
      </c>
      <c r="N1822" s="1131">
        <f t="shared" si="192"/>
        <v>0</v>
      </c>
      <c r="O1822" s="880"/>
      <c r="P1822" s="36" t="str">
        <f>IF(N1819&gt;0,"xx",IF(N1819&gt;0,"xy",""))</f>
        <v/>
      </c>
      <c r="Q1822" s="317" t="str">
        <f t="shared" si="189"/>
        <v/>
      </c>
      <c r="R1822" s="317" t="str">
        <f t="shared" si="190"/>
        <v/>
      </c>
      <c r="S1822" s="317" t="str">
        <f t="shared" si="191"/>
        <v/>
      </c>
      <c r="T1822" s="317" t="str">
        <f>'REF. DE PREÇOS n editavel'!S1822</f>
        <v/>
      </c>
      <c r="W1822" s="577">
        <v>0</v>
      </c>
      <c r="X1822" s="575"/>
      <c r="Y1822" s="578">
        <f>IF('REF. DE PREÇOS n editavel'!W1822=0,0,IF('REF. DE PREÇOS n editavel'!W1822&gt;0,"c","b"))</f>
        <v>0</v>
      </c>
    </row>
    <row r="1823" spans="1:25" ht="15" customHeight="1">
      <c r="A1823" s="317">
        <v>605700</v>
      </c>
      <c r="B1823" s="870">
        <v>605700</v>
      </c>
      <c r="C1823" s="871" t="s">
        <v>184</v>
      </c>
      <c r="D1823" s="881" t="s">
        <v>797</v>
      </c>
      <c r="E1823" s="882">
        <f>'REF. DE PREÇOS n editavel'!E1823</f>
        <v>0</v>
      </c>
      <c r="F1823" s="883">
        <f>'REF. DE PREÇOS n editavel'!F1823</f>
        <v>0</v>
      </c>
      <c r="G1823" s="887">
        <f>'REF. DE PREÇOS n editavel'!G1823</f>
        <v>464.98877000000005</v>
      </c>
      <c r="H1823" s="876">
        <f>'REF. DE PREÇOS n editavel'!H1823</f>
        <v>555.25</v>
      </c>
      <c r="I1823" s="876">
        <f>'REF. DE PREÇOS n editavel'!I1823</f>
        <v>1020.23877</v>
      </c>
      <c r="J1823" s="877">
        <f>'REF. DE PREÇOS n editavel'!J1823</f>
        <v>1246.94</v>
      </c>
      <c r="K1823" s="878" t="s">
        <v>10</v>
      </c>
      <c r="L1823" s="1092"/>
      <c r="M1823" s="1093">
        <f t="shared" si="188"/>
        <v>0</v>
      </c>
      <c r="N1823" s="1131">
        <f t="shared" si="192"/>
        <v>0</v>
      </c>
      <c r="O1823" s="880"/>
      <c r="Q1823" s="317" t="str">
        <f t="shared" si="189"/>
        <v/>
      </c>
      <c r="R1823" s="317" t="str">
        <f t="shared" si="190"/>
        <v/>
      </c>
      <c r="S1823" s="317" t="str">
        <f t="shared" si="191"/>
        <v/>
      </c>
      <c r="T1823" s="317" t="str">
        <f>'REF. DE PREÇOS n editavel'!S1823</f>
        <v/>
      </c>
      <c r="W1823" s="577">
        <v>0</v>
      </c>
      <c r="X1823" s="575"/>
      <c r="Y1823" s="578">
        <f>IF('REF. DE PREÇOS n editavel'!W1823=0,0,IF('REF. DE PREÇOS n editavel'!W1823&gt;0,"c","b"))</f>
        <v>0</v>
      </c>
    </row>
    <row r="1824" spans="1:25" ht="15" customHeight="1">
      <c r="A1824" s="317" t="s">
        <v>147</v>
      </c>
      <c r="B1824" s="870" t="s">
        <v>147</v>
      </c>
      <c r="C1824" s="871"/>
      <c r="D1824" s="881" t="s">
        <v>190</v>
      </c>
      <c r="E1824" s="882">
        <f>'REF. DE PREÇOS n editavel'!E1824</f>
        <v>445</v>
      </c>
      <c r="F1824" s="883">
        <f>'REF. DE PREÇOS n editavel'!F1824</f>
        <v>0.43</v>
      </c>
      <c r="G1824" s="884">
        <f>'REF. DE PREÇOS n editavel'!G1824</f>
        <v>152.6156</v>
      </c>
      <c r="H1824" s="876">
        <f>'REF. DE PREÇOS n editavel'!H1824</f>
        <v>0</v>
      </c>
      <c r="I1824" s="876">
        <f>'REF. DE PREÇOS n editavel'!I1824</f>
        <v>0</v>
      </c>
      <c r="J1824" s="877">
        <f>'REF. DE PREÇOS n editavel'!J1824</f>
        <v>0</v>
      </c>
      <c r="K1824" s="878"/>
      <c r="L1824" s="1132"/>
      <c r="M1824" s="1093">
        <f t="shared" si="188"/>
        <v>0</v>
      </c>
      <c r="N1824" s="1131">
        <f t="shared" si="192"/>
        <v>0</v>
      </c>
      <c r="O1824" s="880"/>
      <c r="P1824" s="36" t="str">
        <f>IF(N1823&gt;0,"xx",IF(N1823&gt;0,"xy",""))</f>
        <v/>
      </c>
      <c r="Q1824" s="317" t="str">
        <f t="shared" si="189"/>
        <v/>
      </c>
      <c r="R1824" s="317" t="str">
        <f t="shared" si="190"/>
        <v/>
      </c>
      <c r="S1824" s="317" t="str">
        <f t="shared" si="191"/>
        <v/>
      </c>
      <c r="T1824" s="317" t="str">
        <f>'REF. DE PREÇOS n editavel'!S1824</f>
        <v/>
      </c>
      <c r="W1824" s="577">
        <v>0</v>
      </c>
      <c r="X1824" s="575"/>
      <c r="Y1824" s="578">
        <f>IF('REF. DE PREÇOS n editavel'!W1824=0,0,IF('REF. DE PREÇOS n editavel'!W1824&gt;0,"c","b"))</f>
        <v>0</v>
      </c>
    </row>
    <row r="1825" spans="1:25" ht="15" customHeight="1">
      <c r="A1825" s="317" t="s">
        <v>147</v>
      </c>
      <c r="B1825" s="870" t="s">
        <v>147</v>
      </c>
      <c r="C1825" s="871"/>
      <c r="D1825" s="881" t="s">
        <v>229</v>
      </c>
      <c r="E1825" s="882">
        <f>'REF. DE PREÇOS n editavel'!E1825</f>
        <v>290</v>
      </c>
      <c r="F1825" s="883">
        <f>'REF. DE PREÇOS n editavel'!F1825</f>
        <v>0.82499999999999996</v>
      </c>
      <c r="G1825" s="923">
        <f>'REF. DE PREÇOS n editavel'!G1825</f>
        <v>258.20850000000002</v>
      </c>
      <c r="H1825" s="876">
        <f>'REF. DE PREÇOS n editavel'!H1825</f>
        <v>0</v>
      </c>
      <c r="I1825" s="876">
        <f>'REF. DE PREÇOS n editavel'!I1825</f>
        <v>0</v>
      </c>
      <c r="J1825" s="877">
        <f>'REF. DE PREÇOS n editavel'!J1825</f>
        <v>0</v>
      </c>
      <c r="K1825" s="878"/>
      <c r="L1825" s="1132"/>
      <c r="M1825" s="1093">
        <f t="shared" si="188"/>
        <v>0</v>
      </c>
      <c r="N1825" s="1131">
        <f t="shared" si="192"/>
        <v>0</v>
      </c>
      <c r="O1825" s="880"/>
      <c r="P1825" s="36" t="str">
        <f>IF(N1823&gt;0,"xx",IF(N1823&gt;0,"xy",""))</f>
        <v/>
      </c>
      <c r="Q1825" s="317" t="str">
        <f t="shared" si="189"/>
        <v/>
      </c>
      <c r="R1825" s="317" t="str">
        <f t="shared" si="190"/>
        <v/>
      </c>
      <c r="S1825" s="317" t="str">
        <f t="shared" si="191"/>
        <v/>
      </c>
      <c r="T1825" s="317" t="str">
        <f>'REF. DE PREÇOS n editavel'!S1825</f>
        <v/>
      </c>
      <c r="W1825" s="577">
        <v>0</v>
      </c>
      <c r="X1825" s="575"/>
      <c r="Y1825" s="578">
        <f>IF('REF. DE PREÇOS n editavel'!W1825=0,0,IF('REF. DE PREÇOS n editavel'!W1825&gt;0,"c","b"))</f>
        <v>0</v>
      </c>
    </row>
    <row r="1826" spans="1:25" ht="15" customHeight="1">
      <c r="A1826" s="317" t="s">
        <v>147</v>
      </c>
      <c r="B1826" s="870" t="s">
        <v>147</v>
      </c>
      <c r="C1826" s="871"/>
      <c r="D1826" s="881" t="s">
        <v>233</v>
      </c>
      <c r="E1826" s="882">
        <f>'REF. DE PREÇOS n editavel'!E1826</f>
        <v>43.1</v>
      </c>
      <c r="F1826" s="883">
        <f>'REF. DE PREÇOS n editavel'!F1826</f>
        <v>1.1100000000000001</v>
      </c>
      <c r="G1826" s="923">
        <f>'REF. DE PREÇOS n editavel'!G1826</f>
        <v>54.164670000000008</v>
      </c>
      <c r="H1826" s="876">
        <f>'REF. DE PREÇOS n editavel'!H1826</f>
        <v>0</v>
      </c>
      <c r="I1826" s="876">
        <f>'REF. DE PREÇOS n editavel'!I1826</f>
        <v>0</v>
      </c>
      <c r="J1826" s="877">
        <f>'REF. DE PREÇOS n editavel'!J1826</f>
        <v>0</v>
      </c>
      <c r="K1826" s="878"/>
      <c r="L1826" s="1132"/>
      <c r="M1826" s="1093">
        <f t="shared" si="188"/>
        <v>0</v>
      </c>
      <c r="N1826" s="1131">
        <f t="shared" si="192"/>
        <v>0</v>
      </c>
      <c r="O1826" s="880"/>
      <c r="P1826" s="36" t="str">
        <f>IF(N1823&gt;0,"xx",IF(N1823&gt;0,"xy",""))</f>
        <v/>
      </c>
      <c r="Q1826" s="317" t="str">
        <f t="shared" si="189"/>
        <v/>
      </c>
      <c r="R1826" s="317" t="str">
        <f t="shared" si="190"/>
        <v/>
      </c>
      <c r="S1826" s="317" t="str">
        <f t="shared" si="191"/>
        <v/>
      </c>
      <c r="T1826" s="317" t="str">
        <f>'REF. DE PREÇOS n editavel'!S1826</f>
        <v/>
      </c>
      <c r="W1826" s="577">
        <v>0</v>
      </c>
      <c r="X1826" s="575"/>
      <c r="Y1826" s="578">
        <f>IF('REF. DE PREÇOS n editavel'!W1826=0,0,IF('REF. DE PREÇOS n editavel'!W1826&gt;0,"c","b"))</f>
        <v>0</v>
      </c>
    </row>
    <row r="1827" spans="1:25" ht="15" customHeight="1">
      <c r="A1827" s="317">
        <v>605800</v>
      </c>
      <c r="B1827" s="870">
        <v>605800</v>
      </c>
      <c r="C1827" s="871" t="s">
        <v>184</v>
      </c>
      <c r="D1827" s="881" t="s">
        <v>798</v>
      </c>
      <c r="E1827" s="882">
        <f>'REF. DE PREÇOS n editavel'!E1827</f>
        <v>0</v>
      </c>
      <c r="F1827" s="883">
        <f>'REF. DE PREÇOS n editavel'!F1827</f>
        <v>0</v>
      </c>
      <c r="G1827" s="887">
        <f>'REF. DE PREÇOS n editavel'!G1827</f>
        <v>466.76337000000001</v>
      </c>
      <c r="H1827" s="876">
        <f>'REF. DE PREÇOS n editavel'!H1827</f>
        <v>558.08000000000004</v>
      </c>
      <c r="I1827" s="876">
        <f>'REF. DE PREÇOS n editavel'!I1827</f>
        <v>1024.84337</v>
      </c>
      <c r="J1827" s="877">
        <f>'REF. DE PREÇOS n editavel'!J1827</f>
        <v>1252.56</v>
      </c>
      <c r="K1827" s="878" t="s">
        <v>10</v>
      </c>
      <c r="L1827" s="1092"/>
      <c r="M1827" s="1093">
        <f t="shared" si="188"/>
        <v>0</v>
      </c>
      <c r="N1827" s="1131">
        <f t="shared" si="192"/>
        <v>0</v>
      </c>
      <c r="O1827" s="880"/>
      <c r="Q1827" s="317" t="str">
        <f t="shared" si="189"/>
        <v/>
      </c>
      <c r="R1827" s="317" t="str">
        <f t="shared" si="190"/>
        <v/>
      </c>
      <c r="S1827" s="317" t="str">
        <f t="shared" si="191"/>
        <v/>
      </c>
      <c r="T1827" s="317" t="str">
        <f>'REF. DE PREÇOS n editavel'!S1827</f>
        <v/>
      </c>
      <c r="W1827" s="577">
        <v>0</v>
      </c>
      <c r="X1827" s="575"/>
      <c r="Y1827" s="578">
        <f>IF('REF. DE PREÇOS n editavel'!W1827=0,0,IF('REF. DE PREÇOS n editavel'!W1827&gt;0,"c","b"))</f>
        <v>0</v>
      </c>
    </row>
    <row r="1828" spans="1:25" ht="15" customHeight="1">
      <c r="A1828" s="317" t="s">
        <v>147</v>
      </c>
      <c r="B1828" s="870" t="s">
        <v>147</v>
      </c>
      <c r="C1828" s="871"/>
      <c r="D1828" s="881" t="s">
        <v>190</v>
      </c>
      <c r="E1828" s="882">
        <f>'REF. DE PREÇOS n editavel'!E1828</f>
        <v>445</v>
      </c>
      <c r="F1828" s="883">
        <f>'REF. DE PREÇOS n editavel'!F1828</f>
        <v>0.435</v>
      </c>
      <c r="G1828" s="884">
        <f>'REF. DE PREÇOS n editavel'!G1828</f>
        <v>154.39019999999999</v>
      </c>
      <c r="H1828" s="876">
        <f>'REF. DE PREÇOS n editavel'!H1828</f>
        <v>0</v>
      </c>
      <c r="I1828" s="876">
        <f>'REF. DE PREÇOS n editavel'!I1828</f>
        <v>0</v>
      </c>
      <c r="J1828" s="877">
        <f>'REF. DE PREÇOS n editavel'!J1828</f>
        <v>0</v>
      </c>
      <c r="K1828" s="878"/>
      <c r="L1828" s="1132"/>
      <c r="M1828" s="1093">
        <f t="shared" si="188"/>
        <v>0</v>
      </c>
      <c r="N1828" s="1131">
        <f t="shared" si="192"/>
        <v>0</v>
      </c>
      <c r="O1828" s="880"/>
      <c r="P1828" s="36" t="str">
        <f>IF(N1827&gt;0,"xx",IF(N1827&gt;0,"xy",""))</f>
        <v/>
      </c>
      <c r="Q1828" s="317" t="str">
        <f t="shared" si="189"/>
        <v/>
      </c>
      <c r="R1828" s="317" t="str">
        <f t="shared" si="190"/>
        <v/>
      </c>
      <c r="S1828" s="317" t="str">
        <f t="shared" si="191"/>
        <v/>
      </c>
      <c r="T1828" s="317" t="str">
        <f>'REF. DE PREÇOS n editavel'!S1828</f>
        <v/>
      </c>
      <c r="W1828" s="577">
        <v>0</v>
      </c>
      <c r="X1828" s="575"/>
      <c r="Y1828" s="578">
        <f>IF('REF. DE PREÇOS n editavel'!W1828=0,0,IF('REF. DE PREÇOS n editavel'!W1828&gt;0,"c","b"))</f>
        <v>0</v>
      </c>
    </row>
    <row r="1829" spans="1:25" ht="15" customHeight="1">
      <c r="A1829" s="317" t="s">
        <v>147</v>
      </c>
      <c r="B1829" s="870" t="s">
        <v>147</v>
      </c>
      <c r="C1829" s="871"/>
      <c r="D1829" s="881" t="s">
        <v>229</v>
      </c>
      <c r="E1829" s="882">
        <f>'REF. DE PREÇOS n editavel'!E1829</f>
        <v>290</v>
      </c>
      <c r="F1829" s="883">
        <f>'REF. DE PREÇOS n editavel'!F1829</f>
        <v>0.82499999999999996</v>
      </c>
      <c r="G1829" s="923">
        <f>'REF. DE PREÇOS n editavel'!G1829</f>
        <v>258.20850000000002</v>
      </c>
      <c r="H1829" s="876">
        <f>'REF. DE PREÇOS n editavel'!H1829</f>
        <v>0</v>
      </c>
      <c r="I1829" s="876">
        <f>'REF. DE PREÇOS n editavel'!I1829</f>
        <v>0</v>
      </c>
      <c r="J1829" s="877">
        <f>'REF. DE PREÇOS n editavel'!J1829</f>
        <v>0</v>
      </c>
      <c r="K1829" s="878"/>
      <c r="L1829" s="1132"/>
      <c r="M1829" s="1093">
        <f t="shared" si="188"/>
        <v>0</v>
      </c>
      <c r="N1829" s="1131">
        <f t="shared" si="192"/>
        <v>0</v>
      </c>
      <c r="O1829" s="880"/>
      <c r="P1829" s="36" t="str">
        <f>IF(N1827&gt;0,"xx",IF(N1827&gt;0,"xy",""))</f>
        <v/>
      </c>
      <c r="Q1829" s="317" t="str">
        <f t="shared" si="189"/>
        <v/>
      </c>
      <c r="R1829" s="317" t="str">
        <f t="shared" si="190"/>
        <v/>
      </c>
      <c r="S1829" s="317" t="str">
        <f t="shared" si="191"/>
        <v/>
      </c>
      <c r="T1829" s="317" t="str">
        <f>'REF. DE PREÇOS n editavel'!S1829</f>
        <v/>
      </c>
      <c r="W1829" s="577">
        <v>0</v>
      </c>
      <c r="X1829" s="575"/>
      <c r="Y1829" s="578">
        <f>IF('REF. DE PREÇOS n editavel'!W1829=0,0,IF('REF. DE PREÇOS n editavel'!W1829&gt;0,"c","b"))</f>
        <v>0</v>
      </c>
    </row>
    <row r="1830" spans="1:25" ht="15" customHeight="1">
      <c r="A1830" s="317" t="s">
        <v>147</v>
      </c>
      <c r="B1830" s="870" t="s">
        <v>147</v>
      </c>
      <c r="C1830" s="871"/>
      <c r="D1830" s="881" t="s">
        <v>233</v>
      </c>
      <c r="E1830" s="882">
        <f>'REF. DE PREÇOS n editavel'!E1830</f>
        <v>43.1</v>
      </c>
      <c r="F1830" s="883">
        <f>'REF. DE PREÇOS n editavel'!F1830</f>
        <v>1.1100000000000001</v>
      </c>
      <c r="G1830" s="923">
        <f>'REF. DE PREÇOS n editavel'!G1830</f>
        <v>54.164670000000008</v>
      </c>
      <c r="H1830" s="876">
        <f>'REF. DE PREÇOS n editavel'!H1830</f>
        <v>0</v>
      </c>
      <c r="I1830" s="876">
        <f>'REF. DE PREÇOS n editavel'!I1830</f>
        <v>0</v>
      </c>
      <c r="J1830" s="877">
        <f>'REF. DE PREÇOS n editavel'!J1830</f>
        <v>0</v>
      </c>
      <c r="K1830" s="878"/>
      <c r="L1830" s="1132"/>
      <c r="M1830" s="1093">
        <f t="shared" si="188"/>
        <v>0</v>
      </c>
      <c r="N1830" s="1131">
        <f t="shared" si="192"/>
        <v>0</v>
      </c>
      <c r="O1830" s="880"/>
      <c r="P1830" s="36" t="str">
        <f>IF(N1827&gt;0,"xx",IF(N1827&gt;0,"xy",""))</f>
        <v/>
      </c>
      <c r="Q1830" s="317" t="str">
        <f t="shared" si="189"/>
        <v/>
      </c>
      <c r="R1830" s="317" t="str">
        <f t="shared" si="190"/>
        <v/>
      </c>
      <c r="S1830" s="317" t="str">
        <f t="shared" si="191"/>
        <v/>
      </c>
      <c r="T1830" s="317" t="str">
        <f>'REF. DE PREÇOS n editavel'!S1830</f>
        <v/>
      </c>
      <c r="W1830" s="577">
        <v>0</v>
      </c>
      <c r="X1830" s="575"/>
      <c r="Y1830" s="578">
        <f>IF('REF. DE PREÇOS n editavel'!W1830=0,0,IF('REF. DE PREÇOS n editavel'!W1830&gt;0,"c","b"))</f>
        <v>0</v>
      </c>
    </row>
    <row r="1831" spans="1:25" ht="15" customHeight="1">
      <c r="A1831" s="317">
        <v>605900</v>
      </c>
      <c r="B1831" s="870">
        <v>605900</v>
      </c>
      <c r="C1831" s="871" t="s">
        <v>184</v>
      </c>
      <c r="D1831" s="881" t="s">
        <v>799</v>
      </c>
      <c r="E1831" s="882">
        <f>'REF. DE PREÇOS n editavel'!E1831</f>
        <v>0</v>
      </c>
      <c r="F1831" s="883">
        <f>'REF. DE PREÇOS n editavel'!F1831</f>
        <v>0</v>
      </c>
      <c r="G1831" s="887">
        <f>'REF. DE PREÇOS n editavel'!G1831</f>
        <v>468.65066999999999</v>
      </c>
      <c r="H1831" s="876">
        <f>'REF. DE PREÇOS n editavel'!H1831</f>
        <v>581.4</v>
      </c>
      <c r="I1831" s="876">
        <f>'REF. DE PREÇOS n editavel'!I1831</f>
        <v>1050.0506700000001</v>
      </c>
      <c r="J1831" s="877">
        <f>'REF. DE PREÇOS n editavel'!J1831</f>
        <v>1283.3699999999999</v>
      </c>
      <c r="K1831" s="878" t="s">
        <v>10</v>
      </c>
      <c r="L1831" s="1092"/>
      <c r="M1831" s="1093">
        <f t="shared" si="188"/>
        <v>0</v>
      </c>
      <c r="N1831" s="1131">
        <f t="shared" si="192"/>
        <v>0</v>
      </c>
      <c r="O1831" s="880"/>
      <c r="Q1831" s="317" t="str">
        <f t="shared" si="189"/>
        <v/>
      </c>
      <c r="R1831" s="317" t="str">
        <f t="shared" si="190"/>
        <v/>
      </c>
      <c r="S1831" s="317" t="str">
        <f t="shared" si="191"/>
        <v/>
      </c>
      <c r="T1831" s="317" t="str">
        <f>'REF. DE PREÇOS n editavel'!S1831</f>
        <v/>
      </c>
      <c r="W1831" s="577">
        <v>0</v>
      </c>
      <c r="X1831" s="575"/>
      <c r="Y1831" s="578">
        <f>IF('REF. DE PREÇOS n editavel'!W1831=0,0,IF('REF. DE PREÇOS n editavel'!W1831&gt;0,"c","b"))</f>
        <v>0</v>
      </c>
    </row>
    <row r="1832" spans="1:25" ht="15" customHeight="1">
      <c r="A1832" s="317" t="s">
        <v>147</v>
      </c>
      <c r="B1832" s="870" t="s">
        <v>147</v>
      </c>
      <c r="C1832" s="871"/>
      <c r="D1832" s="881" t="s">
        <v>190</v>
      </c>
      <c r="E1832" s="882">
        <f>'REF. DE PREÇOS n editavel'!E1832</f>
        <v>445</v>
      </c>
      <c r="F1832" s="883">
        <f>'REF. DE PREÇOS n editavel'!F1832</f>
        <v>0.48</v>
      </c>
      <c r="G1832" s="884">
        <f>'REF. DE PREÇOS n editavel'!G1832</f>
        <v>170.36160000000001</v>
      </c>
      <c r="H1832" s="876">
        <f>'REF. DE PREÇOS n editavel'!H1832</f>
        <v>0</v>
      </c>
      <c r="I1832" s="876">
        <f>'REF. DE PREÇOS n editavel'!I1832</f>
        <v>0</v>
      </c>
      <c r="J1832" s="877">
        <f>'REF. DE PREÇOS n editavel'!J1832</f>
        <v>0</v>
      </c>
      <c r="K1832" s="878"/>
      <c r="L1832" s="1132"/>
      <c r="M1832" s="1093">
        <f t="shared" si="188"/>
        <v>0</v>
      </c>
      <c r="N1832" s="1131">
        <f t="shared" si="192"/>
        <v>0</v>
      </c>
      <c r="O1832" s="880"/>
      <c r="P1832" s="36" t="str">
        <f>IF(N1831&gt;0,"xx",IF(N1831&gt;0,"xy",""))</f>
        <v/>
      </c>
      <c r="Q1832" s="317" t="str">
        <f t="shared" si="189"/>
        <v/>
      </c>
      <c r="R1832" s="317" t="str">
        <f t="shared" si="190"/>
        <v/>
      </c>
      <c r="S1832" s="317" t="str">
        <f t="shared" si="191"/>
        <v/>
      </c>
      <c r="T1832" s="317" t="str">
        <f>'REF. DE PREÇOS n editavel'!S1832</f>
        <v/>
      </c>
      <c r="W1832" s="577">
        <v>0</v>
      </c>
      <c r="X1832" s="575"/>
      <c r="Y1832" s="578">
        <f>IF('REF. DE PREÇOS n editavel'!W1832=0,0,IF('REF. DE PREÇOS n editavel'!W1832&gt;0,"c","b"))</f>
        <v>0</v>
      </c>
    </row>
    <row r="1833" spans="1:25" ht="15" customHeight="1">
      <c r="A1833" s="317" t="s">
        <v>147</v>
      </c>
      <c r="B1833" s="870" t="s">
        <v>147</v>
      </c>
      <c r="C1833" s="871"/>
      <c r="D1833" s="881" t="s">
        <v>229</v>
      </c>
      <c r="E1833" s="882">
        <f>'REF. DE PREÇOS n editavel'!E1833</f>
        <v>290</v>
      </c>
      <c r="F1833" s="883">
        <f>'REF. DE PREÇOS n editavel'!F1833</f>
        <v>0.78</v>
      </c>
      <c r="G1833" s="923">
        <f>'REF. DE PREÇOS n editavel'!G1833</f>
        <v>244.12440000000001</v>
      </c>
      <c r="H1833" s="876">
        <f>'REF. DE PREÇOS n editavel'!H1833</f>
        <v>0</v>
      </c>
      <c r="I1833" s="876">
        <f>'REF. DE PREÇOS n editavel'!I1833</f>
        <v>0</v>
      </c>
      <c r="J1833" s="877">
        <f>'REF. DE PREÇOS n editavel'!J1833</f>
        <v>0</v>
      </c>
      <c r="K1833" s="878"/>
      <c r="L1833" s="1132"/>
      <c r="M1833" s="1093">
        <f t="shared" si="188"/>
        <v>0</v>
      </c>
      <c r="N1833" s="1131">
        <f t="shared" si="192"/>
        <v>0</v>
      </c>
      <c r="O1833" s="880"/>
      <c r="P1833" s="36" t="str">
        <f>IF(N1831&gt;0,"xx",IF(N1831&gt;0,"xy",""))</f>
        <v/>
      </c>
      <c r="Q1833" s="317" t="str">
        <f t="shared" si="189"/>
        <v/>
      </c>
      <c r="R1833" s="317" t="str">
        <f t="shared" si="190"/>
        <v/>
      </c>
      <c r="S1833" s="317" t="str">
        <f t="shared" si="191"/>
        <v/>
      </c>
      <c r="T1833" s="317" t="str">
        <f>'REF. DE PREÇOS n editavel'!S1833</f>
        <v/>
      </c>
      <c r="W1833" s="577">
        <v>0</v>
      </c>
      <c r="X1833" s="575"/>
      <c r="Y1833" s="578">
        <f>IF('REF. DE PREÇOS n editavel'!W1833=0,0,IF('REF. DE PREÇOS n editavel'!W1833&gt;0,"c","b"))</f>
        <v>0</v>
      </c>
    </row>
    <row r="1834" spans="1:25" ht="15" customHeight="1">
      <c r="A1834" s="317" t="s">
        <v>147</v>
      </c>
      <c r="B1834" s="870" t="s">
        <v>147</v>
      </c>
      <c r="C1834" s="871"/>
      <c r="D1834" s="881" t="s">
        <v>233</v>
      </c>
      <c r="E1834" s="882">
        <f>'REF. DE PREÇOS n editavel'!E1834</f>
        <v>43.1</v>
      </c>
      <c r="F1834" s="883">
        <f>'REF. DE PREÇOS n editavel'!F1834</f>
        <v>1.1100000000000001</v>
      </c>
      <c r="G1834" s="923">
        <f>'REF. DE PREÇOS n editavel'!G1834</f>
        <v>54.164670000000008</v>
      </c>
      <c r="H1834" s="876">
        <f>'REF. DE PREÇOS n editavel'!H1834</f>
        <v>0</v>
      </c>
      <c r="I1834" s="876">
        <f>'REF. DE PREÇOS n editavel'!I1834</f>
        <v>0</v>
      </c>
      <c r="J1834" s="877">
        <f>'REF. DE PREÇOS n editavel'!J1834</f>
        <v>0</v>
      </c>
      <c r="K1834" s="878"/>
      <c r="L1834" s="1132"/>
      <c r="M1834" s="1093">
        <f t="shared" si="188"/>
        <v>0</v>
      </c>
      <c r="N1834" s="1131">
        <f t="shared" si="192"/>
        <v>0</v>
      </c>
      <c r="O1834" s="880"/>
      <c r="P1834" s="36" t="str">
        <f>IF(N1831&gt;0,"xx",IF(N1831&gt;0,"xy",""))</f>
        <v/>
      </c>
      <c r="Q1834" s="317" t="str">
        <f t="shared" si="189"/>
        <v/>
      </c>
      <c r="R1834" s="317" t="str">
        <f t="shared" si="190"/>
        <v/>
      </c>
      <c r="S1834" s="317" t="str">
        <f t="shared" si="191"/>
        <v/>
      </c>
      <c r="T1834" s="317" t="str">
        <f>'REF. DE PREÇOS n editavel'!S1834</f>
        <v/>
      </c>
      <c r="W1834" s="577">
        <v>0</v>
      </c>
      <c r="X1834" s="575"/>
      <c r="Y1834" s="578">
        <f>IF('REF. DE PREÇOS n editavel'!W1834=0,0,IF('REF. DE PREÇOS n editavel'!W1834&gt;0,"c","b"))</f>
        <v>0</v>
      </c>
    </row>
    <row r="1835" spans="1:25" ht="15" customHeight="1">
      <c r="A1835" s="317">
        <v>606200</v>
      </c>
      <c r="B1835" s="870">
        <v>606200</v>
      </c>
      <c r="C1835" s="871" t="s">
        <v>184</v>
      </c>
      <c r="D1835" s="881" t="s">
        <v>800</v>
      </c>
      <c r="E1835" s="882">
        <f>'REF. DE PREÇOS n editavel'!E1835</f>
        <v>0</v>
      </c>
      <c r="F1835" s="883">
        <f>'REF. DE PREÇOS n editavel'!F1835</f>
        <v>0</v>
      </c>
      <c r="G1835" s="887">
        <f>'REF. DE PREÇOS n editavel'!G1835</f>
        <v>470.61871000000002</v>
      </c>
      <c r="H1835" s="876">
        <f>'REF. DE PREÇOS n editavel'!H1835</f>
        <v>598.07000000000005</v>
      </c>
      <c r="I1835" s="876">
        <f>'REF. DE PREÇOS n editavel'!I1835</f>
        <v>1068.6887100000001</v>
      </c>
      <c r="J1835" s="877">
        <f>'REF. DE PREÇOS n editavel'!J1835</f>
        <v>1306.1500000000001</v>
      </c>
      <c r="K1835" s="878" t="s">
        <v>10</v>
      </c>
      <c r="L1835" s="1092"/>
      <c r="M1835" s="1093">
        <f t="shared" si="188"/>
        <v>0</v>
      </c>
      <c r="N1835" s="1131">
        <f t="shared" si="192"/>
        <v>0</v>
      </c>
      <c r="O1835" s="880"/>
      <c r="Q1835" s="317" t="str">
        <f t="shared" si="189"/>
        <v/>
      </c>
      <c r="R1835" s="317" t="str">
        <f t="shared" si="190"/>
        <v/>
      </c>
      <c r="S1835" s="317" t="str">
        <f t="shared" si="191"/>
        <v/>
      </c>
      <c r="T1835" s="317" t="str">
        <f>'REF. DE PREÇOS n editavel'!S1835</f>
        <v/>
      </c>
      <c r="W1835" s="577">
        <v>0</v>
      </c>
      <c r="X1835" s="575"/>
      <c r="Y1835" s="578">
        <f>IF('REF. DE PREÇOS n editavel'!W1835=0,0,IF('REF. DE PREÇOS n editavel'!W1835&gt;0,"c","b"))</f>
        <v>0</v>
      </c>
    </row>
    <row r="1836" spans="1:25" ht="15" customHeight="1">
      <c r="A1836" s="317" t="s">
        <v>147</v>
      </c>
      <c r="B1836" s="870" t="s">
        <v>147</v>
      </c>
      <c r="C1836" s="871"/>
      <c r="D1836" s="881" t="s">
        <v>190</v>
      </c>
      <c r="E1836" s="882">
        <f>'REF. DE PREÇOS n editavel'!E1836</f>
        <v>445</v>
      </c>
      <c r="F1836" s="883">
        <f>'REF. DE PREÇOS n editavel'!F1836</f>
        <v>0.51200000000000001</v>
      </c>
      <c r="G1836" s="884">
        <f>'REF. DE PREÇOS n editavel'!G1836</f>
        <v>181.71904000000001</v>
      </c>
      <c r="H1836" s="876">
        <f>'REF. DE PREÇOS n editavel'!H1836</f>
        <v>0</v>
      </c>
      <c r="I1836" s="876">
        <f>'REF. DE PREÇOS n editavel'!I1836</f>
        <v>0</v>
      </c>
      <c r="J1836" s="877">
        <f>'REF. DE PREÇOS n editavel'!J1836</f>
        <v>0</v>
      </c>
      <c r="K1836" s="878"/>
      <c r="L1836" s="1132"/>
      <c r="M1836" s="1093">
        <f t="shared" si="188"/>
        <v>0</v>
      </c>
      <c r="N1836" s="1131">
        <f t="shared" si="192"/>
        <v>0</v>
      </c>
      <c r="O1836" s="880"/>
      <c r="P1836" s="36" t="str">
        <f>IF(N1835&gt;0,"xx",IF(N1835&gt;0,"xy",""))</f>
        <v/>
      </c>
      <c r="Q1836" s="317" t="str">
        <f t="shared" si="189"/>
        <v/>
      </c>
      <c r="R1836" s="317" t="str">
        <f t="shared" si="190"/>
        <v/>
      </c>
      <c r="S1836" s="317" t="str">
        <f t="shared" si="191"/>
        <v/>
      </c>
      <c r="T1836" s="317" t="str">
        <f>'REF. DE PREÇOS n editavel'!S1836</f>
        <v/>
      </c>
      <c r="W1836" s="577">
        <v>0</v>
      </c>
      <c r="X1836" s="575"/>
      <c r="Y1836" s="578">
        <f>IF('REF. DE PREÇOS n editavel'!W1836=0,0,IF('REF. DE PREÇOS n editavel'!W1836&gt;0,"c","b"))</f>
        <v>0</v>
      </c>
    </row>
    <row r="1837" spans="1:25" ht="15" customHeight="1">
      <c r="A1837" s="317" t="s">
        <v>147</v>
      </c>
      <c r="B1837" s="870" t="s">
        <v>147</v>
      </c>
      <c r="C1837" s="871"/>
      <c r="D1837" s="881" t="s">
        <v>229</v>
      </c>
      <c r="E1837" s="882">
        <f>'REF. DE PREÇOS n editavel'!E1837</f>
        <v>290</v>
      </c>
      <c r="F1837" s="883">
        <f>'REF. DE PREÇOS n editavel'!F1837</f>
        <v>0.75</v>
      </c>
      <c r="G1837" s="923">
        <f>'REF. DE PREÇOS n editavel'!G1837</f>
        <v>234.73500000000001</v>
      </c>
      <c r="H1837" s="876">
        <f>'REF. DE PREÇOS n editavel'!H1837</f>
        <v>0</v>
      </c>
      <c r="I1837" s="876">
        <f>'REF. DE PREÇOS n editavel'!I1837</f>
        <v>0</v>
      </c>
      <c r="J1837" s="877">
        <f>'REF. DE PREÇOS n editavel'!J1837</f>
        <v>0</v>
      </c>
      <c r="K1837" s="878"/>
      <c r="L1837" s="1132"/>
      <c r="M1837" s="1093">
        <f t="shared" si="188"/>
        <v>0</v>
      </c>
      <c r="N1837" s="1131">
        <f t="shared" si="192"/>
        <v>0</v>
      </c>
      <c r="O1837" s="880"/>
      <c r="P1837" s="36" t="str">
        <f>IF(N1835&gt;0,"xx",IF(N1835&gt;0,"xy",""))</f>
        <v/>
      </c>
      <c r="Q1837" s="317" t="str">
        <f t="shared" si="189"/>
        <v/>
      </c>
      <c r="R1837" s="317" t="str">
        <f t="shared" si="190"/>
        <v/>
      </c>
      <c r="S1837" s="317" t="str">
        <f t="shared" si="191"/>
        <v/>
      </c>
      <c r="T1837" s="317" t="str">
        <f>'REF. DE PREÇOS n editavel'!S1837</f>
        <v/>
      </c>
      <c r="W1837" s="577">
        <v>0</v>
      </c>
      <c r="X1837" s="575"/>
      <c r="Y1837" s="578">
        <f>IF('REF. DE PREÇOS n editavel'!W1837=0,0,IF('REF. DE PREÇOS n editavel'!W1837&gt;0,"c","b"))</f>
        <v>0</v>
      </c>
    </row>
    <row r="1838" spans="1:25" ht="15" customHeight="1">
      <c r="A1838" s="317" t="s">
        <v>147</v>
      </c>
      <c r="B1838" s="870" t="s">
        <v>147</v>
      </c>
      <c r="C1838" s="871"/>
      <c r="D1838" s="881" t="s">
        <v>233</v>
      </c>
      <c r="E1838" s="882">
        <f>'REF. DE PREÇOS n editavel'!E1838</f>
        <v>43.1</v>
      </c>
      <c r="F1838" s="883">
        <f>'REF. DE PREÇOS n editavel'!F1838</f>
        <v>1.1100000000000001</v>
      </c>
      <c r="G1838" s="923">
        <f>'REF. DE PREÇOS n editavel'!G1838</f>
        <v>54.164670000000008</v>
      </c>
      <c r="H1838" s="876">
        <f>'REF. DE PREÇOS n editavel'!H1838</f>
        <v>0</v>
      </c>
      <c r="I1838" s="876">
        <f>'REF. DE PREÇOS n editavel'!I1838</f>
        <v>0</v>
      </c>
      <c r="J1838" s="877">
        <f>'REF. DE PREÇOS n editavel'!J1838</f>
        <v>0</v>
      </c>
      <c r="K1838" s="878"/>
      <c r="L1838" s="1132"/>
      <c r="M1838" s="1093">
        <f t="shared" si="188"/>
        <v>0</v>
      </c>
      <c r="N1838" s="1131">
        <f t="shared" si="192"/>
        <v>0</v>
      </c>
      <c r="O1838" s="880"/>
      <c r="P1838" s="36" t="str">
        <f>IF(N1835&gt;0,"xx",IF(N1835&gt;0,"xy",""))</f>
        <v/>
      </c>
      <c r="Q1838" s="317" t="str">
        <f t="shared" si="189"/>
        <v/>
      </c>
      <c r="R1838" s="317" t="str">
        <f t="shared" si="190"/>
        <v/>
      </c>
      <c r="S1838" s="317" t="str">
        <f t="shared" si="191"/>
        <v/>
      </c>
      <c r="T1838" s="317" t="str">
        <f>'REF. DE PREÇOS n editavel'!S1838</f>
        <v/>
      </c>
      <c r="W1838" s="577">
        <v>0</v>
      </c>
      <c r="X1838" s="575"/>
      <c r="Y1838" s="578">
        <f>IF('REF. DE PREÇOS n editavel'!W1838=0,0,IF('REF. DE PREÇOS n editavel'!W1838&gt;0,"c","b"))</f>
        <v>0</v>
      </c>
    </row>
    <row r="1839" spans="1:25" ht="15" customHeight="1">
      <c r="A1839" s="317">
        <v>622000</v>
      </c>
      <c r="B1839" s="870">
        <v>622000</v>
      </c>
      <c r="C1839" s="871" t="s">
        <v>184</v>
      </c>
      <c r="D1839" s="881" t="s">
        <v>520</v>
      </c>
      <c r="E1839" s="882">
        <f>'REF. DE PREÇOS n editavel'!E1839</f>
        <v>0</v>
      </c>
      <c r="F1839" s="883">
        <f>'REF. DE PREÇOS n editavel'!F1839</f>
        <v>0</v>
      </c>
      <c r="G1839" s="887">
        <f>'REF. DE PREÇOS n editavel'!G1839</f>
        <v>72.473811100000006</v>
      </c>
      <c r="H1839" s="876">
        <f>'REF. DE PREÇOS n editavel'!H1839</f>
        <v>240.43</v>
      </c>
      <c r="I1839" s="876">
        <f>'REF. DE PREÇOS n editavel'!I1839</f>
        <v>312.90381109999998</v>
      </c>
      <c r="J1839" s="877">
        <f>'REF. DE PREÇOS n editavel'!J1839</f>
        <v>382.43</v>
      </c>
      <c r="K1839" s="878" t="s">
        <v>15</v>
      </c>
      <c r="L1839" s="1092"/>
      <c r="M1839" s="1093">
        <f t="shared" si="188"/>
        <v>0</v>
      </c>
      <c r="N1839" s="1131">
        <f t="shared" si="192"/>
        <v>0</v>
      </c>
      <c r="O1839" s="880"/>
      <c r="Q1839" s="317" t="str">
        <f t="shared" si="189"/>
        <v/>
      </c>
      <c r="R1839" s="317" t="str">
        <f t="shared" si="190"/>
        <v/>
      </c>
      <c r="S1839" s="317" t="str">
        <f t="shared" si="191"/>
        <v/>
      </c>
      <c r="T1839" s="317" t="str">
        <f>'REF. DE PREÇOS n editavel'!S1839</f>
        <v/>
      </c>
      <c r="W1839" s="577">
        <v>0</v>
      </c>
      <c r="X1839" s="575"/>
      <c r="Y1839" s="578">
        <f>IF('REF. DE PREÇOS n editavel'!W1839=0,0,IF('REF. DE PREÇOS n editavel'!W1839&gt;0,"c","b"))</f>
        <v>0</v>
      </c>
    </row>
    <row r="1840" spans="1:25" ht="15" customHeight="1">
      <c r="A1840" s="317" t="s">
        <v>147</v>
      </c>
      <c r="B1840" s="870" t="s">
        <v>147</v>
      </c>
      <c r="C1840" s="871"/>
      <c r="D1840" s="881" t="s">
        <v>190</v>
      </c>
      <c r="E1840" s="882">
        <f>'REF. DE PREÇOS n editavel'!E1840</f>
        <v>445</v>
      </c>
      <c r="F1840" s="883">
        <f>'REF. DE PREÇOS n editavel'!F1840</f>
        <v>4.24E-2</v>
      </c>
      <c r="G1840" s="884">
        <f>'REF. DE PREÇOS n editavel'!G1840</f>
        <v>15.048608000000002</v>
      </c>
      <c r="H1840" s="876">
        <f>'REF. DE PREÇOS n editavel'!H1840</f>
        <v>0</v>
      </c>
      <c r="I1840" s="876">
        <f>'REF. DE PREÇOS n editavel'!I1840</f>
        <v>0</v>
      </c>
      <c r="J1840" s="877">
        <f>'REF. DE PREÇOS n editavel'!J1840</f>
        <v>0</v>
      </c>
      <c r="K1840" s="878"/>
      <c r="L1840" s="1132"/>
      <c r="M1840" s="1093">
        <f t="shared" si="188"/>
        <v>0</v>
      </c>
      <c r="N1840" s="1131">
        <f t="shared" si="192"/>
        <v>0</v>
      </c>
      <c r="O1840" s="880"/>
      <c r="P1840" s="36" t="str">
        <f>IF(N1839&gt;0,"xx",IF(N1839&gt;0,"xy",""))</f>
        <v/>
      </c>
      <c r="Q1840" s="317" t="str">
        <f t="shared" si="189"/>
        <v/>
      </c>
      <c r="R1840" s="317" t="str">
        <f t="shared" si="190"/>
        <v/>
      </c>
      <c r="S1840" s="317" t="str">
        <f t="shared" si="191"/>
        <v/>
      </c>
      <c r="T1840" s="317" t="str">
        <f>'REF. DE PREÇOS n editavel'!S1840</f>
        <v/>
      </c>
      <c r="W1840" s="577">
        <v>0</v>
      </c>
      <c r="X1840" s="575"/>
      <c r="Y1840" s="578">
        <f>IF('REF. DE PREÇOS n editavel'!W1840=0,0,IF('REF. DE PREÇOS n editavel'!W1840&gt;0,"c","b"))</f>
        <v>0</v>
      </c>
    </row>
    <row r="1841" spans="1:25" ht="15" customHeight="1">
      <c r="A1841" s="317" t="s">
        <v>147</v>
      </c>
      <c r="B1841" s="870" t="s">
        <v>147</v>
      </c>
      <c r="C1841" s="871"/>
      <c r="D1841" s="881" t="s">
        <v>229</v>
      </c>
      <c r="E1841" s="882">
        <f>'REF. DE PREÇOS n editavel'!E1841</f>
        <v>290</v>
      </c>
      <c r="F1841" s="883">
        <f>'REF. DE PREÇOS n editavel'!F1841</f>
        <v>0.1507</v>
      </c>
      <c r="G1841" s="923">
        <f>'REF. DE PREÇOS n editavel'!G1841</f>
        <v>47.166086</v>
      </c>
      <c r="H1841" s="876">
        <f>'REF. DE PREÇOS n editavel'!H1841</f>
        <v>0</v>
      </c>
      <c r="I1841" s="876">
        <f>'REF. DE PREÇOS n editavel'!I1841</f>
        <v>0</v>
      </c>
      <c r="J1841" s="877">
        <f>'REF. DE PREÇOS n editavel'!J1841</f>
        <v>0</v>
      </c>
      <c r="K1841" s="878"/>
      <c r="L1841" s="1132"/>
      <c r="M1841" s="1093">
        <f t="shared" si="188"/>
        <v>0</v>
      </c>
      <c r="N1841" s="1131">
        <f t="shared" si="192"/>
        <v>0</v>
      </c>
      <c r="O1841" s="880"/>
      <c r="P1841" s="36" t="str">
        <f>IF(N1839&gt;0,"xx",IF(N1839&gt;0,"xy",""))</f>
        <v/>
      </c>
      <c r="Q1841" s="317" t="str">
        <f t="shared" si="189"/>
        <v/>
      </c>
      <c r="R1841" s="317" t="str">
        <f t="shared" si="190"/>
        <v/>
      </c>
      <c r="S1841" s="317" t="str">
        <f t="shared" si="191"/>
        <v/>
      </c>
      <c r="T1841" s="317" t="str">
        <f>'REF. DE PREÇOS n editavel'!S1841</f>
        <v/>
      </c>
      <c r="W1841" s="577">
        <v>0</v>
      </c>
      <c r="X1841" s="575"/>
      <c r="Y1841" s="578">
        <f>IF('REF. DE PREÇOS n editavel'!W1841=0,0,IF('REF. DE PREÇOS n editavel'!W1841&gt;0,"c","b"))</f>
        <v>0</v>
      </c>
    </row>
    <row r="1842" spans="1:25" ht="15" customHeight="1">
      <c r="A1842" s="317" t="s">
        <v>147</v>
      </c>
      <c r="B1842" s="870" t="s">
        <v>147</v>
      </c>
      <c r="C1842" s="871"/>
      <c r="D1842" s="881" t="s">
        <v>233</v>
      </c>
      <c r="E1842" s="882">
        <f>'REF. DE PREÇOS n editavel'!E1842</f>
        <v>43.1</v>
      </c>
      <c r="F1842" s="883">
        <f>'REF. DE PREÇOS n editavel'!F1842</f>
        <v>0.17430000000000001</v>
      </c>
      <c r="G1842" s="923">
        <f>'REF. DE PREÇOS n editavel'!G1842</f>
        <v>8.505317100000001</v>
      </c>
      <c r="H1842" s="876">
        <f>'REF. DE PREÇOS n editavel'!H1842</f>
        <v>0</v>
      </c>
      <c r="I1842" s="876">
        <f>'REF. DE PREÇOS n editavel'!I1842</f>
        <v>0</v>
      </c>
      <c r="J1842" s="877">
        <f>'REF. DE PREÇOS n editavel'!J1842</f>
        <v>0</v>
      </c>
      <c r="K1842" s="878"/>
      <c r="L1842" s="1132"/>
      <c r="M1842" s="1093">
        <f t="shared" si="188"/>
        <v>0</v>
      </c>
      <c r="N1842" s="1131">
        <f t="shared" si="192"/>
        <v>0</v>
      </c>
      <c r="O1842" s="880"/>
      <c r="P1842" s="36" t="str">
        <f>IF(N1839&gt;0,"xx",IF(N1839&gt;0,"xy",""))</f>
        <v/>
      </c>
      <c r="Q1842" s="317" t="str">
        <f t="shared" si="189"/>
        <v/>
      </c>
      <c r="R1842" s="317" t="str">
        <f t="shared" si="190"/>
        <v/>
      </c>
      <c r="S1842" s="317" t="str">
        <f t="shared" si="191"/>
        <v/>
      </c>
      <c r="T1842" s="317" t="str">
        <f>'REF. DE PREÇOS n editavel'!S1842</f>
        <v/>
      </c>
      <c r="W1842" s="577">
        <v>0</v>
      </c>
      <c r="X1842" s="575"/>
      <c r="Y1842" s="578">
        <f>IF('REF. DE PREÇOS n editavel'!W1842=0,0,IF('REF. DE PREÇOS n editavel'!W1842&gt;0,"c","b"))</f>
        <v>0</v>
      </c>
    </row>
    <row r="1843" spans="1:25" ht="15" customHeight="1">
      <c r="A1843" s="317" t="s">
        <v>147</v>
      </c>
      <c r="B1843" s="870" t="s">
        <v>147</v>
      </c>
      <c r="C1843" s="871"/>
      <c r="D1843" s="881" t="s">
        <v>336</v>
      </c>
      <c r="E1843" s="882">
        <f>'REF. DE PREÇOS n editavel'!E1843</f>
        <v>37</v>
      </c>
      <c r="F1843" s="883">
        <f>'REF. DE PREÇOS n editavel'!F1843</f>
        <v>0.06</v>
      </c>
      <c r="G1843" s="923">
        <f>'REF. DE PREÇOS n editavel'!G1843</f>
        <v>1.7538</v>
      </c>
      <c r="H1843" s="876">
        <f>'REF. DE PREÇOS n editavel'!H1843</f>
        <v>0</v>
      </c>
      <c r="I1843" s="876">
        <f>'REF. DE PREÇOS n editavel'!I1843</f>
        <v>0</v>
      </c>
      <c r="J1843" s="877">
        <f>'REF. DE PREÇOS n editavel'!J1843</f>
        <v>0</v>
      </c>
      <c r="K1843" s="878"/>
      <c r="L1843" s="1132"/>
      <c r="M1843" s="1093">
        <f t="shared" si="188"/>
        <v>0</v>
      </c>
      <c r="N1843" s="1131">
        <f t="shared" si="192"/>
        <v>0</v>
      </c>
      <c r="O1843" s="880"/>
      <c r="P1843" s="36" t="str">
        <f>IF(N1839&gt;0,"xx",IF(N1839&gt;0,"xy",""))</f>
        <v/>
      </c>
      <c r="Q1843" s="317" t="str">
        <f t="shared" si="189"/>
        <v/>
      </c>
      <c r="R1843" s="317" t="str">
        <f t="shared" si="190"/>
        <v/>
      </c>
      <c r="S1843" s="317" t="str">
        <f t="shared" si="191"/>
        <v/>
      </c>
      <c r="T1843" s="317" t="str">
        <f>'REF. DE PREÇOS n editavel'!S1843</f>
        <v/>
      </c>
      <c r="W1843" s="577">
        <v>0</v>
      </c>
      <c r="X1843" s="575"/>
      <c r="Y1843" s="578">
        <f>IF('REF. DE PREÇOS n editavel'!W1843=0,0,IF('REF. DE PREÇOS n editavel'!W1843&gt;0,"c","b"))</f>
        <v>0</v>
      </c>
    </row>
    <row r="1844" spans="1:25" ht="15" customHeight="1">
      <c r="A1844" s="317">
        <v>620000</v>
      </c>
      <c r="B1844" s="870" t="s">
        <v>1797</v>
      </c>
      <c r="C1844" s="871" t="s">
        <v>184</v>
      </c>
      <c r="D1844" s="881" t="s">
        <v>521</v>
      </c>
      <c r="E1844" s="882">
        <f>'REF. DE PREÇOS n editavel'!E1844</f>
        <v>0</v>
      </c>
      <c r="F1844" s="883">
        <f>'REF. DE PREÇOS n editavel'!F1844</f>
        <v>0</v>
      </c>
      <c r="G1844" s="887">
        <f>'REF. DE PREÇOS n editavel'!G1844</f>
        <v>106.09810550000002</v>
      </c>
      <c r="H1844" s="876">
        <f>'REF. DE PREÇOS n editavel'!H1844</f>
        <v>643.26</v>
      </c>
      <c r="I1844" s="876">
        <f>'REF. DE PREÇOS n editavel'!I1844</f>
        <v>749.35810549999997</v>
      </c>
      <c r="J1844" s="877">
        <f>'REF. DE PREÇOS n editavel'!J1844</f>
        <v>915.87</v>
      </c>
      <c r="K1844" s="878" t="s">
        <v>15</v>
      </c>
      <c r="L1844" s="1092"/>
      <c r="M1844" s="1093">
        <f t="shared" si="188"/>
        <v>0</v>
      </c>
      <c r="N1844" s="1131">
        <f t="shared" si="192"/>
        <v>0</v>
      </c>
      <c r="O1844" s="880"/>
      <c r="Q1844" s="317" t="str">
        <f t="shared" si="189"/>
        <v/>
      </c>
      <c r="R1844" s="317" t="str">
        <f t="shared" si="190"/>
        <v/>
      </c>
      <c r="S1844" s="317" t="str">
        <f t="shared" si="191"/>
        <v/>
      </c>
      <c r="T1844" s="317" t="str">
        <f>'REF. DE PREÇOS n editavel'!S1844</f>
        <v/>
      </c>
      <c r="W1844" s="577">
        <v>0</v>
      </c>
      <c r="X1844" s="575"/>
      <c r="Y1844" s="578">
        <f>IF('REF. DE PREÇOS n editavel'!W1844=0,0,IF('REF. DE PREÇOS n editavel'!W1844&gt;0,"c","b"))</f>
        <v>0</v>
      </c>
    </row>
    <row r="1845" spans="1:25" ht="15" customHeight="1">
      <c r="A1845" s="317" t="s">
        <v>147</v>
      </c>
      <c r="B1845" s="870" t="s">
        <v>147</v>
      </c>
      <c r="C1845" s="871"/>
      <c r="D1845" s="881" t="s">
        <v>190</v>
      </c>
      <c r="E1845" s="882">
        <f>'REF. DE PREÇOS n editavel'!E1845</f>
        <v>445</v>
      </c>
      <c r="F1845" s="883">
        <f>'REF. DE PREÇOS n editavel'!F1845</f>
        <v>6.3600000000000004E-2</v>
      </c>
      <c r="G1845" s="884">
        <f>'REF. DE PREÇOS n editavel'!G1845</f>
        <v>22.572912000000002</v>
      </c>
      <c r="H1845" s="876">
        <f>'REF. DE PREÇOS n editavel'!H1845</f>
        <v>0</v>
      </c>
      <c r="I1845" s="876">
        <f>'REF. DE PREÇOS n editavel'!I1845</f>
        <v>0</v>
      </c>
      <c r="J1845" s="877">
        <f>'REF. DE PREÇOS n editavel'!J1845</f>
        <v>0</v>
      </c>
      <c r="K1845" s="878"/>
      <c r="L1845" s="1132"/>
      <c r="M1845" s="1093">
        <f t="shared" si="188"/>
        <v>0</v>
      </c>
      <c r="N1845" s="1131">
        <f t="shared" si="192"/>
        <v>0</v>
      </c>
      <c r="O1845" s="880"/>
      <c r="P1845" s="36" t="str">
        <f>IF(N1844&gt;0,"xx",IF(N1844&gt;0,"xy",""))</f>
        <v/>
      </c>
      <c r="Q1845" s="317" t="str">
        <f t="shared" si="189"/>
        <v/>
      </c>
      <c r="R1845" s="317" t="str">
        <f t="shared" si="190"/>
        <v/>
      </c>
      <c r="S1845" s="317" t="str">
        <f t="shared" si="191"/>
        <v/>
      </c>
      <c r="T1845" s="317" t="str">
        <f>'REF. DE PREÇOS n editavel'!S1845</f>
        <v/>
      </c>
      <c r="W1845" s="577">
        <v>0</v>
      </c>
      <c r="X1845" s="575"/>
      <c r="Y1845" s="578">
        <f>IF('REF. DE PREÇOS n editavel'!W1845=0,0,IF('REF. DE PREÇOS n editavel'!W1845&gt;0,"c","b"))</f>
        <v>0</v>
      </c>
    </row>
    <row r="1846" spans="1:25" ht="15" customHeight="1">
      <c r="A1846" s="317" t="s">
        <v>147</v>
      </c>
      <c r="B1846" s="870" t="s">
        <v>147</v>
      </c>
      <c r="C1846" s="871"/>
      <c r="D1846" s="881" t="s">
        <v>229</v>
      </c>
      <c r="E1846" s="882">
        <f>'REF. DE PREÇOS n editavel'!E1846</f>
        <v>290</v>
      </c>
      <c r="F1846" s="883">
        <f>'REF. DE PREÇOS n editavel'!F1846</f>
        <v>0.2261</v>
      </c>
      <c r="G1846" s="923">
        <f>'REF. DE PREÇOS n editavel'!G1846</f>
        <v>70.764778000000007</v>
      </c>
      <c r="H1846" s="876">
        <f>'REF. DE PREÇOS n editavel'!H1846</f>
        <v>0</v>
      </c>
      <c r="I1846" s="876">
        <f>'REF. DE PREÇOS n editavel'!I1846</f>
        <v>0</v>
      </c>
      <c r="J1846" s="877">
        <f>'REF. DE PREÇOS n editavel'!J1846</f>
        <v>0</v>
      </c>
      <c r="K1846" s="878"/>
      <c r="L1846" s="1132"/>
      <c r="M1846" s="1093">
        <f t="shared" si="188"/>
        <v>0</v>
      </c>
      <c r="N1846" s="1131">
        <f t="shared" si="192"/>
        <v>0</v>
      </c>
      <c r="O1846" s="880"/>
      <c r="P1846" s="36" t="str">
        <f>IF(N1844&gt;0,"xx",IF(N1844&gt;0,"xy",""))</f>
        <v/>
      </c>
      <c r="Q1846" s="317" t="str">
        <f t="shared" si="189"/>
        <v/>
      </c>
      <c r="R1846" s="317" t="str">
        <f t="shared" si="190"/>
        <v/>
      </c>
      <c r="S1846" s="317" t="str">
        <f t="shared" si="191"/>
        <v/>
      </c>
      <c r="T1846" s="317" t="str">
        <f>'REF. DE PREÇOS n editavel'!S1846</f>
        <v/>
      </c>
      <c r="W1846" s="577">
        <v>0</v>
      </c>
      <c r="X1846" s="575"/>
      <c r="Y1846" s="578">
        <f>IF('REF. DE PREÇOS n editavel'!W1846=0,0,IF('REF. DE PREÇOS n editavel'!W1846&gt;0,"c","b"))</f>
        <v>0</v>
      </c>
    </row>
    <row r="1847" spans="1:25" ht="15" customHeight="1">
      <c r="A1847" s="317" t="s">
        <v>147</v>
      </c>
      <c r="B1847" s="870" t="s">
        <v>147</v>
      </c>
      <c r="C1847" s="871"/>
      <c r="D1847" s="881" t="s">
        <v>233</v>
      </c>
      <c r="E1847" s="882">
        <f>'REF. DE PREÇOS n editavel'!E1847</f>
        <v>43.1</v>
      </c>
      <c r="F1847" s="883">
        <f>'REF. DE PREÇOS n editavel'!F1847</f>
        <v>0.26150000000000001</v>
      </c>
      <c r="G1847" s="923">
        <f>'REF. DE PREÇOS n editavel'!G1847</f>
        <v>12.760415500000002</v>
      </c>
      <c r="H1847" s="876">
        <f>'REF. DE PREÇOS n editavel'!H1847</f>
        <v>0</v>
      </c>
      <c r="I1847" s="876">
        <f>'REF. DE PREÇOS n editavel'!I1847</f>
        <v>0</v>
      </c>
      <c r="J1847" s="877">
        <f>'REF. DE PREÇOS n editavel'!J1847</f>
        <v>0</v>
      </c>
      <c r="K1847" s="878"/>
      <c r="L1847" s="1132"/>
      <c r="M1847" s="1093">
        <f t="shared" si="188"/>
        <v>0</v>
      </c>
      <c r="N1847" s="1131">
        <f t="shared" si="192"/>
        <v>0</v>
      </c>
      <c r="O1847" s="880"/>
      <c r="P1847" s="36" t="str">
        <f>IF(N1844&gt;0,"xx",IF(N1844&gt;0,"xy",""))</f>
        <v/>
      </c>
      <c r="Q1847" s="317" t="str">
        <f t="shared" si="189"/>
        <v/>
      </c>
      <c r="R1847" s="317" t="str">
        <f t="shared" si="190"/>
        <v/>
      </c>
      <c r="S1847" s="317" t="str">
        <f t="shared" si="191"/>
        <v/>
      </c>
      <c r="T1847" s="317" t="str">
        <f>'REF. DE PREÇOS n editavel'!S1847</f>
        <v/>
      </c>
      <c r="W1847" s="577">
        <v>0</v>
      </c>
      <c r="X1847" s="575"/>
      <c r="Y1847" s="578">
        <f>IF('REF. DE PREÇOS n editavel'!W1847=0,0,IF('REF. DE PREÇOS n editavel'!W1847&gt;0,"c","b"))</f>
        <v>0</v>
      </c>
    </row>
    <row r="1848" spans="1:25" ht="15" customHeight="1">
      <c r="A1848" s="317">
        <v>620000</v>
      </c>
      <c r="B1848" s="870" t="s">
        <v>1798</v>
      </c>
      <c r="C1848" s="871" t="s">
        <v>184</v>
      </c>
      <c r="D1848" s="881" t="s">
        <v>343</v>
      </c>
      <c r="E1848" s="882">
        <f>'REF. DE PREÇOS n editavel'!E1848</f>
        <v>0</v>
      </c>
      <c r="F1848" s="883">
        <f>'REF. DE PREÇOS n editavel'!F1848</f>
        <v>0</v>
      </c>
      <c r="G1848" s="887">
        <f>'REF. DE PREÇOS n editavel'!G1848</f>
        <v>206.01428920000001</v>
      </c>
      <c r="H1848" s="876">
        <f>'REF. DE PREÇOS n editavel'!H1848</f>
        <v>643.26</v>
      </c>
      <c r="I1848" s="876">
        <f>'REF. DE PREÇOS n editavel'!I1848</f>
        <v>849.2742892</v>
      </c>
      <c r="J1848" s="877">
        <f>'REF. DE PREÇOS n editavel'!J1848</f>
        <v>1037.98</v>
      </c>
      <c r="K1848" s="878" t="s">
        <v>15</v>
      </c>
      <c r="L1848" s="1092"/>
      <c r="M1848" s="1093">
        <f t="shared" si="188"/>
        <v>0</v>
      </c>
      <c r="N1848" s="1131">
        <f t="shared" si="192"/>
        <v>0</v>
      </c>
      <c r="O1848" s="880"/>
      <c r="Q1848" s="317" t="str">
        <f t="shared" si="189"/>
        <v/>
      </c>
      <c r="R1848" s="317" t="str">
        <f t="shared" si="190"/>
        <v/>
      </c>
      <c r="S1848" s="317" t="str">
        <f t="shared" si="191"/>
        <v/>
      </c>
      <c r="T1848" s="317" t="str">
        <f>'REF. DE PREÇOS n editavel'!S1848</f>
        <v/>
      </c>
      <c r="W1848" s="577">
        <v>0</v>
      </c>
      <c r="X1848" s="575"/>
      <c r="Y1848" s="578">
        <f>IF('REF. DE PREÇOS n editavel'!W1848=0,0,IF('REF. DE PREÇOS n editavel'!W1848&gt;0,"c","b"))</f>
        <v>0</v>
      </c>
    </row>
    <row r="1849" spans="1:25" ht="15" customHeight="1">
      <c r="A1849" s="317" t="s">
        <v>147</v>
      </c>
      <c r="B1849" s="870" t="s">
        <v>147</v>
      </c>
      <c r="C1849" s="871"/>
      <c r="D1849" s="881" t="s">
        <v>190</v>
      </c>
      <c r="E1849" s="882">
        <f>'REF. DE PREÇOS n editavel'!E1849</f>
        <v>445</v>
      </c>
      <c r="F1849" s="883">
        <f>'REF. DE PREÇOS n editavel'!F1849</f>
        <v>0.1154</v>
      </c>
      <c r="G1849" s="884">
        <f>'REF. DE PREÇOS n editavel'!G1849</f>
        <v>40.957768000000002</v>
      </c>
      <c r="H1849" s="876">
        <f>'REF. DE PREÇOS n editavel'!H1849</f>
        <v>0</v>
      </c>
      <c r="I1849" s="876">
        <f>'REF. DE PREÇOS n editavel'!I1849</f>
        <v>0</v>
      </c>
      <c r="J1849" s="877">
        <f>'REF. DE PREÇOS n editavel'!J1849</f>
        <v>0</v>
      </c>
      <c r="K1849" s="878"/>
      <c r="L1849" s="1132"/>
      <c r="M1849" s="1093">
        <f t="shared" si="188"/>
        <v>0</v>
      </c>
      <c r="N1849" s="1131">
        <f t="shared" si="192"/>
        <v>0</v>
      </c>
      <c r="O1849" s="880"/>
      <c r="P1849" s="36" t="str">
        <f>IF(N1848&gt;0,"xx",IF(N1848&gt;0,"xy",""))</f>
        <v/>
      </c>
      <c r="Q1849" s="317" t="str">
        <f t="shared" si="189"/>
        <v/>
      </c>
      <c r="R1849" s="317" t="str">
        <f t="shared" si="190"/>
        <v/>
      </c>
      <c r="S1849" s="317" t="str">
        <f t="shared" si="191"/>
        <v/>
      </c>
      <c r="T1849" s="317" t="str">
        <f>'REF. DE PREÇOS n editavel'!S1849</f>
        <v/>
      </c>
      <c r="W1849" s="577">
        <v>0</v>
      </c>
      <c r="X1849" s="575"/>
      <c r="Y1849" s="578">
        <f>IF('REF. DE PREÇOS n editavel'!W1849=0,0,IF('REF. DE PREÇOS n editavel'!W1849&gt;0,"c","b"))</f>
        <v>0</v>
      </c>
    </row>
    <row r="1850" spans="1:25" ht="15" customHeight="1">
      <c r="A1850" s="317" t="s">
        <v>147</v>
      </c>
      <c r="B1850" s="870" t="s">
        <v>147</v>
      </c>
      <c r="C1850" s="871"/>
      <c r="D1850" s="881" t="s">
        <v>229</v>
      </c>
      <c r="E1850" s="882">
        <f>'REF. DE PREÇOS n editavel'!E1850</f>
        <v>290</v>
      </c>
      <c r="F1850" s="883">
        <f>'REF. DE PREÇOS n editavel'!F1850</f>
        <v>0.41049999999999998</v>
      </c>
      <c r="G1850" s="923">
        <f>'REF. DE PREÇOS n editavel'!G1850</f>
        <v>128.47828999999999</v>
      </c>
      <c r="H1850" s="876">
        <f>'REF. DE PREÇOS n editavel'!H1850</f>
        <v>0</v>
      </c>
      <c r="I1850" s="876">
        <f>'REF. DE PREÇOS n editavel'!I1850</f>
        <v>0</v>
      </c>
      <c r="J1850" s="877">
        <f>'REF. DE PREÇOS n editavel'!J1850</f>
        <v>0</v>
      </c>
      <c r="K1850" s="878"/>
      <c r="L1850" s="1132"/>
      <c r="M1850" s="1093">
        <f t="shared" si="188"/>
        <v>0</v>
      </c>
      <c r="N1850" s="1131">
        <f t="shared" si="192"/>
        <v>0</v>
      </c>
      <c r="O1850" s="880"/>
      <c r="P1850" s="36" t="str">
        <f>IF(N1848&gt;0,"xx",IF(N1848&gt;0,"xy",""))</f>
        <v/>
      </c>
      <c r="Q1850" s="317" t="str">
        <f t="shared" si="189"/>
        <v/>
      </c>
      <c r="R1850" s="317" t="str">
        <f t="shared" si="190"/>
        <v/>
      </c>
      <c r="S1850" s="317" t="str">
        <f t="shared" si="191"/>
        <v/>
      </c>
      <c r="T1850" s="317" t="str">
        <f>'REF. DE PREÇOS n editavel'!S1850</f>
        <v/>
      </c>
      <c r="W1850" s="577">
        <v>0</v>
      </c>
      <c r="X1850" s="575"/>
      <c r="Y1850" s="578">
        <f>IF('REF. DE PREÇOS n editavel'!W1850=0,0,IF('REF. DE PREÇOS n editavel'!W1850&gt;0,"c","b"))</f>
        <v>0</v>
      </c>
    </row>
    <row r="1851" spans="1:25" ht="15" customHeight="1">
      <c r="A1851" s="317" t="s">
        <v>147</v>
      </c>
      <c r="B1851" s="870" t="s">
        <v>147</v>
      </c>
      <c r="C1851" s="871"/>
      <c r="D1851" s="881" t="s">
        <v>233</v>
      </c>
      <c r="E1851" s="882">
        <f>'REF. DE PREÇOS n editavel'!E1851</f>
        <v>43.1</v>
      </c>
      <c r="F1851" s="883">
        <f>'REF. DE PREÇOS n editavel'!F1851</f>
        <v>0.74960000000000004</v>
      </c>
      <c r="G1851" s="923">
        <f>'REF. DE PREÇOS n editavel'!G1851</f>
        <v>36.578231200000005</v>
      </c>
      <c r="H1851" s="876">
        <f>'REF. DE PREÇOS n editavel'!H1851</f>
        <v>0</v>
      </c>
      <c r="I1851" s="876">
        <f>'REF. DE PREÇOS n editavel'!I1851</f>
        <v>0</v>
      </c>
      <c r="J1851" s="877">
        <f>'REF. DE PREÇOS n editavel'!J1851</f>
        <v>0</v>
      </c>
      <c r="K1851" s="878"/>
      <c r="L1851" s="1132"/>
      <c r="M1851" s="1093">
        <f t="shared" si="188"/>
        <v>0</v>
      </c>
      <c r="N1851" s="1131">
        <f t="shared" si="192"/>
        <v>0</v>
      </c>
      <c r="O1851" s="880"/>
      <c r="P1851" s="36" t="str">
        <f>IF(N1848&gt;0,"xx",IF(N1848&gt;0,"xy",""))</f>
        <v/>
      </c>
      <c r="Q1851" s="317" t="str">
        <f t="shared" si="189"/>
        <v/>
      </c>
      <c r="R1851" s="317" t="str">
        <f t="shared" si="190"/>
        <v/>
      </c>
      <c r="S1851" s="317" t="str">
        <f t="shared" si="191"/>
        <v/>
      </c>
      <c r="T1851" s="317" t="str">
        <f>'REF. DE PREÇOS n editavel'!S1851</f>
        <v/>
      </c>
      <c r="W1851" s="577">
        <v>0</v>
      </c>
      <c r="X1851" s="575"/>
      <c r="Y1851" s="578">
        <f>IF('REF. DE PREÇOS n editavel'!W1851=0,0,IF('REF. DE PREÇOS n editavel'!W1851&gt;0,"c","b"))</f>
        <v>0</v>
      </c>
    </row>
    <row r="1852" spans="1:25" ht="15" customHeight="1">
      <c r="A1852" s="317">
        <v>620000</v>
      </c>
      <c r="B1852" s="870" t="s">
        <v>1799</v>
      </c>
      <c r="C1852" s="871" t="s">
        <v>184</v>
      </c>
      <c r="D1852" s="881" t="s">
        <v>522</v>
      </c>
      <c r="E1852" s="882">
        <f>'REF. DE PREÇOS n editavel'!E1852</f>
        <v>0</v>
      </c>
      <c r="F1852" s="883">
        <f>'REF. DE PREÇOS n editavel'!F1852</f>
        <v>0</v>
      </c>
      <c r="G1852" s="887">
        <f>'REF. DE PREÇOS n editavel'!G1852</f>
        <v>279.54176070000005</v>
      </c>
      <c r="H1852" s="876">
        <f>'REF. DE PREÇOS n editavel'!H1852</f>
        <v>643.26</v>
      </c>
      <c r="I1852" s="876">
        <f>'REF. DE PREÇOS n editavel'!I1852</f>
        <v>922.80176070000005</v>
      </c>
      <c r="J1852" s="877">
        <f>'REF. DE PREÇOS n editavel'!J1852</f>
        <v>1127.8499999999999</v>
      </c>
      <c r="K1852" s="878" t="s">
        <v>15</v>
      </c>
      <c r="L1852" s="1092"/>
      <c r="M1852" s="1093">
        <f t="shared" si="188"/>
        <v>0</v>
      </c>
      <c r="N1852" s="1131">
        <f t="shared" si="192"/>
        <v>0</v>
      </c>
      <c r="O1852" s="880"/>
      <c r="Q1852" s="317" t="str">
        <f t="shared" si="189"/>
        <v/>
      </c>
      <c r="R1852" s="317" t="str">
        <f t="shared" si="190"/>
        <v/>
      </c>
      <c r="S1852" s="317" t="str">
        <f t="shared" si="191"/>
        <v/>
      </c>
      <c r="T1852" s="317" t="str">
        <f>'REF. DE PREÇOS n editavel'!S1852</f>
        <v/>
      </c>
      <c r="W1852" s="577">
        <v>0</v>
      </c>
      <c r="X1852" s="575"/>
      <c r="Y1852" s="578">
        <f>IF('REF. DE PREÇOS n editavel'!W1852=0,0,IF('REF. DE PREÇOS n editavel'!W1852&gt;0,"c","b"))</f>
        <v>0</v>
      </c>
    </row>
    <row r="1853" spans="1:25" ht="15" customHeight="1">
      <c r="A1853" s="317" t="s">
        <v>147</v>
      </c>
      <c r="B1853" s="870" t="s">
        <v>147</v>
      </c>
      <c r="C1853" s="871"/>
      <c r="D1853" s="881" t="s">
        <v>190</v>
      </c>
      <c r="E1853" s="882">
        <f>'REF. DE PREÇOS n editavel'!E1853</f>
        <v>445</v>
      </c>
      <c r="F1853" s="883">
        <f>'REF. DE PREÇOS n editavel'!F1853</f>
        <v>0.15659999999999999</v>
      </c>
      <c r="G1853" s="884">
        <f>'REF. DE PREÇOS n editavel'!G1853</f>
        <v>55.580472</v>
      </c>
      <c r="H1853" s="876">
        <f>'REF. DE PREÇOS n editavel'!H1853</f>
        <v>0</v>
      </c>
      <c r="I1853" s="876">
        <f>'REF. DE PREÇOS n editavel'!I1853</f>
        <v>0</v>
      </c>
      <c r="J1853" s="877">
        <f>'REF. DE PREÇOS n editavel'!J1853</f>
        <v>0</v>
      </c>
      <c r="K1853" s="878"/>
      <c r="L1853" s="1132"/>
      <c r="M1853" s="1093">
        <f t="shared" si="188"/>
        <v>0</v>
      </c>
      <c r="N1853" s="1131">
        <f t="shared" si="192"/>
        <v>0</v>
      </c>
      <c r="O1853" s="880"/>
      <c r="P1853" s="36" t="str">
        <f>IF(N1852&gt;0,"xx",IF(N1852&gt;0,"xy",""))</f>
        <v/>
      </c>
      <c r="Q1853" s="317" t="str">
        <f t="shared" si="189"/>
        <v/>
      </c>
      <c r="R1853" s="317" t="str">
        <f t="shared" si="190"/>
        <v/>
      </c>
      <c r="S1853" s="317" t="str">
        <f t="shared" si="191"/>
        <v/>
      </c>
      <c r="T1853" s="317" t="str">
        <f>'REF. DE PREÇOS n editavel'!S1853</f>
        <v/>
      </c>
      <c r="W1853" s="577">
        <v>0</v>
      </c>
      <c r="X1853" s="575"/>
      <c r="Y1853" s="578">
        <f>IF('REF. DE PREÇOS n editavel'!W1853=0,0,IF('REF. DE PREÇOS n editavel'!W1853&gt;0,"c","b"))</f>
        <v>0</v>
      </c>
    </row>
    <row r="1854" spans="1:25" ht="15" customHeight="1">
      <c r="A1854" s="317" t="s">
        <v>147</v>
      </c>
      <c r="B1854" s="870" t="s">
        <v>147</v>
      </c>
      <c r="C1854" s="871"/>
      <c r="D1854" s="881" t="s">
        <v>229</v>
      </c>
      <c r="E1854" s="882">
        <f>'REF. DE PREÇOS n editavel'!E1854</f>
        <v>290</v>
      </c>
      <c r="F1854" s="883">
        <f>'REF. DE PREÇOS n editavel'!F1854</f>
        <v>0.55700000000000005</v>
      </c>
      <c r="G1854" s="923">
        <f>'REF. DE PREÇOS n editavel'!G1854</f>
        <v>174.32986000000002</v>
      </c>
      <c r="H1854" s="876">
        <f>'REF. DE PREÇOS n editavel'!H1854</f>
        <v>0</v>
      </c>
      <c r="I1854" s="876">
        <f>'REF. DE PREÇOS n editavel'!I1854</f>
        <v>0</v>
      </c>
      <c r="J1854" s="877">
        <f>'REF. DE PREÇOS n editavel'!J1854</f>
        <v>0</v>
      </c>
      <c r="K1854" s="878"/>
      <c r="L1854" s="1132"/>
      <c r="M1854" s="1093">
        <f t="shared" si="188"/>
        <v>0</v>
      </c>
      <c r="N1854" s="1131">
        <f t="shared" si="192"/>
        <v>0</v>
      </c>
      <c r="O1854" s="880"/>
      <c r="P1854" s="36" t="str">
        <f>IF(N1852&gt;0,"xx",IF(N1852&gt;0,"xy",""))</f>
        <v/>
      </c>
      <c r="Q1854" s="317" t="str">
        <f t="shared" si="189"/>
        <v/>
      </c>
      <c r="R1854" s="317" t="str">
        <f t="shared" si="190"/>
        <v/>
      </c>
      <c r="S1854" s="317" t="str">
        <f t="shared" si="191"/>
        <v/>
      </c>
      <c r="T1854" s="317" t="str">
        <f>'REF. DE PREÇOS n editavel'!S1854</f>
        <v/>
      </c>
      <c r="W1854" s="577">
        <v>0</v>
      </c>
      <c r="X1854" s="575"/>
      <c r="Y1854" s="578">
        <f>IF('REF. DE PREÇOS n editavel'!W1854=0,0,IF('REF. DE PREÇOS n editavel'!W1854&gt;0,"c","b"))</f>
        <v>0</v>
      </c>
    </row>
    <row r="1855" spans="1:25" ht="15" customHeight="1">
      <c r="A1855" s="317" t="s">
        <v>147</v>
      </c>
      <c r="B1855" s="870" t="s">
        <v>147</v>
      </c>
      <c r="C1855" s="871"/>
      <c r="D1855" s="881" t="s">
        <v>233</v>
      </c>
      <c r="E1855" s="882">
        <f>'REF. DE PREÇOS n editavel'!E1855</f>
        <v>43.1</v>
      </c>
      <c r="F1855" s="883">
        <f>'REF. DE PREÇOS n editavel'!F1855</f>
        <v>1.0170999999999999</v>
      </c>
      <c r="G1855" s="923">
        <f>'REF. DE PREÇOS n editavel'!G1855</f>
        <v>49.631428700000001</v>
      </c>
      <c r="H1855" s="876">
        <f>'REF. DE PREÇOS n editavel'!H1855</f>
        <v>0</v>
      </c>
      <c r="I1855" s="876">
        <f>'REF. DE PREÇOS n editavel'!I1855</f>
        <v>0</v>
      </c>
      <c r="J1855" s="877">
        <f>'REF. DE PREÇOS n editavel'!J1855</f>
        <v>0</v>
      </c>
      <c r="K1855" s="878"/>
      <c r="L1855" s="1132"/>
      <c r="M1855" s="1093">
        <f t="shared" si="188"/>
        <v>0</v>
      </c>
      <c r="N1855" s="1131">
        <f t="shared" si="192"/>
        <v>0</v>
      </c>
      <c r="O1855" s="880"/>
      <c r="P1855" s="36" t="str">
        <f>IF(N1852&gt;0,"xx",IF(N1852&gt;0,"xy",""))</f>
        <v/>
      </c>
      <c r="Q1855" s="317" t="str">
        <f t="shared" si="189"/>
        <v/>
      </c>
      <c r="R1855" s="317" t="str">
        <f t="shared" si="190"/>
        <v/>
      </c>
      <c r="S1855" s="317" t="str">
        <f t="shared" si="191"/>
        <v/>
      </c>
      <c r="T1855" s="317" t="str">
        <f>'REF. DE PREÇOS n editavel'!S1855</f>
        <v/>
      </c>
      <c r="W1855" s="577">
        <v>0</v>
      </c>
      <c r="X1855" s="575"/>
      <c r="Y1855" s="578">
        <f>IF('REF. DE PREÇOS n editavel'!W1855=0,0,IF('REF. DE PREÇOS n editavel'!W1855&gt;0,"c","b"))</f>
        <v>0</v>
      </c>
    </row>
    <row r="1856" spans="1:25" ht="15" customHeight="1">
      <c r="A1856" s="317">
        <v>620100</v>
      </c>
      <c r="B1856" s="870" t="s">
        <v>1800</v>
      </c>
      <c r="C1856" s="871" t="s">
        <v>184</v>
      </c>
      <c r="D1856" s="881" t="s">
        <v>344</v>
      </c>
      <c r="E1856" s="882">
        <f>'REF. DE PREÇOS n editavel'!E1856</f>
        <v>0</v>
      </c>
      <c r="F1856" s="883">
        <f>'REF. DE PREÇOS n editavel'!F1856</f>
        <v>0</v>
      </c>
      <c r="G1856" s="887">
        <f>'REF. DE PREÇOS n editavel'!G1856</f>
        <v>353.06923220000004</v>
      </c>
      <c r="H1856" s="876">
        <f>'REF. DE PREÇOS n editavel'!H1856</f>
        <v>954.15</v>
      </c>
      <c r="I1856" s="876">
        <f>'REF. DE PREÇOS n editavel'!I1856</f>
        <v>1307.2192322000001</v>
      </c>
      <c r="J1856" s="877">
        <f>'REF. DE PREÇOS n editavel'!J1856</f>
        <v>1597.68</v>
      </c>
      <c r="K1856" s="878" t="s">
        <v>15</v>
      </c>
      <c r="L1856" s="1092"/>
      <c r="M1856" s="1093">
        <f t="shared" si="188"/>
        <v>0</v>
      </c>
      <c r="N1856" s="1131">
        <f t="shared" si="192"/>
        <v>0</v>
      </c>
      <c r="O1856" s="880"/>
      <c r="Q1856" s="317" t="str">
        <f t="shared" si="189"/>
        <v/>
      </c>
      <c r="R1856" s="317" t="str">
        <f t="shared" si="190"/>
        <v/>
      </c>
      <c r="S1856" s="317" t="str">
        <f t="shared" si="191"/>
        <v/>
      </c>
      <c r="T1856" s="317" t="str">
        <f>'REF. DE PREÇOS n editavel'!S1856</f>
        <v/>
      </c>
      <c r="W1856" s="577">
        <v>0</v>
      </c>
      <c r="X1856" s="575"/>
      <c r="Y1856" s="578">
        <f>IF('REF. DE PREÇOS n editavel'!W1856=0,0,IF('REF. DE PREÇOS n editavel'!W1856&gt;0,"c","b"))</f>
        <v>0</v>
      </c>
    </row>
    <row r="1857" spans="1:25" ht="15" customHeight="1">
      <c r="A1857" s="317" t="s">
        <v>147</v>
      </c>
      <c r="B1857" s="870" t="s">
        <v>147</v>
      </c>
      <c r="C1857" s="871"/>
      <c r="D1857" s="881" t="s">
        <v>190</v>
      </c>
      <c r="E1857" s="882">
        <f>'REF. DE PREÇOS n editavel'!E1857</f>
        <v>445</v>
      </c>
      <c r="F1857" s="883">
        <f>'REF. DE PREÇOS n editavel'!F1857</f>
        <v>0.1978</v>
      </c>
      <c r="G1857" s="884">
        <f>'REF. DE PREÇOS n editavel'!G1857</f>
        <v>70.203175999999999</v>
      </c>
      <c r="H1857" s="876">
        <f>'REF. DE PREÇOS n editavel'!H1857</f>
        <v>0</v>
      </c>
      <c r="I1857" s="876">
        <f>'REF. DE PREÇOS n editavel'!I1857</f>
        <v>0</v>
      </c>
      <c r="J1857" s="877">
        <f>'REF. DE PREÇOS n editavel'!J1857</f>
        <v>0</v>
      </c>
      <c r="K1857" s="878"/>
      <c r="L1857" s="1132"/>
      <c r="M1857" s="1093">
        <f t="shared" si="188"/>
        <v>0</v>
      </c>
      <c r="N1857" s="1131">
        <f t="shared" si="192"/>
        <v>0</v>
      </c>
      <c r="O1857" s="880"/>
      <c r="P1857" s="36" t="str">
        <f>IF(N1856&gt;0,"xx",IF(N1856&gt;0,"xy",""))</f>
        <v/>
      </c>
      <c r="Q1857" s="317" t="str">
        <f t="shared" si="189"/>
        <v/>
      </c>
      <c r="R1857" s="317" t="str">
        <f t="shared" si="190"/>
        <v/>
      </c>
      <c r="S1857" s="317" t="str">
        <f t="shared" si="191"/>
        <v/>
      </c>
      <c r="T1857" s="317" t="str">
        <f>'REF. DE PREÇOS n editavel'!S1857</f>
        <v/>
      </c>
      <c r="W1857" s="577">
        <v>0</v>
      </c>
      <c r="X1857" s="575"/>
      <c r="Y1857" s="578">
        <f>IF('REF. DE PREÇOS n editavel'!W1857=0,0,IF('REF. DE PREÇOS n editavel'!W1857&gt;0,"c","b"))</f>
        <v>0</v>
      </c>
    </row>
    <row r="1858" spans="1:25" ht="15" customHeight="1">
      <c r="A1858" s="317" t="s">
        <v>147</v>
      </c>
      <c r="B1858" s="870" t="s">
        <v>147</v>
      </c>
      <c r="C1858" s="871"/>
      <c r="D1858" s="881" t="s">
        <v>229</v>
      </c>
      <c r="E1858" s="882">
        <f>'REF. DE PREÇOS n editavel'!E1858</f>
        <v>290</v>
      </c>
      <c r="F1858" s="883">
        <f>'REF. DE PREÇOS n editavel'!F1858</f>
        <v>0.70350000000000001</v>
      </c>
      <c r="G1858" s="923">
        <f>'REF. DE PREÇOS n editavel'!G1858</f>
        <v>220.18143000000001</v>
      </c>
      <c r="H1858" s="876">
        <f>'REF. DE PREÇOS n editavel'!H1858</f>
        <v>0</v>
      </c>
      <c r="I1858" s="876">
        <f>'REF. DE PREÇOS n editavel'!I1858</f>
        <v>0</v>
      </c>
      <c r="J1858" s="877">
        <f>'REF. DE PREÇOS n editavel'!J1858</f>
        <v>0</v>
      </c>
      <c r="K1858" s="878"/>
      <c r="L1858" s="1132"/>
      <c r="M1858" s="1093">
        <f t="shared" si="188"/>
        <v>0</v>
      </c>
      <c r="N1858" s="1131">
        <f t="shared" si="192"/>
        <v>0</v>
      </c>
      <c r="O1858" s="880"/>
      <c r="P1858" s="36" t="str">
        <f>IF(N1856&gt;0,"xx",IF(N1856&gt;0,"xy",""))</f>
        <v/>
      </c>
      <c r="Q1858" s="317" t="str">
        <f t="shared" si="189"/>
        <v/>
      </c>
      <c r="R1858" s="317" t="str">
        <f t="shared" si="190"/>
        <v/>
      </c>
      <c r="S1858" s="317" t="str">
        <f t="shared" si="191"/>
        <v/>
      </c>
      <c r="T1858" s="317" t="str">
        <f>'REF. DE PREÇOS n editavel'!S1858</f>
        <v/>
      </c>
      <c r="W1858" s="577">
        <v>0</v>
      </c>
      <c r="X1858" s="575"/>
      <c r="Y1858" s="578">
        <f>IF('REF. DE PREÇOS n editavel'!W1858=0,0,IF('REF. DE PREÇOS n editavel'!W1858&gt;0,"c","b"))</f>
        <v>0</v>
      </c>
    </row>
    <row r="1859" spans="1:25" ht="15" customHeight="1">
      <c r="A1859" s="317" t="s">
        <v>147</v>
      </c>
      <c r="B1859" s="870" t="s">
        <v>147</v>
      </c>
      <c r="C1859" s="871"/>
      <c r="D1859" s="881" t="s">
        <v>233</v>
      </c>
      <c r="E1859" s="882">
        <f>'REF. DE PREÇOS n editavel'!E1859</f>
        <v>43.1</v>
      </c>
      <c r="F1859" s="883">
        <f>'REF. DE PREÇOS n editavel'!F1859</f>
        <v>1.2846</v>
      </c>
      <c r="G1859" s="923">
        <f>'REF. DE PREÇOS n editavel'!G1859</f>
        <v>62.684626200000004</v>
      </c>
      <c r="H1859" s="876">
        <f>'REF. DE PREÇOS n editavel'!H1859</f>
        <v>0</v>
      </c>
      <c r="I1859" s="876">
        <f>'REF. DE PREÇOS n editavel'!I1859</f>
        <v>0</v>
      </c>
      <c r="J1859" s="877">
        <f>'REF. DE PREÇOS n editavel'!J1859</f>
        <v>0</v>
      </c>
      <c r="K1859" s="878"/>
      <c r="L1859" s="1132"/>
      <c r="M1859" s="1093">
        <f t="shared" si="188"/>
        <v>0</v>
      </c>
      <c r="N1859" s="1131">
        <f t="shared" si="192"/>
        <v>0</v>
      </c>
      <c r="O1859" s="880"/>
      <c r="P1859" s="36" t="str">
        <f>IF(N1856&gt;0,"xx",IF(N1856&gt;0,"xy",""))</f>
        <v/>
      </c>
      <c r="Q1859" s="317" t="str">
        <f t="shared" si="189"/>
        <v/>
      </c>
      <c r="R1859" s="317" t="str">
        <f t="shared" si="190"/>
        <v/>
      </c>
      <c r="S1859" s="317" t="str">
        <f t="shared" si="191"/>
        <v/>
      </c>
      <c r="T1859" s="317" t="str">
        <f>'REF. DE PREÇOS n editavel'!S1859</f>
        <v/>
      </c>
      <c r="W1859" s="577">
        <v>0</v>
      </c>
      <c r="X1859" s="575"/>
      <c r="Y1859" s="578">
        <f>IF('REF. DE PREÇOS n editavel'!W1859=0,0,IF('REF. DE PREÇOS n editavel'!W1859&gt;0,"c","b"))</f>
        <v>0</v>
      </c>
    </row>
    <row r="1860" spans="1:25" ht="15" customHeight="1">
      <c r="A1860" s="317">
        <v>620100</v>
      </c>
      <c r="B1860" s="870" t="s">
        <v>1801</v>
      </c>
      <c r="C1860" s="871" t="s">
        <v>184</v>
      </c>
      <c r="D1860" s="881" t="s">
        <v>523</v>
      </c>
      <c r="E1860" s="882">
        <f>'REF. DE PREÇOS n editavel'!E1860</f>
        <v>0</v>
      </c>
      <c r="F1860" s="883">
        <f>'REF. DE PREÇOS n editavel'!F1860</f>
        <v>0</v>
      </c>
      <c r="G1860" s="887">
        <f>'REF. DE PREÇOS n editavel'!G1860</f>
        <v>383.74873120000001</v>
      </c>
      <c r="H1860" s="876">
        <f>'REF. DE PREÇOS n editavel'!H1860</f>
        <v>954.15</v>
      </c>
      <c r="I1860" s="876">
        <f>'REF. DE PREÇOS n editavel'!I1860</f>
        <v>1337.8987311999999</v>
      </c>
      <c r="J1860" s="877">
        <f>'REF. DE PREÇOS n editavel'!J1860</f>
        <v>1635.18</v>
      </c>
      <c r="K1860" s="878" t="s">
        <v>15</v>
      </c>
      <c r="L1860" s="1092"/>
      <c r="M1860" s="1093">
        <f t="shared" si="188"/>
        <v>0</v>
      </c>
      <c r="N1860" s="1131">
        <f t="shared" si="192"/>
        <v>0</v>
      </c>
      <c r="O1860" s="880"/>
      <c r="Q1860" s="317" t="str">
        <f t="shared" si="189"/>
        <v/>
      </c>
      <c r="R1860" s="317" t="str">
        <f t="shared" si="190"/>
        <v/>
      </c>
      <c r="S1860" s="317" t="str">
        <f t="shared" si="191"/>
        <v/>
      </c>
      <c r="T1860" s="317" t="str">
        <f>'REF. DE PREÇOS n editavel'!S1860</f>
        <v/>
      </c>
      <c r="W1860" s="577">
        <v>0</v>
      </c>
      <c r="X1860" s="575"/>
      <c r="Y1860" s="578">
        <f>IF('REF. DE PREÇOS n editavel'!W1860=0,0,IF('REF. DE PREÇOS n editavel'!W1860&gt;0,"c","b"))</f>
        <v>0</v>
      </c>
    </row>
    <row r="1861" spans="1:25" ht="15" customHeight="1">
      <c r="A1861" s="317" t="s">
        <v>147</v>
      </c>
      <c r="B1861" s="870" t="s">
        <v>147</v>
      </c>
      <c r="C1861" s="871"/>
      <c r="D1861" s="881" t="s">
        <v>190</v>
      </c>
      <c r="E1861" s="882">
        <f>'REF. DE PREÇOS n editavel'!E1861</f>
        <v>445</v>
      </c>
      <c r="F1861" s="883">
        <f>'REF. DE PREÇOS n editavel'!F1861</f>
        <v>0.2424</v>
      </c>
      <c r="G1861" s="884">
        <f>'REF. DE PREÇOS n editavel'!G1861</f>
        <v>86.03260800000001</v>
      </c>
      <c r="H1861" s="876">
        <f>'REF. DE PREÇOS n editavel'!H1861</f>
        <v>0</v>
      </c>
      <c r="I1861" s="876">
        <f>'REF. DE PREÇOS n editavel'!I1861</f>
        <v>0</v>
      </c>
      <c r="J1861" s="877">
        <f>'REF. DE PREÇOS n editavel'!J1861</f>
        <v>0</v>
      </c>
      <c r="K1861" s="878"/>
      <c r="L1861" s="1132"/>
      <c r="M1861" s="1093">
        <f t="shared" si="188"/>
        <v>0</v>
      </c>
      <c r="N1861" s="1131">
        <f t="shared" si="192"/>
        <v>0</v>
      </c>
      <c r="O1861" s="880"/>
      <c r="P1861" s="36" t="str">
        <f>IF(N1860&gt;0,"xx",IF(N1860&gt;0,"xy",""))</f>
        <v/>
      </c>
      <c r="Q1861" s="317" t="str">
        <f t="shared" si="189"/>
        <v/>
      </c>
      <c r="R1861" s="317" t="str">
        <f t="shared" si="190"/>
        <v/>
      </c>
      <c r="S1861" s="317" t="str">
        <f t="shared" si="191"/>
        <v/>
      </c>
      <c r="T1861" s="317" t="str">
        <f>'REF. DE PREÇOS n editavel'!S1861</f>
        <v/>
      </c>
      <c r="W1861" s="577">
        <v>0</v>
      </c>
      <c r="X1861" s="575"/>
      <c r="Y1861" s="578">
        <f>IF('REF. DE PREÇOS n editavel'!W1861=0,0,IF('REF. DE PREÇOS n editavel'!W1861&gt;0,"c","b"))</f>
        <v>0</v>
      </c>
    </row>
    <row r="1862" spans="1:25" ht="15" customHeight="1">
      <c r="A1862" s="317" t="s">
        <v>147</v>
      </c>
      <c r="B1862" s="870" t="s">
        <v>147</v>
      </c>
      <c r="C1862" s="871"/>
      <c r="D1862" s="881" t="s">
        <v>229</v>
      </c>
      <c r="E1862" s="882">
        <f>'REF. DE PREÇOS n editavel'!E1862</f>
        <v>290</v>
      </c>
      <c r="F1862" s="883">
        <f>'REF. DE PREÇOS n editavel'!F1862</f>
        <v>0.86180000000000001</v>
      </c>
      <c r="G1862" s="923">
        <f>'REF. DE PREÇOS n editavel'!G1862</f>
        <v>269.72616400000004</v>
      </c>
      <c r="H1862" s="876">
        <f>'REF. DE PREÇOS n editavel'!H1862</f>
        <v>0</v>
      </c>
      <c r="I1862" s="876">
        <f>'REF. DE PREÇOS n editavel'!I1862</f>
        <v>0</v>
      </c>
      <c r="J1862" s="877">
        <f>'REF. DE PREÇOS n editavel'!J1862</f>
        <v>0</v>
      </c>
      <c r="K1862" s="878"/>
      <c r="L1862" s="1132"/>
      <c r="M1862" s="1093">
        <f t="shared" ref="M1862:M1925" si="193">IF(L1862=0,0,ROUND(J1862,2))</f>
        <v>0</v>
      </c>
      <c r="N1862" s="1131">
        <f t="shared" si="192"/>
        <v>0</v>
      </c>
      <c r="O1862" s="880"/>
      <c r="P1862" s="36" t="str">
        <f>IF(N1860&gt;0,"xx",IF(N1860&gt;0,"xy",""))</f>
        <v/>
      </c>
      <c r="Q1862" s="317" t="str">
        <f t="shared" si="189"/>
        <v/>
      </c>
      <c r="R1862" s="317" t="str">
        <f t="shared" si="190"/>
        <v/>
      </c>
      <c r="S1862" s="317" t="str">
        <f t="shared" si="191"/>
        <v/>
      </c>
      <c r="T1862" s="317" t="str">
        <f>'REF. DE PREÇOS n editavel'!S1862</f>
        <v/>
      </c>
      <c r="W1862" s="577">
        <v>0</v>
      </c>
      <c r="X1862" s="575"/>
      <c r="Y1862" s="578">
        <f>IF('REF. DE PREÇOS n editavel'!W1862=0,0,IF('REF. DE PREÇOS n editavel'!W1862&gt;0,"c","b"))</f>
        <v>0</v>
      </c>
    </row>
    <row r="1863" spans="1:25" ht="15" customHeight="1">
      <c r="A1863" s="317" t="s">
        <v>147</v>
      </c>
      <c r="B1863" s="870" t="s">
        <v>147</v>
      </c>
      <c r="C1863" s="871"/>
      <c r="D1863" s="881" t="s">
        <v>233</v>
      </c>
      <c r="E1863" s="882">
        <f>'REF. DE PREÇOS n editavel'!E1863</f>
        <v>43.1</v>
      </c>
      <c r="F1863" s="883">
        <f>'REF. DE PREÇOS n editavel'!F1863</f>
        <v>0.5736</v>
      </c>
      <c r="G1863" s="923">
        <f>'REF. DE PREÇOS n editavel'!G1863</f>
        <v>27.989959200000001</v>
      </c>
      <c r="H1863" s="876">
        <f>'REF. DE PREÇOS n editavel'!H1863</f>
        <v>0</v>
      </c>
      <c r="I1863" s="876">
        <f>'REF. DE PREÇOS n editavel'!I1863</f>
        <v>0</v>
      </c>
      <c r="J1863" s="877">
        <f>'REF. DE PREÇOS n editavel'!J1863</f>
        <v>0</v>
      </c>
      <c r="K1863" s="878"/>
      <c r="L1863" s="1132"/>
      <c r="M1863" s="1093">
        <f t="shared" si="193"/>
        <v>0</v>
      </c>
      <c r="N1863" s="1131">
        <f t="shared" si="192"/>
        <v>0</v>
      </c>
      <c r="O1863" s="880"/>
      <c r="P1863" s="36" t="str">
        <f>IF(N1860&gt;0,"xx",IF(N1860&gt;0,"xy",""))</f>
        <v/>
      </c>
      <c r="Q1863" s="317" t="str">
        <f t="shared" si="189"/>
        <v/>
      </c>
      <c r="R1863" s="317" t="str">
        <f t="shared" si="190"/>
        <v/>
      </c>
      <c r="S1863" s="317" t="str">
        <f t="shared" si="191"/>
        <v/>
      </c>
      <c r="T1863" s="317" t="str">
        <f>'REF. DE PREÇOS n editavel'!S1863</f>
        <v/>
      </c>
      <c r="W1863" s="577">
        <v>0</v>
      </c>
      <c r="X1863" s="575"/>
      <c r="Y1863" s="578">
        <f>IF('REF. DE PREÇOS n editavel'!W1863=0,0,IF('REF. DE PREÇOS n editavel'!W1863&gt;0,"c","b"))</f>
        <v>0</v>
      </c>
    </row>
    <row r="1864" spans="1:25" ht="15" customHeight="1">
      <c r="A1864" s="317">
        <v>620200</v>
      </c>
      <c r="B1864" s="870" t="s">
        <v>1804</v>
      </c>
      <c r="C1864" s="871" t="s">
        <v>184</v>
      </c>
      <c r="D1864" s="881" t="s">
        <v>345</v>
      </c>
      <c r="E1864" s="882">
        <f>'REF. DE PREÇOS n editavel'!E1864</f>
        <v>0</v>
      </c>
      <c r="F1864" s="883">
        <f>'REF. DE PREÇOS n editavel'!F1864</f>
        <v>0</v>
      </c>
      <c r="G1864" s="887">
        <f>'REF. DE PREÇOS n editavel'!G1864</f>
        <v>511.95056049999999</v>
      </c>
      <c r="H1864" s="876">
        <f>'REF. DE PREÇOS n editavel'!H1864</f>
        <v>1321.46</v>
      </c>
      <c r="I1864" s="876">
        <f>'REF. DE PREÇOS n editavel'!I1864</f>
        <v>1833.4105605</v>
      </c>
      <c r="J1864" s="877">
        <f>'REF. DE PREÇOS n editavel'!J1864</f>
        <v>2240.79</v>
      </c>
      <c r="K1864" s="878" t="s">
        <v>15</v>
      </c>
      <c r="L1864" s="1092"/>
      <c r="M1864" s="1093">
        <f t="shared" si="193"/>
        <v>0</v>
      </c>
      <c r="N1864" s="1131">
        <f t="shared" si="192"/>
        <v>0</v>
      </c>
      <c r="O1864" s="880"/>
      <c r="Q1864" s="317" t="str">
        <f t="shared" si="189"/>
        <v/>
      </c>
      <c r="R1864" s="317" t="str">
        <f t="shared" si="190"/>
        <v/>
      </c>
      <c r="S1864" s="317" t="str">
        <f t="shared" si="191"/>
        <v/>
      </c>
      <c r="T1864" s="317" t="str">
        <f>'REF. DE PREÇOS n editavel'!S1864</f>
        <v/>
      </c>
      <c r="W1864" s="577">
        <v>0</v>
      </c>
      <c r="X1864" s="575"/>
      <c r="Y1864" s="578">
        <f>IF('REF. DE PREÇOS n editavel'!W1864=0,0,IF('REF. DE PREÇOS n editavel'!W1864&gt;0,"c","b"))</f>
        <v>0</v>
      </c>
    </row>
    <row r="1865" spans="1:25" ht="15" customHeight="1">
      <c r="A1865" s="317" t="s">
        <v>147</v>
      </c>
      <c r="B1865" s="870" t="s">
        <v>147</v>
      </c>
      <c r="C1865" s="871"/>
      <c r="D1865" s="881" t="s">
        <v>190</v>
      </c>
      <c r="E1865" s="882">
        <f>'REF. DE PREÇOS n editavel'!E1865</f>
        <v>445</v>
      </c>
      <c r="F1865" s="883">
        <f>'REF. DE PREÇOS n editavel'!F1865</f>
        <v>0.28689999999999999</v>
      </c>
      <c r="G1865" s="884">
        <f>'REF. DE PREÇOS n editavel'!G1865</f>
        <v>101.826548</v>
      </c>
      <c r="H1865" s="876">
        <f>'REF. DE PREÇOS n editavel'!H1865</f>
        <v>0</v>
      </c>
      <c r="I1865" s="876">
        <f>'REF. DE PREÇOS n editavel'!I1865</f>
        <v>0</v>
      </c>
      <c r="J1865" s="877">
        <f>'REF. DE PREÇOS n editavel'!J1865</f>
        <v>0</v>
      </c>
      <c r="K1865" s="878"/>
      <c r="L1865" s="1132"/>
      <c r="M1865" s="1093">
        <f t="shared" si="193"/>
        <v>0</v>
      </c>
      <c r="N1865" s="1131">
        <f t="shared" si="192"/>
        <v>0</v>
      </c>
      <c r="O1865" s="880"/>
      <c r="P1865" s="36" t="str">
        <f>IF(N1864&gt;0,"xx",IF(N1864&gt;0,"xy",""))</f>
        <v/>
      </c>
      <c r="Q1865" s="317" t="str">
        <f t="shared" si="189"/>
        <v/>
      </c>
      <c r="R1865" s="317" t="str">
        <f t="shared" si="190"/>
        <v/>
      </c>
      <c r="S1865" s="317" t="str">
        <f t="shared" si="191"/>
        <v/>
      </c>
      <c r="T1865" s="317" t="str">
        <f>'REF. DE PREÇOS n editavel'!S1865</f>
        <v/>
      </c>
      <c r="W1865" s="577">
        <v>0</v>
      </c>
      <c r="X1865" s="575"/>
      <c r="Y1865" s="578">
        <f>IF('REF. DE PREÇOS n editavel'!W1865=0,0,IF('REF. DE PREÇOS n editavel'!W1865&gt;0,"c","b"))</f>
        <v>0</v>
      </c>
    </row>
    <row r="1866" spans="1:25" ht="15" customHeight="1">
      <c r="A1866" s="317" t="s">
        <v>147</v>
      </c>
      <c r="B1866" s="870" t="s">
        <v>147</v>
      </c>
      <c r="C1866" s="871"/>
      <c r="D1866" s="881" t="s">
        <v>229</v>
      </c>
      <c r="E1866" s="882">
        <f>'REF. DE PREÇOS n editavel'!E1866</f>
        <v>290</v>
      </c>
      <c r="F1866" s="883">
        <f>'REF. DE PREÇOS n editavel'!F1866</f>
        <v>1.02</v>
      </c>
      <c r="G1866" s="923">
        <f>'REF. DE PREÇOS n editavel'!G1866</f>
        <v>319.2396</v>
      </c>
      <c r="H1866" s="876">
        <f>'REF. DE PREÇOS n editavel'!H1866</f>
        <v>0</v>
      </c>
      <c r="I1866" s="876">
        <f>'REF. DE PREÇOS n editavel'!I1866</f>
        <v>0</v>
      </c>
      <c r="J1866" s="877">
        <f>'REF. DE PREÇOS n editavel'!J1866</f>
        <v>0</v>
      </c>
      <c r="K1866" s="878"/>
      <c r="L1866" s="1132"/>
      <c r="M1866" s="1093">
        <f t="shared" si="193"/>
        <v>0</v>
      </c>
      <c r="N1866" s="1131">
        <f t="shared" si="192"/>
        <v>0</v>
      </c>
      <c r="O1866" s="880"/>
      <c r="P1866" s="36" t="str">
        <f>IF(N1864&gt;0,"xx",IF(N1864&gt;0,"xy",""))</f>
        <v/>
      </c>
      <c r="Q1866" s="317" t="str">
        <f t="shared" si="189"/>
        <v/>
      </c>
      <c r="R1866" s="317" t="str">
        <f t="shared" si="190"/>
        <v/>
      </c>
      <c r="S1866" s="317" t="str">
        <f t="shared" si="191"/>
        <v/>
      </c>
      <c r="T1866" s="317" t="str">
        <f>'REF. DE PREÇOS n editavel'!S1866</f>
        <v/>
      </c>
      <c r="W1866" s="577">
        <v>0</v>
      </c>
      <c r="X1866" s="575"/>
      <c r="Y1866" s="578">
        <f>IF('REF. DE PREÇOS n editavel'!W1866=0,0,IF('REF. DE PREÇOS n editavel'!W1866&gt;0,"c","b"))</f>
        <v>0</v>
      </c>
    </row>
    <row r="1867" spans="1:25" ht="15" customHeight="1">
      <c r="A1867" s="317" t="s">
        <v>147</v>
      </c>
      <c r="B1867" s="870" t="s">
        <v>147</v>
      </c>
      <c r="C1867" s="871"/>
      <c r="D1867" s="881" t="s">
        <v>233</v>
      </c>
      <c r="E1867" s="882">
        <f>'REF. DE PREÇOS n editavel'!E1867</f>
        <v>43.1</v>
      </c>
      <c r="F1867" s="883">
        <f>'REF. DE PREÇOS n editavel'!F1867</f>
        <v>1.8625</v>
      </c>
      <c r="G1867" s="923">
        <f>'REF. DE PREÇOS n editavel'!G1867</f>
        <v>90.88441250000001</v>
      </c>
      <c r="H1867" s="876">
        <f>'REF. DE PREÇOS n editavel'!H1867</f>
        <v>0</v>
      </c>
      <c r="I1867" s="876">
        <f>'REF. DE PREÇOS n editavel'!I1867</f>
        <v>0</v>
      </c>
      <c r="J1867" s="877">
        <f>'REF. DE PREÇOS n editavel'!J1867</f>
        <v>0</v>
      </c>
      <c r="K1867" s="878"/>
      <c r="L1867" s="1132"/>
      <c r="M1867" s="1093">
        <f t="shared" si="193"/>
        <v>0</v>
      </c>
      <c r="N1867" s="1131">
        <f t="shared" si="192"/>
        <v>0</v>
      </c>
      <c r="O1867" s="880"/>
      <c r="P1867" s="36" t="str">
        <f>IF(N1864&gt;0,"xx",IF(N1864&gt;0,"xy",""))</f>
        <v/>
      </c>
      <c r="Q1867" s="317" t="str">
        <f t="shared" si="189"/>
        <v/>
      </c>
      <c r="R1867" s="317" t="str">
        <f t="shared" si="190"/>
        <v/>
      </c>
      <c r="S1867" s="317" t="str">
        <f t="shared" si="191"/>
        <v/>
      </c>
      <c r="T1867" s="317" t="str">
        <f>'REF. DE PREÇOS n editavel'!S1867</f>
        <v/>
      </c>
      <c r="W1867" s="577">
        <v>0</v>
      </c>
      <c r="X1867" s="575"/>
      <c r="Y1867" s="578">
        <f>IF('REF. DE PREÇOS n editavel'!W1867=0,0,IF('REF. DE PREÇOS n editavel'!W1867&gt;0,"c","b"))</f>
        <v>0</v>
      </c>
    </row>
    <row r="1868" spans="1:25" ht="15" customHeight="1">
      <c r="A1868" s="317">
        <v>620300</v>
      </c>
      <c r="B1868" s="870">
        <v>620300</v>
      </c>
      <c r="C1868" s="871" t="s">
        <v>184</v>
      </c>
      <c r="D1868" s="881" t="s">
        <v>346</v>
      </c>
      <c r="E1868" s="882">
        <f>'REF. DE PREÇOS n editavel'!E1868</f>
        <v>0</v>
      </c>
      <c r="F1868" s="883">
        <f>'REF. DE PREÇOS n editavel'!F1868</f>
        <v>0</v>
      </c>
      <c r="G1868" s="887">
        <f>'REF. DE PREÇOS n editavel'!G1868</f>
        <v>768.2953387</v>
      </c>
      <c r="H1868" s="876">
        <f>'REF. DE PREÇOS n editavel'!H1868</f>
        <v>1880.07</v>
      </c>
      <c r="I1868" s="876">
        <f>'REF. DE PREÇOS n editavel'!I1868</f>
        <v>2648.3653386999999</v>
      </c>
      <c r="J1868" s="877">
        <f>'REF. DE PREÇOS n editavel'!J1868</f>
        <v>3236.83</v>
      </c>
      <c r="K1868" s="878" t="s">
        <v>15</v>
      </c>
      <c r="L1868" s="1092"/>
      <c r="M1868" s="1093">
        <f t="shared" si="193"/>
        <v>0</v>
      </c>
      <c r="N1868" s="1131">
        <f t="shared" si="192"/>
        <v>0</v>
      </c>
      <c r="O1868" s="880"/>
      <c r="Q1868" s="317" t="str">
        <f t="shared" si="189"/>
        <v/>
      </c>
      <c r="R1868" s="317" t="str">
        <f t="shared" si="190"/>
        <v/>
      </c>
      <c r="S1868" s="317" t="str">
        <f t="shared" si="191"/>
        <v/>
      </c>
      <c r="T1868" s="317" t="str">
        <f>'REF. DE PREÇOS n editavel'!S1868</f>
        <v/>
      </c>
      <c r="W1868" s="577">
        <v>0</v>
      </c>
      <c r="X1868" s="575"/>
      <c r="Y1868" s="578">
        <f>IF('REF. DE PREÇOS n editavel'!W1868=0,0,IF('REF. DE PREÇOS n editavel'!W1868&gt;0,"c","b"))</f>
        <v>0</v>
      </c>
    </row>
    <row r="1869" spans="1:25" ht="15" customHeight="1">
      <c r="A1869" s="317" t="s">
        <v>147</v>
      </c>
      <c r="B1869" s="870" t="s">
        <v>147</v>
      </c>
      <c r="C1869" s="871"/>
      <c r="D1869" s="881" t="s">
        <v>190</v>
      </c>
      <c r="E1869" s="882">
        <f>'REF. DE PREÇOS n editavel'!E1869</f>
        <v>445</v>
      </c>
      <c r="F1869" s="883">
        <f>'REF. DE PREÇOS n editavel'!F1869</f>
        <v>0.43049999999999999</v>
      </c>
      <c r="G1869" s="884">
        <f>'REF. DE PREÇOS n editavel'!G1869</f>
        <v>152.79306</v>
      </c>
      <c r="H1869" s="876">
        <f>'REF. DE PREÇOS n editavel'!H1869</f>
        <v>0</v>
      </c>
      <c r="I1869" s="876">
        <f>'REF. DE PREÇOS n editavel'!I1869</f>
        <v>0</v>
      </c>
      <c r="J1869" s="877">
        <f>'REF. DE PREÇOS n editavel'!J1869</f>
        <v>0</v>
      </c>
      <c r="K1869" s="878"/>
      <c r="L1869" s="1132"/>
      <c r="M1869" s="1093">
        <f t="shared" si="193"/>
        <v>0</v>
      </c>
      <c r="N1869" s="1131">
        <f t="shared" si="192"/>
        <v>0</v>
      </c>
      <c r="O1869" s="880"/>
      <c r="P1869" s="36" t="str">
        <f>IF(N1868&gt;0,"xx",IF(N1868&gt;0,"xy",""))</f>
        <v/>
      </c>
      <c r="Q1869" s="317" t="str">
        <f t="shared" si="189"/>
        <v/>
      </c>
      <c r="R1869" s="317" t="str">
        <f t="shared" si="190"/>
        <v/>
      </c>
      <c r="S1869" s="317" t="str">
        <f t="shared" si="191"/>
        <v/>
      </c>
      <c r="T1869" s="317" t="str">
        <f>'REF. DE PREÇOS n editavel'!S1869</f>
        <v/>
      </c>
      <c r="W1869" s="577">
        <v>0</v>
      </c>
      <c r="X1869" s="575"/>
      <c r="Y1869" s="578">
        <f>IF('REF. DE PREÇOS n editavel'!W1869=0,0,IF('REF. DE PREÇOS n editavel'!W1869&gt;0,"c","b"))</f>
        <v>0</v>
      </c>
    </row>
    <row r="1870" spans="1:25" ht="15" customHeight="1">
      <c r="A1870" s="317" t="s">
        <v>147</v>
      </c>
      <c r="B1870" s="870" t="s">
        <v>147</v>
      </c>
      <c r="C1870" s="871"/>
      <c r="D1870" s="881" t="s">
        <v>229</v>
      </c>
      <c r="E1870" s="882">
        <f>'REF. DE PREÇOS n editavel'!E1870</f>
        <v>290</v>
      </c>
      <c r="F1870" s="883">
        <f>'REF. DE PREÇOS n editavel'!F1870</f>
        <v>1.5307999999999999</v>
      </c>
      <c r="G1870" s="923">
        <f>'REF. DE PREÇOS n editavel'!G1870</f>
        <v>479.10978399999999</v>
      </c>
      <c r="H1870" s="876">
        <f>'REF. DE PREÇOS n editavel'!H1870</f>
        <v>0</v>
      </c>
      <c r="I1870" s="876">
        <f>'REF. DE PREÇOS n editavel'!I1870</f>
        <v>0</v>
      </c>
      <c r="J1870" s="877">
        <f>'REF. DE PREÇOS n editavel'!J1870</f>
        <v>0</v>
      </c>
      <c r="K1870" s="878"/>
      <c r="L1870" s="1132"/>
      <c r="M1870" s="1093">
        <f t="shared" si="193"/>
        <v>0</v>
      </c>
      <c r="N1870" s="1131">
        <f t="shared" si="192"/>
        <v>0</v>
      </c>
      <c r="O1870" s="880"/>
      <c r="P1870" s="36" t="str">
        <f>IF(N1868&gt;0,"xx",IF(N1868&gt;0,"xy",""))</f>
        <v/>
      </c>
      <c r="Q1870" s="317" t="str">
        <f t="shared" si="189"/>
        <v/>
      </c>
      <c r="R1870" s="317" t="str">
        <f t="shared" si="190"/>
        <v/>
      </c>
      <c r="S1870" s="317" t="str">
        <f t="shared" si="191"/>
        <v/>
      </c>
      <c r="T1870" s="317" t="str">
        <f>'REF. DE PREÇOS n editavel'!S1870</f>
        <v/>
      </c>
      <c r="W1870" s="577">
        <v>0</v>
      </c>
      <c r="X1870" s="575"/>
      <c r="Y1870" s="578">
        <f>IF('REF. DE PREÇOS n editavel'!W1870=0,0,IF('REF. DE PREÇOS n editavel'!W1870&gt;0,"c","b"))</f>
        <v>0</v>
      </c>
    </row>
    <row r="1871" spans="1:25" ht="15" customHeight="1">
      <c r="A1871" s="317" t="s">
        <v>147</v>
      </c>
      <c r="B1871" s="870" t="s">
        <v>147</v>
      </c>
      <c r="C1871" s="871"/>
      <c r="D1871" s="881" t="s">
        <v>233</v>
      </c>
      <c r="E1871" s="882">
        <f>'REF. DE PREÇOS n editavel'!E1871</f>
        <v>43.1</v>
      </c>
      <c r="F1871" s="883">
        <f>'REF. DE PREÇOS n editavel'!F1871</f>
        <v>2.7951000000000001</v>
      </c>
      <c r="G1871" s="923">
        <f>'REF. DE PREÇOS n editavel'!G1871</f>
        <v>136.39249470000001</v>
      </c>
      <c r="H1871" s="876">
        <f>'REF. DE PREÇOS n editavel'!H1871</f>
        <v>0</v>
      </c>
      <c r="I1871" s="876">
        <f>'REF. DE PREÇOS n editavel'!I1871</f>
        <v>0</v>
      </c>
      <c r="J1871" s="877">
        <f>'REF. DE PREÇOS n editavel'!J1871</f>
        <v>0</v>
      </c>
      <c r="K1871" s="878"/>
      <c r="L1871" s="1132"/>
      <c r="M1871" s="1093">
        <f t="shared" si="193"/>
        <v>0</v>
      </c>
      <c r="N1871" s="1131">
        <f t="shared" si="192"/>
        <v>0</v>
      </c>
      <c r="O1871" s="880"/>
      <c r="P1871" s="36" t="str">
        <f>IF(N1868&gt;0,"xx",IF(N1868&gt;0,"xy",""))</f>
        <v/>
      </c>
      <c r="Q1871" s="317" t="str">
        <f t="shared" si="189"/>
        <v/>
      </c>
      <c r="R1871" s="317" t="str">
        <f t="shared" si="190"/>
        <v/>
      </c>
      <c r="S1871" s="317" t="str">
        <f t="shared" si="191"/>
        <v/>
      </c>
      <c r="T1871" s="317" t="str">
        <f>'REF. DE PREÇOS n editavel'!S1871</f>
        <v/>
      </c>
      <c r="W1871" s="577">
        <v>0</v>
      </c>
      <c r="X1871" s="575"/>
      <c r="Y1871" s="578">
        <f>IF('REF. DE PREÇOS n editavel'!W1871=0,0,IF('REF. DE PREÇOS n editavel'!W1871&gt;0,"c","b"))</f>
        <v>0</v>
      </c>
    </row>
    <row r="1872" spans="1:25" ht="15" customHeight="1">
      <c r="A1872" s="317">
        <v>620400</v>
      </c>
      <c r="B1872" s="870">
        <v>620400</v>
      </c>
      <c r="C1872" s="871" t="s">
        <v>184</v>
      </c>
      <c r="D1872" s="881" t="s">
        <v>347</v>
      </c>
      <c r="E1872" s="882">
        <f>'REF. DE PREÇOS n editavel'!E1872</f>
        <v>0</v>
      </c>
      <c r="F1872" s="883">
        <f>'REF. DE PREÇOS n editavel'!F1872</f>
        <v>0</v>
      </c>
      <c r="G1872" s="887">
        <f>'REF. DE PREÇOS n editavel'!G1872</f>
        <v>1037.4142934000001</v>
      </c>
      <c r="H1872" s="876">
        <f>'REF. DE PREÇOS n editavel'!H1872</f>
        <v>2407.5300000000002</v>
      </c>
      <c r="I1872" s="876">
        <f>'REF. DE PREÇOS n editavel'!I1872</f>
        <v>3444.9442934000003</v>
      </c>
      <c r="J1872" s="877">
        <f>'REF. DE PREÇOS n editavel'!J1872</f>
        <v>4210.41</v>
      </c>
      <c r="K1872" s="878" t="s">
        <v>15</v>
      </c>
      <c r="L1872" s="1092"/>
      <c r="M1872" s="1093">
        <f t="shared" si="193"/>
        <v>0</v>
      </c>
      <c r="N1872" s="1131">
        <f t="shared" si="192"/>
        <v>0</v>
      </c>
      <c r="O1872" s="880"/>
      <c r="Q1872" s="317" t="str">
        <f t="shared" si="189"/>
        <v/>
      </c>
      <c r="R1872" s="317" t="str">
        <f t="shared" si="190"/>
        <v/>
      </c>
      <c r="S1872" s="317" t="str">
        <f t="shared" si="191"/>
        <v/>
      </c>
      <c r="T1872" s="317" t="str">
        <f>'REF. DE PREÇOS n editavel'!S1872</f>
        <v/>
      </c>
      <c r="W1872" s="577">
        <v>0</v>
      </c>
      <c r="X1872" s="575"/>
      <c r="Y1872" s="578">
        <f>IF('REF. DE PREÇOS n editavel'!W1872=0,0,IF('REF. DE PREÇOS n editavel'!W1872&gt;0,"c","b"))</f>
        <v>0</v>
      </c>
    </row>
    <row r="1873" spans="1:25" ht="15" customHeight="1">
      <c r="A1873" s="317" t="s">
        <v>147</v>
      </c>
      <c r="B1873" s="870" t="s">
        <v>147</v>
      </c>
      <c r="C1873" s="871"/>
      <c r="D1873" s="881" t="s">
        <v>190</v>
      </c>
      <c r="E1873" s="882">
        <f>'REF. DE PREÇOS n editavel'!E1873</f>
        <v>445</v>
      </c>
      <c r="F1873" s="883">
        <f>'REF. DE PREÇOS n editavel'!F1873</f>
        <v>0.58130000000000004</v>
      </c>
      <c r="G1873" s="884">
        <f>'REF. DE PREÇOS n editavel'!G1873</f>
        <v>206.31499600000004</v>
      </c>
      <c r="H1873" s="876">
        <f>'REF. DE PREÇOS n editavel'!H1873</f>
        <v>0</v>
      </c>
      <c r="I1873" s="876">
        <f>'REF. DE PREÇOS n editavel'!I1873</f>
        <v>0</v>
      </c>
      <c r="J1873" s="877">
        <f>'REF. DE PREÇOS n editavel'!J1873</f>
        <v>0</v>
      </c>
      <c r="K1873" s="878"/>
      <c r="L1873" s="1132"/>
      <c r="M1873" s="1093">
        <f t="shared" si="193"/>
        <v>0</v>
      </c>
      <c r="N1873" s="1131">
        <f t="shared" si="192"/>
        <v>0</v>
      </c>
      <c r="O1873" s="880"/>
      <c r="P1873" s="36" t="str">
        <f>IF(N1872&gt;0,"xx",IF(N1872&gt;0,"xy",""))</f>
        <v/>
      </c>
      <c r="Q1873" s="317" t="str">
        <f t="shared" ref="Q1873:Q1936" si="194">IF(P1873="X","x",IF(P1873="xx","x",IF(P1873="xy","x",IF(P1873="y","x",IF(OR(N1873&gt;0,N1873&gt;0),"x","")))))</f>
        <v/>
      </c>
      <c r="R1873" s="317" t="str">
        <f t="shared" si="190"/>
        <v/>
      </c>
      <c r="S1873" s="317" t="str">
        <f t="shared" si="191"/>
        <v/>
      </c>
      <c r="T1873" s="317" t="str">
        <f>'REF. DE PREÇOS n editavel'!S1873</f>
        <v/>
      </c>
      <c r="W1873" s="577">
        <v>0</v>
      </c>
      <c r="X1873" s="575"/>
      <c r="Y1873" s="578">
        <f>IF('REF. DE PREÇOS n editavel'!W1873=0,0,IF('REF. DE PREÇOS n editavel'!W1873&gt;0,"c","b"))</f>
        <v>0</v>
      </c>
    </row>
    <row r="1874" spans="1:25" ht="15" customHeight="1">
      <c r="A1874" s="317" t="s">
        <v>147</v>
      </c>
      <c r="B1874" s="870" t="s">
        <v>147</v>
      </c>
      <c r="C1874" s="871"/>
      <c r="D1874" s="881" t="s">
        <v>229</v>
      </c>
      <c r="E1874" s="882">
        <f>'REF. DE PREÇOS n editavel'!E1874</f>
        <v>290</v>
      </c>
      <c r="F1874" s="883">
        <f>'REF. DE PREÇOS n editavel'!F1874</f>
        <v>2.0670000000000002</v>
      </c>
      <c r="G1874" s="923">
        <f>'REF. DE PREÇOS n editavel'!G1874</f>
        <v>646.92966000000013</v>
      </c>
      <c r="H1874" s="876">
        <f>'REF. DE PREÇOS n editavel'!H1874</f>
        <v>0</v>
      </c>
      <c r="I1874" s="876">
        <f>'REF. DE PREÇOS n editavel'!I1874</f>
        <v>0</v>
      </c>
      <c r="J1874" s="877">
        <f>'REF. DE PREÇOS n editavel'!J1874</f>
        <v>0</v>
      </c>
      <c r="K1874" s="878"/>
      <c r="L1874" s="1132"/>
      <c r="M1874" s="1093">
        <f t="shared" si="193"/>
        <v>0</v>
      </c>
      <c r="N1874" s="1131">
        <f t="shared" si="192"/>
        <v>0</v>
      </c>
      <c r="O1874" s="880"/>
      <c r="P1874" s="36" t="str">
        <f>IF(N1872&gt;0,"xx",IF(N1872&gt;0,"xy",""))</f>
        <v/>
      </c>
      <c r="Q1874" s="317" t="str">
        <f t="shared" si="194"/>
        <v/>
      </c>
      <c r="R1874" s="317" t="str">
        <f t="shared" si="190"/>
        <v/>
      </c>
      <c r="S1874" s="317" t="str">
        <f t="shared" si="191"/>
        <v/>
      </c>
      <c r="T1874" s="317" t="str">
        <f>'REF. DE PREÇOS n editavel'!S1874</f>
        <v/>
      </c>
      <c r="W1874" s="577">
        <v>0</v>
      </c>
      <c r="X1874" s="575"/>
      <c r="Y1874" s="578">
        <f>IF('REF. DE PREÇOS n editavel'!W1874=0,0,IF('REF. DE PREÇOS n editavel'!W1874&gt;0,"c","b"))</f>
        <v>0</v>
      </c>
    </row>
    <row r="1875" spans="1:25" ht="15" customHeight="1">
      <c r="A1875" s="317" t="s">
        <v>147</v>
      </c>
      <c r="B1875" s="870" t="s">
        <v>147</v>
      </c>
      <c r="C1875" s="871"/>
      <c r="D1875" s="881" t="s">
        <v>233</v>
      </c>
      <c r="E1875" s="882">
        <f>'REF. DE PREÇOS n editavel'!E1875</f>
        <v>43.1</v>
      </c>
      <c r="F1875" s="883">
        <f>'REF. DE PREÇOS n editavel'!F1875</f>
        <v>3.7742</v>
      </c>
      <c r="G1875" s="923">
        <f>'REF. DE PREÇOS n editavel'!G1875</f>
        <v>184.16963740000003</v>
      </c>
      <c r="H1875" s="876">
        <f>'REF. DE PREÇOS n editavel'!H1875</f>
        <v>0</v>
      </c>
      <c r="I1875" s="876">
        <f>'REF. DE PREÇOS n editavel'!I1875</f>
        <v>0</v>
      </c>
      <c r="J1875" s="877">
        <f>'REF. DE PREÇOS n editavel'!J1875</f>
        <v>0</v>
      </c>
      <c r="K1875" s="878"/>
      <c r="L1875" s="1132"/>
      <c r="M1875" s="1093">
        <f t="shared" si="193"/>
        <v>0</v>
      </c>
      <c r="N1875" s="1131">
        <f t="shared" si="192"/>
        <v>0</v>
      </c>
      <c r="O1875" s="880"/>
      <c r="P1875" s="36" t="str">
        <f>IF(N1872&gt;0,"xx",IF(N1872&gt;0,"xy",""))</f>
        <v/>
      </c>
      <c r="Q1875" s="317" t="str">
        <f t="shared" si="194"/>
        <v/>
      </c>
      <c r="R1875" s="317" t="str">
        <f t="shared" ref="R1875:R1938" si="195">IF(P1875="X","x",IF(P1875="y","x",IF(P1875="xx","x",IF(N1875&gt;0,"x",""))))</f>
        <v/>
      </c>
      <c r="S1875" s="317" t="str">
        <f t="shared" ref="S1875:S1938" si="196">IF(P1875="X","x",IF(N1875&gt;0,"x",""))</f>
        <v/>
      </c>
      <c r="T1875" s="317" t="str">
        <f>'REF. DE PREÇOS n editavel'!S1875</f>
        <v/>
      </c>
      <c r="W1875" s="577">
        <v>0</v>
      </c>
      <c r="X1875" s="575"/>
      <c r="Y1875" s="578">
        <f>IF('REF. DE PREÇOS n editavel'!W1875=0,0,IF('REF. DE PREÇOS n editavel'!W1875&gt;0,"c","b"))</f>
        <v>0</v>
      </c>
    </row>
    <row r="1876" spans="1:25" ht="15" customHeight="1">
      <c r="A1876" s="317">
        <v>620500</v>
      </c>
      <c r="B1876" s="870">
        <v>620500</v>
      </c>
      <c r="C1876" s="871" t="s">
        <v>184</v>
      </c>
      <c r="D1876" s="881" t="s">
        <v>348</v>
      </c>
      <c r="E1876" s="882">
        <f>'REF. DE PREÇOS n editavel'!E1876</f>
        <v>0</v>
      </c>
      <c r="F1876" s="883">
        <f>'REF. DE PREÇOS n editavel'!F1876</f>
        <v>0</v>
      </c>
      <c r="G1876" s="887">
        <f>'REF. DE PREÇOS n editavel'!G1876</f>
        <v>2082.9710062999998</v>
      </c>
      <c r="H1876" s="876">
        <f>'REF. DE PREÇOS n editavel'!H1876</f>
        <v>4302.26</v>
      </c>
      <c r="I1876" s="876">
        <f>'REF. DE PREÇOS n editavel'!I1876</f>
        <v>6385.2310063000004</v>
      </c>
      <c r="J1876" s="877">
        <f>'REF. DE PREÇOS n editavel'!J1876</f>
        <v>7804.03</v>
      </c>
      <c r="K1876" s="878" t="s">
        <v>15</v>
      </c>
      <c r="L1876" s="1092"/>
      <c r="M1876" s="1093">
        <f t="shared" si="193"/>
        <v>0</v>
      </c>
      <c r="N1876" s="1131">
        <f t="shared" si="192"/>
        <v>0</v>
      </c>
      <c r="O1876" s="880"/>
      <c r="Q1876" s="317" t="str">
        <f t="shared" si="194"/>
        <v/>
      </c>
      <c r="R1876" s="317" t="str">
        <f t="shared" si="195"/>
        <v/>
      </c>
      <c r="S1876" s="317" t="str">
        <f t="shared" si="196"/>
        <v/>
      </c>
      <c r="T1876" s="317" t="str">
        <f>'REF. DE PREÇOS n editavel'!S1876</f>
        <v/>
      </c>
      <c r="W1876" s="577">
        <v>0</v>
      </c>
      <c r="X1876" s="575"/>
      <c r="Y1876" s="578">
        <f>IF('REF. DE PREÇOS n editavel'!W1876=0,0,IF('REF. DE PREÇOS n editavel'!W1876&gt;0,"c","b"))</f>
        <v>0</v>
      </c>
    </row>
    <row r="1877" spans="1:25" ht="15" customHeight="1">
      <c r="A1877" s="317" t="s">
        <v>147</v>
      </c>
      <c r="B1877" s="870" t="s">
        <v>147</v>
      </c>
      <c r="C1877" s="871"/>
      <c r="D1877" s="881" t="s">
        <v>190</v>
      </c>
      <c r="E1877" s="882">
        <f>'REF. DE PREÇOS n editavel'!E1877</f>
        <v>445</v>
      </c>
      <c r="F1877" s="883">
        <f>'REF. DE PREÇOS n editavel'!F1877</f>
        <v>1.1672</v>
      </c>
      <c r="G1877" s="884">
        <f>'REF. DE PREÇOS n editavel'!G1877</f>
        <v>414.26262400000002</v>
      </c>
      <c r="H1877" s="876">
        <f>'REF. DE PREÇOS n editavel'!H1877</f>
        <v>0</v>
      </c>
      <c r="I1877" s="876">
        <f>'REF. DE PREÇOS n editavel'!I1877</f>
        <v>0</v>
      </c>
      <c r="J1877" s="877">
        <f>'REF. DE PREÇOS n editavel'!J1877</f>
        <v>0</v>
      </c>
      <c r="K1877" s="878"/>
      <c r="L1877" s="1132"/>
      <c r="M1877" s="1093">
        <f t="shared" si="193"/>
        <v>0</v>
      </c>
      <c r="N1877" s="1131">
        <f t="shared" si="192"/>
        <v>0</v>
      </c>
      <c r="O1877" s="880"/>
      <c r="P1877" s="36" t="str">
        <f>IF(N1876&gt;0,"xx",IF(N1876&gt;0,"xy",""))</f>
        <v/>
      </c>
      <c r="Q1877" s="317" t="str">
        <f t="shared" si="194"/>
        <v/>
      </c>
      <c r="R1877" s="317" t="str">
        <f t="shared" si="195"/>
        <v/>
      </c>
      <c r="S1877" s="317" t="str">
        <f t="shared" si="196"/>
        <v/>
      </c>
      <c r="T1877" s="317" t="str">
        <f>'REF. DE PREÇOS n editavel'!S1877</f>
        <v/>
      </c>
      <c r="W1877" s="577">
        <v>0</v>
      </c>
      <c r="X1877" s="575"/>
      <c r="Y1877" s="578">
        <f>IF('REF. DE PREÇOS n editavel'!W1877=0,0,IF('REF. DE PREÇOS n editavel'!W1877&gt;0,"c","b"))</f>
        <v>0</v>
      </c>
    </row>
    <row r="1878" spans="1:25" ht="15" customHeight="1">
      <c r="A1878" s="317" t="s">
        <v>147</v>
      </c>
      <c r="B1878" s="870" t="s">
        <v>147</v>
      </c>
      <c r="C1878" s="871"/>
      <c r="D1878" s="881" t="s">
        <v>229</v>
      </c>
      <c r="E1878" s="882">
        <f>'REF. DE PREÇOS n editavel'!E1878</f>
        <v>290</v>
      </c>
      <c r="F1878" s="883">
        <f>'REF. DE PREÇOS n editavel'!F1878</f>
        <v>4.1501999999999999</v>
      </c>
      <c r="G1878" s="923">
        <f>'REF. DE PREÇOS n editavel'!G1878</f>
        <v>1298.9295959999999</v>
      </c>
      <c r="H1878" s="876">
        <f>'REF. DE PREÇOS n editavel'!H1878</f>
        <v>0</v>
      </c>
      <c r="I1878" s="876">
        <f>'REF. DE PREÇOS n editavel'!I1878</f>
        <v>0</v>
      </c>
      <c r="J1878" s="877">
        <f>'REF. DE PREÇOS n editavel'!J1878</f>
        <v>0</v>
      </c>
      <c r="K1878" s="878"/>
      <c r="L1878" s="1132"/>
      <c r="M1878" s="1093">
        <f t="shared" si="193"/>
        <v>0</v>
      </c>
      <c r="N1878" s="1131">
        <f t="shared" si="192"/>
        <v>0</v>
      </c>
      <c r="O1878" s="880"/>
      <c r="P1878" s="36" t="str">
        <f>IF(N1876&gt;0,"xx",IF(N1876&gt;0,"xy",""))</f>
        <v/>
      </c>
      <c r="Q1878" s="317" t="str">
        <f t="shared" si="194"/>
        <v/>
      </c>
      <c r="R1878" s="317" t="str">
        <f t="shared" si="195"/>
        <v/>
      </c>
      <c r="S1878" s="317" t="str">
        <f t="shared" si="196"/>
        <v/>
      </c>
      <c r="T1878" s="317" t="str">
        <f>'REF. DE PREÇOS n editavel'!S1878</f>
        <v/>
      </c>
      <c r="W1878" s="577">
        <v>0</v>
      </c>
      <c r="X1878" s="575"/>
      <c r="Y1878" s="578">
        <f>IF('REF. DE PREÇOS n editavel'!W1878=0,0,IF('REF. DE PREÇOS n editavel'!W1878&gt;0,"c","b"))</f>
        <v>0</v>
      </c>
    </row>
    <row r="1879" spans="1:25" ht="15" customHeight="1">
      <c r="A1879" s="317" t="s">
        <v>147</v>
      </c>
      <c r="B1879" s="870" t="s">
        <v>147</v>
      </c>
      <c r="C1879" s="871"/>
      <c r="D1879" s="881" t="s">
        <v>233</v>
      </c>
      <c r="E1879" s="882">
        <f>'REF. DE PREÇOS n editavel'!E1879</f>
        <v>43.1</v>
      </c>
      <c r="F1879" s="883">
        <f>'REF. DE PREÇOS n editavel'!F1879</f>
        <v>7.5778999999999996</v>
      </c>
      <c r="G1879" s="923">
        <f>'REF. DE PREÇOS n editavel'!G1879</f>
        <v>369.77878630000004</v>
      </c>
      <c r="H1879" s="876">
        <f>'REF. DE PREÇOS n editavel'!H1879</f>
        <v>0</v>
      </c>
      <c r="I1879" s="876">
        <f>'REF. DE PREÇOS n editavel'!I1879</f>
        <v>0</v>
      </c>
      <c r="J1879" s="877">
        <f>'REF. DE PREÇOS n editavel'!J1879</f>
        <v>0</v>
      </c>
      <c r="K1879" s="878"/>
      <c r="L1879" s="1132"/>
      <c r="M1879" s="1093">
        <f t="shared" si="193"/>
        <v>0</v>
      </c>
      <c r="N1879" s="1131">
        <f t="shared" ref="N1879:N1942" si="197">IF(ISBLANK(L1879),0,IF(W1879=0,ROUND(L1879*M1879,2),IF(W1879="b",ROUNDDOWN(L1879*M1879,2),ROUNDUP(L1879*M1879,2))))</f>
        <v>0</v>
      </c>
      <c r="O1879" s="880"/>
      <c r="P1879" s="36" t="str">
        <f>IF(N1876&gt;0,"xx",IF(N1876&gt;0,"xy",""))</f>
        <v/>
      </c>
      <c r="Q1879" s="317" t="str">
        <f t="shared" si="194"/>
        <v/>
      </c>
      <c r="R1879" s="317" t="str">
        <f t="shared" si="195"/>
        <v/>
      </c>
      <c r="S1879" s="317" t="str">
        <f t="shared" si="196"/>
        <v/>
      </c>
      <c r="T1879" s="317" t="str">
        <f>'REF. DE PREÇOS n editavel'!S1879</f>
        <v/>
      </c>
      <c r="W1879" s="577">
        <v>0</v>
      </c>
      <c r="X1879" s="575"/>
      <c r="Y1879" s="578">
        <f>IF('REF. DE PREÇOS n editavel'!W1879=0,0,IF('REF. DE PREÇOS n editavel'!W1879&gt;0,"c","b"))</f>
        <v>0</v>
      </c>
    </row>
    <row r="1880" spans="1:25" ht="15" customHeight="1">
      <c r="A1880" s="317">
        <v>620600</v>
      </c>
      <c r="B1880" s="870">
        <v>620600</v>
      </c>
      <c r="C1880" s="871" t="s">
        <v>184</v>
      </c>
      <c r="D1880" s="881" t="s">
        <v>349</v>
      </c>
      <c r="E1880" s="882">
        <f>'REF. DE PREÇOS n editavel'!E1880</f>
        <v>0</v>
      </c>
      <c r="F1880" s="883">
        <f>'REF. DE PREÇOS n editavel'!F1880</f>
        <v>0</v>
      </c>
      <c r="G1880" s="887">
        <f>'REF. DE PREÇOS n editavel'!G1880</f>
        <v>4004.4267916999997</v>
      </c>
      <c r="H1880" s="876">
        <f>'REF. DE PREÇOS n editavel'!H1880</f>
        <v>7668.6</v>
      </c>
      <c r="I1880" s="876">
        <f>'REF. DE PREÇOS n editavel'!I1880</f>
        <v>11673.0267917</v>
      </c>
      <c r="J1880" s="877">
        <f>'REF. DE PREÇOS n editavel'!J1880</f>
        <v>14266.77</v>
      </c>
      <c r="K1880" s="878" t="s">
        <v>15</v>
      </c>
      <c r="L1880" s="1092"/>
      <c r="M1880" s="1093">
        <f t="shared" si="193"/>
        <v>0</v>
      </c>
      <c r="N1880" s="1131">
        <f t="shared" si="197"/>
        <v>0</v>
      </c>
      <c r="O1880" s="880"/>
      <c r="Q1880" s="317" t="str">
        <f t="shared" si="194"/>
        <v/>
      </c>
      <c r="R1880" s="317" t="str">
        <f t="shared" si="195"/>
        <v/>
      </c>
      <c r="S1880" s="317" t="str">
        <f t="shared" si="196"/>
        <v/>
      </c>
      <c r="T1880" s="317" t="str">
        <f>'REF. DE PREÇOS n editavel'!S1880</f>
        <v/>
      </c>
      <c r="W1880" s="577">
        <v>0</v>
      </c>
      <c r="X1880" s="575"/>
      <c r="Y1880" s="578">
        <f>IF('REF. DE PREÇOS n editavel'!W1880=0,0,IF('REF. DE PREÇOS n editavel'!W1880&gt;0,"c","b"))</f>
        <v>0</v>
      </c>
    </row>
    <row r="1881" spans="1:25" ht="15" customHeight="1">
      <c r="A1881" s="317" t="s">
        <v>147</v>
      </c>
      <c r="B1881" s="870" t="s">
        <v>147</v>
      </c>
      <c r="C1881" s="871"/>
      <c r="D1881" s="881" t="s">
        <v>190</v>
      </c>
      <c r="E1881" s="882">
        <f>'REF. DE PREÇOS n editavel'!E1881</f>
        <v>445</v>
      </c>
      <c r="F1881" s="883">
        <f>'REF. DE PREÇOS n editavel'!F1881</f>
        <v>2.2439</v>
      </c>
      <c r="G1881" s="884">
        <f>'REF. DE PREÇOS n editavel'!G1881</f>
        <v>796.404988</v>
      </c>
      <c r="H1881" s="876">
        <f>'REF. DE PREÇOS n editavel'!H1881</f>
        <v>0</v>
      </c>
      <c r="I1881" s="876">
        <f>'REF. DE PREÇOS n editavel'!I1881</f>
        <v>0</v>
      </c>
      <c r="J1881" s="877">
        <f>'REF. DE PREÇOS n editavel'!J1881</f>
        <v>0</v>
      </c>
      <c r="K1881" s="878"/>
      <c r="L1881" s="1132"/>
      <c r="M1881" s="1093">
        <f t="shared" si="193"/>
        <v>0</v>
      </c>
      <c r="N1881" s="1131">
        <f t="shared" si="197"/>
        <v>0</v>
      </c>
      <c r="O1881" s="880"/>
      <c r="P1881" s="36" t="str">
        <f>IF(N1880&gt;0,"xx",IF(N1880&gt;0,"xy",""))</f>
        <v/>
      </c>
      <c r="Q1881" s="317" t="str">
        <f t="shared" si="194"/>
        <v/>
      </c>
      <c r="R1881" s="317" t="str">
        <f t="shared" si="195"/>
        <v/>
      </c>
      <c r="S1881" s="317" t="str">
        <f t="shared" si="196"/>
        <v/>
      </c>
      <c r="T1881" s="317" t="str">
        <f>'REF. DE PREÇOS n editavel'!S1881</f>
        <v/>
      </c>
      <c r="W1881" s="577">
        <v>0</v>
      </c>
      <c r="X1881" s="575"/>
      <c r="Y1881" s="578">
        <f>IF('REF. DE PREÇOS n editavel'!W1881=0,0,IF('REF. DE PREÇOS n editavel'!W1881&gt;0,"c","b"))</f>
        <v>0</v>
      </c>
    </row>
    <row r="1882" spans="1:25" ht="15" customHeight="1">
      <c r="A1882" s="317" t="s">
        <v>147</v>
      </c>
      <c r="B1882" s="870" t="s">
        <v>147</v>
      </c>
      <c r="C1882" s="871"/>
      <c r="D1882" s="881" t="s">
        <v>229</v>
      </c>
      <c r="E1882" s="882">
        <f>'REF. DE PREÇOS n editavel'!E1882</f>
        <v>290</v>
      </c>
      <c r="F1882" s="883">
        <f>'REF. DE PREÇOS n editavel'!F1882</f>
        <v>7.9786000000000001</v>
      </c>
      <c r="G1882" s="923">
        <f>'REF. DE PREÇOS n editavel'!G1882</f>
        <v>2497.1422280000002</v>
      </c>
      <c r="H1882" s="876">
        <f>'REF. DE PREÇOS n editavel'!H1882</f>
        <v>0</v>
      </c>
      <c r="I1882" s="876">
        <f>'REF. DE PREÇOS n editavel'!I1882</f>
        <v>0</v>
      </c>
      <c r="J1882" s="877">
        <f>'REF. DE PREÇOS n editavel'!J1882</f>
        <v>0</v>
      </c>
      <c r="K1882" s="878"/>
      <c r="L1882" s="1132"/>
      <c r="M1882" s="1093">
        <f t="shared" si="193"/>
        <v>0</v>
      </c>
      <c r="N1882" s="1131">
        <f t="shared" si="197"/>
        <v>0</v>
      </c>
      <c r="O1882" s="880"/>
      <c r="P1882" s="36" t="str">
        <f>IF(N1880&gt;0,"xx",IF(N1880&gt;0,"xy",""))</f>
        <v/>
      </c>
      <c r="Q1882" s="317" t="str">
        <f t="shared" si="194"/>
        <v/>
      </c>
      <c r="R1882" s="317" t="str">
        <f t="shared" si="195"/>
        <v/>
      </c>
      <c r="S1882" s="317" t="str">
        <f t="shared" si="196"/>
        <v/>
      </c>
      <c r="T1882" s="317" t="str">
        <f>'REF. DE PREÇOS n editavel'!S1882</f>
        <v/>
      </c>
      <c r="W1882" s="577">
        <v>0</v>
      </c>
      <c r="X1882" s="575"/>
      <c r="Y1882" s="578">
        <f>IF('REF. DE PREÇOS n editavel'!W1882=0,0,IF('REF. DE PREÇOS n editavel'!W1882&gt;0,"c","b"))</f>
        <v>0</v>
      </c>
    </row>
    <row r="1883" spans="1:25" ht="15" customHeight="1">
      <c r="A1883" s="317" t="s">
        <v>147</v>
      </c>
      <c r="B1883" s="870" t="s">
        <v>147</v>
      </c>
      <c r="C1883" s="871"/>
      <c r="D1883" s="881" t="s">
        <v>233</v>
      </c>
      <c r="E1883" s="882">
        <f>'REF. DE PREÇOS n editavel'!E1883</f>
        <v>43.1</v>
      </c>
      <c r="F1883" s="883">
        <f>'REF. DE PREÇOS n editavel'!F1883</f>
        <v>14.568099999999999</v>
      </c>
      <c r="G1883" s="923">
        <f>'REF. DE PREÇOS n editavel'!G1883</f>
        <v>710.87957570000003</v>
      </c>
      <c r="H1883" s="876">
        <f>'REF. DE PREÇOS n editavel'!H1883</f>
        <v>0</v>
      </c>
      <c r="I1883" s="876">
        <f>'REF. DE PREÇOS n editavel'!I1883</f>
        <v>0</v>
      </c>
      <c r="J1883" s="877">
        <f>'REF. DE PREÇOS n editavel'!J1883</f>
        <v>0</v>
      </c>
      <c r="K1883" s="878"/>
      <c r="L1883" s="1132"/>
      <c r="M1883" s="1093">
        <f t="shared" si="193"/>
        <v>0</v>
      </c>
      <c r="N1883" s="1131">
        <f t="shared" si="197"/>
        <v>0</v>
      </c>
      <c r="O1883" s="880"/>
      <c r="P1883" s="36" t="str">
        <f>IF(N1880&gt;0,"xx",IF(N1880&gt;0,"xy",""))</f>
        <v/>
      </c>
      <c r="Q1883" s="317" t="str">
        <f t="shared" si="194"/>
        <v/>
      </c>
      <c r="R1883" s="317" t="str">
        <f t="shared" si="195"/>
        <v/>
      </c>
      <c r="S1883" s="317" t="str">
        <f t="shared" si="196"/>
        <v/>
      </c>
      <c r="T1883" s="317" t="str">
        <f>'REF. DE PREÇOS n editavel'!S1883</f>
        <v/>
      </c>
      <c r="W1883" s="577">
        <v>0</v>
      </c>
      <c r="X1883" s="575"/>
      <c r="Y1883" s="578">
        <f>IF('REF. DE PREÇOS n editavel'!W1883=0,0,IF('REF. DE PREÇOS n editavel'!W1883&gt;0,"c","b"))</f>
        <v>0</v>
      </c>
    </row>
    <row r="1884" spans="1:25" ht="15" customHeight="1">
      <c r="A1884" s="317">
        <v>620100</v>
      </c>
      <c r="B1884" s="870" t="s">
        <v>1802</v>
      </c>
      <c r="C1884" s="871" t="s">
        <v>184</v>
      </c>
      <c r="D1884" s="881" t="s">
        <v>350</v>
      </c>
      <c r="E1884" s="882">
        <f>'REF. DE PREÇOS n editavel'!E1884</f>
        <v>0</v>
      </c>
      <c r="F1884" s="883">
        <f>'REF. DE PREÇOS n editavel'!F1884</f>
        <v>0</v>
      </c>
      <c r="G1884" s="887">
        <f>'REF. DE PREÇOS n editavel'!G1884</f>
        <v>511.01809410000004</v>
      </c>
      <c r="H1884" s="876">
        <f>'REF. DE PREÇOS n editavel'!H1884</f>
        <v>954.15</v>
      </c>
      <c r="I1884" s="876">
        <f>'REF. DE PREÇOS n editavel'!I1884</f>
        <v>1465.1680941</v>
      </c>
      <c r="J1884" s="877">
        <f>'REF. DE PREÇOS n editavel'!J1884</f>
        <v>1790.73</v>
      </c>
      <c r="K1884" s="878" t="s">
        <v>15</v>
      </c>
      <c r="L1884" s="1092"/>
      <c r="M1884" s="1093">
        <f t="shared" si="193"/>
        <v>0</v>
      </c>
      <c r="N1884" s="1131">
        <f t="shared" si="197"/>
        <v>0</v>
      </c>
      <c r="O1884" s="880"/>
      <c r="Q1884" s="317" t="str">
        <f t="shared" si="194"/>
        <v/>
      </c>
      <c r="R1884" s="317" t="str">
        <f t="shared" si="195"/>
        <v/>
      </c>
      <c r="S1884" s="317" t="str">
        <f t="shared" si="196"/>
        <v/>
      </c>
      <c r="T1884" s="317" t="str">
        <f>'REF. DE PREÇOS n editavel'!S1884</f>
        <v/>
      </c>
      <c r="W1884" s="577">
        <v>0</v>
      </c>
      <c r="X1884" s="575"/>
      <c r="Y1884" s="578">
        <f>IF('REF. DE PREÇOS n editavel'!W1884=0,0,IF('REF. DE PREÇOS n editavel'!W1884&gt;0,"c","b"))</f>
        <v>0</v>
      </c>
    </row>
    <row r="1885" spans="1:25" ht="15" customHeight="1">
      <c r="A1885" s="317" t="s">
        <v>147</v>
      </c>
      <c r="B1885" s="870" t="s">
        <v>147</v>
      </c>
      <c r="C1885" s="871"/>
      <c r="D1885" s="881" t="s">
        <v>190</v>
      </c>
      <c r="E1885" s="882">
        <f>'REF. DE PREÇOS n editavel'!E1885</f>
        <v>445</v>
      </c>
      <c r="F1885" s="883">
        <f>'REF. DE PREÇOS n editavel'!F1885</f>
        <v>0.2863</v>
      </c>
      <c r="G1885" s="884">
        <f>'REF. DE PREÇOS n editavel'!G1885</f>
        <v>101.613596</v>
      </c>
      <c r="H1885" s="876">
        <f>'REF. DE PREÇOS n editavel'!H1885</f>
        <v>0</v>
      </c>
      <c r="I1885" s="876">
        <f>'REF. DE PREÇOS n editavel'!I1885</f>
        <v>0</v>
      </c>
      <c r="J1885" s="877">
        <f>'REF. DE PREÇOS n editavel'!J1885</f>
        <v>0</v>
      </c>
      <c r="K1885" s="878"/>
      <c r="L1885" s="1132"/>
      <c r="M1885" s="1093">
        <f t="shared" si="193"/>
        <v>0</v>
      </c>
      <c r="N1885" s="1131">
        <f t="shared" si="197"/>
        <v>0</v>
      </c>
      <c r="O1885" s="880"/>
      <c r="P1885" s="36" t="str">
        <f>IF(N1884&gt;0,"xx",IF(N1884&gt;0,"xy",""))</f>
        <v/>
      </c>
      <c r="Q1885" s="317" t="str">
        <f t="shared" si="194"/>
        <v/>
      </c>
      <c r="R1885" s="317" t="str">
        <f t="shared" si="195"/>
        <v/>
      </c>
      <c r="S1885" s="317" t="str">
        <f t="shared" si="196"/>
        <v/>
      </c>
      <c r="T1885" s="317" t="str">
        <f>'REF. DE PREÇOS n editavel'!S1885</f>
        <v/>
      </c>
      <c r="W1885" s="577">
        <v>0</v>
      </c>
      <c r="X1885" s="575"/>
      <c r="Y1885" s="578">
        <f>IF('REF. DE PREÇOS n editavel'!W1885=0,0,IF('REF. DE PREÇOS n editavel'!W1885&gt;0,"c","b"))</f>
        <v>0</v>
      </c>
    </row>
    <row r="1886" spans="1:25" ht="15" customHeight="1">
      <c r="A1886" s="317" t="s">
        <v>147</v>
      </c>
      <c r="B1886" s="870" t="s">
        <v>147</v>
      </c>
      <c r="C1886" s="871"/>
      <c r="D1886" s="881" t="s">
        <v>229</v>
      </c>
      <c r="E1886" s="882">
        <f>'REF. DE PREÇOS n editavel'!E1886</f>
        <v>290</v>
      </c>
      <c r="F1886" s="883">
        <f>'REF. DE PREÇOS n editavel'!F1886</f>
        <v>1.0182</v>
      </c>
      <c r="G1886" s="923">
        <f>'REF. DE PREÇOS n editavel'!G1886</f>
        <v>318.67623600000002</v>
      </c>
      <c r="H1886" s="876">
        <f>'REF. DE PREÇOS n editavel'!H1886</f>
        <v>0</v>
      </c>
      <c r="I1886" s="876">
        <f>'REF. DE PREÇOS n editavel'!I1886</f>
        <v>0</v>
      </c>
      <c r="J1886" s="877">
        <f>'REF. DE PREÇOS n editavel'!J1886</f>
        <v>0</v>
      </c>
      <c r="K1886" s="878"/>
      <c r="L1886" s="1132"/>
      <c r="M1886" s="1093">
        <f t="shared" si="193"/>
        <v>0</v>
      </c>
      <c r="N1886" s="1131">
        <f t="shared" si="197"/>
        <v>0</v>
      </c>
      <c r="O1886" s="880"/>
      <c r="P1886" s="36" t="str">
        <f>IF(N1884&gt;0,"xx",IF(N1884&gt;0,"xy",""))</f>
        <v/>
      </c>
      <c r="Q1886" s="317" t="str">
        <f t="shared" si="194"/>
        <v/>
      </c>
      <c r="R1886" s="317" t="str">
        <f t="shared" si="195"/>
        <v/>
      </c>
      <c r="S1886" s="317" t="str">
        <f t="shared" si="196"/>
        <v/>
      </c>
      <c r="T1886" s="317" t="str">
        <f>'REF. DE PREÇOS n editavel'!S1886</f>
        <v/>
      </c>
      <c r="W1886" s="577">
        <v>0</v>
      </c>
      <c r="X1886" s="575"/>
      <c r="Y1886" s="578">
        <f>IF('REF. DE PREÇOS n editavel'!W1886=0,0,IF('REF. DE PREÇOS n editavel'!W1886&gt;0,"c","b"))</f>
        <v>0</v>
      </c>
    </row>
    <row r="1887" spans="1:25" ht="15" customHeight="1">
      <c r="A1887" s="317" t="s">
        <v>147</v>
      </c>
      <c r="B1887" s="870" t="s">
        <v>147</v>
      </c>
      <c r="C1887" s="871"/>
      <c r="D1887" s="881" t="s">
        <v>233</v>
      </c>
      <c r="E1887" s="882">
        <f>'REF. DE PREÇOS n editavel'!E1887</f>
        <v>43.1</v>
      </c>
      <c r="F1887" s="883">
        <f>'REF. DE PREÇOS n editavel'!F1887</f>
        <v>1.8593</v>
      </c>
      <c r="G1887" s="923">
        <f>'REF. DE PREÇOS n editavel'!G1887</f>
        <v>90.728262100000009</v>
      </c>
      <c r="H1887" s="876">
        <f>'REF. DE PREÇOS n editavel'!H1887</f>
        <v>0</v>
      </c>
      <c r="I1887" s="876">
        <f>'REF. DE PREÇOS n editavel'!I1887</f>
        <v>0</v>
      </c>
      <c r="J1887" s="877">
        <f>'REF. DE PREÇOS n editavel'!J1887</f>
        <v>0</v>
      </c>
      <c r="K1887" s="878"/>
      <c r="L1887" s="1132"/>
      <c r="M1887" s="1093">
        <f t="shared" si="193"/>
        <v>0</v>
      </c>
      <c r="N1887" s="1131">
        <f t="shared" si="197"/>
        <v>0</v>
      </c>
      <c r="O1887" s="880"/>
      <c r="P1887" s="36" t="str">
        <f>IF(N1884&gt;0,"xx",IF(N1884&gt;0,"xy",""))</f>
        <v/>
      </c>
      <c r="Q1887" s="317" t="str">
        <f t="shared" si="194"/>
        <v/>
      </c>
      <c r="R1887" s="317" t="str">
        <f t="shared" si="195"/>
        <v/>
      </c>
      <c r="S1887" s="317" t="str">
        <f t="shared" si="196"/>
        <v/>
      </c>
      <c r="T1887" s="317" t="str">
        <f>'REF. DE PREÇOS n editavel'!S1887</f>
        <v/>
      </c>
      <c r="W1887" s="577">
        <v>0</v>
      </c>
      <c r="X1887" s="575"/>
      <c r="Y1887" s="578">
        <f>IF('REF. DE PREÇOS n editavel'!W1887=0,0,IF('REF. DE PREÇOS n editavel'!W1887&gt;0,"c","b"))</f>
        <v>0</v>
      </c>
    </row>
    <row r="1888" spans="1:25" ht="15" customHeight="1">
      <c r="A1888" s="317">
        <v>620200</v>
      </c>
      <c r="B1888" s="870" t="s">
        <v>1805</v>
      </c>
      <c r="C1888" s="871" t="s">
        <v>184</v>
      </c>
      <c r="D1888" s="881" t="s">
        <v>351</v>
      </c>
      <c r="E1888" s="882">
        <f>'REF. DE PREÇOS n editavel'!E1888</f>
        <v>0</v>
      </c>
      <c r="F1888" s="883">
        <f>'REF. DE PREÇOS n editavel'!F1888</f>
        <v>0</v>
      </c>
      <c r="G1888" s="887">
        <f>'REF. DE PREÇOS n editavel'!G1888</f>
        <v>740.99760260000005</v>
      </c>
      <c r="H1888" s="876">
        <f>'REF. DE PREÇOS n editavel'!H1888</f>
        <v>1321.46</v>
      </c>
      <c r="I1888" s="876">
        <f>'REF. DE PREÇOS n editavel'!I1888</f>
        <v>2062.4576026</v>
      </c>
      <c r="J1888" s="877">
        <f>'REF. DE PREÇOS n editavel'!J1888</f>
        <v>2520.7399999999998</v>
      </c>
      <c r="K1888" s="878" t="s">
        <v>15</v>
      </c>
      <c r="L1888" s="1092"/>
      <c r="M1888" s="1093">
        <f t="shared" si="193"/>
        <v>0</v>
      </c>
      <c r="N1888" s="1131">
        <f t="shared" si="197"/>
        <v>0</v>
      </c>
      <c r="O1888" s="880"/>
      <c r="Q1888" s="317" t="str">
        <f t="shared" si="194"/>
        <v/>
      </c>
      <c r="R1888" s="317" t="str">
        <f t="shared" si="195"/>
        <v/>
      </c>
      <c r="S1888" s="317" t="str">
        <f t="shared" si="196"/>
        <v/>
      </c>
      <c r="T1888" s="317" t="str">
        <f>'REF. DE PREÇOS n editavel'!S1888</f>
        <v/>
      </c>
      <c r="W1888" s="577">
        <v>0</v>
      </c>
      <c r="X1888" s="575"/>
      <c r="Y1888" s="578">
        <f>IF('REF. DE PREÇOS n editavel'!W1888=0,0,IF('REF. DE PREÇOS n editavel'!W1888&gt;0,"c","b"))</f>
        <v>0</v>
      </c>
    </row>
    <row r="1889" spans="1:25" ht="15" customHeight="1">
      <c r="A1889" s="317" t="s">
        <v>147</v>
      </c>
      <c r="B1889" s="870" t="s">
        <v>147</v>
      </c>
      <c r="C1889" s="871"/>
      <c r="D1889" s="881" t="s">
        <v>190</v>
      </c>
      <c r="E1889" s="882">
        <f>'REF. DE PREÇOS n editavel'!E1889</f>
        <v>445</v>
      </c>
      <c r="F1889" s="883">
        <f>'REF. DE PREÇOS n editavel'!F1889</f>
        <v>0.4153</v>
      </c>
      <c r="G1889" s="884">
        <f>'REF. DE PREÇOS n editavel'!G1889</f>
        <v>147.39827600000001</v>
      </c>
      <c r="H1889" s="876">
        <f>'REF. DE PREÇOS n editavel'!H1889</f>
        <v>0</v>
      </c>
      <c r="I1889" s="876">
        <f>'REF. DE PREÇOS n editavel'!I1889</f>
        <v>0</v>
      </c>
      <c r="J1889" s="877">
        <f>'REF. DE PREÇOS n editavel'!J1889</f>
        <v>0</v>
      </c>
      <c r="K1889" s="878"/>
      <c r="L1889" s="1132"/>
      <c r="M1889" s="1093">
        <f t="shared" si="193"/>
        <v>0</v>
      </c>
      <c r="N1889" s="1131">
        <f t="shared" si="197"/>
        <v>0</v>
      </c>
      <c r="O1889" s="880"/>
      <c r="P1889" s="36" t="str">
        <f>IF(N1888&gt;0,"xx",IF(N1888&gt;0,"xy",""))</f>
        <v/>
      </c>
      <c r="Q1889" s="317" t="str">
        <f t="shared" si="194"/>
        <v/>
      </c>
      <c r="R1889" s="317" t="str">
        <f t="shared" si="195"/>
        <v/>
      </c>
      <c r="S1889" s="317" t="str">
        <f t="shared" si="196"/>
        <v/>
      </c>
      <c r="T1889" s="317" t="str">
        <f>'REF. DE PREÇOS n editavel'!S1889</f>
        <v/>
      </c>
      <c r="W1889" s="577">
        <v>0</v>
      </c>
      <c r="X1889" s="575"/>
      <c r="Y1889" s="578">
        <f>IF('REF. DE PREÇOS n editavel'!W1889=0,0,IF('REF. DE PREÇOS n editavel'!W1889&gt;0,"c","b"))</f>
        <v>0</v>
      </c>
    </row>
    <row r="1890" spans="1:25" ht="15" customHeight="1">
      <c r="A1890" s="317" t="s">
        <v>147</v>
      </c>
      <c r="B1890" s="870" t="s">
        <v>147</v>
      </c>
      <c r="C1890" s="871"/>
      <c r="D1890" s="881" t="s">
        <v>229</v>
      </c>
      <c r="E1890" s="882">
        <f>'REF. DE PREÇOS n editavel'!E1890</f>
        <v>290</v>
      </c>
      <c r="F1890" s="883">
        <f>'REF. DE PREÇOS n editavel'!F1890</f>
        <v>1.4762999999999999</v>
      </c>
      <c r="G1890" s="923">
        <f>'REF. DE PREÇOS n editavel'!G1890</f>
        <v>462.05237399999999</v>
      </c>
      <c r="H1890" s="876">
        <f>'REF. DE PREÇOS n editavel'!H1890</f>
        <v>0</v>
      </c>
      <c r="I1890" s="876">
        <f>'REF. DE PREÇOS n editavel'!I1890</f>
        <v>0</v>
      </c>
      <c r="J1890" s="877">
        <f>'REF. DE PREÇOS n editavel'!J1890</f>
        <v>0</v>
      </c>
      <c r="K1890" s="878"/>
      <c r="L1890" s="1132"/>
      <c r="M1890" s="1093">
        <f t="shared" si="193"/>
        <v>0</v>
      </c>
      <c r="N1890" s="1131">
        <f t="shared" si="197"/>
        <v>0</v>
      </c>
      <c r="O1890" s="880"/>
      <c r="P1890" s="36" t="str">
        <f>IF(N1888&gt;0,"xx",IF(N1888&gt;0,"xy",""))</f>
        <v/>
      </c>
      <c r="Q1890" s="317" t="str">
        <f t="shared" si="194"/>
        <v/>
      </c>
      <c r="R1890" s="317" t="str">
        <f t="shared" si="195"/>
        <v/>
      </c>
      <c r="S1890" s="317" t="str">
        <f t="shared" si="196"/>
        <v/>
      </c>
      <c r="T1890" s="317" t="str">
        <f>'REF. DE PREÇOS n editavel'!S1890</f>
        <v/>
      </c>
      <c r="W1890" s="577">
        <v>0</v>
      </c>
      <c r="X1890" s="575"/>
      <c r="Y1890" s="578">
        <f>IF('REF. DE PREÇOS n editavel'!W1890=0,0,IF('REF. DE PREÇOS n editavel'!W1890&gt;0,"c","b"))</f>
        <v>0</v>
      </c>
    </row>
    <row r="1891" spans="1:25" ht="15" customHeight="1">
      <c r="A1891" s="317" t="s">
        <v>147</v>
      </c>
      <c r="B1891" s="870" t="s">
        <v>147</v>
      </c>
      <c r="C1891" s="871"/>
      <c r="D1891" s="881" t="s">
        <v>233</v>
      </c>
      <c r="E1891" s="882">
        <f>'REF. DE PREÇOS n editavel'!E1891</f>
        <v>43.1</v>
      </c>
      <c r="F1891" s="883">
        <f>'REF. DE PREÇOS n editavel'!F1891</f>
        <v>2.6958000000000002</v>
      </c>
      <c r="G1891" s="923">
        <f>'REF. DE PREÇOS n editavel'!G1891</f>
        <v>131.54695260000003</v>
      </c>
      <c r="H1891" s="876">
        <f>'REF. DE PREÇOS n editavel'!H1891</f>
        <v>0</v>
      </c>
      <c r="I1891" s="876">
        <f>'REF. DE PREÇOS n editavel'!I1891</f>
        <v>0</v>
      </c>
      <c r="J1891" s="877">
        <f>'REF. DE PREÇOS n editavel'!J1891</f>
        <v>0</v>
      </c>
      <c r="K1891" s="878"/>
      <c r="L1891" s="1132"/>
      <c r="M1891" s="1093">
        <f t="shared" si="193"/>
        <v>0</v>
      </c>
      <c r="N1891" s="1131">
        <f t="shared" si="197"/>
        <v>0</v>
      </c>
      <c r="O1891" s="880"/>
      <c r="P1891" s="36" t="str">
        <f>IF(N1888&gt;0,"xx",IF(N1888&gt;0,"xy",""))</f>
        <v/>
      </c>
      <c r="Q1891" s="317" t="str">
        <f t="shared" si="194"/>
        <v/>
      </c>
      <c r="R1891" s="317" t="str">
        <f t="shared" si="195"/>
        <v/>
      </c>
      <c r="S1891" s="317" t="str">
        <f t="shared" si="196"/>
        <v/>
      </c>
      <c r="T1891" s="317" t="str">
        <f>'REF. DE PREÇOS n editavel'!S1891</f>
        <v/>
      </c>
      <c r="W1891" s="577">
        <v>0</v>
      </c>
      <c r="X1891" s="575"/>
      <c r="Y1891" s="578">
        <f>IF('REF. DE PREÇOS n editavel'!W1891=0,0,IF('REF. DE PREÇOS n editavel'!W1891&gt;0,"c","b"))</f>
        <v>0</v>
      </c>
    </row>
    <row r="1892" spans="1:25" ht="15" customHeight="1">
      <c r="A1892" s="317">
        <v>620700</v>
      </c>
      <c r="B1892" s="870">
        <v>620700</v>
      </c>
      <c r="C1892" s="871" t="s">
        <v>184</v>
      </c>
      <c r="D1892" s="881" t="s">
        <v>352</v>
      </c>
      <c r="E1892" s="882">
        <f>'REF. DE PREÇOS n editavel'!E1892</f>
        <v>0</v>
      </c>
      <c r="F1892" s="883">
        <f>'REF. DE PREÇOS n editavel'!F1892</f>
        <v>0</v>
      </c>
      <c r="G1892" s="887">
        <f>'REF. DE PREÇOS n editavel'!G1892</f>
        <v>926.26494020000007</v>
      </c>
      <c r="H1892" s="876">
        <f>'REF. DE PREÇOS n editavel'!H1892</f>
        <v>2601.2199999999998</v>
      </c>
      <c r="I1892" s="876">
        <f>'REF. DE PREÇOS n editavel'!I1892</f>
        <v>3527.4849402</v>
      </c>
      <c r="J1892" s="877">
        <f>'REF. DE PREÇOS n editavel'!J1892</f>
        <v>4311.29</v>
      </c>
      <c r="K1892" s="878" t="s">
        <v>15</v>
      </c>
      <c r="L1892" s="1092">
        <v>4</v>
      </c>
      <c r="M1892" s="1093">
        <f t="shared" si="193"/>
        <v>4311.29</v>
      </c>
      <c r="N1892" s="1131">
        <f t="shared" si="197"/>
        <v>17245.16</v>
      </c>
      <c r="O1892" s="880"/>
      <c r="Q1892" s="317" t="str">
        <f t="shared" si="194"/>
        <v>x</v>
      </c>
      <c r="R1892" s="317" t="str">
        <f t="shared" si="195"/>
        <v>x</v>
      </c>
      <c r="S1892" s="317" t="str">
        <f t="shared" si="196"/>
        <v>x</v>
      </c>
      <c r="T1892" s="317" t="str">
        <f>'REF. DE PREÇOS n editavel'!S1892</f>
        <v>x</v>
      </c>
      <c r="W1892" s="577">
        <v>0</v>
      </c>
      <c r="X1892" s="575"/>
      <c r="Y1892" s="578">
        <f>IF('REF. DE PREÇOS n editavel'!W1892=0,0,IF('REF. DE PREÇOS n editavel'!W1892&gt;0,"c","b"))</f>
        <v>0</v>
      </c>
    </row>
    <row r="1893" spans="1:25" ht="15" customHeight="1">
      <c r="A1893" s="317" t="s">
        <v>147</v>
      </c>
      <c r="B1893" s="870" t="s">
        <v>147</v>
      </c>
      <c r="C1893" s="871"/>
      <c r="D1893" s="881" t="s">
        <v>190</v>
      </c>
      <c r="E1893" s="882">
        <f>'REF. DE PREÇOS n editavel'!E1893</f>
        <v>445</v>
      </c>
      <c r="F1893" s="883" t="str">
        <f>'REF. DE PREÇOS n editavel'!F1893</f>
        <v>0,6231</v>
      </c>
      <c r="G1893" s="884">
        <f>'REF. DE PREÇOS n editavel'!G1893</f>
        <v>221.15065200000001</v>
      </c>
      <c r="H1893" s="876">
        <f>'REF. DE PREÇOS n editavel'!H1893</f>
        <v>0</v>
      </c>
      <c r="I1893" s="876">
        <f>'REF. DE PREÇOS n editavel'!I1893</f>
        <v>0</v>
      </c>
      <c r="J1893" s="877">
        <f>'REF. DE PREÇOS n editavel'!J1893</f>
        <v>0</v>
      </c>
      <c r="K1893" s="878"/>
      <c r="L1893" s="1132"/>
      <c r="M1893" s="1093">
        <f t="shared" si="193"/>
        <v>0</v>
      </c>
      <c r="N1893" s="1131">
        <f t="shared" si="197"/>
        <v>0</v>
      </c>
      <c r="O1893" s="880"/>
      <c r="P1893" s="36" t="str">
        <f>IF(N1892&gt;0,"xx",IF(N1892&gt;0,"xy",""))</f>
        <v>xx</v>
      </c>
      <c r="Q1893" s="317" t="str">
        <f t="shared" si="194"/>
        <v>x</v>
      </c>
      <c r="R1893" s="317" t="str">
        <f t="shared" si="195"/>
        <v>x</v>
      </c>
      <c r="S1893" s="317" t="str">
        <f t="shared" si="196"/>
        <v/>
      </c>
      <c r="T1893" s="317" t="str">
        <f>'REF. DE PREÇOS n editavel'!S1893</f>
        <v/>
      </c>
      <c r="W1893" s="577">
        <v>0</v>
      </c>
      <c r="X1893" s="575"/>
      <c r="Y1893" s="578">
        <f>IF('REF. DE PREÇOS n editavel'!W1893=0,0,IF('REF. DE PREÇOS n editavel'!W1893&gt;0,"c","b"))</f>
        <v>0</v>
      </c>
    </row>
    <row r="1894" spans="1:25" ht="15" customHeight="1">
      <c r="A1894" s="317" t="s">
        <v>147</v>
      </c>
      <c r="B1894" s="870" t="s">
        <v>147</v>
      </c>
      <c r="C1894" s="871"/>
      <c r="D1894" s="881" t="s">
        <v>229</v>
      </c>
      <c r="E1894" s="882">
        <f>'REF. DE PREÇOS n editavel'!E1894</f>
        <v>290</v>
      </c>
      <c r="F1894" s="883" t="str">
        <f>'REF. DE PREÇOS n editavel'!F1894</f>
        <v>2,2155</v>
      </c>
      <c r="G1894" s="923">
        <f>'REF. DE PREÇOS n editavel'!G1894</f>
        <v>693.40719000000001</v>
      </c>
      <c r="H1894" s="876">
        <f>'REF. DE PREÇOS n editavel'!H1894</f>
        <v>0</v>
      </c>
      <c r="I1894" s="876">
        <f>'REF. DE PREÇOS n editavel'!I1894</f>
        <v>0</v>
      </c>
      <c r="J1894" s="877">
        <f>'REF. DE PREÇOS n editavel'!J1894</f>
        <v>0</v>
      </c>
      <c r="K1894" s="878"/>
      <c r="L1894" s="1132"/>
      <c r="M1894" s="1093">
        <f t="shared" si="193"/>
        <v>0</v>
      </c>
      <c r="N1894" s="1131">
        <f t="shared" si="197"/>
        <v>0</v>
      </c>
      <c r="O1894" s="880"/>
      <c r="P1894" s="36" t="str">
        <f>IF(N1892&gt;0,"xx",IF(N1892&gt;0,"xy",""))</f>
        <v>xx</v>
      </c>
      <c r="Q1894" s="317" t="str">
        <f t="shared" si="194"/>
        <v>x</v>
      </c>
      <c r="R1894" s="317" t="str">
        <f t="shared" si="195"/>
        <v>x</v>
      </c>
      <c r="S1894" s="317" t="str">
        <f t="shared" si="196"/>
        <v/>
      </c>
      <c r="T1894" s="317" t="str">
        <f>'REF. DE PREÇOS n editavel'!S1894</f>
        <v/>
      </c>
      <c r="W1894" s="577">
        <v>0</v>
      </c>
      <c r="X1894" s="575"/>
      <c r="Y1894" s="578">
        <f>IF('REF. DE PREÇOS n editavel'!W1894=0,0,IF('REF. DE PREÇOS n editavel'!W1894&gt;0,"c","b"))</f>
        <v>0</v>
      </c>
    </row>
    <row r="1895" spans="1:25" ht="15" customHeight="1">
      <c r="A1895" s="317" t="s">
        <v>147</v>
      </c>
      <c r="B1895" s="870" t="s">
        <v>147</v>
      </c>
      <c r="C1895" s="871"/>
      <c r="D1895" s="881" t="s">
        <v>233</v>
      </c>
      <c r="E1895" s="882">
        <f>'REF. DE PREÇOS n editavel'!E1895</f>
        <v>0.2</v>
      </c>
      <c r="F1895" s="883">
        <f>'REF. DE PREÇOS n editavel'!F1895</f>
        <v>4.0453000000000001</v>
      </c>
      <c r="G1895" s="923">
        <f>'REF. DE PREÇOS n editavel'!G1895</f>
        <v>11.707098200000001</v>
      </c>
      <c r="H1895" s="876">
        <f>'REF. DE PREÇOS n editavel'!H1895</f>
        <v>0</v>
      </c>
      <c r="I1895" s="876">
        <f>'REF. DE PREÇOS n editavel'!I1895</f>
        <v>0</v>
      </c>
      <c r="J1895" s="877">
        <f>'REF. DE PREÇOS n editavel'!J1895</f>
        <v>0</v>
      </c>
      <c r="K1895" s="878"/>
      <c r="L1895" s="1132"/>
      <c r="M1895" s="1093">
        <f t="shared" si="193"/>
        <v>0</v>
      </c>
      <c r="N1895" s="1131">
        <f t="shared" si="197"/>
        <v>0</v>
      </c>
      <c r="O1895" s="880"/>
      <c r="P1895" s="36" t="str">
        <f>IF(N1892&gt;0,"xx",IF(N1892&gt;0,"xy",""))</f>
        <v>xx</v>
      </c>
      <c r="Q1895" s="317" t="str">
        <f t="shared" si="194"/>
        <v>x</v>
      </c>
      <c r="R1895" s="317" t="str">
        <f t="shared" si="195"/>
        <v>x</v>
      </c>
      <c r="S1895" s="317" t="str">
        <f t="shared" si="196"/>
        <v/>
      </c>
      <c r="T1895" s="317" t="str">
        <f>'REF. DE PREÇOS n editavel'!S1895</f>
        <v/>
      </c>
      <c r="W1895" s="577">
        <v>0</v>
      </c>
      <c r="X1895" s="575"/>
      <c r="Y1895" s="578">
        <f>IF('REF. DE PREÇOS n editavel'!W1895=0,0,IF('REF. DE PREÇOS n editavel'!W1895&gt;0,"c","b"))</f>
        <v>0</v>
      </c>
    </row>
    <row r="1896" spans="1:25" ht="15" customHeight="1">
      <c r="A1896" s="317">
        <v>620800</v>
      </c>
      <c r="B1896" s="870">
        <v>620800</v>
      </c>
      <c r="C1896" s="871" t="s">
        <v>184</v>
      </c>
      <c r="D1896" s="881" t="s">
        <v>353</v>
      </c>
      <c r="E1896" s="882">
        <f>'REF. DE PREÇOS n editavel'!E1896</f>
        <v>0</v>
      </c>
      <c r="F1896" s="883">
        <f>'REF. DE PREÇOS n editavel'!F1896</f>
        <v>0</v>
      </c>
      <c r="G1896" s="887">
        <f>'REF. DE PREÇOS n editavel'!G1896</f>
        <v>1462.0743573</v>
      </c>
      <c r="H1896" s="876">
        <f>'REF. DE PREÇOS n editavel'!H1896</f>
        <v>3307.79</v>
      </c>
      <c r="I1896" s="876">
        <f>'REF. DE PREÇOS n editavel'!I1896</f>
        <v>4769.8643572999999</v>
      </c>
      <c r="J1896" s="877">
        <f>'REF. DE PREÇOS n editavel'!J1896</f>
        <v>5829.73</v>
      </c>
      <c r="K1896" s="878" t="s">
        <v>15</v>
      </c>
      <c r="L1896" s="1092"/>
      <c r="M1896" s="1093">
        <f t="shared" si="193"/>
        <v>0</v>
      </c>
      <c r="N1896" s="1131">
        <f t="shared" si="197"/>
        <v>0</v>
      </c>
      <c r="O1896" s="880"/>
      <c r="Q1896" s="317" t="str">
        <f t="shared" si="194"/>
        <v/>
      </c>
      <c r="R1896" s="317" t="str">
        <f t="shared" si="195"/>
        <v/>
      </c>
      <c r="S1896" s="317" t="str">
        <f t="shared" si="196"/>
        <v/>
      </c>
      <c r="T1896" s="317" t="str">
        <f>'REF. DE PREÇOS n editavel'!S1896</f>
        <v/>
      </c>
      <c r="W1896" s="577">
        <v>0</v>
      </c>
      <c r="X1896" s="575"/>
      <c r="Y1896" s="578">
        <f>IF('REF. DE PREÇOS n editavel'!W1896=0,0,IF('REF. DE PREÇOS n editavel'!W1896&gt;0,"c","b"))</f>
        <v>0</v>
      </c>
    </row>
    <row r="1897" spans="1:25" ht="15" customHeight="1">
      <c r="A1897" s="317" t="s">
        <v>147</v>
      </c>
      <c r="B1897" s="870" t="s">
        <v>147</v>
      </c>
      <c r="C1897" s="871"/>
      <c r="D1897" s="881" t="s">
        <v>190</v>
      </c>
      <c r="E1897" s="882">
        <f>'REF. DE PREÇOS n editavel'!E1897</f>
        <v>445</v>
      </c>
      <c r="F1897" s="883">
        <f>'REF. DE PREÇOS n editavel'!F1897</f>
        <v>0.81930000000000003</v>
      </c>
      <c r="G1897" s="884">
        <f>'REF. DE PREÇOS n editavel'!G1897</f>
        <v>290.785956</v>
      </c>
      <c r="H1897" s="876">
        <f>'REF. DE PREÇOS n editavel'!H1897</f>
        <v>0</v>
      </c>
      <c r="I1897" s="876">
        <f>'REF. DE PREÇOS n editavel'!I1897</f>
        <v>0</v>
      </c>
      <c r="J1897" s="877">
        <f>'REF. DE PREÇOS n editavel'!J1897</f>
        <v>0</v>
      </c>
      <c r="K1897" s="878"/>
      <c r="L1897" s="1132"/>
      <c r="M1897" s="1093">
        <f t="shared" si="193"/>
        <v>0</v>
      </c>
      <c r="N1897" s="1131">
        <f t="shared" si="197"/>
        <v>0</v>
      </c>
      <c r="O1897" s="880"/>
      <c r="P1897" s="36" t="str">
        <f>IF(N1896&gt;0,"xx",IF(N1896&gt;0,"xy",""))</f>
        <v/>
      </c>
      <c r="Q1897" s="317" t="str">
        <f t="shared" si="194"/>
        <v/>
      </c>
      <c r="R1897" s="317" t="str">
        <f t="shared" si="195"/>
        <v/>
      </c>
      <c r="S1897" s="317" t="str">
        <f t="shared" si="196"/>
        <v/>
      </c>
      <c r="T1897" s="317" t="str">
        <f>'REF. DE PREÇOS n editavel'!S1897</f>
        <v/>
      </c>
      <c r="W1897" s="577">
        <v>0</v>
      </c>
      <c r="X1897" s="575"/>
      <c r="Y1897" s="578">
        <f>IF('REF. DE PREÇOS n editavel'!W1897=0,0,IF('REF. DE PREÇOS n editavel'!W1897&gt;0,"c","b"))</f>
        <v>0</v>
      </c>
    </row>
    <row r="1898" spans="1:25" ht="15" customHeight="1">
      <c r="A1898" s="317" t="s">
        <v>147</v>
      </c>
      <c r="B1898" s="870" t="s">
        <v>147</v>
      </c>
      <c r="C1898" s="871"/>
      <c r="D1898" s="881" t="s">
        <v>229</v>
      </c>
      <c r="E1898" s="882">
        <f>'REF. DE PREÇOS n editavel'!E1898</f>
        <v>290</v>
      </c>
      <c r="F1898" s="883">
        <f>'REF. DE PREÇOS n editavel'!F1898</f>
        <v>2.9131</v>
      </c>
      <c r="G1898" s="923">
        <f>'REF. DE PREÇOS n editavel'!G1898</f>
        <v>911.74203800000009</v>
      </c>
      <c r="H1898" s="876">
        <f>'REF. DE PREÇOS n editavel'!H1898</f>
        <v>0</v>
      </c>
      <c r="I1898" s="876">
        <f>'REF. DE PREÇOS n editavel'!I1898</f>
        <v>0</v>
      </c>
      <c r="J1898" s="877">
        <f>'REF. DE PREÇOS n editavel'!J1898</f>
        <v>0</v>
      </c>
      <c r="K1898" s="878"/>
      <c r="L1898" s="1132"/>
      <c r="M1898" s="1093">
        <f t="shared" si="193"/>
        <v>0</v>
      </c>
      <c r="N1898" s="1131">
        <f t="shared" si="197"/>
        <v>0</v>
      </c>
      <c r="O1898" s="880"/>
      <c r="P1898" s="36" t="str">
        <f>IF(N1896&gt;0,"xx",IF(N1896&gt;0,"xy",""))</f>
        <v/>
      </c>
      <c r="Q1898" s="317" t="str">
        <f t="shared" si="194"/>
        <v/>
      </c>
      <c r="R1898" s="317" t="str">
        <f t="shared" si="195"/>
        <v/>
      </c>
      <c r="S1898" s="317" t="str">
        <f t="shared" si="196"/>
        <v/>
      </c>
      <c r="T1898" s="317" t="str">
        <f>'REF. DE PREÇOS n editavel'!S1898</f>
        <v/>
      </c>
      <c r="W1898" s="577">
        <v>0</v>
      </c>
      <c r="X1898" s="575"/>
      <c r="Y1898" s="578">
        <f>IF('REF. DE PREÇOS n editavel'!W1898=0,0,IF('REF. DE PREÇOS n editavel'!W1898&gt;0,"c","b"))</f>
        <v>0</v>
      </c>
    </row>
    <row r="1899" spans="1:25" ht="15" customHeight="1">
      <c r="A1899" s="317" t="s">
        <v>147</v>
      </c>
      <c r="B1899" s="870" t="s">
        <v>147</v>
      </c>
      <c r="C1899" s="871"/>
      <c r="D1899" s="881" t="s">
        <v>233</v>
      </c>
      <c r="E1899" s="882">
        <f>'REF. DE PREÇOS n editavel'!E1899</f>
        <v>43.1</v>
      </c>
      <c r="F1899" s="883">
        <f>'REF. DE PREÇOS n editavel'!F1899</f>
        <v>5.3189000000000002</v>
      </c>
      <c r="G1899" s="923">
        <f>'REF. DE PREÇOS n editavel'!G1899</f>
        <v>259.54636330000005</v>
      </c>
      <c r="H1899" s="876">
        <f>'REF. DE PREÇOS n editavel'!H1899</f>
        <v>0</v>
      </c>
      <c r="I1899" s="876">
        <f>'REF. DE PREÇOS n editavel'!I1899</f>
        <v>0</v>
      </c>
      <c r="J1899" s="877">
        <f>'REF. DE PREÇOS n editavel'!J1899</f>
        <v>0</v>
      </c>
      <c r="K1899" s="878"/>
      <c r="L1899" s="1132"/>
      <c r="M1899" s="1093">
        <f t="shared" si="193"/>
        <v>0</v>
      </c>
      <c r="N1899" s="1131">
        <f t="shared" si="197"/>
        <v>0</v>
      </c>
      <c r="O1899" s="880"/>
      <c r="P1899" s="36" t="str">
        <f>IF(N1896&gt;0,"xx",IF(N1896&gt;0,"xy",""))</f>
        <v/>
      </c>
      <c r="Q1899" s="317" t="str">
        <f t="shared" si="194"/>
        <v/>
      </c>
      <c r="R1899" s="317" t="str">
        <f t="shared" si="195"/>
        <v/>
      </c>
      <c r="S1899" s="317" t="str">
        <f t="shared" si="196"/>
        <v/>
      </c>
      <c r="T1899" s="317" t="str">
        <f>'REF. DE PREÇOS n editavel'!S1899</f>
        <v/>
      </c>
      <c r="W1899" s="577">
        <v>0</v>
      </c>
      <c r="X1899" s="575"/>
      <c r="Y1899" s="578">
        <f>IF('REF. DE PREÇOS n editavel'!W1899=0,0,IF('REF. DE PREÇOS n editavel'!W1899&gt;0,"c","b"))</f>
        <v>0</v>
      </c>
    </row>
    <row r="1900" spans="1:25" ht="15" customHeight="1">
      <c r="A1900" s="317">
        <v>620900</v>
      </c>
      <c r="B1900" s="870">
        <v>620900</v>
      </c>
      <c r="C1900" s="871" t="s">
        <v>184</v>
      </c>
      <c r="D1900" s="881" t="s">
        <v>354</v>
      </c>
      <c r="E1900" s="882">
        <f>'REF. DE PREÇOS n editavel'!E1900</f>
        <v>0</v>
      </c>
      <c r="F1900" s="883">
        <f>'REF. DE PREÇOS n editavel'!F1900</f>
        <v>0</v>
      </c>
      <c r="G1900" s="887">
        <f>'REF. DE PREÇOS n editavel'!G1900</f>
        <v>2873.9003404000005</v>
      </c>
      <c r="H1900" s="876">
        <f>'REF. DE PREÇOS n editavel'!H1900</f>
        <v>5805.6</v>
      </c>
      <c r="I1900" s="876">
        <f>'REF. DE PREÇOS n editavel'!I1900</f>
        <v>8679.5003404000017</v>
      </c>
      <c r="J1900" s="877">
        <f>'REF. DE PREÇOS n editavel'!J1900</f>
        <v>10608.09</v>
      </c>
      <c r="K1900" s="878" t="s">
        <v>15</v>
      </c>
      <c r="L1900" s="1092"/>
      <c r="M1900" s="1093">
        <f t="shared" si="193"/>
        <v>0</v>
      </c>
      <c r="N1900" s="1131">
        <f t="shared" si="197"/>
        <v>0</v>
      </c>
      <c r="O1900" s="880"/>
      <c r="Q1900" s="317" t="str">
        <f t="shared" si="194"/>
        <v/>
      </c>
      <c r="R1900" s="317" t="str">
        <f t="shared" si="195"/>
        <v/>
      </c>
      <c r="S1900" s="317" t="str">
        <f t="shared" si="196"/>
        <v/>
      </c>
      <c r="T1900" s="317" t="str">
        <f>'REF. DE PREÇOS n editavel'!S1900</f>
        <v/>
      </c>
      <c r="W1900" s="577">
        <v>0</v>
      </c>
      <c r="X1900" s="575"/>
      <c r="Y1900" s="578">
        <f>IF('REF. DE PREÇOS n editavel'!W1900=0,0,IF('REF. DE PREÇOS n editavel'!W1900&gt;0,"c","b"))</f>
        <v>0</v>
      </c>
    </row>
    <row r="1901" spans="1:25" ht="15" customHeight="1">
      <c r="A1901" s="317" t="s">
        <v>147</v>
      </c>
      <c r="B1901" s="870" t="s">
        <v>147</v>
      </c>
      <c r="C1901" s="871"/>
      <c r="D1901" s="881" t="s">
        <v>190</v>
      </c>
      <c r="E1901" s="882">
        <f>'REF. DE PREÇOS n editavel'!E1901</f>
        <v>445</v>
      </c>
      <c r="F1901" s="883">
        <f>'REF. DE PREÇOS n editavel'!F1901</f>
        <v>1.6104000000000001</v>
      </c>
      <c r="G1901" s="884">
        <f>'REF. DE PREÇOS n editavel'!G1901</f>
        <v>571.56316800000002</v>
      </c>
      <c r="H1901" s="876">
        <f>'REF. DE PREÇOS n editavel'!H1901</f>
        <v>0</v>
      </c>
      <c r="I1901" s="876">
        <f>'REF. DE PREÇOS n editavel'!I1901</f>
        <v>0</v>
      </c>
      <c r="J1901" s="877">
        <f>'REF. DE PREÇOS n editavel'!J1901</f>
        <v>0</v>
      </c>
      <c r="K1901" s="878"/>
      <c r="L1901" s="1132"/>
      <c r="M1901" s="1093">
        <f t="shared" si="193"/>
        <v>0</v>
      </c>
      <c r="N1901" s="1131">
        <f t="shared" si="197"/>
        <v>0</v>
      </c>
      <c r="O1901" s="880"/>
      <c r="P1901" s="36" t="str">
        <f>IF(N1900&gt;0,"xx",IF(N1900&gt;0,"xy",""))</f>
        <v/>
      </c>
      <c r="Q1901" s="317" t="str">
        <f t="shared" si="194"/>
        <v/>
      </c>
      <c r="R1901" s="317" t="str">
        <f t="shared" si="195"/>
        <v/>
      </c>
      <c r="S1901" s="317" t="str">
        <f t="shared" si="196"/>
        <v/>
      </c>
      <c r="T1901" s="317" t="str">
        <f>'REF. DE PREÇOS n editavel'!S1901</f>
        <v/>
      </c>
      <c r="W1901" s="577">
        <v>0</v>
      </c>
      <c r="X1901" s="575"/>
      <c r="Y1901" s="578">
        <f>IF('REF. DE PREÇOS n editavel'!W1901=0,0,IF('REF. DE PREÇOS n editavel'!W1901&gt;0,"c","b"))</f>
        <v>0</v>
      </c>
    </row>
    <row r="1902" spans="1:25" ht="15" customHeight="1">
      <c r="A1902" s="317" t="s">
        <v>147</v>
      </c>
      <c r="B1902" s="870" t="s">
        <v>147</v>
      </c>
      <c r="C1902" s="871"/>
      <c r="D1902" s="881" t="s">
        <v>229</v>
      </c>
      <c r="E1902" s="882">
        <f>'REF. DE PREÇOS n editavel'!E1902</f>
        <v>290</v>
      </c>
      <c r="F1902" s="883">
        <f>'REF. DE PREÇOS n editavel'!F1902</f>
        <v>5.7260999999999997</v>
      </c>
      <c r="G1902" s="923">
        <f>'REF. DE PREÇOS n editavel'!G1902</f>
        <v>1792.1547780000001</v>
      </c>
      <c r="H1902" s="876">
        <f>'REF. DE PREÇOS n editavel'!H1902</f>
        <v>0</v>
      </c>
      <c r="I1902" s="876">
        <f>'REF. DE PREÇOS n editavel'!I1902</f>
        <v>0</v>
      </c>
      <c r="J1902" s="877">
        <f>'REF. DE PREÇOS n editavel'!J1902</f>
        <v>0</v>
      </c>
      <c r="K1902" s="878"/>
      <c r="L1902" s="1132"/>
      <c r="M1902" s="1093">
        <f t="shared" si="193"/>
        <v>0</v>
      </c>
      <c r="N1902" s="1131">
        <f t="shared" si="197"/>
        <v>0</v>
      </c>
      <c r="O1902" s="880"/>
      <c r="P1902" s="36" t="str">
        <f>IF(N1900&gt;0,"xx",IF(N1900&gt;0,"xy",""))</f>
        <v/>
      </c>
      <c r="Q1902" s="317" t="str">
        <f t="shared" si="194"/>
        <v/>
      </c>
      <c r="R1902" s="317" t="str">
        <f t="shared" si="195"/>
        <v/>
      </c>
      <c r="S1902" s="317" t="str">
        <f t="shared" si="196"/>
        <v/>
      </c>
      <c r="T1902" s="317" t="str">
        <f>'REF. DE PREÇOS n editavel'!S1902</f>
        <v/>
      </c>
      <c r="W1902" s="577">
        <v>0</v>
      </c>
      <c r="X1902" s="575"/>
      <c r="Y1902" s="578">
        <f>IF('REF. DE PREÇOS n editavel'!W1902=0,0,IF('REF. DE PREÇOS n editavel'!W1902&gt;0,"c","b"))</f>
        <v>0</v>
      </c>
    </row>
    <row r="1903" spans="1:25" ht="15" customHeight="1">
      <c r="A1903" s="317" t="s">
        <v>147</v>
      </c>
      <c r="B1903" s="870" t="s">
        <v>147</v>
      </c>
      <c r="C1903" s="871"/>
      <c r="D1903" s="881" t="s">
        <v>233</v>
      </c>
      <c r="E1903" s="882">
        <f>'REF. DE PREÇOS n editavel'!E1903</f>
        <v>43.1</v>
      </c>
      <c r="F1903" s="883">
        <f>'REF. DE PREÇOS n editavel'!F1903</f>
        <v>10.4552</v>
      </c>
      <c r="G1903" s="923">
        <f>'REF. DE PREÇOS n editavel'!G1903</f>
        <v>510.18239440000002</v>
      </c>
      <c r="H1903" s="876">
        <f>'REF. DE PREÇOS n editavel'!H1903</f>
        <v>0</v>
      </c>
      <c r="I1903" s="876">
        <f>'REF. DE PREÇOS n editavel'!I1903</f>
        <v>0</v>
      </c>
      <c r="J1903" s="877">
        <f>'REF. DE PREÇOS n editavel'!J1903</f>
        <v>0</v>
      </c>
      <c r="K1903" s="878"/>
      <c r="L1903" s="1132"/>
      <c r="M1903" s="1093">
        <f t="shared" si="193"/>
        <v>0</v>
      </c>
      <c r="N1903" s="1131">
        <f t="shared" si="197"/>
        <v>0</v>
      </c>
      <c r="O1903" s="880"/>
      <c r="P1903" s="36" t="str">
        <f>IF(N1900&gt;0,"xx",IF(N1900&gt;0,"xy",""))</f>
        <v/>
      </c>
      <c r="Q1903" s="317" t="str">
        <f t="shared" si="194"/>
        <v/>
      </c>
      <c r="R1903" s="317" t="str">
        <f t="shared" si="195"/>
        <v/>
      </c>
      <c r="S1903" s="317" t="str">
        <f t="shared" si="196"/>
        <v/>
      </c>
      <c r="T1903" s="317" t="str">
        <f>'REF. DE PREÇOS n editavel'!S1903</f>
        <v/>
      </c>
      <c r="W1903" s="577">
        <v>0</v>
      </c>
      <c r="X1903" s="575"/>
      <c r="Y1903" s="578">
        <f>IF('REF. DE PREÇOS n editavel'!W1903=0,0,IF('REF. DE PREÇOS n editavel'!W1903&gt;0,"c","b"))</f>
        <v>0</v>
      </c>
    </row>
    <row r="1904" spans="1:25" ht="15" customHeight="1">
      <c r="A1904" s="317">
        <v>621000</v>
      </c>
      <c r="B1904" s="870">
        <v>621000</v>
      </c>
      <c r="C1904" s="871" t="s">
        <v>184</v>
      </c>
      <c r="D1904" s="881" t="s">
        <v>355</v>
      </c>
      <c r="E1904" s="882">
        <f>'REF. DE PREÇOS n editavel'!E1904</f>
        <v>0</v>
      </c>
      <c r="F1904" s="883">
        <f>'REF. DE PREÇOS n editavel'!F1904</f>
        <v>0</v>
      </c>
      <c r="G1904" s="887">
        <f>'REF. DE PREÇOS n editavel'!G1904</f>
        <v>5498.2351145000002</v>
      </c>
      <c r="H1904" s="876">
        <f>'REF. DE PREÇOS n editavel'!H1904</f>
        <v>10293.86</v>
      </c>
      <c r="I1904" s="876">
        <f>'REF. DE PREÇOS n editavel'!I1904</f>
        <v>15792.0951145</v>
      </c>
      <c r="J1904" s="877">
        <f>'REF. DE PREÇOS n editavel'!J1904</f>
        <v>19301.099999999999</v>
      </c>
      <c r="K1904" s="878" t="s">
        <v>15</v>
      </c>
      <c r="L1904" s="1092"/>
      <c r="M1904" s="1093">
        <f t="shared" si="193"/>
        <v>0</v>
      </c>
      <c r="N1904" s="1131">
        <f t="shared" si="197"/>
        <v>0</v>
      </c>
      <c r="O1904" s="880"/>
      <c r="Q1904" s="317" t="str">
        <f t="shared" si="194"/>
        <v/>
      </c>
      <c r="R1904" s="317" t="str">
        <f t="shared" si="195"/>
        <v/>
      </c>
      <c r="S1904" s="317" t="str">
        <f t="shared" si="196"/>
        <v/>
      </c>
      <c r="T1904" s="317" t="str">
        <f>'REF. DE PREÇOS n editavel'!S1904</f>
        <v/>
      </c>
      <c r="W1904" s="577">
        <v>0</v>
      </c>
      <c r="X1904" s="575"/>
      <c r="Y1904" s="578">
        <f>IF('REF. DE PREÇOS n editavel'!W1904=0,0,IF('REF. DE PREÇOS n editavel'!W1904&gt;0,"c","b"))</f>
        <v>0</v>
      </c>
    </row>
    <row r="1905" spans="1:25" ht="15" customHeight="1">
      <c r="A1905" s="317" t="s">
        <v>147</v>
      </c>
      <c r="B1905" s="870" t="s">
        <v>147</v>
      </c>
      <c r="C1905" s="871"/>
      <c r="D1905" s="881" t="s">
        <v>190</v>
      </c>
      <c r="E1905" s="882">
        <f>'REF. DE PREÇOS n editavel'!E1905</f>
        <v>445</v>
      </c>
      <c r="F1905" s="883">
        <f>'REF. DE PREÇOS n editavel'!F1905</f>
        <v>3.081</v>
      </c>
      <c r="G1905" s="884">
        <f>'REF. DE PREÇOS n editavel'!G1905</f>
        <v>1093.5085200000001</v>
      </c>
      <c r="H1905" s="876">
        <f>'REF. DE PREÇOS n editavel'!H1905</f>
        <v>0</v>
      </c>
      <c r="I1905" s="876">
        <f>'REF. DE PREÇOS n editavel'!I1905</f>
        <v>0</v>
      </c>
      <c r="J1905" s="877">
        <f>'REF. DE PREÇOS n editavel'!J1905</f>
        <v>0</v>
      </c>
      <c r="K1905" s="878"/>
      <c r="L1905" s="1132"/>
      <c r="M1905" s="1093">
        <f t="shared" si="193"/>
        <v>0</v>
      </c>
      <c r="N1905" s="1131">
        <f t="shared" si="197"/>
        <v>0</v>
      </c>
      <c r="O1905" s="880"/>
      <c r="P1905" s="36" t="str">
        <f>IF(N1904&gt;0,"xx",IF(N1904&gt;0,"xy",""))</f>
        <v/>
      </c>
      <c r="Q1905" s="317" t="str">
        <f t="shared" si="194"/>
        <v/>
      </c>
      <c r="R1905" s="317" t="str">
        <f t="shared" si="195"/>
        <v/>
      </c>
      <c r="S1905" s="317" t="str">
        <f t="shared" si="196"/>
        <v/>
      </c>
      <c r="T1905" s="317" t="str">
        <f>'REF. DE PREÇOS n editavel'!S1905</f>
        <v/>
      </c>
      <c r="W1905" s="577">
        <v>0</v>
      </c>
      <c r="X1905" s="575"/>
      <c r="Y1905" s="578">
        <f>IF('REF. DE PREÇOS n editavel'!W1905=0,0,IF('REF. DE PREÇOS n editavel'!W1905&gt;0,"c","b"))</f>
        <v>0</v>
      </c>
    </row>
    <row r="1906" spans="1:25" ht="15" customHeight="1">
      <c r="A1906" s="317" t="s">
        <v>147</v>
      </c>
      <c r="B1906" s="870" t="s">
        <v>147</v>
      </c>
      <c r="C1906" s="871"/>
      <c r="D1906" s="881" t="s">
        <v>229</v>
      </c>
      <c r="E1906" s="882">
        <f>'REF. DE PREÇOS n editavel'!E1906</f>
        <v>290</v>
      </c>
      <c r="F1906" s="883">
        <f>'REF. DE PREÇOS n editavel'!F1906</f>
        <v>10.9549</v>
      </c>
      <c r="G1906" s="923">
        <f>'REF. DE PREÇOS n editavel'!G1906</f>
        <v>3428.6646020000003</v>
      </c>
      <c r="H1906" s="876">
        <f>'REF. DE PREÇOS n editavel'!H1906</f>
        <v>0</v>
      </c>
      <c r="I1906" s="876">
        <f>'REF. DE PREÇOS n editavel'!I1906</f>
        <v>0</v>
      </c>
      <c r="J1906" s="877">
        <f>'REF. DE PREÇOS n editavel'!J1906</f>
        <v>0</v>
      </c>
      <c r="K1906" s="878"/>
      <c r="L1906" s="1132"/>
      <c r="M1906" s="1093">
        <f t="shared" si="193"/>
        <v>0</v>
      </c>
      <c r="N1906" s="1131">
        <f t="shared" si="197"/>
        <v>0</v>
      </c>
      <c r="O1906" s="880"/>
      <c r="P1906" s="36" t="str">
        <f>IF(N1904&gt;0,"xx",IF(N1904&gt;0,"xy",""))</f>
        <v/>
      </c>
      <c r="Q1906" s="317" t="str">
        <f t="shared" si="194"/>
        <v/>
      </c>
      <c r="R1906" s="317" t="str">
        <f t="shared" si="195"/>
        <v/>
      </c>
      <c r="S1906" s="317" t="str">
        <f t="shared" si="196"/>
        <v/>
      </c>
      <c r="T1906" s="317" t="str">
        <f>'REF. DE PREÇOS n editavel'!S1906</f>
        <v/>
      </c>
      <c r="W1906" s="577">
        <v>0</v>
      </c>
      <c r="X1906" s="575"/>
      <c r="Y1906" s="578">
        <f>IF('REF. DE PREÇOS n editavel'!W1906=0,0,IF('REF. DE PREÇOS n editavel'!W1906&gt;0,"c","b"))</f>
        <v>0</v>
      </c>
    </row>
    <row r="1907" spans="1:25" ht="15" customHeight="1">
      <c r="A1907" s="317" t="s">
        <v>147</v>
      </c>
      <c r="B1907" s="870" t="s">
        <v>147</v>
      </c>
      <c r="C1907" s="871"/>
      <c r="D1907" s="881" t="s">
        <v>233</v>
      </c>
      <c r="E1907" s="882">
        <f>'REF. DE PREÇOS n editavel'!E1907</f>
        <v>43.1</v>
      </c>
      <c r="F1907" s="883">
        <f>'REF. DE PREÇOS n editavel'!F1907</f>
        <v>20.002500000000001</v>
      </c>
      <c r="G1907" s="923">
        <f>'REF. DE PREÇOS n editavel'!G1907</f>
        <v>976.0619925000002</v>
      </c>
      <c r="H1907" s="876">
        <f>'REF. DE PREÇOS n editavel'!H1907</f>
        <v>0</v>
      </c>
      <c r="I1907" s="876">
        <f>'REF. DE PREÇOS n editavel'!I1907</f>
        <v>0</v>
      </c>
      <c r="J1907" s="877">
        <f>'REF. DE PREÇOS n editavel'!J1907</f>
        <v>0</v>
      </c>
      <c r="K1907" s="878"/>
      <c r="L1907" s="1132"/>
      <c r="M1907" s="1093">
        <f t="shared" si="193"/>
        <v>0</v>
      </c>
      <c r="N1907" s="1131">
        <f t="shared" si="197"/>
        <v>0</v>
      </c>
      <c r="O1907" s="880"/>
      <c r="P1907" s="36" t="str">
        <f>IF(N1904&gt;0,"xx",IF(N1904&gt;0,"xy",""))</f>
        <v/>
      </c>
      <c r="Q1907" s="317" t="str">
        <f t="shared" si="194"/>
        <v/>
      </c>
      <c r="R1907" s="317" t="str">
        <f t="shared" si="195"/>
        <v/>
      </c>
      <c r="S1907" s="317" t="str">
        <f t="shared" si="196"/>
        <v/>
      </c>
      <c r="T1907" s="317" t="str">
        <f>'REF. DE PREÇOS n editavel'!S1907</f>
        <v/>
      </c>
      <c r="W1907" s="577">
        <v>0</v>
      </c>
      <c r="X1907" s="575"/>
      <c r="Y1907" s="578">
        <f>IF('REF. DE PREÇOS n editavel'!W1907=0,0,IF('REF. DE PREÇOS n editavel'!W1907&gt;0,"c","b"))</f>
        <v>0</v>
      </c>
    </row>
    <row r="1908" spans="1:25" ht="15" customHeight="1">
      <c r="A1908" s="317">
        <v>620100</v>
      </c>
      <c r="B1908" s="870" t="s">
        <v>1803</v>
      </c>
      <c r="C1908" s="871" t="s">
        <v>184</v>
      </c>
      <c r="D1908" s="881" t="s">
        <v>356</v>
      </c>
      <c r="E1908" s="882">
        <f>'REF. DE PREÇOS n editavel'!E1908</f>
        <v>0</v>
      </c>
      <c r="F1908" s="883">
        <f>'REF. DE PREÇOS n editavel'!F1908</f>
        <v>0</v>
      </c>
      <c r="G1908" s="887">
        <f>'REF. DE PREÇOS n editavel'!G1908</f>
        <v>668.99825400000009</v>
      </c>
      <c r="H1908" s="876">
        <f>'REF. DE PREÇOS n editavel'!H1908</f>
        <v>954.15</v>
      </c>
      <c r="I1908" s="876">
        <f>'REF. DE PREÇOS n editavel'!I1908</f>
        <v>1623.1482540000002</v>
      </c>
      <c r="J1908" s="877">
        <f>'REF. DE PREÇOS n editavel'!J1908</f>
        <v>1983.81</v>
      </c>
      <c r="K1908" s="878" t="s">
        <v>15</v>
      </c>
      <c r="L1908" s="1092"/>
      <c r="M1908" s="1093">
        <f t="shared" si="193"/>
        <v>0</v>
      </c>
      <c r="N1908" s="1131">
        <f t="shared" si="197"/>
        <v>0</v>
      </c>
      <c r="O1908" s="880"/>
      <c r="Q1908" s="317" t="str">
        <f t="shared" si="194"/>
        <v/>
      </c>
      <c r="R1908" s="317" t="str">
        <f t="shared" si="195"/>
        <v/>
      </c>
      <c r="S1908" s="317" t="str">
        <f t="shared" si="196"/>
        <v/>
      </c>
      <c r="T1908" s="317" t="str">
        <f>'REF. DE PREÇOS n editavel'!S1908</f>
        <v/>
      </c>
      <c r="W1908" s="577">
        <v>0</v>
      </c>
      <c r="X1908" s="575"/>
      <c r="Y1908" s="578">
        <f>IF('REF. DE PREÇOS n editavel'!W1908=0,0,IF('REF. DE PREÇOS n editavel'!W1908&gt;0,"c","b"))</f>
        <v>0</v>
      </c>
    </row>
    <row r="1909" spans="1:25" ht="15" customHeight="1">
      <c r="A1909" s="317" t="s">
        <v>147</v>
      </c>
      <c r="B1909" s="870" t="s">
        <v>147</v>
      </c>
      <c r="C1909" s="871"/>
      <c r="D1909" s="881" t="s">
        <v>190</v>
      </c>
      <c r="E1909" s="882">
        <f>'REF. DE PREÇOS n editavel'!E1909</f>
        <v>445</v>
      </c>
      <c r="F1909" s="883">
        <f>'REF. DE PREÇOS n editavel'!F1909</f>
        <v>0.37480000000000002</v>
      </c>
      <c r="G1909" s="884">
        <f>'REF. DE PREÇOS n editavel'!G1909</f>
        <v>133.02401600000002</v>
      </c>
      <c r="H1909" s="876">
        <f>'REF. DE PREÇOS n editavel'!H1909</f>
        <v>0</v>
      </c>
      <c r="I1909" s="876">
        <f>'REF. DE PREÇOS n editavel'!I1909</f>
        <v>0</v>
      </c>
      <c r="J1909" s="877">
        <f>'REF. DE PREÇOS n editavel'!J1909</f>
        <v>0</v>
      </c>
      <c r="K1909" s="878"/>
      <c r="L1909" s="1132"/>
      <c r="M1909" s="1093">
        <f t="shared" si="193"/>
        <v>0</v>
      </c>
      <c r="N1909" s="1131">
        <f t="shared" si="197"/>
        <v>0</v>
      </c>
      <c r="O1909" s="880"/>
      <c r="P1909" s="36" t="str">
        <f>IF(N1908&gt;0,"xx",IF(N1908&gt;0,"xy",""))</f>
        <v/>
      </c>
      <c r="Q1909" s="317" t="str">
        <f t="shared" si="194"/>
        <v/>
      </c>
      <c r="R1909" s="317" t="str">
        <f t="shared" si="195"/>
        <v/>
      </c>
      <c r="S1909" s="317" t="str">
        <f t="shared" si="196"/>
        <v/>
      </c>
      <c r="T1909" s="317" t="str">
        <f>'REF. DE PREÇOS n editavel'!S1909</f>
        <v/>
      </c>
      <c r="W1909" s="577">
        <v>0</v>
      </c>
      <c r="X1909" s="575"/>
      <c r="Y1909" s="578">
        <f>IF('REF. DE PREÇOS n editavel'!W1909=0,0,IF('REF. DE PREÇOS n editavel'!W1909&gt;0,"c","b"))</f>
        <v>0</v>
      </c>
    </row>
    <row r="1910" spans="1:25" ht="15" customHeight="1">
      <c r="A1910" s="317" t="s">
        <v>147</v>
      </c>
      <c r="B1910" s="870" t="s">
        <v>147</v>
      </c>
      <c r="C1910" s="871"/>
      <c r="D1910" s="881" t="s">
        <v>229</v>
      </c>
      <c r="E1910" s="882">
        <f>'REF. DE PREÇOS n editavel'!E1910</f>
        <v>290</v>
      </c>
      <c r="F1910" s="883">
        <f>'REF. DE PREÇOS n editavel'!F1910</f>
        <v>1.333</v>
      </c>
      <c r="G1910" s="923">
        <f>'REF. DE PREÇOS n editavel'!G1910</f>
        <v>417.20233999999999</v>
      </c>
      <c r="H1910" s="876">
        <f>'REF. DE PREÇOS n editavel'!H1910</f>
        <v>0</v>
      </c>
      <c r="I1910" s="876">
        <f>'REF. DE PREÇOS n editavel'!I1910</f>
        <v>0</v>
      </c>
      <c r="J1910" s="877">
        <f>'REF. DE PREÇOS n editavel'!J1910</f>
        <v>0</v>
      </c>
      <c r="K1910" s="878"/>
      <c r="L1910" s="1132"/>
      <c r="M1910" s="1093">
        <f t="shared" si="193"/>
        <v>0</v>
      </c>
      <c r="N1910" s="1131">
        <f t="shared" si="197"/>
        <v>0</v>
      </c>
      <c r="O1910" s="880"/>
      <c r="P1910" s="36" t="str">
        <f>IF(N1908&gt;0,"xx",IF(N1908&gt;0,"xy",""))</f>
        <v/>
      </c>
      <c r="Q1910" s="317" t="str">
        <f t="shared" si="194"/>
        <v/>
      </c>
      <c r="R1910" s="317" t="str">
        <f t="shared" si="195"/>
        <v/>
      </c>
      <c r="S1910" s="317" t="str">
        <f t="shared" si="196"/>
        <v/>
      </c>
      <c r="T1910" s="317" t="str">
        <f>'REF. DE PREÇOS n editavel'!S1910</f>
        <v/>
      </c>
      <c r="W1910" s="577">
        <v>0</v>
      </c>
      <c r="X1910" s="575"/>
      <c r="Y1910" s="578">
        <f>IF('REF. DE PREÇOS n editavel'!W1910=0,0,IF('REF. DE PREÇOS n editavel'!W1910&gt;0,"c","b"))</f>
        <v>0</v>
      </c>
    </row>
    <row r="1911" spans="1:25" ht="15" customHeight="1">
      <c r="A1911" s="317" t="s">
        <v>147</v>
      </c>
      <c r="B1911" s="870" t="s">
        <v>147</v>
      </c>
      <c r="C1911" s="871"/>
      <c r="D1911" s="881" t="s">
        <v>233</v>
      </c>
      <c r="E1911" s="882">
        <f>'REF. DE PREÇOS n editavel'!E1911</f>
        <v>43.1</v>
      </c>
      <c r="F1911" s="883">
        <f>'REF. DE PREÇOS n editavel'!F1911</f>
        <v>2.4340000000000002</v>
      </c>
      <c r="G1911" s="923">
        <f>'REF. DE PREÇOS n editavel'!G1911</f>
        <v>118.77189800000002</v>
      </c>
      <c r="H1911" s="876">
        <f>'REF. DE PREÇOS n editavel'!H1911</f>
        <v>0</v>
      </c>
      <c r="I1911" s="876">
        <f>'REF. DE PREÇOS n editavel'!I1911</f>
        <v>0</v>
      </c>
      <c r="J1911" s="877">
        <f>'REF. DE PREÇOS n editavel'!J1911</f>
        <v>0</v>
      </c>
      <c r="K1911" s="878"/>
      <c r="L1911" s="1132"/>
      <c r="M1911" s="1093">
        <f t="shared" si="193"/>
        <v>0</v>
      </c>
      <c r="N1911" s="1131">
        <f t="shared" si="197"/>
        <v>0</v>
      </c>
      <c r="O1911" s="880"/>
      <c r="P1911" s="36" t="str">
        <f>IF(N1908&gt;0,"xx",IF(N1908&gt;0,"xy",""))</f>
        <v/>
      </c>
      <c r="Q1911" s="317" t="str">
        <f t="shared" si="194"/>
        <v/>
      </c>
      <c r="R1911" s="317" t="str">
        <f t="shared" si="195"/>
        <v/>
      </c>
      <c r="S1911" s="317" t="str">
        <f t="shared" si="196"/>
        <v/>
      </c>
      <c r="T1911" s="317" t="str">
        <f>'REF. DE PREÇOS n editavel'!S1911</f>
        <v/>
      </c>
      <c r="W1911" s="577">
        <v>0</v>
      </c>
      <c r="X1911" s="575"/>
      <c r="Y1911" s="578">
        <f>IF('REF. DE PREÇOS n editavel'!W1911=0,0,IF('REF. DE PREÇOS n editavel'!W1911&gt;0,"c","b"))</f>
        <v>0</v>
      </c>
    </row>
    <row r="1912" spans="1:25" ht="15" customHeight="1">
      <c r="A1912" s="317">
        <v>620200</v>
      </c>
      <c r="B1912" s="870" t="s">
        <v>1806</v>
      </c>
      <c r="C1912" s="871" t="s">
        <v>184</v>
      </c>
      <c r="D1912" s="881" t="s">
        <v>357</v>
      </c>
      <c r="E1912" s="882">
        <f>'REF. DE PREÇOS n editavel'!E1912</f>
        <v>0</v>
      </c>
      <c r="F1912" s="883">
        <f>'REF. DE PREÇOS n editavel'!F1912</f>
        <v>0</v>
      </c>
      <c r="G1912" s="887">
        <f>'REF. DE PREÇOS n editavel'!G1912</f>
        <v>808.04388400000016</v>
      </c>
      <c r="H1912" s="876">
        <f>'REF. DE PREÇOS n editavel'!H1912</f>
        <v>1321.46</v>
      </c>
      <c r="I1912" s="876">
        <f>'REF. DE PREÇOS n editavel'!I1912</f>
        <v>2129.5038840000002</v>
      </c>
      <c r="J1912" s="877">
        <f>'REF. DE PREÇOS n editavel'!J1912</f>
        <v>2602.6799999999998</v>
      </c>
      <c r="K1912" s="878" t="s">
        <v>15</v>
      </c>
      <c r="L1912" s="1092">
        <v>17</v>
      </c>
      <c r="M1912" s="1093">
        <f t="shared" si="193"/>
        <v>2602.6799999999998</v>
      </c>
      <c r="N1912" s="1131">
        <f t="shared" si="197"/>
        <v>44245.56</v>
      </c>
      <c r="O1912" s="880"/>
      <c r="Q1912" s="317" t="str">
        <f t="shared" si="194"/>
        <v>x</v>
      </c>
      <c r="R1912" s="317" t="str">
        <f t="shared" si="195"/>
        <v>x</v>
      </c>
      <c r="S1912" s="317" t="str">
        <f t="shared" si="196"/>
        <v>x</v>
      </c>
      <c r="T1912" s="317" t="str">
        <f>'REF. DE PREÇOS n editavel'!S1912</f>
        <v>x</v>
      </c>
      <c r="W1912" s="577">
        <v>0</v>
      </c>
      <c r="X1912" s="575"/>
      <c r="Y1912" s="578">
        <f>IF('REF. DE PREÇOS n editavel'!W1912=0,0,IF('REF. DE PREÇOS n editavel'!W1912&gt;0,"c","b"))</f>
        <v>0</v>
      </c>
    </row>
    <row r="1913" spans="1:25" ht="15" customHeight="1">
      <c r="A1913" s="317" t="s">
        <v>147</v>
      </c>
      <c r="B1913" s="870" t="s">
        <v>147</v>
      </c>
      <c r="C1913" s="871"/>
      <c r="D1913" s="881" t="s">
        <v>190</v>
      </c>
      <c r="E1913" s="882">
        <f>'REF. DE PREÇOS n editavel'!E1913</f>
        <v>445</v>
      </c>
      <c r="F1913" s="883">
        <f>'REF. DE PREÇOS n editavel'!F1913</f>
        <v>0.54359999999999997</v>
      </c>
      <c r="G1913" s="884">
        <f>'REF. DE PREÇOS n editavel'!G1913</f>
        <v>192.93451200000001</v>
      </c>
      <c r="H1913" s="876">
        <f>'REF. DE PREÇOS n editavel'!H1913</f>
        <v>0</v>
      </c>
      <c r="I1913" s="876">
        <f>'REF. DE PREÇOS n editavel'!I1913</f>
        <v>0</v>
      </c>
      <c r="J1913" s="877">
        <f>'REF. DE PREÇOS n editavel'!J1913</f>
        <v>0</v>
      </c>
      <c r="K1913" s="878"/>
      <c r="L1913" s="1132"/>
      <c r="M1913" s="1093">
        <f t="shared" si="193"/>
        <v>0</v>
      </c>
      <c r="N1913" s="1131">
        <f t="shared" si="197"/>
        <v>0</v>
      </c>
      <c r="O1913" s="880"/>
      <c r="P1913" s="36" t="str">
        <f>IF(N1912&gt;0,"xx",IF(N1912&gt;0,"xy",""))</f>
        <v>xx</v>
      </c>
      <c r="Q1913" s="317" t="str">
        <f t="shared" si="194"/>
        <v>x</v>
      </c>
      <c r="R1913" s="317" t="str">
        <f t="shared" si="195"/>
        <v>x</v>
      </c>
      <c r="S1913" s="317" t="str">
        <f t="shared" si="196"/>
        <v/>
      </c>
      <c r="T1913" s="317" t="str">
        <f>'REF. DE PREÇOS n editavel'!S1913</f>
        <v/>
      </c>
      <c r="W1913" s="577">
        <v>0</v>
      </c>
      <c r="X1913" s="575"/>
      <c r="Y1913" s="578">
        <f>IF('REF. DE PREÇOS n editavel'!W1913=0,0,IF('REF. DE PREÇOS n editavel'!W1913&gt;0,"c","b"))</f>
        <v>0</v>
      </c>
    </row>
    <row r="1914" spans="1:25" ht="15" customHeight="1">
      <c r="A1914" s="317" t="s">
        <v>147</v>
      </c>
      <c r="B1914" s="870" t="s">
        <v>147</v>
      </c>
      <c r="C1914" s="871"/>
      <c r="D1914" s="881" t="s">
        <v>229</v>
      </c>
      <c r="E1914" s="882">
        <f>'REF. DE PREÇOS n editavel'!E1914</f>
        <v>290</v>
      </c>
      <c r="F1914" s="883">
        <f>'REF. DE PREÇOS n editavel'!F1914</f>
        <v>1.9327000000000001</v>
      </c>
      <c r="G1914" s="923">
        <f>'REF. DE PREÇOS n editavel'!G1914</f>
        <v>604.89644600000008</v>
      </c>
      <c r="H1914" s="876">
        <f>'REF. DE PREÇOS n editavel'!H1914</f>
        <v>0</v>
      </c>
      <c r="I1914" s="876">
        <f>'REF. DE PREÇOS n editavel'!I1914</f>
        <v>0</v>
      </c>
      <c r="J1914" s="877">
        <f>'REF. DE PREÇOS n editavel'!J1914</f>
        <v>0</v>
      </c>
      <c r="K1914" s="878"/>
      <c r="L1914" s="1132"/>
      <c r="M1914" s="1093">
        <f t="shared" si="193"/>
        <v>0</v>
      </c>
      <c r="N1914" s="1131">
        <f t="shared" si="197"/>
        <v>0</v>
      </c>
      <c r="O1914" s="880"/>
      <c r="P1914" s="36" t="str">
        <f>IF(N1912&gt;0,"xx",IF(N1912&gt;0,"xy",""))</f>
        <v>xx</v>
      </c>
      <c r="Q1914" s="317" t="str">
        <f t="shared" si="194"/>
        <v>x</v>
      </c>
      <c r="R1914" s="317" t="str">
        <f t="shared" si="195"/>
        <v>x</v>
      </c>
      <c r="S1914" s="317" t="str">
        <f t="shared" si="196"/>
        <v/>
      </c>
      <c r="T1914" s="317" t="str">
        <f>'REF. DE PREÇOS n editavel'!S1914</f>
        <v/>
      </c>
      <c r="W1914" s="577">
        <v>0</v>
      </c>
      <c r="X1914" s="575"/>
      <c r="Y1914" s="578">
        <f>IF('REF. DE PREÇOS n editavel'!W1914=0,0,IF('REF. DE PREÇOS n editavel'!W1914&gt;0,"c","b"))</f>
        <v>0</v>
      </c>
    </row>
    <row r="1915" spans="1:25" ht="15" customHeight="1">
      <c r="A1915" s="317" t="s">
        <v>147</v>
      </c>
      <c r="B1915" s="870" t="s">
        <v>147</v>
      </c>
      <c r="C1915" s="871"/>
      <c r="D1915" s="881" t="s">
        <v>233</v>
      </c>
      <c r="E1915" s="882">
        <f>'REF. DE PREÇOS n editavel'!E1915</f>
        <v>0.2</v>
      </c>
      <c r="F1915" s="883">
        <f>'REF. DE PREÇOS n editavel'!F1915</f>
        <v>3.5289999999999999</v>
      </c>
      <c r="G1915" s="923">
        <f>'REF. DE PREÇOS n editavel'!G1915</f>
        <v>10.212926</v>
      </c>
      <c r="H1915" s="876">
        <f>'REF. DE PREÇOS n editavel'!H1915</f>
        <v>0</v>
      </c>
      <c r="I1915" s="876">
        <f>'REF. DE PREÇOS n editavel'!I1915</f>
        <v>0</v>
      </c>
      <c r="J1915" s="877">
        <f>'REF. DE PREÇOS n editavel'!J1915</f>
        <v>0</v>
      </c>
      <c r="K1915" s="878"/>
      <c r="L1915" s="1132"/>
      <c r="M1915" s="1093">
        <f t="shared" si="193"/>
        <v>0</v>
      </c>
      <c r="N1915" s="1131">
        <f t="shared" si="197"/>
        <v>0</v>
      </c>
      <c r="O1915" s="880"/>
      <c r="P1915" s="36" t="str">
        <f>IF(N1912&gt;0,"xx",IF(N1912&gt;0,"xy",""))</f>
        <v>xx</v>
      </c>
      <c r="Q1915" s="317" t="str">
        <f t="shared" si="194"/>
        <v>x</v>
      </c>
      <c r="R1915" s="317" t="str">
        <f t="shared" si="195"/>
        <v>x</v>
      </c>
      <c r="S1915" s="317" t="str">
        <f t="shared" si="196"/>
        <v/>
      </c>
      <c r="T1915" s="317" t="str">
        <f>'REF. DE PREÇOS n editavel'!S1915</f>
        <v/>
      </c>
      <c r="W1915" s="577">
        <v>0</v>
      </c>
      <c r="X1915" s="575"/>
      <c r="Y1915" s="578">
        <f>IF('REF. DE PREÇOS n editavel'!W1915=0,0,IF('REF. DE PREÇOS n editavel'!W1915&gt;0,"c","b"))</f>
        <v>0</v>
      </c>
    </row>
    <row r="1916" spans="1:25" ht="15" customHeight="1">
      <c r="A1916" s="317">
        <v>621100</v>
      </c>
      <c r="B1916" s="870">
        <v>621100</v>
      </c>
      <c r="C1916" s="871" t="s">
        <v>184</v>
      </c>
      <c r="D1916" s="881" t="s">
        <v>358</v>
      </c>
      <c r="E1916" s="882">
        <f>'REF. DE PREÇOS n editavel'!E1916</f>
        <v>0</v>
      </c>
      <c r="F1916" s="883">
        <f>'REF. DE PREÇOS n editavel'!F1916</f>
        <v>0</v>
      </c>
      <c r="G1916" s="887">
        <f>'REF. DE PREÇOS n editavel'!G1916</f>
        <v>1212.5698938</v>
      </c>
      <c r="H1916" s="876">
        <f>'REF. DE PREÇOS n editavel'!H1916</f>
        <v>3322.38</v>
      </c>
      <c r="I1916" s="876">
        <f>'REF. DE PREÇOS n editavel'!I1916</f>
        <v>4534.9498937999997</v>
      </c>
      <c r="J1916" s="877">
        <f>'REF. DE PREÇOS n editavel'!J1916</f>
        <v>5542.62</v>
      </c>
      <c r="K1916" s="878" t="s">
        <v>15</v>
      </c>
      <c r="L1916" s="1092"/>
      <c r="M1916" s="1093">
        <f t="shared" si="193"/>
        <v>0</v>
      </c>
      <c r="N1916" s="1131">
        <f t="shared" si="197"/>
        <v>0</v>
      </c>
      <c r="O1916" s="880"/>
      <c r="Q1916" s="317" t="str">
        <f t="shared" si="194"/>
        <v/>
      </c>
      <c r="R1916" s="317" t="str">
        <f t="shared" si="195"/>
        <v/>
      </c>
      <c r="S1916" s="317" t="str">
        <f t="shared" si="196"/>
        <v/>
      </c>
      <c r="T1916" s="317" t="str">
        <f>'REF. DE PREÇOS n editavel'!S1916</f>
        <v/>
      </c>
      <c r="W1916" s="577">
        <v>0</v>
      </c>
      <c r="X1916" s="575"/>
      <c r="Y1916" s="578">
        <f>IF('REF. DE PREÇOS n editavel'!W1916=0,0,IF('REF. DE PREÇOS n editavel'!W1916&gt;0,"c","b"))</f>
        <v>0</v>
      </c>
    </row>
    <row r="1917" spans="1:25" ht="15" customHeight="1">
      <c r="A1917" s="317" t="s">
        <v>147</v>
      </c>
      <c r="B1917" s="870" t="s">
        <v>147</v>
      </c>
      <c r="C1917" s="871"/>
      <c r="D1917" s="881" t="s">
        <v>190</v>
      </c>
      <c r="E1917" s="882">
        <f>'REF. DE PREÇOS n editavel'!E1917</f>
        <v>445</v>
      </c>
      <c r="F1917" s="883">
        <f>'REF. DE PREÇOS n editavel'!F1917</f>
        <v>0.81569999999999998</v>
      </c>
      <c r="G1917" s="884">
        <f>'REF. DE PREÇOS n editavel'!G1917</f>
        <v>289.50824399999999</v>
      </c>
      <c r="H1917" s="876">
        <f>'REF. DE PREÇOS n editavel'!H1917</f>
        <v>0</v>
      </c>
      <c r="I1917" s="876">
        <f>'REF. DE PREÇOS n editavel'!I1917</f>
        <v>0</v>
      </c>
      <c r="J1917" s="877">
        <f>'REF. DE PREÇOS n editavel'!J1917</f>
        <v>0</v>
      </c>
      <c r="K1917" s="878"/>
      <c r="L1917" s="1132"/>
      <c r="M1917" s="1093">
        <f t="shared" si="193"/>
        <v>0</v>
      </c>
      <c r="N1917" s="1131">
        <f t="shared" si="197"/>
        <v>0</v>
      </c>
      <c r="O1917" s="880"/>
      <c r="P1917" s="36" t="str">
        <f>IF(N1916&gt;0,"xx",IF(N1916&gt;0,"xy",""))</f>
        <v/>
      </c>
      <c r="Q1917" s="317" t="str">
        <f t="shared" si="194"/>
        <v/>
      </c>
      <c r="R1917" s="317" t="str">
        <f t="shared" si="195"/>
        <v/>
      </c>
      <c r="S1917" s="317" t="str">
        <f t="shared" si="196"/>
        <v/>
      </c>
      <c r="T1917" s="317" t="str">
        <f>'REF. DE PREÇOS n editavel'!S1917</f>
        <v/>
      </c>
      <c r="W1917" s="577">
        <v>0</v>
      </c>
      <c r="X1917" s="575"/>
      <c r="Y1917" s="578">
        <f>IF('REF. DE PREÇOS n editavel'!W1917=0,0,IF('REF. DE PREÇOS n editavel'!W1917&gt;0,"c","b"))</f>
        <v>0</v>
      </c>
    </row>
    <row r="1918" spans="1:25" ht="15" customHeight="1">
      <c r="A1918" s="317" t="s">
        <v>147</v>
      </c>
      <c r="B1918" s="870" t="s">
        <v>147</v>
      </c>
      <c r="C1918" s="871"/>
      <c r="D1918" s="881" t="s">
        <v>229</v>
      </c>
      <c r="E1918" s="882">
        <f>'REF. DE PREÇOS n editavel'!E1918</f>
        <v>290</v>
      </c>
      <c r="F1918" s="883">
        <f>'REF. DE PREÇOS n editavel'!F1918</f>
        <v>2.9003000000000001</v>
      </c>
      <c r="G1918" s="923">
        <f>'REF. DE PREÇOS n editavel'!G1918</f>
        <v>907.73589400000003</v>
      </c>
      <c r="H1918" s="876">
        <f>'REF. DE PREÇOS n editavel'!H1918</f>
        <v>0</v>
      </c>
      <c r="I1918" s="876">
        <f>'REF. DE PREÇOS n editavel'!I1918</f>
        <v>0</v>
      </c>
      <c r="J1918" s="877">
        <f>'REF. DE PREÇOS n editavel'!J1918</f>
        <v>0</v>
      </c>
      <c r="K1918" s="878"/>
      <c r="L1918" s="1132"/>
      <c r="M1918" s="1093">
        <f t="shared" si="193"/>
        <v>0</v>
      </c>
      <c r="N1918" s="1131">
        <f t="shared" si="197"/>
        <v>0</v>
      </c>
      <c r="O1918" s="880"/>
      <c r="P1918" s="36" t="str">
        <f>IF(N1916&gt;0,"xx",IF(N1916&gt;0,"xy",""))</f>
        <v/>
      </c>
      <c r="Q1918" s="317" t="str">
        <f t="shared" si="194"/>
        <v/>
      </c>
      <c r="R1918" s="317" t="str">
        <f t="shared" si="195"/>
        <v/>
      </c>
      <c r="S1918" s="317" t="str">
        <f t="shared" si="196"/>
        <v/>
      </c>
      <c r="T1918" s="317" t="str">
        <f>'REF. DE PREÇOS n editavel'!S1918</f>
        <v/>
      </c>
      <c r="W1918" s="577">
        <v>0</v>
      </c>
      <c r="X1918" s="575"/>
      <c r="Y1918" s="578">
        <f>IF('REF. DE PREÇOS n editavel'!W1918=0,0,IF('REF. DE PREÇOS n editavel'!W1918&gt;0,"c","b"))</f>
        <v>0</v>
      </c>
    </row>
    <row r="1919" spans="1:25" ht="15" customHeight="1">
      <c r="A1919" s="317" t="s">
        <v>147</v>
      </c>
      <c r="B1919" s="870" t="s">
        <v>147</v>
      </c>
      <c r="C1919" s="871"/>
      <c r="D1919" s="881" t="s">
        <v>233</v>
      </c>
      <c r="E1919" s="882">
        <f>'REF. DE PREÇOS n editavel'!E1919</f>
        <v>0.2</v>
      </c>
      <c r="F1919" s="883">
        <f>'REF. DE PREÇOS n editavel'!F1919</f>
        <v>5.2957000000000001</v>
      </c>
      <c r="G1919" s="923">
        <f>'REF. DE PREÇOS n editavel'!G1919</f>
        <v>15.325755800000001</v>
      </c>
      <c r="H1919" s="876">
        <f>'REF. DE PREÇOS n editavel'!H1919</f>
        <v>0</v>
      </c>
      <c r="I1919" s="876">
        <f>'REF. DE PREÇOS n editavel'!I1919</f>
        <v>0</v>
      </c>
      <c r="J1919" s="877">
        <f>'REF. DE PREÇOS n editavel'!J1919</f>
        <v>0</v>
      </c>
      <c r="K1919" s="878"/>
      <c r="L1919" s="1132"/>
      <c r="M1919" s="1093">
        <f t="shared" si="193"/>
        <v>0</v>
      </c>
      <c r="N1919" s="1131">
        <f t="shared" si="197"/>
        <v>0</v>
      </c>
      <c r="O1919" s="880"/>
      <c r="P1919" s="36" t="str">
        <f>IF(N1916&gt;0,"xx",IF(N1916&gt;0,"xy",""))</f>
        <v/>
      </c>
      <c r="Q1919" s="317" t="str">
        <f t="shared" si="194"/>
        <v/>
      </c>
      <c r="R1919" s="317" t="str">
        <f t="shared" si="195"/>
        <v/>
      </c>
      <c r="S1919" s="317" t="str">
        <f t="shared" si="196"/>
        <v/>
      </c>
      <c r="T1919" s="317" t="str">
        <f>'REF. DE PREÇOS n editavel'!S1919</f>
        <v/>
      </c>
      <c r="W1919" s="577">
        <v>0</v>
      </c>
      <c r="X1919" s="575"/>
      <c r="Y1919" s="578">
        <f>IF('REF. DE PREÇOS n editavel'!W1919=0,0,IF('REF. DE PREÇOS n editavel'!W1919&gt;0,"c","b"))</f>
        <v>0</v>
      </c>
    </row>
    <row r="1920" spans="1:25" ht="15" customHeight="1">
      <c r="A1920" s="317">
        <v>621200</v>
      </c>
      <c r="B1920" s="870">
        <v>621200</v>
      </c>
      <c r="C1920" s="871" t="s">
        <v>184</v>
      </c>
      <c r="D1920" s="881" t="s">
        <v>359</v>
      </c>
      <c r="E1920" s="882">
        <f>'REF. DE PREÇOS n editavel'!E1920</f>
        <v>0</v>
      </c>
      <c r="F1920" s="883">
        <f>'REF. DE PREÇOS n editavel'!F1920</f>
        <v>0</v>
      </c>
      <c r="G1920" s="887">
        <f>'REF. DE PREÇOS n editavel'!G1920</f>
        <v>1887.0260169999999</v>
      </c>
      <c r="H1920" s="876">
        <f>'REF. DE PREÇOS n editavel'!H1920</f>
        <v>4208.43</v>
      </c>
      <c r="I1920" s="876">
        <f>'REF. DE PREÇOS n editavel'!I1920</f>
        <v>6095.4560170000004</v>
      </c>
      <c r="J1920" s="877">
        <f>'REF. DE PREÇOS n editavel'!J1920</f>
        <v>7449.87</v>
      </c>
      <c r="K1920" s="878" t="s">
        <v>15</v>
      </c>
      <c r="L1920" s="1092"/>
      <c r="M1920" s="1093">
        <f t="shared" si="193"/>
        <v>0</v>
      </c>
      <c r="N1920" s="1131">
        <f t="shared" si="197"/>
        <v>0</v>
      </c>
      <c r="O1920" s="880"/>
      <c r="Q1920" s="317" t="str">
        <f t="shared" si="194"/>
        <v/>
      </c>
      <c r="R1920" s="317" t="str">
        <f t="shared" si="195"/>
        <v/>
      </c>
      <c r="S1920" s="317" t="str">
        <f t="shared" si="196"/>
        <v/>
      </c>
      <c r="T1920" s="317" t="str">
        <f>'REF. DE PREÇOS n editavel'!S1920</f>
        <v/>
      </c>
      <c r="W1920" s="577">
        <v>0</v>
      </c>
      <c r="X1920" s="575"/>
      <c r="Y1920" s="578">
        <f>IF('REF. DE PREÇOS n editavel'!W1920=0,0,IF('REF. DE PREÇOS n editavel'!W1920&gt;0,"c","b"))</f>
        <v>0</v>
      </c>
    </row>
    <row r="1921" spans="1:25" ht="15" customHeight="1">
      <c r="A1921" s="317" t="s">
        <v>147</v>
      </c>
      <c r="B1921" s="870" t="s">
        <v>147</v>
      </c>
      <c r="C1921" s="871"/>
      <c r="D1921" s="881" t="s">
        <v>190</v>
      </c>
      <c r="E1921" s="882">
        <f>'REF. DE PREÇOS n editavel'!E1921</f>
        <v>445</v>
      </c>
      <c r="F1921" s="883">
        <f>'REF. DE PREÇOS n editavel'!F1921</f>
        <v>1.0573999999999999</v>
      </c>
      <c r="G1921" s="884">
        <f>'REF. DE PREÇOS n editavel'!G1921</f>
        <v>375.29240799999997</v>
      </c>
      <c r="H1921" s="876">
        <f>'REF. DE PREÇOS n editavel'!H1921</f>
        <v>0</v>
      </c>
      <c r="I1921" s="876">
        <f>'REF. DE PREÇOS n editavel'!I1921</f>
        <v>0</v>
      </c>
      <c r="J1921" s="877">
        <f>'REF. DE PREÇOS n editavel'!J1921</f>
        <v>0</v>
      </c>
      <c r="K1921" s="878"/>
      <c r="L1921" s="1132"/>
      <c r="M1921" s="1093">
        <f t="shared" si="193"/>
        <v>0</v>
      </c>
      <c r="N1921" s="1131">
        <f t="shared" si="197"/>
        <v>0</v>
      </c>
      <c r="O1921" s="880"/>
      <c r="P1921" s="36" t="str">
        <f>IF(N1920&gt;0,"xx",IF(N1920&gt;0,"xy",""))</f>
        <v/>
      </c>
      <c r="Q1921" s="317" t="str">
        <f t="shared" si="194"/>
        <v/>
      </c>
      <c r="R1921" s="317" t="str">
        <f t="shared" si="195"/>
        <v/>
      </c>
      <c r="S1921" s="317" t="str">
        <f t="shared" si="196"/>
        <v/>
      </c>
      <c r="T1921" s="317" t="str">
        <f>'REF. DE PREÇOS n editavel'!S1921</f>
        <v/>
      </c>
      <c r="W1921" s="577">
        <v>0</v>
      </c>
      <c r="X1921" s="575"/>
      <c r="Y1921" s="578">
        <f>IF('REF. DE PREÇOS n editavel'!W1921=0,0,IF('REF. DE PREÇOS n editavel'!W1921&gt;0,"c","b"))</f>
        <v>0</v>
      </c>
    </row>
    <row r="1922" spans="1:25" ht="15" customHeight="1">
      <c r="A1922" s="317" t="s">
        <v>147</v>
      </c>
      <c r="B1922" s="870" t="s">
        <v>147</v>
      </c>
      <c r="C1922" s="871"/>
      <c r="D1922" s="881" t="s">
        <v>229</v>
      </c>
      <c r="E1922" s="882">
        <f>'REF. DE PREÇOS n editavel'!E1922</f>
        <v>290</v>
      </c>
      <c r="F1922" s="883">
        <f>'REF. DE PREÇOS n editavel'!F1922</f>
        <v>3.7597999999999998</v>
      </c>
      <c r="G1922" s="923">
        <f>'REF. DE PREÇOS n editavel'!G1922</f>
        <v>1176.7422039999999</v>
      </c>
      <c r="H1922" s="876">
        <f>'REF. DE PREÇOS n editavel'!H1922</f>
        <v>0</v>
      </c>
      <c r="I1922" s="876">
        <f>'REF. DE PREÇOS n editavel'!I1922</f>
        <v>0</v>
      </c>
      <c r="J1922" s="877">
        <f>'REF. DE PREÇOS n editavel'!J1922</f>
        <v>0</v>
      </c>
      <c r="K1922" s="878"/>
      <c r="L1922" s="1132"/>
      <c r="M1922" s="1093">
        <f t="shared" si="193"/>
        <v>0</v>
      </c>
      <c r="N1922" s="1131">
        <f t="shared" si="197"/>
        <v>0</v>
      </c>
      <c r="O1922" s="880"/>
      <c r="P1922" s="36" t="str">
        <f>IF(N1920&gt;0,"xx",IF(N1920&gt;0,"xy",""))</f>
        <v/>
      </c>
      <c r="Q1922" s="317" t="str">
        <f t="shared" si="194"/>
        <v/>
      </c>
      <c r="R1922" s="317" t="str">
        <f t="shared" si="195"/>
        <v/>
      </c>
      <c r="S1922" s="317" t="str">
        <f t="shared" si="196"/>
        <v/>
      </c>
      <c r="T1922" s="317" t="str">
        <f>'REF. DE PREÇOS n editavel'!S1922</f>
        <v/>
      </c>
      <c r="W1922" s="577">
        <v>0</v>
      </c>
      <c r="X1922" s="575"/>
      <c r="Y1922" s="578">
        <f>IF('REF. DE PREÇOS n editavel'!W1922=0,0,IF('REF. DE PREÇOS n editavel'!W1922&gt;0,"c","b"))</f>
        <v>0</v>
      </c>
    </row>
    <row r="1923" spans="1:25" ht="15" customHeight="1">
      <c r="A1923" s="317" t="s">
        <v>147</v>
      </c>
      <c r="B1923" s="870" t="s">
        <v>147</v>
      </c>
      <c r="C1923" s="871"/>
      <c r="D1923" s="881" t="s">
        <v>233</v>
      </c>
      <c r="E1923" s="882">
        <f>'REF. DE PREÇOS n editavel'!E1923</f>
        <v>43.1</v>
      </c>
      <c r="F1923" s="883">
        <f>'REF. DE PREÇOS n editavel'!F1923</f>
        <v>6.8650000000000002</v>
      </c>
      <c r="G1923" s="923">
        <f>'REF. DE PREÇOS n editavel'!G1923</f>
        <v>334.99140500000004</v>
      </c>
      <c r="H1923" s="876">
        <f>'REF. DE PREÇOS n editavel'!H1923</f>
        <v>0</v>
      </c>
      <c r="I1923" s="876">
        <f>'REF. DE PREÇOS n editavel'!I1923</f>
        <v>0</v>
      </c>
      <c r="J1923" s="877">
        <f>'REF. DE PREÇOS n editavel'!J1923</f>
        <v>0</v>
      </c>
      <c r="K1923" s="878"/>
      <c r="L1923" s="1132"/>
      <c r="M1923" s="1093">
        <f t="shared" si="193"/>
        <v>0</v>
      </c>
      <c r="N1923" s="1131">
        <f t="shared" si="197"/>
        <v>0</v>
      </c>
      <c r="O1923" s="880"/>
      <c r="P1923" s="36" t="str">
        <f>IF(N1920&gt;0,"xx",IF(N1920&gt;0,"xy",""))</f>
        <v/>
      </c>
      <c r="Q1923" s="317" t="str">
        <f t="shared" si="194"/>
        <v/>
      </c>
      <c r="R1923" s="317" t="str">
        <f t="shared" si="195"/>
        <v/>
      </c>
      <c r="S1923" s="317" t="str">
        <f t="shared" si="196"/>
        <v/>
      </c>
      <c r="T1923" s="317" t="str">
        <f>'REF. DE PREÇOS n editavel'!S1923</f>
        <v/>
      </c>
      <c r="W1923" s="577">
        <v>0</v>
      </c>
      <c r="X1923" s="575"/>
      <c r="Y1923" s="578">
        <f>IF('REF. DE PREÇOS n editavel'!W1923=0,0,IF('REF. DE PREÇOS n editavel'!W1923&gt;0,"c","b"))</f>
        <v>0</v>
      </c>
    </row>
    <row r="1924" spans="1:25" ht="15" customHeight="1">
      <c r="A1924" s="317">
        <v>621300</v>
      </c>
      <c r="B1924" s="870">
        <v>621300</v>
      </c>
      <c r="C1924" s="871" t="s">
        <v>184</v>
      </c>
      <c r="D1924" s="881" t="s">
        <v>360</v>
      </c>
      <c r="E1924" s="882">
        <f>'REF. DE PREÇOS n editavel'!E1924</f>
        <v>0</v>
      </c>
      <c r="F1924" s="883">
        <f>'REF. DE PREÇOS n editavel'!F1924</f>
        <v>0</v>
      </c>
      <c r="G1924" s="887">
        <f>'REF. DE PREÇOS n editavel'!G1924</f>
        <v>3666.5150902000005</v>
      </c>
      <c r="H1924" s="876">
        <f>'REF. DE PREÇOS n editavel'!H1924</f>
        <v>7311.47</v>
      </c>
      <c r="I1924" s="876">
        <f>'REF. DE PREÇOS n editavel'!I1924</f>
        <v>10977.9850902</v>
      </c>
      <c r="J1924" s="877">
        <f>'REF. DE PREÇOS n editavel'!J1924</f>
        <v>13417.29</v>
      </c>
      <c r="K1924" s="878" t="s">
        <v>15</v>
      </c>
      <c r="L1924" s="1092"/>
      <c r="M1924" s="1093">
        <f t="shared" si="193"/>
        <v>0</v>
      </c>
      <c r="N1924" s="1131">
        <f t="shared" si="197"/>
        <v>0</v>
      </c>
      <c r="O1924" s="880"/>
      <c r="Q1924" s="317" t="str">
        <f t="shared" si="194"/>
        <v/>
      </c>
      <c r="R1924" s="317" t="str">
        <f t="shared" si="195"/>
        <v/>
      </c>
      <c r="S1924" s="317" t="str">
        <f t="shared" si="196"/>
        <v/>
      </c>
      <c r="T1924" s="317" t="str">
        <f>'REF. DE PREÇOS n editavel'!S1924</f>
        <v/>
      </c>
      <c r="W1924" s="577">
        <v>0</v>
      </c>
      <c r="X1924" s="575"/>
      <c r="Y1924" s="578">
        <f>IF('REF. DE PREÇOS n editavel'!W1924=0,0,IF('REF. DE PREÇOS n editavel'!W1924&gt;0,"c","b"))</f>
        <v>0</v>
      </c>
    </row>
    <row r="1925" spans="1:25" ht="15" customHeight="1">
      <c r="A1925" s="317" t="s">
        <v>147</v>
      </c>
      <c r="B1925" s="870" t="s">
        <v>147</v>
      </c>
      <c r="C1925" s="871"/>
      <c r="D1925" s="881" t="s">
        <v>190</v>
      </c>
      <c r="E1925" s="882">
        <f>'REF. DE PREÇOS n editavel'!E1925</f>
        <v>445</v>
      </c>
      <c r="F1925" s="883">
        <f>'REF. DE PREÇOS n editavel'!F1925</f>
        <v>2.0546000000000002</v>
      </c>
      <c r="G1925" s="884">
        <f>'REF. DE PREÇOS n editavel'!G1925</f>
        <v>729.21863200000007</v>
      </c>
      <c r="H1925" s="876">
        <f>'REF. DE PREÇOS n editavel'!H1925</f>
        <v>0</v>
      </c>
      <c r="I1925" s="876">
        <f>'REF. DE PREÇOS n editavel'!I1925</f>
        <v>0</v>
      </c>
      <c r="J1925" s="877">
        <f>'REF. DE PREÇOS n editavel'!J1925</f>
        <v>0</v>
      </c>
      <c r="K1925" s="878"/>
      <c r="L1925" s="1132"/>
      <c r="M1925" s="1093">
        <f t="shared" si="193"/>
        <v>0</v>
      </c>
      <c r="N1925" s="1131">
        <f t="shared" si="197"/>
        <v>0</v>
      </c>
      <c r="O1925" s="880"/>
      <c r="P1925" s="36" t="str">
        <f>IF(N1924&gt;0,"xx",IF(N1924&gt;0,"xy",""))</f>
        <v/>
      </c>
      <c r="Q1925" s="317" t="str">
        <f t="shared" si="194"/>
        <v/>
      </c>
      <c r="R1925" s="317" t="str">
        <f t="shared" si="195"/>
        <v/>
      </c>
      <c r="S1925" s="317" t="str">
        <f t="shared" si="196"/>
        <v/>
      </c>
      <c r="T1925" s="317" t="str">
        <f>'REF. DE PREÇOS n editavel'!S1925</f>
        <v/>
      </c>
      <c r="W1925" s="577">
        <v>0</v>
      </c>
      <c r="X1925" s="575"/>
      <c r="Y1925" s="578">
        <f>IF('REF. DE PREÇOS n editavel'!W1925=0,0,IF('REF. DE PREÇOS n editavel'!W1925&gt;0,"c","b"))</f>
        <v>0</v>
      </c>
    </row>
    <row r="1926" spans="1:25" ht="15" customHeight="1">
      <c r="A1926" s="317" t="s">
        <v>147</v>
      </c>
      <c r="B1926" s="870" t="s">
        <v>147</v>
      </c>
      <c r="C1926" s="871"/>
      <c r="D1926" s="881" t="s">
        <v>229</v>
      </c>
      <c r="E1926" s="882">
        <f>'REF. DE PREÇOS n editavel'!E1926</f>
        <v>290</v>
      </c>
      <c r="F1926" s="883">
        <f>'REF. DE PREÇOS n editavel'!F1926</f>
        <v>7.3052999999999999</v>
      </c>
      <c r="G1926" s="923">
        <f>'REF. DE PREÇOS n editavel'!G1926</f>
        <v>2286.4127940000003</v>
      </c>
      <c r="H1926" s="876">
        <f>'REF. DE PREÇOS n editavel'!H1926</f>
        <v>0</v>
      </c>
      <c r="I1926" s="876">
        <f>'REF. DE PREÇOS n editavel'!I1926</f>
        <v>0</v>
      </c>
      <c r="J1926" s="877">
        <f>'REF. DE PREÇOS n editavel'!J1926</f>
        <v>0</v>
      </c>
      <c r="K1926" s="878"/>
      <c r="L1926" s="1132"/>
      <c r="M1926" s="1093">
        <f t="shared" ref="M1926:M1989" si="198">IF(L1926=0,0,ROUND(J1926,2))</f>
        <v>0</v>
      </c>
      <c r="N1926" s="1131">
        <f t="shared" si="197"/>
        <v>0</v>
      </c>
      <c r="O1926" s="880"/>
      <c r="P1926" s="36" t="str">
        <f>IF(N1924&gt;0,"xx",IF(N1924&gt;0,"xy",""))</f>
        <v/>
      </c>
      <c r="Q1926" s="317" t="str">
        <f t="shared" si="194"/>
        <v/>
      </c>
      <c r="R1926" s="317" t="str">
        <f t="shared" si="195"/>
        <v/>
      </c>
      <c r="S1926" s="317" t="str">
        <f t="shared" si="196"/>
        <v/>
      </c>
      <c r="T1926" s="317" t="str">
        <f>'REF. DE PREÇOS n editavel'!S1926</f>
        <v/>
      </c>
      <c r="W1926" s="577">
        <v>0</v>
      </c>
      <c r="X1926" s="575"/>
      <c r="Y1926" s="578">
        <f>IF('REF. DE PREÇOS n editavel'!W1926=0,0,IF('REF. DE PREÇOS n editavel'!W1926&gt;0,"c","b"))</f>
        <v>0</v>
      </c>
    </row>
    <row r="1927" spans="1:25" ht="15" customHeight="1">
      <c r="A1927" s="317" t="s">
        <v>147</v>
      </c>
      <c r="B1927" s="870" t="s">
        <v>147</v>
      </c>
      <c r="C1927" s="871"/>
      <c r="D1927" s="881" t="s">
        <v>233</v>
      </c>
      <c r="E1927" s="882">
        <f>'REF. DE PREÇOS n editavel'!E1927</f>
        <v>43.1</v>
      </c>
      <c r="F1927" s="883">
        <f>'REF. DE PREÇOS n editavel'!F1927</f>
        <v>13.3386</v>
      </c>
      <c r="G1927" s="923">
        <f>'REF. DE PREÇOS n editavel'!G1927</f>
        <v>650.8836642</v>
      </c>
      <c r="H1927" s="876">
        <f>'REF. DE PREÇOS n editavel'!H1927</f>
        <v>0</v>
      </c>
      <c r="I1927" s="876">
        <f>'REF. DE PREÇOS n editavel'!I1927</f>
        <v>0</v>
      </c>
      <c r="J1927" s="877">
        <f>'REF. DE PREÇOS n editavel'!J1927</f>
        <v>0</v>
      </c>
      <c r="K1927" s="878"/>
      <c r="L1927" s="1132"/>
      <c r="M1927" s="1093">
        <f t="shared" si="198"/>
        <v>0</v>
      </c>
      <c r="N1927" s="1131">
        <f t="shared" si="197"/>
        <v>0</v>
      </c>
      <c r="O1927" s="880"/>
      <c r="P1927" s="36" t="str">
        <f>IF(N1924&gt;0,"xx",IF(N1924&gt;0,"xy",""))</f>
        <v/>
      </c>
      <c r="Q1927" s="317" t="str">
        <f t="shared" si="194"/>
        <v/>
      </c>
      <c r="R1927" s="317" t="str">
        <f t="shared" si="195"/>
        <v/>
      </c>
      <c r="S1927" s="317" t="str">
        <f t="shared" si="196"/>
        <v/>
      </c>
      <c r="T1927" s="317" t="str">
        <f>'REF. DE PREÇOS n editavel'!S1927</f>
        <v/>
      </c>
      <c r="W1927" s="577">
        <v>0</v>
      </c>
      <c r="X1927" s="575"/>
      <c r="Y1927" s="578">
        <f>IF('REF. DE PREÇOS n editavel'!W1927=0,0,IF('REF. DE PREÇOS n editavel'!W1927&gt;0,"c","b"))</f>
        <v>0</v>
      </c>
    </row>
    <row r="1928" spans="1:25" ht="15" customHeight="1">
      <c r="A1928" s="317">
        <v>621400</v>
      </c>
      <c r="B1928" s="870">
        <v>621400</v>
      </c>
      <c r="C1928" s="871" t="s">
        <v>184</v>
      </c>
      <c r="D1928" s="881" t="s">
        <v>361</v>
      </c>
      <c r="E1928" s="882">
        <f>'REF. DE PREÇOS n editavel'!E1928</f>
        <v>0</v>
      </c>
      <c r="F1928" s="883">
        <f>'REF. DE PREÇOS n editavel'!F1928</f>
        <v>0</v>
      </c>
      <c r="G1928" s="887">
        <f>'REF. DE PREÇOS n editavel'!G1928</f>
        <v>6991.6948109000004</v>
      </c>
      <c r="H1928" s="876">
        <f>'REF. DE PREÇOS n editavel'!H1928</f>
        <v>12918.12</v>
      </c>
      <c r="I1928" s="876">
        <f>'REF. DE PREÇOS n editavel'!I1928</f>
        <v>19909.814810900003</v>
      </c>
      <c r="J1928" s="877">
        <f>'REF. DE PREÇOS n editavel'!J1928</f>
        <v>24333.78</v>
      </c>
      <c r="K1928" s="878" t="s">
        <v>15</v>
      </c>
      <c r="L1928" s="1092"/>
      <c r="M1928" s="1093">
        <f t="shared" si="198"/>
        <v>0</v>
      </c>
      <c r="N1928" s="1131">
        <f t="shared" si="197"/>
        <v>0</v>
      </c>
      <c r="O1928" s="880"/>
      <c r="Q1928" s="317" t="str">
        <f t="shared" si="194"/>
        <v/>
      </c>
      <c r="R1928" s="317" t="str">
        <f t="shared" si="195"/>
        <v/>
      </c>
      <c r="S1928" s="317" t="str">
        <f t="shared" si="196"/>
        <v/>
      </c>
      <c r="T1928" s="317" t="str">
        <f>'REF. DE PREÇOS n editavel'!S1928</f>
        <v/>
      </c>
      <c r="W1928" s="577">
        <v>0</v>
      </c>
      <c r="X1928" s="575"/>
      <c r="Y1928" s="578">
        <f>IF('REF. DE PREÇOS n editavel'!W1928=0,0,IF('REF. DE PREÇOS n editavel'!W1928&gt;0,"c","b"))</f>
        <v>0</v>
      </c>
    </row>
    <row r="1929" spans="1:25" ht="15" customHeight="1">
      <c r="A1929" s="317" t="s">
        <v>147</v>
      </c>
      <c r="B1929" s="870" t="s">
        <v>147</v>
      </c>
      <c r="C1929" s="871"/>
      <c r="D1929" s="881" t="s">
        <v>190</v>
      </c>
      <c r="E1929" s="882">
        <f>'REF. DE PREÇOS n editavel'!E1929</f>
        <v>445</v>
      </c>
      <c r="F1929" s="883">
        <f>'REF. DE PREÇOS n editavel'!F1929</f>
        <v>3.9178999999999999</v>
      </c>
      <c r="G1929" s="884">
        <f>'REF. DE PREÇOS n editavel'!G1929</f>
        <v>1390.541068</v>
      </c>
      <c r="H1929" s="876">
        <f>'REF. DE PREÇOS n editavel'!H1929</f>
        <v>0</v>
      </c>
      <c r="I1929" s="876">
        <f>'REF. DE PREÇOS n editavel'!I1929</f>
        <v>0</v>
      </c>
      <c r="J1929" s="877">
        <f>'REF. DE PREÇOS n editavel'!J1929</f>
        <v>0</v>
      </c>
      <c r="K1929" s="878"/>
      <c r="L1929" s="1132"/>
      <c r="M1929" s="1093">
        <f t="shared" si="198"/>
        <v>0</v>
      </c>
      <c r="N1929" s="1131">
        <f t="shared" si="197"/>
        <v>0</v>
      </c>
      <c r="O1929" s="880"/>
      <c r="P1929" s="36" t="str">
        <f>IF(N1928&gt;0,"xx",IF(N1928&gt;0,"xy",""))</f>
        <v/>
      </c>
      <c r="Q1929" s="317" t="str">
        <f t="shared" si="194"/>
        <v/>
      </c>
      <c r="R1929" s="317" t="str">
        <f t="shared" si="195"/>
        <v/>
      </c>
      <c r="S1929" s="317" t="str">
        <f t="shared" si="196"/>
        <v/>
      </c>
      <c r="T1929" s="317" t="str">
        <f>'REF. DE PREÇOS n editavel'!S1929</f>
        <v/>
      </c>
      <c r="W1929" s="577">
        <v>0</v>
      </c>
      <c r="X1929" s="575"/>
      <c r="Y1929" s="578">
        <f>IF('REF. DE PREÇOS n editavel'!W1929=0,0,IF('REF. DE PREÇOS n editavel'!W1929&gt;0,"c","b"))</f>
        <v>0</v>
      </c>
    </row>
    <row r="1930" spans="1:25" ht="15" customHeight="1">
      <c r="A1930" s="317" t="s">
        <v>147</v>
      </c>
      <c r="B1930" s="870" t="s">
        <v>147</v>
      </c>
      <c r="C1930" s="871"/>
      <c r="D1930" s="881" t="s">
        <v>229</v>
      </c>
      <c r="E1930" s="882">
        <f>'REF. DE PREÇOS n editavel'!E1930</f>
        <v>290</v>
      </c>
      <c r="F1930" s="883">
        <f>'REF. DE PREÇOS n editavel'!F1930</f>
        <v>13.9305</v>
      </c>
      <c r="G1930" s="923">
        <f>'REF. DE PREÇOS n editavel'!G1930</f>
        <v>4359.9678900000008</v>
      </c>
      <c r="H1930" s="876">
        <f>'REF. DE PREÇOS n editavel'!H1930</f>
        <v>0</v>
      </c>
      <c r="I1930" s="876">
        <f>'REF. DE PREÇOS n editavel'!I1930</f>
        <v>0</v>
      </c>
      <c r="J1930" s="877">
        <f>'REF. DE PREÇOS n editavel'!J1930</f>
        <v>0</v>
      </c>
      <c r="K1930" s="878"/>
      <c r="L1930" s="1132"/>
      <c r="M1930" s="1093">
        <f t="shared" si="198"/>
        <v>0</v>
      </c>
      <c r="N1930" s="1131">
        <f t="shared" si="197"/>
        <v>0</v>
      </c>
      <c r="O1930" s="880"/>
      <c r="P1930" s="36" t="str">
        <f>IF(N1928&gt;0,"xx",IF(N1928&gt;0,"xy",""))</f>
        <v/>
      </c>
      <c r="Q1930" s="317" t="str">
        <f t="shared" si="194"/>
        <v/>
      </c>
      <c r="R1930" s="317" t="str">
        <f t="shared" si="195"/>
        <v/>
      </c>
      <c r="S1930" s="317" t="str">
        <f t="shared" si="196"/>
        <v/>
      </c>
      <c r="T1930" s="317" t="str">
        <f>'REF. DE PREÇOS n editavel'!S1930</f>
        <v/>
      </c>
      <c r="W1930" s="577">
        <v>0</v>
      </c>
      <c r="X1930" s="575"/>
      <c r="Y1930" s="578">
        <f>IF('REF. DE PREÇOS n editavel'!W1930=0,0,IF('REF. DE PREÇOS n editavel'!W1930&gt;0,"c","b"))</f>
        <v>0</v>
      </c>
    </row>
    <row r="1931" spans="1:25" ht="15" customHeight="1">
      <c r="A1931" s="317" t="s">
        <v>147</v>
      </c>
      <c r="B1931" s="870" t="s">
        <v>147</v>
      </c>
      <c r="C1931" s="871"/>
      <c r="D1931" s="881" t="s">
        <v>233</v>
      </c>
      <c r="E1931" s="882">
        <f>'REF. DE PREÇOS n editavel'!E1931</f>
        <v>43.1</v>
      </c>
      <c r="F1931" s="883">
        <f>'REF. DE PREÇOS n editavel'!F1931</f>
        <v>25.435699999999997</v>
      </c>
      <c r="G1931" s="923">
        <f>'REF. DE PREÇOS n editavel'!G1931</f>
        <v>1241.1858528999999</v>
      </c>
      <c r="H1931" s="876">
        <f>'REF. DE PREÇOS n editavel'!H1931</f>
        <v>0</v>
      </c>
      <c r="I1931" s="876">
        <f>'REF. DE PREÇOS n editavel'!I1931</f>
        <v>0</v>
      </c>
      <c r="J1931" s="877">
        <f>'REF. DE PREÇOS n editavel'!J1931</f>
        <v>0</v>
      </c>
      <c r="K1931" s="878"/>
      <c r="L1931" s="1132"/>
      <c r="M1931" s="1093">
        <f t="shared" si="198"/>
        <v>0</v>
      </c>
      <c r="N1931" s="1131">
        <f t="shared" si="197"/>
        <v>0</v>
      </c>
      <c r="O1931" s="880"/>
      <c r="P1931" s="36" t="str">
        <f>IF(N1928&gt;0,"xx",IF(N1928&gt;0,"xy",""))</f>
        <v/>
      </c>
      <c r="Q1931" s="317" t="str">
        <f t="shared" si="194"/>
        <v/>
      </c>
      <c r="R1931" s="317" t="str">
        <f t="shared" si="195"/>
        <v/>
      </c>
      <c r="S1931" s="317" t="str">
        <f t="shared" si="196"/>
        <v/>
      </c>
      <c r="T1931" s="317" t="str">
        <f>'REF. DE PREÇOS n editavel'!S1931</f>
        <v/>
      </c>
      <c r="W1931" s="577">
        <v>0</v>
      </c>
      <c r="X1931" s="575"/>
      <c r="Y1931" s="578">
        <f>IF('REF. DE PREÇOS n editavel'!W1931=0,0,IF('REF. DE PREÇOS n editavel'!W1931&gt;0,"c","b"))</f>
        <v>0</v>
      </c>
    </row>
    <row r="1932" spans="1:25" ht="15" customHeight="1">
      <c r="A1932" s="317">
        <v>607500</v>
      </c>
      <c r="B1932" s="870">
        <v>607500</v>
      </c>
      <c r="C1932" s="871" t="s">
        <v>184</v>
      </c>
      <c r="D1932" s="881" t="s">
        <v>470</v>
      </c>
      <c r="E1932" s="882">
        <f>'REF. DE PREÇOS n editavel'!E1932</f>
        <v>0</v>
      </c>
      <c r="F1932" s="883">
        <f>'REF. DE PREÇOS n editavel'!F1932</f>
        <v>0</v>
      </c>
      <c r="G1932" s="887">
        <f>'REF. DE PREÇOS n editavel'!G1932</f>
        <v>3.04955</v>
      </c>
      <c r="H1932" s="876">
        <f>'REF. DE PREÇOS n editavel'!H1932</f>
        <v>40.4</v>
      </c>
      <c r="I1932" s="876">
        <f>'REF. DE PREÇOS n editavel'!I1932</f>
        <v>43.449550000000002</v>
      </c>
      <c r="J1932" s="877">
        <f>'REF. DE PREÇOS n editavel'!J1932</f>
        <v>53.1</v>
      </c>
      <c r="K1932" s="878" t="s">
        <v>13</v>
      </c>
      <c r="L1932" s="1092"/>
      <c r="M1932" s="1093">
        <f t="shared" si="198"/>
        <v>0</v>
      </c>
      <c r="N1932" s="1131">
        <f t="shared" si="197"/>
        <v>0</v>
      </c>
      <c r="O1932" s="880"/>
      <c r="Q1932" s="317" t="str">
        <f t="shared" si="194"/>
        <v/>
      </c>
      <c r="R1932" s="317" t="str">
        <f t="shared" si="195"/>
        <v/>
      </c>
      <c r="S1932" s="317" t="str">
        <f t="shared" si="196"/>
        <v/>
      </c>
      <c r="T1932" s="317" t="str">
        <f>'REF. DE PREÇOS n editavel'!S1932</f>
        <v/>
      </c>
      <c r="W1932" s="577">
        <v>0</v>
      </c>
      <c r="X1932" s="575"/>
      <c r="Y1932" s="578">
        <f>IF('REF. DE PREÇOS n editavel'!W1932=0,0,IF('REF. DE PREÇOS n editavel'!W1932&gt;0,"c","b"))</f>
        <v>0</v>
      </c>
    </row>
    <row r="1933" spans="1:25" ht="15" customHeight="1">
      <c r="A1933" s="317" t="s">
        <v>147</v>
      </c>
      <c r="B1933" s="870" t="s">
        <v>147</v>
      </c>
      <c r="C1933" s="871"/>
      <c r="D1933" s="881" t="s">
        <v>190</v>
      </c>
      <c r="E1933" s="882">
        <f>'REF. DE PREÇOS n editavel'!E1933</f>
        <v>445</v>
      </c>
      <c r="F1933" s="883">
        <f>'REF. DE PREÇOS n editavel'!F1933</f>
        <v>2.9999999999999997E-4</v>
      </c>
      <c r="G1933" s="884">
        <f>'REF. DE PREÇOS n editavel'!G1933</f>
        <v>0.106476</v>
      </c>
      <c r="H1933" s="876">
        <f>'REF. DE PREÇOS n editavel'!H1933</f>
        <v>0</v>
      </c>
      <c r="I1933" s="876">
        <f>'REF. DE PREÇOS n editavel'!I1933</f>
        <v>0</v>
      </c>
      <c r="J1933" s="877">
        <f>'REF. DE PREÇOS n editavel'!J1933</f>
        <v>0</v>
      </c>
      <c r="K1933" s="878"/>
      <c r="L1933" s="1132"/>
      <c r="M1933" s="1093">
        <f t="shared" si="198"/>
        <v>0</v>
      </c>
      <c r="N1933" s="1131">
        <f t="shared" si="197"/>
        <v>0</v>
      </c>
      <c r="O1933" s="880"/>
      <c r="P1933" s="36" t="str">
        <f>IF(N1932&gt;0,"xx",IF(N1932&gt;0,"xy",""))</f>
        <v/>
      </c>
      <c r="Q1933" s="317" t="str">
        <f t="shared" si="194"/>
        <v/>
      </c>
      <c r="R1933" s="317" t="str">
        <f t="shared" si="195"/>
        <v/>
      </c>
      <c r="S1933" s="317" t="str">
        <f t="shared" si="196"/>
        <v/>
      </c>
      <c r="T1933" s="317" t="str">
        <f>'REF. DE PREÇOS n editavel'!S1933</f>
        <v/>
      </c>
      <c r="W1933" s="577">
        <v>0</v>
      </c>
      <c r="X1933" s="575"/>
      <c r="Y1933" s="578">
        <f>IF('REF. DE PREÇOS n editavel'!W1933=0,0,IF('REF. DE PREÇOS n editavel'!W1933&gt;0,"c","b"))</f>
        <v>0</v>
      </c>
    </row>
    <row r="1934" spans="1:25" ht="15" customHeight="1">
      <c r="A1934" s="317" t="s">
        <v>147</v>
      </c>
      <c r="B1934" s="870" t="s">
        <v>147</v>
      </c>
      <c r="C1934" s="871"/>
      <c r="D1934" s="881" t="s">
        <v>229</v>
      </c>
      <c r="E1934" s="882">
        <f>'REF. DE PREÇOS n editavel'!E1934</f>
        <v>290</v>
      </c>
      <c r="F1934" s="883">
        <f>'REF. DE PREÇOS n editavel'!F1934</f>
        <v>1.2999999999999999E-3</v>
      </c>
      <c r="G1934" s="923">
        <f>'REF. DE PREÇOS n editavel'!G1934</f>
        <v>0.40687400000000001</v>
      </c>
      <c r="H1934" s="876">
        <f>'REF. DE PREÇOS n editavel'!H1934</f>
        <v>0</v>
      </c>
      <c r="I1934" s="876">
        <f>'REF. DE PREÇOS n editavel'!I1934</f>
        <v>0</v>
      </c>
      <c r="J1934" s="877">
        <f>'REF. DE PREÇOS n editavel'!J1934</f>
        <v>0</v>
      </c>
      <c r="K1934" s="878"/>
      <c r="L1934" s="1132"/>
      <c r="M1934" s="1093">
        <f t="shared" si="198"/>
        <v>0</v>
      </c>
      <c r="N1934" s="1131">
        <f t="shared" si="197"/>
        <v>0</v>
      </c>
      <c r="O1934" s="880"/>
      <c r="P1934" s="36" t="str">
        <f>IF(N1932&gt;0,"xx",IF(N1932&gt;0,"xy",""))</f>
        <v/>
      </c>
      <c r="Q1934" s="317" t="str">
        <f t="shared" si="194"/>
        <v/>
      </c>
      <c r="R1934" s="317" t="str">
        <f t="shared" si="195"/>
        <v/>
      </c>
      <c r="S1934" s="317" t="str">
        <f t="shared" si="196"/>
        <v/>
      </c>
      <c r="T1934" s="317" t="str">
        <f>'REF. DE PREÇOS n editavel'!S1934</f>
        <v/>
      </c>
      <c r="W1934" s="577">
        <v>0</v>
      </c>
      <c r="X1934" s="575"/>
      <c r="Y1934" s="578">
        <f>IF('REF. DE PREÇOS n editavel'!W1934=0,0,IF('REF. DE PREÇOS n editavel'!W1934&gt;0,"c","b"))</f>
        <v>0</v>
      </c>
    </row>
    <row r="1935" spans="1:25" ht="15" customHeight="1">
      <c r="A1935" s="317" t="s">
        <v>147</v>
      </c>
      <c r="B1935" s="870" t="s">
        <v>147</v>
      </c>
      <c r="C1935" s="871"/>
      <c r="D1935" s="881" t="s">
        <v>336</v>
      </c>
      <c r="E1935" s="882">
        <f>'REF. DE PREÇOS n editavel'!E1935</f>
        <v>37</v>
      </c>
      <c r="F1935" s="883">
        <f>'REF. DE PREÇOS n editavel'!F1935</f>
        <v>0.06</v>
      </c>
      <c r="G1935" s="923">
        <f>'REF. DE PREÇOS n editavel'!G1935</f>
        <v>2.5362</v>
      </c>
      <c r="H1935" s="876">
        <f>'REF. DE PREÇOS n editavel'!H1935</f>
        <v>0</v>
      </c>
      <c r="I1935" s="876">
        <f>'REF. DE PREÇOS n editavel'!I1935</f>
        <v>0</v>
      </c>
      <c r="J1935" s="877">
        <f>'REF. DE PREÇOS n editavel'!J1935</f>
        <v>0</v>
      </c>
      <c r="K1935" s="878"/>
      <c r="L1935" s="1132"/>
      <c r="M1935" s="1093">
        <f t="shared" si="198"/>
        <v>0</v>
      </c>
      <c r="N1935" s="1131">
        <f t="shared" si="197"/>
        <v>0</v>
      </c>
      <c r="O1935" s="880"/>
      <c r="P1935" s="36" t="str">
        <f>IF(N1932&gt;0,"xx",IF(N1932&gt;0,"xy",""))</f>
        <v/>
      </c>
      <c r="Q1935" s="317" t="str">
        <f t="shared" si="194"/>
        <v/>
      </c>
      <c r="R1935" s="317" t="str">
        <f t="shared" si="195"/>
        <v/>
      </c>
      <c r="S1935" s="317" t="str">
        <f t="shared" si="196"/>
        <v/>
      </c>
      <c r="T1935" s="317" t="str">
        <f>'REF. DE PREÇOS n editavel'!S1935</f>
        <v/>
      </c>
      <c r="W1935" s="577">
        <v>0</v>
      </c>
      <c r="X1935" s="575"/>
      <c r="Y1935" s="578">
        <f>IF('REF. DE PREÇOS n editavel'!W1935=0,0,IF('REF. DE PREÇOS n editavel'!W1935&gt;0,"c","b"))</f>
        <v>0</v>
      </c>
    </row>
    <row r="1936" spans="1:25" ht="15" customHeight="1">
      <c r="A1936" s="317">
        <v>607600</v>
      </c>
      <c r="B1936" s="870">
        <v>607600</v>
      </c>
      <c r="C1936" s="871" t="s">
        <v>184</v>
      </c>
      <c r="D1936" s="881" t="s">
        <v>471</v>
      </c>
      <c r="E1936" s="882">
        <f>'REF. DE PREÇOS n editavel'!E1936</f>
        <v>0</v>
      </c>
      <c r="F1936" s="883">
        <f>'REF. DE PREÇOS n editavel'!F1936</f>
        <v>0</v>
      </c>
      <c r="G1936" s="887">
        <f>'REF. DE PREÇOS n editavel'!G1936</f>
        <v>4.8681180000000008</v>
      </c>
      <c r="H1936" s="876">
        <f>'REF. DE PREÇOS n editavel'!H1936</f>
        <v>43.12</v>
      </c>
      <c r="I1936" s="876">
        <f>'REF. DE PREÇOS n editavel'!I1936</f>
        <v>47.988118</v>
      </c>
      <c r="J1936" s="877">
        <f>'REF. DE PREÇOS n editavel'!J1936</f>
        <v>58.65</v>
      </c>
      <c r="K1936" s="878" t="s">
        <v>13</v>
      </c>
      <c r="L1936" s="1092"/>
      <c r="M1936" s="1093">
        <f t="shared" si="198"/>
        <v>0</v>
      </c>
      <c r="N1936" s="1131">
        <f t="shared" si="197"/>
        <v>0</v>
      </c>
      <c r="O1936" s="880"/>
      <c r="Q1936" s="317" t="str">
        <f t="shared" si="194"/>
        <v/>
      </c>
      <c r="R1936" s="317" t="str">
        <f t="shared" si="195"/>
        <v/>
      </c>
      <c r="S1936" s="317" t="str">
        <f t="shared" si="196"/>
        <v/>
      </c>
      <c r="T1936" s="317" t="str">
        <f>'REF. DE PREÇOS n editavel'!S1936</f>
        <v/>
      </c>
      <c r="W1936" s="577">
        <v>0</v>
      </c>
      <c r="X1936" s="575"/>
      <c r="Y1936" s="578">
        <f>IF('REF. DE PREÇOS n editavel'!W1936=0,0,IF('REF. DE PREÇOS n editavel'!W1936&gt;0,"c","b"))</f>
        <v>0</v>
      </c>
    </row>
    <row r="1937" spans="1:25" ht="15" customHeight="1">
      <c r="A1937" s="317" t="s">
        <v>147</v>
      </c>
      <c r="B1937" s="870" t="s">
        <v>147</v>
      </c>
      <c r="C1937" s="871"/>
      <c r="D1937" s="881" t="s">
        <v>190</v>
      </c>
      <c r="E1937" s="882">
        <f>'REF. DE PREÇOS n editavel'!E1937</f>
        <v>445</v>
      </c>
      <c r="F1937" s="883">
        <f>'REF. DE PREÇOS n editavel'!F1937</f>
        <v>4.0000000000000002E-4</v>
      </c>
      <c r="G1937" s="884">
        <f>'REF. DE PREÇOS n editavel'!G1937</f>
        <v>0.14196800000000001</v>
      </c>
      <c r="H1937" s="876">
        <f>'REF. DE PREÇOS n editavel'!H1937</f>
        <v>0</v>
      </c>
      <c r="I1937" s="876">
        <f>'REF. DE PREÇOS n editavel'!I1937</f>
        <v>0</v>
      </c>
      <c r="J1937" s="877">
        <f>'REF. DE PREÇOS n editavel'!J1937</f>
        <v>0</v>
      </c>
      <c r="K1937" s="878"/>
      <c r="L1937" s="1132"/>
      <c r="M1937" s="1093">
        <f t="shared" si="198"/>
        <v>0</v>
      </c>
      <c r="N1937" s="1131">
        <f t="shared" si="197"/>
        <v>0</v>
      </c>
      <c r="O1937" s="880"/>
      <c r="P1937" s="36" t="str">
        <f>IF(N1936&gt;0,"xx",IF(N1936&gt;0,"xy",""))</f>
        <v/>
      </c>
      <c r="Q1937" s="317" t="str">
        <f t="shared" ref="Q1937:Q2000" si="199">IF(P1937="X","x",IF(P1937="xx","x",IF(P1937="xy","x",IF(P1937="y","x",IF(OR(N1937&gt;0,N1937&gt;0),"x","")))))</f>
        <v/>
      </c>
      <c r="R1937" s="317" t="str">
        <f t="shared" si="195"/>
        <v/>
      </c>
      <c r="S1937" s="317" t="str">
        <f t="shared" si="196"/>
        <v/>
      </c>
      <c r="T1937" s="317" t="str">
        <f>'REF. DE PREÇOS n editavel'!S1937</f>
        <v/>
      </c>
      <c r="W1937" s="577">
        <v>0</v>
      </c>
      <c r="X1937" s="575"/>
      <c r="Y1937" s="578">
        <f>IF('REF. DE PREÇOS n editavel'!W1937=0,0,IF('REF. DE PREÇOS n editavel'!W1937&gt;0,"c","b"))</f>
        <v>0</v>
      </c>
    </row>
    <row r="1938" spans="1:25" ht="15" customHeight="1">
      <c r="A1938" s="317" t="s">
        <v>147</v>
      </c>
      <c r="B1938" s="870" t="s">
        <v>147</v>
      </c>
      <c r="C1938" s="871"/>
      <c r="D1938" s="881" t="s">
        <v>229</v>
      </c>
      <c r="E1938" s="882">
        <f>'REF. DE PREÇOS n editavel'!E1938</f>
        <v>290</v>
      </c>
      <c r="F1938" s="883">
        <f>'REF. DE PREÇOS n editavel'!F1938</f>
        <v>2E-3</v>
      </c>
      <c r="G1938" s="923">
        <f>'REF. DE PREÇOS n editavel'!G1938</f>
        <v>0.62596000000000007</v>
      </c>
      <c r="H1938" s="876">
        <f>'REF. DE PREÇOS n editavel'!H1938</f>
        <v>0</v>
      </c>
      <c r="I1938" s="876">
        <f>'REF. DE PREÇOS n editavel'!I1938</f>
        <v>0</v>
      </c>
      <c r="J1938" s="877">
        <f>'REF. DE PREÇOS n editavel'!J1938</f>
        <v>0</v>
      </c>
      <c r="K1938" s="878"/>
      <c r="L1938" s="1132"/>
      <c r="M1938" s="1093">
        <f t="shared" si="198"/>
        <v>0</v>
      </c>
      <c r="N1938" s="1131">
        <f t="shared" si="197"/>
        <v>0</v>
      </c>
      <c r="O1938" s="880"/>
      <c r="P1938" s="36" t="str">
        <f>IF(N1936&gt;0,"xx",IF(N1936&gt;0,"xy",""))</f>
        <v/>
      </c>
      <c r="Q1938" s="317" t="str">
        <f t="shared" si="199"/>
        <v/>
      </c>
      <c r="R1938" s="317" t="str">
        <f t="shared" si="195"/>
        <v/>
      </c>
      <c r="S1938" s="317" t="str">
        <f t="shared" si="196"/>
        <v/>
      </c>
      <c r="T1938" s="317" t="str">
        <f>'REF. DE PREÇOS n editavel'!S1938</f>
        <v/>
      </c>
      <c r="W1938" s="577">
        <v>0</v>
      </c>
      <c r="X1938" s="575"/>
      <c r="Y1938" s="578">
        <f>IF('REF. DE PREÇOS n editavel'!W1938=0,0,IF('REF. DE PREÇOS n editavel'!W1938&gt;0,"c","b"))</f>
        <v>0</v>
      </c>
    </row>
    <row r="1939" spans="1:25" ht="15" customHeight="1">
      <c r="A1939" s="317" t="s">
        <v>147</v>
      </c>
      <c r="B1939" s="870" t="s">
        <v>147</v>
      </c>
      <c r="C1939" s="871"/>
      <c r="D1939" s="881" t="s">
        <v>336</v>
      </c>
      <c r="E1939" s="882">
        <f>'REF. DE PREÇOS n editavel'!E1939</f>
        <v>37</v>
      </c>
      <c r="F1939" s="883">
        <f>'REF. DE PREÇOS n editavel'!F1939</f>
        <v>9.7000000000000003E-2</v>
      </c>
      <c r="G1939" s="923">
        <f>'REF. DE PREÇOS n editavel'!G1939</f>
        <v>4.1001900000000004</v>
      </c>
      <c r="H1939" s="876">
        <f>'REF. DE PREÇOS n editavel'!H1939</f>
        <v>0</v>
      </c>
      <c r="I1939" s="876">
        <f>'REF. DE PREÇOS n editavel'!I1939</f>
        <v>0</v>
      </c>
      <c r="J1939" s="877">
        <f>'REF. DE PREÇOS n editavel'!J1939</f>
        <v>0</v>
      </c>
      <c r="K1939" s="878"/>
      <c r="L1939" s="1132"/>
      <c r="M1939" s="1093">
        <f t="shared" si="198"/>
        <v>0</v>
      </c>
      <c r="N1939" s="1131">
        <f t="shared" si="197"/>
        <v>0</v>
      </c>
      <c r="O1939" s="880"/>
      <c r="P1939" s="36" t="str">
        <f>IF(N1936&gt;0,"xx",IF(N1936&gt;0,"xy",""))</f>
        <v/>
      </c>
      <c r="Q1939" s="317" t="str">
        <f t="shared" si="199"/>
        <v/>
      </c>
      <c r="R1939" s="317" t="str">
        <f t="shared" ref="R1939:R2002" si="200">IF(P1939="X","x",IF(P1939="y","x",IF(P1939="xx","x",IF(N1939&gt;0,"x",""))))</f>
        <v/>
      </c>
      <c r="S1939" s="317" t="str">
        <f t="shared" ref="S1939:S2002" si="201">IF(P1939="X","x",IF(N1939&gt;0,"x",""))</f>
        <v/>
      </c>
      <c r="T1939" s="317" t="str">
        <f>'REF. DE PREÇOS n editavel'!S1939</f>
        <v/>
      </c>
      <c r="W1939" s="577">
        <v>0</v>
      </c>
      <c r="X1939" s="575"/>
      <c r="Y1939" s="578">
        <f>IF('REF. DE PREÇOS n editavel'!W1939=0,0,IF('REF. DE PREÇOS n editavel'!W1939&gt;0,"c","b"))</f>
        <v>0</v>
      </c>
    </row>
    <row r="1940" spans="1:25" ht="15" customHeight="1">
      <c r="A1940" s="317">
        <v>610400</v>
      </c>
      <c r="B1940" s="870" t="s">
        <v>1807</v>
      </c>
      <c r="C1940" s="871" t="s">
        <v>184</v>
      </c>
      <c r="D1940" s="881" t="s">
        <v>362</v>
      </c>
      <c r="E1940" s="882">
        <f>'REF. DE PREÇOS n editavel'!E1940</f>
        <v>0</v>
      </c>
      <c r="F1940" s="883">
        <f>'REF. DE PREÇOS n editavel'!F1940</f>
        <v>0</v>
      </c>
      <c r="G1940" s="887">
        <f>'REF. DE PREÇOS n editavel'!G1940</f>
        <v>8.4538480000000007</v>
      </c>
      <c r="H1940" s="876">
        <f>'REF. DE PREÇOS n editavel'!H1940</f>
        <v>84.95</v>
      </c>
      <c r="I1940" s="876">
        <f>'REF. DE PREÇOS n editavel'!I1940</f>
        <v>93.403848000000011</v>
      </c>
      <c r="J1940" s="877">
        <f>'REF. DE PREÇOS n editavel'!J1940</f>
        <v>114.16</v>
      </c>
      <c r="K1940" s="878" t="s">
        <v>13</v>
      </c>
      <c r="L1940" s="1092"/>
      <c r="M1940" s="1093">
        <f t="shared" si="198"/>
        <v>0</v>
      </c>
      <c r="N1940" s="1131">
        <f t="shared" si="197"/>
        <v>0</v>
      </c>
      <c r="O1940" s="880"/>
      <c r="Q1940" s="317" t="str">
        <f t="shared" si="199"/>
        <v/>
      </c>
      <c r="R1940" s="317" t="str">
        <f t="shared" si="200"/>
        <v/>
      </c>
      <c r="S1940" s="317" t="str">
        <f t="shared" si="201"/>
        <v/>
      </c>
      <c r="T1940" s="317" t="str">
        <f>'REF. DE PREÇOS n editavel'!S1940</f>
        <v/>
      </c>
      <c r="W1940" s="577">
        <v>0</v>
      </c>
      <c r="X1940" s="575"/>
      <c r="Y1940" s="578">
        <f>IF('REF. DE PREÇOS n editavel'!W1940=0,0,IF('REF. DE PREÇOS n editavel'!W1940&gt;0,"c","b"))</f>
        <v>0</v>
      </c>
    </row>
    <row r="1941" spans="1:25" ht="15" customHeight="1">
      <c r="A1941" s="317" t="s">
        <v>147</v>
      </c>
      <c r="B1941" s="870" t="s">
        <v>147</v>
      </c>
      <c r="C1941" s="871"/>
      <c r="D1941" s="881" t="s">
        <v>190</v>
      </c>
      <c r="E1941" s="882">
        <f>'REF. DE PREÇOS n editavel'!E1941</f>
        <v>445</v>
      </c>
      <c r="F1941" s="883">
        <f>'REF. DE PREÇOS n editavel'!F1941</f>
        <v>1.9E-3</v>
      </c>
      <c r="G1941" s="884">
        <f>'REF. DE PREÇOS n editavel'!G1941</f>
        <v>0.67434800000000006</v>
      </c>
      <c r="H1941" s="876">
        <f>'REF. DE PREÇOS n editavel'!H1941</f>
        <v>0</v>
      </c>
      <c r="I1941" s="876">
        <f>'REF. DE PREÇOS n editavel'!I1941</f>
        <v>0</v>
      </c>
      <c r="J1941" s="877">
        <f>'REF. DE PREÇOS n editavel'!J1941</f>
        <v>0</v>
      </c>
      <c r="K1941" s="878"/>
      <c r="L1941" s="1132"/>
      <c r="M1941" s="1093">
        <f t="shared" si="198"/>
        <v>0</v>
      </c>
      <c r="N1941" s="1131">
        <f t="shared" si="197"/>
        <v>0</v>
      </c>
      <c r="O1941" s="880"/>
      <c r="P1941" s="36" t="str">
        <f>IF(N1940&gt;0,"xx",IF(N1940&gt;0,"xy",""))</f>
        <v/>
      </c>
      <c r="Q1941" s="317" t="str">
        <f t="shared" si="199"/>
        <v/>
      </c>
      <c r="R1941" s="317" t="str">
        <f t="shared" si="200"/>
        <v/>
      </c>
      <c r="S1941" s="317" t="str">
        <f t="shared" si="201"/>
        <v/>
      </c>
      <c r="T1941" s="317" t="str">
        <f>'REF. DE PREÇOS n editavel'!S1941</f>
        <v/>
      </c>
      <c r="W1941" s="577">
        <v>0</v>
      </c>
      <c r="X1941" s="575"/>
      <c r="Y1941" s="578">
        <f>IF('REF. DE PREÇOS n editavel'!W1941=0,0,IF('REF. DE PREÇOS n editavel'!W1941&gt;0,"c","b"))</f>
        <v>0</v>
      </c>
    </row>
    <row r="1942" spans="1:25" ht="15" customHeight="1">
      <c r="A1942" s="317" t="s">
        <v>147</v>
      </c>
      <c r="B1942" s="870" t="s">
        <v>147</v>
      </c>
      <c r="C1942" s="871"/>
      <c r="D1942" s="881" t="s">
        <v>229</v>
      </c>
      <c r="E1942" s="882">
        <f>'REF. DE PREÇOS n editavel'!E1942</f>
        <v>290</v>
      </c>
      <c r="F1942" s="883">
        <f>'REF. DE PREÇOS n editavel'!F1942</f>
        <v>0.01</v>
      </c>
      <c r="G1942" s="923">
        <f>'REF. DE PREÇOS n editavel'!G1942</f>
        <v>3.1298000000000004</v>
      </c>
      <c r="H1942" s="876">
        <f>'REF. DE PREÇOS n editavel'!H1942</f>
        <v>0</v>
      </c>
      <c r="I1942" s="876">
        <f>'REF. DE PREÇOS n editavel'!I1942</f>
        <v>0</v>
      </c>
      <c r="J1942" s="877">
        <f>'REF. DE PREÇOS n editavel'!J1942</f>
        <v>0</v>
      </c>
      <c r="K1942" s="878"/>
      <c r="L1942" s="1132"/>
      <c r="M1942" s="1093">
        <f t="shared" si="198"/>
        <v>0</v>
      </c>
      <c r="N1942" s="1131">
        <f t="shared" si="197"/>
        <v>0</v>
      </c>
      <c r="O1942" s="880"/>
      <c r="P1942" s="36" t="str">
        <f>IF(N1940&gt;0,"xx",IF(N1940&gt;0,"xy",""))</f>
        <v/>
      </c>
      <c r="Q1942" s="317" t="str">
        <f t="shared" si="199"/>
        <v/>
      </c>
      <c r="R1942" s="317" t="str">
        <f t="shared" si="200"/>
        <v/>
      </c>
      <c r="S1942" s="317" t="str">
        <f t="shared" si="201"/>
        <v/>
      </c>
      <c r="T1942" s="317" t="str">
        <f>'REF. DE PREÇOS n editavel'!S1942</f>
        <v/>
      </c>
      <c r="W1942" s="577">
        <v>0</v>
      </c>
      <c r="X1942" s="575"/>
      <c r="Y1942" s="578">
        <f>IF('REF. DE PREÇOS n editavel'!W1942=0,0,IF('REF. DE PREÇOS n editavel'!W1942&gt;0,"c","b"))</f>
        <v>0</v>
      </c>
    </row>
    <row r="1943" spans="1:25" ht="15" customHeight="1">
      <c r="A1943" s="317" t="s">
        <v>147</v>
      </c>
      <c r="B1943" s="870" t="s">
        <v>147</v>
      </c>
      <c r="C1943" s="871"/>
      <c r="D1943" s="881" t="s">
        <v>336</v>
      </c>
      <c r="E1943" s="882">
        <f>'REF. DE PREÇOS n editavel'!E1943</f>
        <v>37</v>
      </c>
      <c r="F1943" s="883">
        <f>'REF. DE PREÇOS n editavel'!F1943</f>
        <v>0.11</v>
      </c>
      <c r="G1943" s="923">
        <f>'REF. DE PREÇOS n editavel'!G1943</f>
        <v>4.6497000000000002</v>
      </c>
      <c r="H1943" s="876">
        <f>'REF. DE PREÇOS n editavel'!H1943</f>
        <v>0</v>
      </c>
      <c r="I1943" s="876">
        <f>'REF. DE PREÇOS n editavel'!I1943</f>
        <v>0</v>
      </c>
      <c r="J1943" s="877">
        <f>'REF. DE PREÇOS n editavel'!J1943</f>
        <v>0</v>
      </c>
      <c r="K1943" s="878"/>
      <c r="L1943" s="1132"/>
      <c r="M1943" s="1093">
        <f t="shared" si="198"/>
        <v>0</v>
      </c>
      <c r="N1943" s="1131">
        <f t="shared" ref="N1943:N2006" si="202">IF(ISBLANK(L1943),0,IF(W1943=0,ROUND(L1943*M1943,2),IF(W1943="b",ROUNDDOWN(L1943*M1943,2),ROUNDUP(L1943*M1943,2))))</f>
        <v>0</v>
      </c>
      <c r="O1943" s="880"/>
      <c r="P1943" s="36" t="str">
        <f>IF(N1940&gt;0,"xx",IF(N1940&gt;0,"xy",""))</f>
        <v/>
      </c>
      <c r="Q1943" s="317" t="str">
        <f t="shared" si="199"/>
        <v/>
      </c>
      <c r="R1943" s="317" t="str">
        <f t="shared" si="200"/>
        <v/>
      </c>
      <c r="S1943" s="317" t="str">
        <f t="shared" si="201"/>
        <v/>
      </c>
      <c r="T1943" s="317" t="str">
        <f>'REF. DE PREÇOS n editavel'!S1943</f>
        <v/>
      </c>
      <c r="W1943" s="577">
        <v>0</v>
      </c>
      <c r="X1943" s="575"/>
      <c r="Y1943" s="578">
        <f>IF('REF. DE PREÇOS n editavel'!W1943=0,0,IF('REF. DE PREÇOS n editavel'!W1943&gt;0,"c","b"))</f>
        <v>0</v>
      </c>
    </row>
    <row r="1944" spans="1:25" ht="15" customHeight="1">
      <c r="A1944" s="317">
        <v>610400</v>
      </c>
      <c r="B1944" s="870" t="s">
        <v>1808</v>
      </c>
      <c r="C1944" s="871" t="s">
        <v>184</v>
      </c>
      <c r="D1944" s="881" t="s">
        <v>472</v>
      </c>
      <c r="E1944" s="882">
        <f>'REF. DE PREÇOS n editavel'!E1944</f>
        <v>0</v>
      </c>
      <c r="F1944" s="883">
        <f>'REF. DE PREÇOS n editavel'!F1944</f>
        <v>0</v>
      </c>
      <c r="G1944" s="887">
        <f>'REF. DE PREÇOS n editavel'!G1944</f>
        <v>15.045682000000001</v>
      </c>
      <c r="H1944" s="876">
        <f>'REF. DE PREÇOS n editavel'!H1944</f>
        <v>73.98</v>
      </c>
      <c r="I1944" s="876">
        <f>'REF. DE PREÇOS n editavel'!I1944</f>
        <v>89.025682000000003</v>
      </c>
      <c r="J1944" s="877">
        <f>'REF. DE PREÇOS n editavel'!J1944</f>
        <v>108.81</v>
      </c>
      <c r="K1944" s="878" t="s">
        <v>13</v>
      </c>
      <c r="L1944" s="1092"/>
      <c r="M1944" s="1093">
        <f t="shared" si="198"/>
        <v>0</v>
      </c>
      <c r="N1944" s="1131">
        <f t="shared" si="202"/>
        <v>0</v>
      </c>
      <c r="O1944" s="880"/>
      <c r="Q1944" s="317" t="str">
        <f t="shared" si="199"/>
        <v/>
      </c>
      <c r="R1944" s="317" t="str">
        <f t="shared" si="200"/>
        <v/>
      </c>
      <c r="S1944" s="317" t="str">
        <f t="shared" si="201"/>
        <v/>
      </c>
      <c r="T1944" s="317" t="str">
        <f>'REF. DE PREÇOS n editavel'!S1944</f>
        <v/>
      </c>
      <c r="W1944" s="577">
        <v>0</v>
      </c>
      <c r="X1944" s="575"/>
      <c r="Y1944" s="578">
        <f>IF('REF. DE PREÇOS n editavel'!W1944=0,0,IF('REF. DE PREÇOS n editavel'!W1944&gt;0,"c","b"))</f>
        <v>0</v>
      </c>
    </row>
    <row r="1945" spans="1:25" ht="15" customHeight="1">
      <c r="A1945" s="317" t="s">
        <v>147</v>
      </c>
      <c r="B1945" s="870" t="s">
        <v>147</v>
      </c>
      <c r="C1945" s="871"/>
      <c r="D1945" s="881" t="s">
        <v>190</v>
      </c>
      <c r="E1945" s="882">
        <f>'REF. DE PREÇOS n editavel'!E1945</f>
        <v>445</v>
      </c>
      <c r="F1945" s="883">
        <f>'REF. DE PREÇOS n editavel'!F1945</f>
        <v>2.3E-3</v>
      </c>
      <c r="G1945" s="884">
        <f>'REF. DE PREÇOS n editavel'!G1945</f>
        <v>0.81631600000000004</v>
      </c>
      <c r="H1945" s="876">
        <f>'REF. DE PREÇOS n editavel'!H1945</f>
        <v>0</v>
      </c>
      <c r="I1945" s="876">
        <f>'REF. DE PREÇOS n editavel'!I1945</f>
        <v>0</v>
      </c>
      <c r="J1945" s="877">
        <f>'REF. DE PREÇOS n editavel'!J1945</f>
        <v>0</v>
      </c>
      <c r="K1945" s="878"/>
      <c r="L1945" s="1132"/>
      <c r="M1945" s="1093">
        <f t="shared" si="198"/>
        <v>0</v>
      </c>
      <c r="N1945" s="1131">
        <f t="shared" si="202"/>
        <v>0</v>
      </c>
      <c r="O1945" s="880"/>
      <c r="P1945" s="36" t="str">
        <f>IF(N1944&gt;0,"xx",IF(N1944&gt;0,"xy",""))</f>
        <v/>
      </c>
      <c r="Q1945" s="317" t="str">
        <f t="shared" si="199"/>
        <v/>
      </c>
      <c r="R1945" s="317" t="str">
        <f t="shared" si="200"/>
        <v/>
      </c>
      <c r="S1945" s="317" t="str">
        <f t="shared" si="201"/>
        <v/>
      </c>
      <c r="T1945" s="317" t="str">
        <f>'REF. DE PREÇOS n editavel'!S1945</f>
        <v/>
      </c>
      <c r="W1945" s="577">
        <v>0</v>
      </c>
      <c r="X1945" s="575"/>
      <c r="Y1945" s="578">
        <f>IF('REF. DE PREÇOS n editavel'!W1945=0,0,IF('REF. DE PREÇOS n editavel'!W1945&gt;0,"c","b"))</f>
        <v>0</v>
      </c>
    </row>
    <row r="1946" spans="1:25" ht="15" customHeight="1">
      <c r="A1946" s="317" t="s">
        <v>147</v>
      </c>
      <c r="B1946" s="870" t="s">
        <v>147</v>
      </c>
      <c r="C1946" s="871"/>
      <c r="D1946" s="881" t="s">
        <v>229</v>
      </c>
      <c r="E1946" s="882">
        <f>'REF. DE PREÇOS n editavel'!E1946</f>
        <v>290</v>
      </c>
      <c r="F1946" s="883">
        <f>'REF. DE PREÇOS n editavel'!F1946</f>
        <v>1.17E-2</v>
      </c>
      <c r="G1946" s="923">
        <f>'REF. DE PREÇOS n editavel'!G1946</f>
        <v>3.6618660000000003</v>
      </c>
      <c r="H1946" s="876">
        <f>'REF. DE PREÇOS n editavel'!H1946</f>
        <v>0</v>
      </c>
      <c r="I1946" s="876">
        <f>'REF. DE PREÇOS n editavel'!I1946</f>
        <v>0</v>
      </c>
      <c r="J1946" s="877">
        <f>'REF. DE PREÇOS n editavel'!J1946</f>
        <v>0</v>
      </c>
      <c r="K1946" s="878"/>
      <c r="L1946" s="1132"/>
      <c r="M1946" s="1093">
        <f t="shared" si="198"/>
        <v>0</v>
      </c>
      <c r="N1946" s="1131">
        <f t="shared" si="202"/>
        <v>0</v>
      </c>
      <c r="O1946" s="880"/>
      <c r="P1946" s="36" t="str">
        <f>IF(N1944&gt;0,"xx",IF(N1944&gt;0,"xy",""))</f>
        <v/>
      </c>
      <c r="Q1946" s="317" t="str">
        <f t="shared" si="199"/>
        <v/>
      </c>
      <c r="R1946" s="317" t="str">
        <f t="shared" si="200"/>
        <v/>
      </c>
      <c r="S1946" s="317" t="str">
        <f t="shared" si="201"/>
        <v/>
      </c>
      <c r="T1946" s="317" t="str">
        <f>'REF. DE PREÇOS n editavel'!S1946</f>
        <v/>
      </c>
      <c r="W1946" s="577">
        <v>0</v>
      </c>
      <c r="X1946" s="575"/>
      <c r="Y1946" s="578">
        <f>IF('REF. DE PREÇOS n editavel'!W1946=0,0,IF('REF. DE PREÇOS n editavel'!W1946&gt;0,"c","b"))</f>
        <v>0</v>
      </c>
    </row>
    <row r="1947" spans="1:25" ht="15" customHeight="1">
      <c r="A1947" s="317" t="s">
        <v>147</v>
      </c>
      <c r="B1947" s="870" t="s">
        <v>147</v>
      </c>
      <c r="C1947" s="871"/>
      <c r="D1947" s="881" t="s">
        <v>336</v>
      </c>
      <c r="E1947" s="882">
        <f>'REF. DE PREÇOS n editavel'!E1947</f>
        <v>37</v>
      </c>
      <c r="F1947" s="883">
        <f>'REF. DE PREÇOS n editavel'!F1947</f>
        <v>0.25</v>
      </c>
      <c r="G1947" s="923">
        <f>'REF. DE PREÇOS n editavel'!G1947</f>
        <v>10.567500000000001</v>
      </c>
      <c r="H1947" s="876">
        <f>'REF. DE PREÇOS n editavel'!H1947</f>
        <v>0</v>
      </c>
      <c r="I1947" s="876">
        <f>'REF. DE PREÇOS n editavel'!I1947</f>
        <v>0</v>
      </c>
      <c r="J1947" s="877">
        <f>'REF. DE PREÇOS n editavel'!J1947</f>
        <v>0</v>
      </c>
      <c r="K1947" s="878"/>
      <c r="L1947" s="1132"/>
      <c r="M1947" s="1093">
        <f t="shared" si="198"/>
        <v>0</v>
      </c>
      <c r="N1947" s="1131">
        <f t="shared" si="202"/>
        <v>0</v>
      </c>
      <c r="O1947" s="880"/>
      <c r="P1947" s="36" t="str">
        <f>IF(N1944&gt;0,"xx",IF(N1944&gt;0,"xy",""))</f>
        <v/>
      </c>
      <c r="Q1947" s="317" t="str">
        <f t="shared" si="199"/>
        <v/>
      </c>
      <c r="R1947" s="317" t="str">
        <f t="shared" si="200"/>
        <v/>
      </c>
      <c r="S1947" s="317" t="str">
        <f t="shared" si="201"/>
        <v/>
      </c>
      <c r="T1947" s="317" t="str">
        <f>'REF. DE PREÇOS n editavel'!S1947</f>
        <v/>
      </c>
      <c r="W1947" s="577">
        <v>0</v>
      </c>
      <c r="X1947" s="575"/>
      <c r="Y1947" s="578">
        <f>IF('REF. DE PREÇOS n editavel'!W1947=0,0,IF('REF. DE PREÇOS n editavel'!W1947&gt;0,"c","b"))</f>
        <v>0</v>
      </c>
    </row>
    <row r="1948" spans="1:25" ht="15" customHeight="1">
      <c r="A1948" s="317">
        <v>610600</v>
      </c>
      <c r="B1948" s="870" t="s">
        <v>1811</v>
      </c>
      <c r="C1948" s="871" t="s">
        <v>184</v>
      </c>
      <c r="D1948" s="881" t="s">
        <v>363</v>
      </c>
      <c r="E1948" s="882">
        <f>'REF. DE PREÇOS n editavel'!E1948</f>
        <v>0</v>
      </c>
      <c r="F1948" s="883">
        <f>'REF. DE PREÇOS n editavel'!F1948</f>
        <v>0</v>
      </c>
      <c r="G1948" s="887">
        <f>'REF. DE PREÇOS n editavel'!G1948</f>
        <v>21.602024000000004</v>
      </c>
      <c r="H1948" s="876">
        <f>'REF. DE PREÇOS n editavel'!H1948</f>
        <v>156.65</v>
      </c>
      <c r="I1948" s="876">
        <f>'REF. DE PREÇOS n editavel'!I1948</f>
        <v>178.25202400000001</v>
      </c>
      <c r="J1948" s="877">
        <f>'REF. DE PREÇOS n editavel'!J1948</f>
        <v>217.86</v>
      </c>
      <c r="K1948" s="878" t="s">
        <v>13</v>
      </c>
      <c r="L1948" s="1092"/>
      <c r="M1948" s="1093">
        <f t="shared" si="198"/>
        <v>0</v>
      </c>
      <c r="N1948" s="1131">
        <f t="shared" si="202"/>
        <v>0</v>
      </c>
      <c r="O1948" s="880"/>
      <c r="Q1948" s="317" t="str">
        <f t="shared" si="199"/>
        <v/>
      </c>
      <c r="R1948" s="317" t="str">
        <f t="shared" si="200"/>
        <v/>
      </c>
      <c r="S1948" s="317" t="str">
        <f t="shared" si="201"/>
        <v/>
      </c>
      <c r="T1948" s="317" t="str">
        <f>'REF. DE PREÇOS n editavel'!S1948</f>
        <v/>
      </c>
      <c r="W1948" s="577">
        <v>0</v>
      </c>
      <c r="X1948" s="575"/>
      <c r="Y1948" s="578">
        <f>IF('REF. DE PREÇOS n editavel'!W1948=0,0,IF('REF. DE PREÇOS n editavel'!W1948&gt;0,"c","b"))</f>
        <v>0</v>
      </c>
    </row>
    <row r="1949" spans="1:25" ht="15" customHeight="1">
      <c r="A1949" s="317" t="s">
        <v>147</v>
      </c>
      <c r="B1949" s="870" t="s">
        <v>147</v>
      </c>
      <c r="C1949" s="871"/>
      <c r="D1949" s="881" t="s">
        <v>190</v>
      </c>
      <c r="E1949" s="882">
        <f>'REF. DE PREÇOS n editavel'!E1949</f>
        <v>445</v>
      </c>
      <c r="F1949" s="883">
        <f>'REF. DE PREÇOS n editavel'!F1949</f>
        <v>2.5999999999999999E-3</v>
      </c>
      <c r="G1949" s="884">
        <f>'REF. DE PREÇOS n editavel'!G1949</f>
        <v>0.92279199999999995</v>
      </c>
      <c r="H1949" s="876">
        <f>'REF. DE PREÇOS n editavel'!H1949</f>
        <v>0</v>
      </c>
      <c r="I1949" s="876">
        <f>'REF. DE PREÇOS n editavel'!I1949</f>
        <v>0</v>
      </c>
      <c r="J1949" s="877">
        <f>'REF. DE PREÇOS n editavel'!J1949</f>
        <v>0</v>
      </c>
      <c r="K1949" s="878"/>
      <c r="L1949" s="1132"/>
      <c r="M1949" s="1093">
        <f t="shared" si="198"/>
        <v>0</v>
      </c>
      <c r="N1949" s="1131">
        <f t="shared" si="202"/>
        <v>0</v>
      </c>
      <c r="O1949" s="880"/>
      <c r="P1949" s="36" t="str">
        <f>IF(N1948&gt;0,"xx",IF(N1948&gt;0,"xy",""))</f>
        <v/>
      </c>
      <c r="Q1949" s="317" t="str">
        <f t="shared" si="199"/>
        <v/>
      </c>
      <c r="R1949" s="317" t="str">
        <f t="shared" si="200"/>
        <v/>
      </c>
      <c r="S1949" s="317" t="str">
        <f t="shared" si="201"/>
        <v/>
      </c>
      <c r="T1949" s="317" t="str">
        <f>'REF. DE PREÇOS n editavel'!S1949</f>
        <v/>
      </c>
      <c r="W1949" s="577">
        <v>0</v>
      </c>
      <c r="X1949" s="575"/>
      <c r="Y1949" s="578">
        <f>IF('REF. DE PREÇOS n editavel'!W1949=0,0,IF('REF. DE PREÇOS n editavel'!W1949&gt;0,"c","b"))</f>
        <v>0</v>
      </c>
    </row>
    <row r="1950" spans="1:25" ht="15" customHeight="1">
      <c r="A1950" s="317" t="s">
        <v>147</v>
      </c>
      <c r="B1950" s="870" t="s">
        <v>147</v>
      </c>
      <c r="C1950" s="871"/>
      <c r="D1950" s="881" t="s">
        <v>229</v>
      </c>
      <c r="E1950" s="882">
        <f>'REF. DE PREÇOS n editavel'!E1950</f>
        <v>290</v>
      </c>
      <c r="F1950" s="883">
        <f>'REF. DE PREÇOS n editavel'!F1950</f>
        <v>1.34E-2</v>
      </c>
      <c r="G1950" s="923">
        <f>'REF. DE PREÇOS n editavel'!G1950</f>
        <v>4.1939320000000002</v>
      </c>
      <c r="H1950" s="876">
        <f>'REF. DE PREÇOS n editavel'!H1950</f>
        <v>0</v>
      </c>
      <c r="I1950" s="876">
        <f>'REF. DE PREÇOS n editavel'!I1950</f>
        <v>0</v>
      </c>
      <c r="J1950" s="877">
        <f>'REF. DE PREÇOS n editavel'!J1950</f>
        <v>0</v>
      </c>
      <c r="K1950" s="878"/>
      <c r="L1950" s="1132"/>
      <c r="M1950" s="1093">
        <f t="shared" si="198"/>
        <v>0</v>
      </c>
      <c r="N1950" s="1131">
        <f t="shared" si="202"/>
        <v>0</v>
      </c>
      <c r="O1950" s="880"/>
      <c r="P1950" s="36" t="str">
        <f>IF(N1948&gt;0,"xx",IF(N1948&gt;0,"xy",""))</f>
        <v/>
      </c>
      <c r="Q1950" s="317" t="str">
        <f t="shared" si="199"/>
        <v/>
      </c>
      <c r="R1950" s="317" t="str">
        <f t="shared" si="200"/>
        <v/>
      </c>
      <c r="S1950" s="317" t="str">
        <f t="shared" si="201"/>
        <v/>
      </c>
      <c r="T1950" s="317" t="str">
        <f>'REF. DE PREÇOS n editavel'!S1950</f>
        <v/>
      </c>
      <c r="W1950" s="577">
        <v>0</v>
      </c>
      <c r="X1950" s="575"/>
      <c r="Y1950" s="578">
        <f>IF('REF. DE PREÇOS n editavel'!W1950=0,0,IF('REF. DE PREÇOS n editavel'!W1950&gt;0,"c","b"))</f>
        <v>0</v>
      </c>
    </row>
    <row r="1951" spans="1:25" ht="15" customHeight="1">
      <c r="A1951" s="317" t="s">
        <v>147</v>
      </c>
      <c r="B1951" s="870" t="s">
        <v>147</v>
      </c>
      <c r="C1951" s="871"/>
      <c r="D1951" s="881" t="s">
        <v>336</v>
      </c>
      <c r="E1951" s="882">
        <f>'REF. DE PREÇOS n editavel'!E1951</f>
        <v>37</v>
      </c>
      <c r="F1951" s="883">
        <f>'REF. DE PREÇOS n editavel'!F1951</f>
        <v>0.39</v>
      </c>
      <c r="G1951" s="923">
        <f>'REF. DE PREÇOS n editavel'!G1951</f>
        <v>16.485300000000002</v>
      </c>
      <c r="H1951" s="876">
        <f>'REF. DE PREÇOS n editavel'!H1951</f>
        <v>0</v>
      </c>
      <c r="I1951" s="876">
        <f>'REF. DE PREÇOS n editavel'!I1951</f>
        <v>0</v>
      </c>
      <c r="J1951" s="877">
        <f>'REF. DE PREÇOS n editavel'!J1951</f>
        <v>0</v>
      </c>
      <c r="K1951" s="878"/>
      <c r="L1951" s="1132"/>
      <c r="M1951" s="1093">
        <f t="shared" si="198"/>
        <v>0</v>
      </c>
      <c r="N1951" s="1131">
        <f t="shared" si="202"/>
        <v>0</v>
      </c>
      <c r="O1951" s="880"/>
      <c r="P1951" s="36" t="str">
        <f>IF(N1948&gt;0,"xx",IF(N1948&gt;0,"xy",""))</f>
        <v/>
      </c>
      <c r="Q1951" s="317" t="str">
        <f t="shared" si="199"/>
        <v/>
      </c>
      <c r="R1951" s="317" t="str">
        <f t="shared" si="200"/>
        <v/>
      </c>
      <c r="S1951" s="317" t="str">
        <f t="shared" si="201"/>
        <v/>
      </c>
      <c r="T1951" s="317" t="str">
        <f>'REF. DE PREÇOS n editavel'!S1951</f>
        <v/>
      </c>
      <c r="W1951" s="577">
        <v>0</v>
      </c>
      <c r="X1951" s="575"/>
      <c r="Y1951" s="578">
        <f>IF('REF. DE PREÇOS n editavel'!W1951=0,0,IF('REF. DE PREÇOS n editavel'!W1951&gt;0,"c","b"))</f>
        <v>0</v>
      </c>
    </row>
    <row r="1952" spans="1:25" ht="15" customHeight="1">
      <c r="A1952" s="317">
        <v>610600</v>
      </c>
      <c r="B1952" s="870" t="s">
        <v>1812</v>
      </c>
      <c r="C1952" s="871" t="s">
        <v>184</v>
      </c>
      <c r="D1952" s="881" t="s">
        <v>473</v>
      </c>
      <c r="E1952" s="882">
        <f>'REF. DE PREÇOS n editavel'!E1952</f>
        <v>0</v>
      </c>
      <c r="F1952" s="883">
        <f>'REF. DE PREÇOS n editavel'!F1952</f>
        <v>0</v>
      </c>
      <c r="G1952" s="887">
        <f>'REF. DE PREÇOS n editavel'!G1952</f>
        <v>28.158366000000001</v>
      </c>
      <c r="H1952" s="876">
        <f>'REF. DE PREÇOS n editavel'!H1952</f>
        <v>173.22</v>
      </c>
      <c r="I1952" s="876">
        <f>'REF. DE PREÇOS n editavel'!I1952</f>
        <v>201.378366</v>
      </c>
      <c r="J1952" s="877">
        <f>'REF. DE PREÇOS n editavel'!J1952</f>
        <v>246.12</v>
      </c>
      <c r="K1952" s="878" t="s">
        <v>13</v>
      </c>
      <c r="L1952" s="1092"/>
      <c r="M1952" s="1093">
        <f t="shared" si="198"/>
        <v>0</v>
      </c>
      <c r="N1952" s="1131">
        <f t="shared" si="202"/>
        <v>0</v>
      </c>
      <c r="O1952" s="880"/>
      <c r="Q1952" s="317" t="str">
        <f t="shared" si="199"/>
        <v/>
      </c>
      <c r="R1952" s="317" t="str">
        <f t="shared" si="200"/>
        <v/>
      </c>
      <c r="S1952" s="317" t="str">
        <f t="shared" si="201"/>
        <v/>
      </c>
      <c r="T1952" s="317" t="str">
        <f>'REF. DE PREÇOS n editavel'!S1952</f>
        <v/>
      </c>
      <c r="W1952" s="577">
        <v>0</v>
      </c>
      <c r="X1952" s="575"/>
      <c r="Y1952" s="578">
        <f>IF('REF. DE PREÇOS n editavel'!W1952=0,0,IF('REF. DE PREÇOS n editavel'!W1952&gt;0,"c","b"))</f>
        <v>0</v>
      </c>
    </row>
    <row r="1953" spans="1:25" ht="15" customHeight="1">
      <c r="A1953" s="317" t="s">
        <v>147</v>
      </c>
      <c r="B1953" s="870" t="s">
        <v>147</v>
      </c>
      <c r="C1953" s="871"/>
      <c r="D1953" s="881" t="s">
        <v>190</v>
      </c>
      <c r="E1953" s="882">
        <f>'REF. DE PREÇOS n editavel'!E1953</f>
        <v>445</v>
      </c>
      <c r="F1953" s="883">
        <f>'REF. DE PREÇOS n editavel'!F1953</f>
        <v>2.8999999999999998E-3</v>
      </c>
      <c r="G1953" s="884">
        <f>'REF. DE PREÇOS n editavel'!G1953</f>
        <v>1.0292680000000001</v>
      </c>
      <c r="H1953" s="876">
        <f>'REF. DE PREÇOS n editavel'!H1953</f>
        <v>0</v>
      </c>
      <c r="I1953" s="876">
        <f>'REF. DE PREÇOS n editavel'!I1953</f>
        <v>0</v>
      </c>
      <c r="J1953" s="877">
        <f>'REF. DE PREÇOS n editavel'!J1953</f>
        <v>0</v>
      </c>
      <c r="K1953" s="878"/>
      <c r="L1953" s="1132"/>
      <c r="M1953" s="1093">
        <f t="shared" si="198"/>
        <v>0</v>
      </c>
      <c r="N1953" s="1131">
        <f t="shared" si="202"/>
        <v>0</v>
      </c>
      <c r="O1953" s="880"/>
      <c r="P1953" s="36" t="str">
        <f>IF(N1952&gt;0,"xx",IF(N1952&gt;0,"xy",""))</f>
        <v/>
      </c>
      <c r="Q1953" s="317" t="str">
        <f t="shared" si="199"/>
        <v/>
      </c>
      <c r="R1953" s="317" t="str">
        <f t="shared" si="200"/>
        <v/>
      </c>
      <c r="S1953" s="317" t="str">
        <f t="shared" si="201"/>
        <v/>
      </c>
      <c r="T1953" s="317" t="str">
        <f>'REF. DE PREÇOS n editavel'!S1953</f>
        <v/>
      </c>
      <c r="W1953" s="577">
        <v>0</v>
      </c>
      <c r="X1953" s="575"/>
      <c r="Y1953" s="578">
        <f>IF('REF. DE PREÇOS n editavel'!W1953=0,0,IF('REF. DE PREÇOS n editavel'!W1953&gt;0,"c","b"))</f>
        <v>0</v>
      </c>
    </row>
    <row r="1954" spans="1:25" ht="15" customHeight="1">
      <c r="A1954" s="317" t="s">
        <v>147</v>
      </c>
      <c r="B1954" s="870" t="s">
        <v>147</v>
      </c>
      <c r="C1954" s="871"/>
      <c r="D1954" s="881" t="s">
        <v>229</v>
      </c>
      <c r="E1954" s="882">
        <f>'REF. DE PREÇOS n editavel'!E1954</f>
        <v>290</v>
      </c>
      <c r="F1954" s="883">
        <f>'REF. DE PREÇOS n editavel'!F1954</f>
        <v>1.5100000000000001E-2</v>
      </c>
      <c r="G1954" s="923">
        <f>'REF. DE PREÇOS n editavel'!G1954</f>
        <v>4.7259980000000006</v>
      </c>
      <c r="H1954" s="876">
        <f>'REF. DE PREÇOS n editavel'!H1954</f>
        <v>0</v>
      </c>
      <c r="I1954" s="876">
        <f>'REF. DE PREÇOS n editavel'!I1954</f>
        <v>0</v>
      </c>
      <c r="J1954" s="877">
        <f>'REF. DE PREÇOS n editavel'!J1954</f>
        <v>0</v>
      </c>
      <c r="K1954" s="878"/>
      <c r="L1954" s="1132"/>
      <c r="M1954" s="1093">
        <f t="shared" si="198"/>
        <v>0</v>
      </c>
      <c r="N1954" s="1131">
        <f t="shared" si="202"/>
        <v>0</v>
      </c>
      <c r="O1954" s="880"/>
      <c r="P1954" s="36" t="str">
        <f>IF(N1952&gt;0,"xx",IF(N1952&gt;0,"xy",""))</f>
        <v/>
      </c>
      <c r="Q1954" s="317" t="str">
        <f t="shared" si="199"/>
        <v/>
      </c>
      <c r="R1954" s="317" t="str">
        <f t="shared" si="200"/>
        <v/>
      </c>
      <c r="S1954" s="317" t="str">
        <f t="shared" si="201"/>
        <v/>
      </c>
      <c r="T1954" s="317" t="str">
        <f>'REF. DE PREÇOS n editavel'!S1954</f>
        <v/>
      </c>
      <c r="W1954" s="577">
        <v>0</v>
      </c>
      <c r="X1954" s="575"/>
      <c r="Y1954" s="578">
        <f>IF('REF. DE PREÇOS n editavel'!W1954=0,0,IF('REF. DE PREÇOS n editavel'!W1954&gt;0,"c","b"))</f>
        <v>0</v>
      </c>
    </row>
    <row r="1955" spans="1:25" ht="15" customHeight="1">
      <c r="A1955" s="317" t="s">
        <v>147</v>
      </c>
      <c r="B1955" s="870" t="s">
        <v>147</v>
      </c>
      <c r="C1955" s="871"/>
      <c r="D1955" s="881" t="s">
        <v>336</v>
      </c>
      <c r="E1955" s="882">
        <f>'REF. DE PREÇOS n editavel'!E1955</f>
        <v>37</v>
      </c>
      <c r="F1955" s="883">
        <f>'REF. DE PREÇOS n editavel'!F1955</f>
        <v>0.53</v>
      </c>
      <c r="G1955" s="923">
        <f>'REF. DE PREÇOS n editavel'!G1955</f>
        <v>22.403100000000002</v>
      </c>
      <c r="H1955" s="876">
        <f>'REF. DE PREÇOS n editavel'!H1955</f>
        <v>0</v>
      </c>
      <c r="I1955" s="876">
        <f>'REF. DE PREÇOS n editavel'!I1955</f>
        <v>0</v>
      </c>
      <c r="J1955" s="877">
        <f>'REF. DE PREÇOS n editavel'!J1955</f>
        <v>0</v>
      </c>
      <c r="K1955" s="878"/>
      <c r="L1955" s="1132"/>
      <c r="M1955" s="1093">
        <f t="shared" si="198"/>
        <v>0</v>
      </c>
      <c r="N1955" s="1131">
        <f t="shared" si="202"/>
        <v>0</v>
      </c>
      <c r="O1955" s="880"/>
      <c r="P1955" s="36" t="str">
        <f>IF(N1952&gt;0,"xx",IF(N1952&gt;0,"xy",""))</f>
        <v/>
      </c>
      <c r="Q1955" s="317" t="str">
        <f t="shared" si="199"/>
        <v/>
      </c>
      <c r="R1955" s="317" t="str">
        <f t="shared" si="200"/>
        <v/>
      </c>
      <c r="S1955" s="317" t="str">
        <f t="shared" si="201"/>
        <v/>
      </c>
      <c r="T1955" s="317" t="str">
        <f>'REF. DE PREÇOS n editavel'!S1955</f>
        <v/>
      </c>
      <c r="W1955" s="577">
        <v>0</v>
      </c>
      <c r="X1955" s="575"/>
      <c r="Y1955" s="578">
        <f>IF('REF. DE PREÇOS n editavel'!W1955=0,0,IF('REF. DE PREÇOS n editavel'!W1955&gt;0,"c","b"))</f>
        <v>0</v>
      </c>
    </row>
    <row r="1956" spans="1:25" ht="15" customHeight="1">
      <c r="A1956" s="317">
        <v>610800</v>
      </c>
      <c r="B1956" s="870" t="s">
        <v>1817</v>
      </c>
      <c r="C1956" s="871" t="s">
        <v>184</v>
      </c>
      <c r="D1956" s="881" t="s">
        <v>364</v>
      </c>
      <c r="E1956" s="882">
        <f>'REF. DE PREÇOS n editavel'!E1956</f>
        <v>0</v>
      </c>
      <c r="F1956" s="883">
        <f>'REF. DE PREÇOS n editavel'!F1956</f>
        <v>0</v>
      </c>
      <c r="G1956" s="887">
        <f>'REF. DE PREÇOS n editavel'!G1956</f>
        <v>34.714708000000002</v>
      </c>
      <c r="H1956" s="876">
        <f>'REF. DE PREÇOS n editavel'!H1956</f>
        <v>300.07</v>
      </c>
      <c r="I1956" s="876">
        <f>'REF. DE PREÇOS n editavel'!I1956</f>
        <v>334.78470800000002</v>
      </c>
      <c r="J1956" s="877">
        <f>'REF. DE PREÇOS n editavel'!J1956</f>
        <v>409.17</v>
      </c>
      <c r="K1956" s="878" t="s">
        <v>13</v>
      </c>
      <c r="L1956" s="1092"/>
      <c r="M1956" s="1093">
        <f t="shared" si="198"/>
        <v>0</v>
      </c>
      <c r="N1956" s="1131">
        <f t="shared" si="202"/>
        <v>0</v>
      </c>
      <c r="O1956" s="880"/>
      <c r="Q1956" s="317" t="str">
        <f t="shared" si="199"/>
        <v/>
      </c>
      <c r="R1956" s="317" t="str">
        <f t="shared" si="200"/>
        <v/>
      </c>
      <c r="S1956" s="317" t="str">
        <f t="shared" si="201"/>
        <v/>
      </c>
      <c r="T1956" s="317" t="str">
        <f>'REF. DE PREÇOS n editavel'!S1956</f>
        <v/>
      </c>
      <c r="W1956" s="577">
        <v>0</v>
      </c>
      <c r="X1956" s="575"/>
      <c r="Y1956" s="578">
        <f>IF('REF. DE PREÇOS n editavel'!W1956=0,0,IF('REF. DE PREÇOS n editavel'!W1956&gt;0,"c","b"))</f>
        <v>0</v>
      </c>
    </row>
    <row r="1957" spans="1:25" ht="15" customHeight="1">
      <c r="A1957" s="317" t="s">
        <v>147</v>
      </c>
      <c r="B1957" s="870" t="s">
        <v>147</v>
      </c>
      <c r="C1957" s="871"/>
      <c r="D1957" s="881" t="s">
        <v>190</v>
      </c>
      <c r="E1957" s="882">
        <f>'REF. DE PREÇOS n editavel'!E1957</f>
        <v>445</v>
      </c>
      <c r="F1957" s="883">
        <f>'REF. DE PREÇOS n editavel'!F1957</f>
        <v>3.2000000000000002E-3</v>
      </c>
      <c r="G1957" s="884">
        <f>'REF. DE PREÇOS n editavel'!G1957</f>
        <v>1.1357440000000001</v>
      </c>
      <c r="H1957" s="876">
        <f>'REF. DE PREÇOS n editavel'!H1957</f>
        <v>0</v>
      </c>
      <c r="I1957" s="876">
        <f>'REF. DE PREÇOS n editavel'!I1957</f>
        <v>0</v>
      </c>
      <c r="J1957" s="877">
        <f>'REF. DE PREÇOS n editavel'!J1957</f>
        <v>0</v>
      </c>
      <c r="K1957" s="878"/>
      <c r="L1957" s="1132"/>
      <c r="M1957" s="1093">
        <f t="shared" si="198"/>
        <v>0</v>
      </c>
      <c r="N1957" s="1131">
        <f t="shared" si="202"/>
        <v>0</v>
      </c>
      <c r="O1957" s="880"/>
      <c r="P1957" s="36" t="str">
        <f>IF(N1956&gt;0,"xx",IF(N1956&gt;0,"xy",""))</f>
        <v/>
      </c>
      <c r="Q1957" s="317" t="str">
        <f t="shared" si="199"/>
        <v/>
      </c>
      <c r="R1957" s="317" t="str">
        <f t="shared" si="200"/>
        <v/>
      </c>
      <c r="S1957" s="317" t="str">
        <f t="shared" si="201"/>
        <v/>
      </c>
      <c r="T1957" s="317" t="str">
        <f>'REF. DE PREÇOS n editavel'!S1957</f>
        <v/>
      </c>
      <c r="W1957" s="577">
        <v>0</v>
      </c>
      <c r="X1957" s="575"/>
      <c r="Y1957" s="578">
        <f>IF('REF. DE PREÇOS n editavel'!W1957=0,0,IF('REF. DE PREÇOS n editavel'!W1957&gt;0,"c","b"))</f>
        <v>0</v>
      </c>
    </row>
    <row r="1958" spans="1:25" ht="15" customHeight="1">
      <c r="A1958" s="317" t="s">
        <v>147</v>
      </c>
      <c r="B1958" s="870" t="s">
        <v>147</v>
      </c>
      <c r="C1958" s="871"/>
      <c r="D1958" s="881" t="s">
        <v>229</v>
      </c>
      <c r="E1958" s="882">
        <f>'REF. DE PREÇOS n editavel'!E1958</f>
        <v>290</v>
      </c>
      <c r="F1958" s="883">
        <f>'REF. DE PREÇOS n editavel'!F1958</f>
        <v>1.6799999999999999E-2</v>
      </c>
      <c r="G1958" s="923">
        <f>'REF. DE PREÇOS n editavel'!G1958</f>
        <v>5.2580640000000001</v>
      </c>
      <c r="H1958" s="876">
        <f>'REF. DE PREÇOS n editavel'!H1958</f>
        <v>0</v>
      </c>
      <c r="I1958" s="876">
        <f>'REF. DE PREÇOS n editavel'!I1958</f>
        <v>0</v>
      </c>
      <c r="J1958" s="877">
        <f>'REF. DE PREÇOS n editavel'!J1958</f>
        <v>0</v>
      </c>
      <c r="K1958" s="878"/>
      <c r="L1958" s="1132"/>
      <c r="M1958" s="1093">
        <f t="shared" si="198"/>
        <v>0</v>
      </c>
      <c r="N1958" s="1131">
        <f t="shared" si="202"/>
        <v>0</v>
      </c>
      <c r="O1958" s="880"/>
      <c r="P1958" s="36" t="str">
        <f>IF(N1956&gt;0,"xx",IF(N1956&gt;0,"xy",""))</f>
        <v/>
      </c>
      <c r="Q1958" s="317" t="str">
        <f t="shared" si="199"/>
        <v/>
      </c>
      <c r="R1958" s="317" t="str">
        <f t="shared" si="200"/>
        <v/>
      </c>
      <c r="S1958" s="317" t="str">
        <f t="shared" si="201"/>
        <v/>
      </c>
      <c r="T1958" s="317" t="str">
        <f>'REF. DE PREÇOS n editavel'!S1958</f>
        <v/>
      </c>
      <c r="W1958" s="577">
        <v>0</v>
      </c>
      <c r="X1958" s="575"/>
      <c r="Y1958" s="578">
        <f>IF('REF. DE PREÇOS n editavel'!W1958=0,0,IF('REF. DE PREÇOS n editavel'!W1958&gt;0,"c","b"))</f>
        <v>0</v>
      </c>
    </row>
    <row r="1959" spans="1:25" ht="15" customHeight="1">
      <c r="A1959" s="317" t="s">
        <v>147</v>
      </c>
      <c r="B1959" s="870" t="s">
        <v>147</v>
      </c>
      <c r="C1959" s="871"/>
      <c r="D1959" s="881" t="s">
        <v>336</v>
      </c>
      <c r="E1959" s="882">
        <f>'REF. DE PREÇOS n editavel'!E1959</f>
        <v>37</v>
      </c>
      <c r="F1959" s="883">
        <f>'REF. DE PREÇOS n editavel'!F1959</f>
        <v>0.67</v>
      </c>
      <c r="G1959" s="923">
        <f>'REF. DE PREÇOS n editavel'!G1959</f>
        <v>28.320900000000005</v>
      </c>
      <c r="H1959" s="876">
        <f>'REF. DE PREÇOS n editavel'!H1959</f>
        <v>0</v>
      </c>
      <c r="I1959" s="876">
        <f>'REF. DE PREÇOS n editavel'!I1959</f>
        <v>0</v>
      </c>
      <c r="J1959" s="877">
        <f>'REF. DE PREÇOS n editavel'!J1959</f>
        <v>0</v>
      </c>
      <c r="K1959" s="878"/>
      <c r="L1959" s="1132"/>
      <c r="M1959" s="1093">
        <f t="shared" si="198"/>
        <v>0</v>
      </c>
      <c r="N1959" s="1131">
        <f t="shared" si="202"/>
        <v>0</v>
      </c>
      <c r="O1959" s="880"/>
      <c r="P1959" s="36" t="str">
        <f>IF(N1956&gt;0,"xx",IF(N1956&gt;0,"xy",""))</f>
        <v/>
      </c>
      <c r="Q1959" s="317" t="str">
        <f t="shared" si="199"/>
        <v/>
      </c>
      <c r="R1959" s="317" t="str">
        <f t="shared" si="200"/>
        <v/>
      </c>
      <c r="S1959" s="317" t="str">
        <f t="shared" si="201"/>
        <v/>
      </c>
      <c r="T1959" s="317" t="str">
        <f>'REF. DE PREÇOS n editavel'!S1959</f>
        <v/>
      </c>
      <c r="W1959" s="577">
        <v>0</v>
      </c>
      <c r="X1959" s="575"/>
      <c r="Y1959" s="578">
        <f>IF('REF. DE PREÇOS n editavel'!W1959=0,0,IF('REF. DE PREÇOS n editavel'!W1959&gt;0,"c","b"))</f>
        <v>0</v>
      </c>
    </row>
    <row r="1960" spans="1:25" ht="15" customHeight="1">
      <c r="A1960" s="317">
        <v>610400</v>
      </c>
      <c r="B1960" s="870" t="s">
        <v>1809</v>
      </c>
      <c r="C1960" s="871" t="s">
        <v>184</v>
      </c>
      <c r="D1960" s="881" t="s">
        <v>1995</v>
      </c>
      <c r="E1960" s="882">
        <f>'REF. DE PREÇOS n editavel'!E1960</f>
        <v>0</v>
      </c>
      <c r="F1960" s="883">
        <f>'REF. DE PREÇOS n editavel'!F1960</f>
        <v>0</v>
      </c>
      <c r="G1960" s="887">
        <f>'REF. DE PREÇOS n editavel'!G1960</f>
        <v>4.1224880000000006</v>
      </c>
      <c r="H1960" s="876">
        <f>'REF. DE PREÇOS n editavel'!H1960</f>
        <v>137.47</v>
      </c>
      <c r="I1960" s="876">
        <f>'REF. DE PREÇOS n editavel'!I1960</f>
        <v>141.592488</v>
      </c>
      <c r="J1960" s="877">
        <f>'REF. DE PREÇOS n editavel'!J1960</f>
        <v>173.05</v>
      </c>
      <c r="K1960" s="878" t="s">
        <v>13</v>
      </c>
      <c r="L1960" s="1092">
        <v>12</v>
      </c>
      <c r="M1960" s="1093">
        <f t="shared" si="198"/>
        <v>173.05</v>
      </c>
      <c r="N1960" s="1131">
        <f t="shared" si="202"/>
        <v>2076.6</v>
      </c>
      <c r="O1960" s="880"/>
      <c r="Q1960" s="317" t="str">
        <f t="shared" si="199"/>
        <v>x</v>
      </c>
      <c r="R1960" s="317" t="str">
        <f t="shared" si="200"/>
        <v>x</v>
      </c>
      <c r="S1960" s="317" t="str">
        <f t="shared" si="201"/>
        <v>x</v>
      </c>
      <c r="T1960" s="317" t="str">
        <f>'REF. DE PREÇOS n editavel'!S1960</f>
        <v>x</v>
      </c>
      <c r="W1960" s="577">
        <v>0</v>
      </c>
      <c r="X1960" s="575"/>
      <c r="Y1960" s="578">
        <f>IF('REF. DE PREÇOS n editavel'!W1960=0,0,IF('REF. DE PREÇOS n editavel'!W1960&gt;0,"c","b"))</f>
        <v>0</v>
      </c>
    </row>
    <row r="1961" spans="1:25" ht="15" customHeight="1">
      <c r="A1961" s="317" t="s">
        <v>147</v>
      </c>
      <c r="B1961" s="870" t="s">
        <v>147</v>
      </c>
      <c r="C1961" s="871"/>
      <c r="D1961" s="881" t="s">
        <v>190</v>
      </c>
      <c r="E1961" s="882">
        <f>'REF. DE PREÇOS n editavel'!E1961</f>
        <v>445</v>
      </c>
      <c r="F1961" s="883">
        <f>'REF. DE PREÇOS n editavel'!F1961</f>
        <v>1.9E-3</v>
      </c>
      <c r="G1961" s="884">
        <f>'REF. DE PREÇOS n editavel'!G1961</f>
        <v>0.67434800000000006</v>
      </c>
      <c r="H1961" s="876">
        <f>'REF. DE PREÇOS n editavel'!H1961</f>
        <v>0</v>
      </c>
      <c r="I1961" s="876">
        <f>'REF. DE PREÇOS n editavel'!I1961</f>
        <v>0</v>
      </c>
      <c r="J1961" s="877">
        <f>'REF. DE PREÇOS n editavel'!J1961</f>
        <v>0</v>
      </c>
      <c r="K1961" s="878"/>
      <c r="L1961" s="1132"/>
      <c r="M1961" s="1093">
        <f t="shared" si="198"/>
        <v>0</v>
      </c>
      <c r="N1961" s="1131">
        <f t="shared" si="202"/>
        <v>0</v>
      </c>
      <c r="O1961" s="880"/>
      <c r="P1961" s="36" t="str">
        <f>IF(N1960&gt;0,"xx",IF(N1960&gt;0,"xy",""))</f>
        <v>xx</v>
      </c>
      <c r="Q1961" s="317" t="str">
        <f t="shared" si="199"/>
        <v>x</v>
      </c>
      <c r="R1961" s="317" t="str">
        <f t="shared" si="200"/>
        <v>x</v>
      </c>
      <c r="S1961" s="317" t="str">
        <f t="shared" si="201"/>
        <v/>
      </c>
      <c r="T1961" s="317" t="str">
        <f>'REF. DE PREÇOS n editavel'!S1961</f>
        <v/>
      </c>
      <c r="W1961" s="577">
        <v>0</v>
      </c>
      <c r="X1961" s="575"/>
      <c r="Y1961" s="578">
        <f>IF('REF. DE PREÇOS n editavel'!W1961=0,0,IF('REF. DE PREÇOS n editavel'!W1961&gt;0,"c","b"))</f>
        <v>0</v>
      </c>
    </row>
    <row r="1962" spans="1:25" ht="15" customHeight="1">
      <c r="A1962" s="317" t="s">
        <v>147</v>
      </c>
      <c r="B1962" s="870" t="s">
        <v>147</v>
      </c>
      <c r="C1962" s="871"/>
      <c r="D1962" s="881" t="s">
        <v>229</v>
      </c>
      <c r="E1962" s="882">
        <f>'REF. DE PREÇOS n editavel'!E1962</f>
        <v>290</v>
      </c>
      <c r="F1962" s="883">
        <f>'REF. DE PREÇOS n editavel'!F1962</f>
        <v>0.01</v>
      </c>
      <c r="G1962" s="923">
        <f>'REF. DE PREÇOS n editavel'!G1962</f>
        <v>3.1298000000000004</v>
      </c>
      <c r="H1962" s="876">
        <f>'REF. DE PREÇOS n editavel'!H1962</f>
        <v>0</v>
      </c>
      <c r="I1962" s="876">
        <f>'REF. DE PREÇOS n editavel'!I1962</f>
        <v>0</v>
      </c>
      <c r="J1962" s="877">
        <f>'REF. DE PREÇOS n editavel'!J1962</f>
        <v>0</v>
      </c>
      <c r="K1962" s="878"/>
      <c r="L1962" s="1132"/>
      <c r="M1962" s="1093">
        <f t="shared" si="198"/>
        <v>0</v>
      </c>
      <c r="N1962" s="1131">
        <f t="shared" si="202"/>
        <v>0</v>
      </c>
      <c r="O1962" s="880"/>
      <c r="P1962" s="36" t="str">
        <f>IF(N1960&gt;0,"xx",IF(N1960&gt;0,"xy",""))</f>
        <v>xx</v>
      </c>
      <c r="Q1962" s="317" t="str">
        <f t="shared" si="199"/>
        <v>x</v>
      </c>
      <c r="R1962" s="317" t="str">
        <f t="shared" si="200"/>
        <v>x</v>
      </c>
      <c r="S1962" s="317" t="str">
        <f t="shared" si="201"/>
        <v/>
      </c>
      <c r="T1962" s="317" t="str">
        <f>'REF. DE PREÇOS n editavel'!S1962</f>
        <v/>
      </c>
      <c r="W1962" s="577">
        <v>0</v>
      </c>
      <c r="X1962" s="575"/>
      <c r="Y1962" s="578">
        <f>IF('REF. DE PREÇOS n editavel'!W1962=0,0,IF('REF. DE PREÇOS n editavel'!W1962&gt;0,"c","b"))</f>
        <v>0</v>
      </c>
    </row>
    <row r="1963" spans="1:25" ht="15" customHeight="1">
      <c r="A1963" s="317" t="s">
        <v>147</v>
      </c>
      <c r="B1963" s="870" t="s">
        <v>147</v>
      </c>
      <c r="C1963" s="871"/>
      <c r="D1963" s="881" t="s">
        <v>336</v>
      </c>
      <c r="E1963" s="882">
        <f>'REF. DE PREÇOS n editavel'!E1963</f>
        <v>0.2</v>
      </c>
      <c r="F1963" s="883">
        <f>'REF. DE PREÇOS n editavel'!F1963</f>
        <v>0.11</v>
      </c>
      <c r="G1963" s="923">
        <f>'REF. DE PREÇOS n editavel'!G1963</f>
        <v>0.31834000000000001</v>
      </c>
      <c r="H1963" s="876">
        <f>'REF. DE PREÇOS n editavel'!H1963</f>
        <v>0</v>
      </c>
      <c r="I1963" s="876">
        <f>'REF. DE PREÇOS n editavel'!I1963</f>
        <v>0</v>
      </c>
      <c r="J1963" s="877">
        <f>'REF. DE PREÇOS n editavel'!J1963</f>
        <v>0</v>
      </c>
      <c r="K1963" s="878"/>
      <c r="L1963" s="1132"/>
      <c r="M1963" s="1093">
        <f t="shared" si="198"/>
        <v>0</v>
      </c>
      <c r="N1963" s="1131">
        <f t="shared" si="202"/>
        <v>0</v>
      </c>
      <c r="O1963" s="880"/>
      <c r="P1963" s="36" t="str">
        <f>IF(N1960&gt;0,"xx",IF(N1960&gt;0,"xy",""))</f>
        <v>xx</v>
      </c>
      <c r="Q1963" s="317" t="str">
        <f t="shared" si="199"/>
        <v>x</v>
      </c>
      <c r="R1963" s="317" t="str">
        <f t="shared" si="200"/>
        <v>x</v>
      </c>
      <c r="S1963" s="317" t="str">
        <f t="shared" si="201"/>
        <v/>
      </c>
      <c r="T1963" s="317" t="str">
        <f>'REF. DE PREÇOS n editavel'!S1963</f>
        <v/>
      </c>
      <c r="W1963" s="577">
        <v>0</v>
      </c>
      <c r="X1963" s="575"/>
      <c r="Y1963" s="578">
        <f>IF('REF. DE PREÇOS n editavel'!W1963=0,0,IF('REF. DE PREÇOS n editavel'!W1963&gt;0,"c","b"))</f>
        <v>0</v>
      </c>
    </row>
    <row r="1964" spans="1:25" ht="15" customHeight="1">
      <c r="A1964" s="317">
        <v>610600</v>
      </c>
      <c r="B1964" s="870" t="s">
        <v>1813</v>
      </c>
      <c r="C1964" s="871" t="s">
        <v>184</v>
      </c>
      <c r="D1964" s="881" t="s">
        <v>1996</v>
      </c>
      <c r="E1964" s="882">
        <f>'REF. DE PREÇOS n editavel'!E1964</f>
        <v>0</v>
      </c>
      <c r="F1964" s="883">
        <f>'REF. DE PREÇOS n editavel'!F1964</f>
        <v>0</v>
      </c>
      <c r="G1964" s="887">
        <f>'REF. DE PREÇOS n editavel'!G1964</f>
        <v>15.045682000000001</v>
      </c>
      <c r="H1964" s="876">
        <f>'REF. DE PREÇOS n editavel'!H1964</f>
        <v>231.3</v>
      </c>
      <c r="I1964" s="876">
        <f>'REF. DE PREÇOS n editavel'!I1964</f>
        <v>246.34568200000001</v>
      </c>
      <c r="J1964" s="877">
        <f>'REF. DE PREÇOS n editavel'!J1964</f>
        <v>301.08</v>
      </c>
      <c r="K1964" s="878" t="s">
        <v>13</v>
      </c>
      <c r="L1964" s="1092"/>
      <c r="M1964" s="1093">
        <f t="shared" si="198"/>
        <v>0</v>
      </c>
      <c r="N1964" s="1131">
        <f t="shared" si="202"/>
        <v>0</v>
      </c>
      <c r="O1964" s="880"/>
      <c r="Q1964" s="317" t="str">
        <f t="shared" si="199"/>
        <v/>
      </c>
      <c r="R1964" s="317" t="str">
        <f t="shared" si="200"/>
        <v/>
      </c>
      <c r="S1964" s="317" t="str">
        <f t="shared" si="201"/>
        <v/>
      </c>
      <c r="T1964" s="317" t="str">
        <f>'REF. DE PREÇOS n editavel'!S1964</f>
        <v/>
      </c>
      <c r="W1964" s="577">
        <v>0</v>
      </c>
      <c r="X1964" s="575"/>
      <c r="Y1964" s="578">
        <f>IF('REF. DE PREÇOS n editavel'!W1964=0,0,IF('REF. DE PREÇOS n editavel'!W1964&gt;0,"c","b"))</f>
        <v>0</v>
      </c>
    </row>
    <row r="1965" spans="1:25" ht="15" customHeight="1">
      <c r="A1965" s="317" t="s">
        <v>147</v>
      </c>
      <c r="B1965" s="870" t="s">
        <v>147</v>
      </c>
      <c r="C1965" s="871"/>
      <c r="D1965" s="881" t="s">
        <v>190</v>
      </c>
      <c r="E1965" s="882">
        <f>'REF. DE PREÇOS n editavel'!E1965</f>
        <v>445</v>
      </c>
      <c r="F1965" s="883">
        <f>'REF. DE PREÇOS n editavel'!F1965</f>
        <v>2.3E-3</v>
      </c>
      <c r="G1965" s="884">
        <f>'REF. DE PREÇOS n editavel'!G1965</f>
        <v>0.81631600000000004</v>
      </c>
      <c r="H1965" s="876">
        <f>'REF. DE PREÇOS n editavel'!H1965</f>
        <v>0</v>
      </c>
      <c r="I1965" s="876">
        <f>'REF. DE PREÇOS n editavel'!I1965</f>
        <v>0</v>
      </c>
      <c r="J1965" s="877">
        <f>'REF. DE PREÇOS n editavel'!J1965</f>
        <v>0</v>
      </c>
      <c r="K1965" s="878"/>
      <c r="L1965" s="1132"/>
      <c r="M1965" s="1093">
        <f t="shared" si="198"/>
        <v>0</v>
      </c>
      <c r="N1965" s="1131">
        <f t="shared" si="202"/>
        <v>0</v>
      </c>
      <c r="O1965" s="880"/>
      <c r="P1965" s="36" t="str">
        <f>IF(N1964&gt;0,"xx",IF(N1964&gt;0,"xy",""))</f>
        <v/>
      </c>
      <c r="Q1965" s="317" t="str">
        <f t="shared" si="199"/>
        <v/>
      </c>
      <c r="R1965" s="317" t="str">
        <f t="shared" si="200"/>
        <v/>
      </c>
      <c r="S1965" s="317" t="str">
        <f t="shared" si="201"/>
        <v/>
      </c>
      <c r="T1965" s="317" t="str">
        <f>'REF. DE PREÇOS n editavel'!S1965</f>
        <v/>
      </c>
      <c r="W1965" s="577">
        <v>0</v>
      </c>
      <c r="X1965" s="575"/>
      <c r="Y1965" s="578">
        <f>IF('REF. DE PREÇOS n editavel'!W1965=0,0,IF('REF. DE PREÇOS n editavel'!W1965&gt;0,"c","b"))</f>
        <v>0</v>
      </c>
    </row>
    <row r="1966" spans="1:25" ht="15" customHeight="1">
      <c r="A1966" s="317" t="s">
        <v>147</v>
      </c>
      <c r="B1966" s="870" t="s">
        <v>147</v>
      </c>
      <c r="C1966" s="871"/>
      <c r="D1966" s="881" t="s">
        <v>229</v>
      </c>
      <c r="E1966" s="882">
        <f>'REF. DE PREÇOS n editavel'!E1966</f>
        <v>290</v>
      </c>
      <c r="F1966" s="883">
        <f>'REF. DE PREÇOS n editavel'!F1966</f>
        <v>1.17E-2</v>
      </c>
      <c r="G1966" s="923">
        <f>'REF. DE PREÇOS n editavel'!G1966</f>
        <v>3.6618660000000003</v>
      </c>
      <c r="H1966" s="876">
        <f>'REF. DE PREÇOS n editavel'!H1966</f>
        <v>0</v>
      </c>
      <c r="I1966" s="876">
        <f>'REF. DE PREÇOS n editavel'!I1966</f>
        <v>0</v>
      </c>
      <c r="J1966" s="877">
        <f>'REF. DE PREÇOS n editavel'!J1966</f>
        <v>0</v>
      </c>
      <c r="K1966" s="878"/>
      <c r="L1966" s="1132"/>
      <c r="M1966" s="1093">
        <f t="shared" si="198"/>
        <v>0</v>
      </c>
      <c r="N1966" s="1131">
        <f t="shared" si="202"/>
        <v>0</v>
      </c>
      <c r="O1966" s="880"/>
      <c r="P1966" s="36" t="str">
        <f>IF(N1964&gt;0,"xx",IF(N1964&gt;0,"xy",""))</f>
        <v/>
      </c>
      <c r="Q1966" s="317" t="str">
        <f t="shared" si="199"/>
        <v/>
      </c>
      <c r="R1966" s="317" t="str">
        <f t="shared" si="200"/>
        <v/>
      </c>
      <c r="S1966" s="317" t="str">
        <f t="shared" si="201"/>
        <v/>
      </c>
      <c r="T1966" s="317" t="str">
        <f>'REF. DE PREÇOS n editavel'!S1966</f>
        <v/>
      </c>
      <c r="W1966" s="577">
        <v>0</v>
      </c>
      <c r="X1966" s="575"/>
      <c r="Y1966" s="578">
        <f>IF('REF. DE PREÇOS n editavel'!W1966=0,0,IF('REF. DE PREÇOS n editavel'!W1966&gt;0,"c","b"))</f>
        <v>0</v>
      </c>
    </row>
    <row r="1967" spans="1:25" ht="15" customHeight="1">
      <c r="A1967" s="317" t="s">
        <v>147</v>
      </c>
      <c r="B1967" s="870" t="s">
        <v>147</v>
      </c>
      <c r="C1967" s="871"/>
      <c r="D1967" s="881" t="s">
        <v>336</v>
      </c>
      <c r="E1967" s="882">
        <f>'REF. DE PREÇOS n editavel'!E1967</f>
        <v>37</v>
      </c>
      <c r="F1967" s="883">
        <f>'REF. DE PREÇOS n editavel'!F1967</f>
        <v>0.25</v>
      </c>
      <c r="G1967" s="923">
        <f>'REF. DE PREÇOS n editavel'!G1967</f>
        <v>10.567500000000001</v>
      </c>
      <c r="H1967" s="876">
        <f>'REF. DE PREÇOS n editavel'!H1967</f>
        <v>0</v>
      </c>
      <c r="I1967" s="876">
        <f>'REF. DE PREÇOS n editavel'!I1967</f>
        <v>0</v>
      </c>
      <c r="J1967" s="877">
        <f>'REF. DE PREÇOS n editavel'!J1967</f>
        <v>0</v>
      </c>
      <c r="K1967" s="878"/>
      <c r="L1967" s="1132"/>
      <c r="M1967" s="1093">
        <f t="shared" si="198"/>
        <v>0</v>
      </c>
      <c r="N1967" s="1131">
        <f t="shared" si="202"/>
        <v>0</v>
      </c>
      <c r="O1967" s="880"/>
      <c r="P1967" s="36" t="str">
        <f>IF(N1964&gt;0,"xx",IF(N1964&gt;0,"xy",""))</f>
        <v/>
      </c>
      <c r="Q1967" s="317" t="str">
        <f t="shared" si="199"/>
        <v/>
      </c>
      <c r="R1967" s="317" t="str">
        <f t="shared" si="200"/>
        <v/>
      </c>
      <c r="S1967" s="317" t="str">
        <f t="shared" si="201"/>
        <v/>
      </c>
      <c r="T1967" s="317" t="str">
        <f>'REF. DE PREÇOS n editavel'!S1967</f>
        <v/>
      </c>
      <c r="W1967" s="577">
        <v>0</v>
      </c>
      <c r="X1967" s="575"/>
      <c r="Y1967" s="578">
        <f>IF('REF. DE PREÇOS n editavel'!W1967=0,0,IF('REF. DE PREÇOS n editavel'!W1967&gt;0,"c","b"))</f>
        <v>0</v>
      </c>
    </row>
    <row r="1968" spans="1:25" ht="15" customHeight="1">
      <c r="A1968" s="317">
        <v>610600</v>
      </c>
      <c r="B1968" s="870" t="s">
        <v>1814</v>
      </c>
      <c r="C1968" s="871" t="s">
        <v>184</v>
      </c>
      <c r="D1968" s="881" t="s">
        <v>1997</v>
      </c>
      <c r="E1968" s="882">
        <f>'REF. DE PREÇOS n editavel'!E1968</f>
        <v>0</v>
      </c>
      <c r="F1968" s="883">
        <f>'REF. DE PREÇOS n editavel'!F1968</f>
        <v>0</v>
      </c>
      <c r="G1968" s="887">
        <f>'REF. DE PREÇOS n editavel'!G1968</f>
        <v>21.602024000000004</v>
      </c>
      <c r="H1968" s="876">
        <f>'REF. DE PREÇOS n editavel'!H1968</f>
        <v>313.26</v>
      </c>
      <c r="I1968" s="876">
        <f>'REF. DE PREÇOS n editavel'!I1968</f>
        <v>334.86202400000002</v>
      </c>
      <c r="J1968" s="877">
        <f>'REF. DE PREÇOS n editavel'!J1968</f>
        <v>409.27</v>
      </c>
      <c r="K1968" s="878" t="s">
        <v>13</v>
      </c>
      <c r="L1968" s="1092"/>
      <c r="M1968" s="1093">
        <f t="shared" si="198"/>
        <v>0</v>
      </c>
      <c r="N1968" s="1131">
        <f t="shared" si="202"/>
        <v>0</v>
      </c>
      <c r="O1968" s="880"/>
      <c r="Q1968" s="317" t="str">
        <f t="shared" si="199"/>
        <v/>
      </c>
      <c r="R1968" s="317" t="str">
        <f t="shared" si="200"/>
        <v/>
      </c>
      <c r="S1968" s="317" t="str">
        <f t="shared" si="201"/>
        <v/>
      </c>
      <c r="T1968" s="317" t="str">
        <f>'REF. DE PREÇOS n editavel'!S1968</f>
        <v/>
      </c>
      <c r="W1968" s="577">
        <v>0</v>
      </c>
      <c r="X1968" s="575"/>
      <c r="Y1968" s="578">
        <f>IF('REF. DE PREÇOS n editavel'!W1968=0,0,IF('REF. DE PREÇOS n editavel'!W1968&gt;0,"c","b"))</f>
        <v>0</v>
      </c>
    </row>
    <row r="1969" spans="1:25" ht="15" customHeight="1">
      <c r="A1969" s="317" t="s">
        <v>147</v>
      </c>
      <c r="B1969" s="870" t="s">
        <v>147</v>
      </c>
      <c r="C1969" s="871"/>
      <c r="D1969" s="881" t="s">
        <v>190</v>
      </c>
      <c r="E1969" s="882">
        <f>'REF. DE PREÇOS n editavel'!E1969</f>
        <v>445</v>
      </c>
      <c r="F1969" s="883">
        <f>'REF. DE PREÇOS n editavel'!F1969</f>
        <v>2.5999999999999999E-3</v>
      </c>
      <c r="G1969" s="884">
        <f>'REF. DE PREÇOS n editavel'!G1969</f>
        <v>0.92279199999999995</v>
      </c>
      <c r="H1969" s="876">
        <f>'REF. DE PREÇOS n editavel'!H1969</f>
        <v>0</v>
      </c>
      <c r="I1969" s="876">
        <f>'REF. DE PREÇOS n editavel'!I1969</f>
        <v>0</v>
      </c>
      <c r="J1969" s="877">
        <f>'REF. DE PREÇOS n editavel'!J1969</f>
        <v>0</v>
      </c>
      <c r="K1969" s="878"/>
      <c r="L1969" s="1132"/>
      <c r="M1969" s="1093">
        <f t="shared" si="198"/>
        <v>0</v>
      </c>
      <c r="N1969" s="1131">
        <f t="shared" si="202"/>
        <v>0</v>
      </c>
      <c r="O1969" s="880"/>
      <c r="P1969" s="36" t="str">
        <f>IF(N1968&gt;0,"xx",IF(N1968&gt;0,"xy",""))</f>
        <v/>
      </c>
      <c r="Q1969" s="317" t="str">
        <f t="shared" si="199"/>
        <v/>
      </c>
      <c r="R1969" s="317" t="str">
        <f t="shared" si="200"/>
        <v/>
      </c>
      <c r="S1969" s="317" t="str">
        <f t="shared" si="201"/>
        <v/>
      </c>
      <c r="T1969" s="317" t="str">
        <f>'REF. DE PREÇOS n editavel'!S1969</f>
        <v/>
      </c>
      <c r="W1969" s="577">
        <v>0</v>
      </c>
      <c r="X1969" s="575"/>
      <c r="Y1969" s="578">
        <f>IF('REF. DE PREÇOS n editavel'!W1969=0,0,IF('REF. DE PREÇOS n editavel'!W1969&gt;0,"c","b"))</f>
        <v>0</v>
      </c>
    </row>
    <row r="1970" spans="1:25" ht="15" customHeight="1">
      <c r="A1970" s="317" t="s">
        <v>147</v>
      </c>
      <c r="B1970" s="870" t="s">
        <v>147</v>
      </c>
      <c r="C1970" s="871"/>
      <c r="D1970" s="881" t="s">
        <v>229</v>
      </c>
      <c r="E1970" s="882">
        <f>'REF. DE PREÇOS n editavel'!E1970</f>
        <v>290</v>
      </c>
      <c r="F1970" s="883">
        <f>'REF. DE PREÇOS n editavel'!F1970</f>
        <v>1.34E-2</v>
      </c>
      <c r="G1970" s="923">
        <f>'REF. DE PREÇOS n editavel'!G1970</f>
        <v>4.1939320000000002</v>
      </c>
      <c r="H1970" s="876">
        <f>'REF. DE PREÇOS n editavel'!H1970</f>
        <v>0</v>
      </c>
      <c r="I1970" s="876">
        <f>'REF. DE PREÇOS n editavel'!I1970</f>
        <v>0</v>
      </c>
      <c r="J1970" s="877">
        <f>'REF. DE PREÇOS n editavel'!J1970</f>
        <v>0</v>
      </c>
      <c r="K1970" s="878"/>
      <c r="L1970" s="1132"/>
      <c r="M1970" s="1093">
        <f t="shared" si="198"/>
        <v>0</v>
      </c>
      <c r="N1970" s="1131">
        <f t="shared" si="202"/>
        <v>0</v>
      </c>
      <c r="O1970" s="880"/>
      <c r="P1970" s="36" t="str">
        <f>IF(N1968&gt;0,"xx",IF(N1968&gt;0,"xy",""))</f>
        <v/>
      </c>
      <c r="Q1970" s="317" t="str">
        <f t="shared" si="199"/>
        <v/>
      </c>
      <c r="R1970" s="317" t="str">
        <f t="shared" si="200"/>
        <v/>
      </c>
      <c r="S1970" s="317" t="str">
        <f t="shared" si="201"/>
        <v/>
      </c>
      <c r="T1970" s="317" t="str">
        <f>'REF. DE PREÇOS n editavel'!S1970</f>
        <v/>
      </c>
      <c r="W1970" s="577">
        <v>0</v>
      </c>
      <c r="X1970" s="575"/>
      <c r="Y1970" s="578">
        <f>IF('REF. DE PREÇOS n editavel'!W1970=0,0,IF('REF. DE PREÇOS n editavel'!W1970&gt;0,"c","b"))</f>
        <v>0</v>
      </c>
    </row>
    <row r="1971" spans="1:25" ht="15" customHeight="1">
      <c r="A1971" s="317" t="s">
        <v>147</v>
      </c>
      <c r="B1971" s="870" t="s">
        <v>147</v>
      </c>
      <c r="C1971" s="871"/>
      <c r="D1971" s="881" t="s">
        <v>336</v>
      </c>
      <c r="E1971" s="882">
        <f>'REF. DE PREÇOS n editavel'!E1971</f>
        <v>37</v>
      </c>
      <c r="F1971" s="883">
        <f>'REF. DE PREÇOS n editavel'!F1971</f>
        <v>0.39</v>
      </c>
      <c r="G1971" s="923">
        <f>'REF. DE PREÇOS n editavel'!G1971</f>
        <v>16.485300000000002</v>
      </c>
      <c r="H1971" s="876">
        <f>'REF. DE PREÇOS n editavel'!H1971</f>
        <v>0</v>
      </c>
      <c r="I1971" s="876">
        <f>'REF. DE PREÇOS n editavel'!I1971</f>
        <v>0</v>
      </c>
      <c r="J1971" s="877">
        <f>'REF. DE PREÇOS n editavel'!J1971</f>
        <v>0</v>
      </c>
      <c r="K1971" s="878"/>
      <c r="L1971" s="1132"/>
      <c r="M1971" s="1093">
        <f t="shared" si="198"/>
        <v>0</v>
      </c>
      <c r="N1971" s="1131">
        <f t="shared" si="202"/>
        <v>0</v>
      </c>
      <c r="O1971" s="880"/>
      <c r="P1971" s="36" t="str">
        <f>IF(N1968&gt;0,"xx",IF(N1968&gt;0,"xy",""))</f>
        <v/>
      </c>
      <c r="Q1971" s="317" t="str">
        <f t="shared" si="199"/>
        <v/>
      </c>
      <c r="R1971" s="317" t="str">
        <f t="shared" si="200"/>
        <v/>
      </c>
      <c r="S1971" s="317" t="str">
        <f t="shared" si="201"/>
        <v/>
      </c>
      <c r="T1971" s="317" t="str">
        <f>'REF. DE PREÇOS n editavel'!S1971</f>
        <v/>
      </c>
      <c r="W1971" s="577">
        <v>0</v>
      </c>
      <c r="X1971" s="575"/>
      <c r="Y1971" s="578">
        <f>IF('REF. DE PREÇOS n editavel'!W1971=0,0,IF('REF. DE PREÇOS n editavel'!W1971&gt;0,"c","b"))</f>
        <v>0</v>
      </c>
    </row>
    <row r="1972" spans="1:25" ht="15" customHeight="1">
      <c r="A1972" s="317">
        <v>610800</v>
      </c>
      <c r="B1972" s="870" t="s">
        <v>1818</v>
      </c>
      <c r="C1972" s="871" t="s">
        <v>184</v>
      </c>
      <c r="D1972" s="881" t="s">
        <v>1998</v>
      </c>
      <c r="E1972" s="882">
        <f>'REF. DE PREÇOS n editavel'!E1972</f>
        <v>0</v>
      </c>
      <c r="F1972" s="883">
        <f>'REF. DE PREÇOS n editavel'!F1972</f>
        <v>0</v>
      </c>
      <c r="G1972" s="887">
        <f>'REF. DE PREÇOS n editavel'!G1972</f>
        <v>28.158366000000001</v>
      </c>
      <c r="H1972" s="876">
        <f>'REF. DE PREÇOS n editavel'!H1972</f>
        <v>404.97</v>
      </c>
      <c r="I1972" s="876">
        <f>'REF. DE PREÇOS n editavel'!I1972</f>
        <v>433.12836600000003</v>
      </c>
      <c r="J1972" s="877">
        <f>'REF. DE PREÇOS n editavel'!J1972</f>
        <v>529.37</v>
      </c>
      <c r="K1972" s="878" t="s">
        <v>13</v>
      </c>
      <c r="L1972" s="1092"/>
      <c r="M1972" s="1093">
        <f t="shared" si="198"/>
        <v>0</v>
      </c>
      <c r="N1972" s="1131">
        <f t="shared" si="202"/>
        <v>0</v>
      </c>
      <c r="O1972" s="880"/>
      <c r="Q1972" s="317" t="str">
        <f t="shared" si="199"/>
        <v/>
      </c>
      <c r="R1972" s="317" t="str">
        <f t="shared" si="200"/>
        <v/>
      </c>
      <c r="S1972" s="317" t="str">
        <f t="shared" si="201"/>
        <v/>
      </c>
      <c r="T1972" s="317" t="str">
        <f>'REF. DE PREÇOS n editavel'!S1972</f>
        <v/>
      </c>
      <c r="W1972" s="577">
        <v>0</v>
      </c>
      <c r="X1972" s="575"/>
      <c r="Y1972" s="578">
        <f>IF('REF. DE PREÇOS n editavel'!W1972=0,0,IF('REF. DE PREÇOS n editavel'!W1972&gt;0,"c","b"))</f>
        <v>0</v>
      </c>
    </row>
    <row r="1973" spans="1:25" ht="15" customHeight="1">
      <c r="A1973" s="317" t="s">
        <v>147</v>
      </c>
      <c r="B1973" s="870" t="s">
        <v>147</v>
      </c>
      <c r="C1973" s="871"/>
      <c r="D1973" s="881" t="s">
        <v>190</v>
      </c>
      <c r="E1973" s="882">
        <f>'REF. DE PREÇOS n editavel'!E1973</f>
        <v>445</v>
      </c>
      <c r="F1973" s="883">
        <f>'REF. DE PREÇOS n editavel'!F1973</f>
        <v>2.8999999999999998E-3</v>
      </c>
      <c r="G1973" s="884">
        <f>'REF. DE PREÇOS n editavel'!G1973</f>
        <v>1.0292680000000001</v>
      </c>
      <c r="H1973" s="876">
        <f>'REF. DE PREÇOS n editavel'!H1973</f>
        <v>0</v>
      </c>
      <c r="I1973" s="876">
        <f>'REF. DE PREÇOS n editavel'!I1973</f>
        <v>0</v>
      </c>
      <c r="J1973" s="877">
        <f>'REF. DE PREÇOS n editavel'!J1973</f>
        <v>0</v>
      </c>
      <c r="K1973" s="878"/>
      <c r="L1973" s="1132"/>
      <c r="M1973" s="1093">
        <f t="shared" si="198"/>
        <v>0</v>
      </c>
      <c r="N1973" s="1131">
        <f t="shared" si="202"/>
        <v>0</v>
      </c>
      <c r="O1973" s="880"/>
      <c r="P1973" s="36" t="str">
        <f>IF(N1972&gt;0,"xx",IF(N1972&gt;0,"xy",""))</f>
        <v/>
      </c>
      <c r="Q1973" s="317" t="str">
        <f t="shared" si="199"/>
        <v/>
      </c>
      <c r="R1973" s="317" t="str">
        <f t="shared" si="200"/>
        <v/>
      </c>
      <c r="S1973" s="317" t="str">
        <f t="shared" si="201"/>
        <v/>
      </c>
      <c r="T1973" s="317" t="str">
        <f>'REF. DE PREÇOS n editavel'!S1973</f>
        <v/>
      </c>
      <c r="W1973" s="577">
        <v>0</v>
      </c>
      <c r="X1973" s="575"/>
      <c r="Y1973" s="578">
        <f>IF('REF. DE PREÇOS n editavel'!W1973=0,0,IF('REF. DE PREÇOS n editavel'!W1973&gt;0,"c","b"))</f>
        <v>0</v>
      </c>
    </row>
    <row r="1974" spans="1:25" ht="15" customHeight="1">
      <c r="A1974" s="317" t="s">
        <v>147</v>
      </c>
      <c r="B1974" s="870" t="s">
        <v>147</v>
      </c>
      <c r="C1974" s="871"/>
      <c r="D1974" s="881" t="s">
        <v>229</v>
      </c>
      <c r="E1974" s="882">
        <f>'REF. DE PREÇOS n editavel'!E1974</f>
        <v>290</v>
      </c>
      <c r="F1974" s="883">
        <f>'REF. DE PREÇOS n editavel'!F1974</f>
        <v>1.5100000000000001E-2</v>
      </c>
      <c r="G1974" s="923">
        <f>'REF. DE PREÇOS n editavel'!G1974</f>
        <v>4.7259980000000006</v>
      </c>
      <c r="H1974" s="876">
        <f>'REF. DE PREÇOS n editavel'!H1974</f>
        <v>0</v>
      </c>
      <c r="I1974" s="876">
        <f>'REF. DE PREÇOS n editavel'!I1974</f>
        <v>0</v>
      </c>
      <c r="J1974" s="877">
        <f>'REF. DE PREÇOS n editavel'!J1974</f>
        <v>0</v>
      </c>
      <c r="K1974" s="878"/>
      <c r="L1974" s="1132"/>
      <c r="M1974" s="1093">
        <f t="shared" si="198"/>
        <v>0</v>
      </c>
      <c r="N1974" s="1131">
        <f t="shared" si="202"/>
        <v>0</v>
      </c>
      <c r="O1974" s="880"/>
      <c r="P1974" s="36" t="str">
        <f>IF(N1972&gt;0,"xx",IF(N1972&gt;0,"xy",""))</f>
        <v/>
      </c>
      <c r="Q1974" s="317" t="str">
        <f t="shared" si="199"/>
        <v/>
      </c>
      <c r="R1974" s="317" t="str">
        <f t="shared" si="200"/>
        <v/>
      </c>
      <c r="S1974" s="317" t="str">
        <f t="shared" si="201"/>
        <v/>
      </c>
      <c r="T1974" s="317" t="str">
        <f>'REF. DE PREÇOS n editavel'!S1974</f>
        <v/>
      </c>
      <c r="W1974" s="577">
        <v>0</v>
      </c>
      <c r="X1974" s="575"/>
      <c r="Y1974" s="578">
        <f>IF('REF. DE PREÇOS n editavel'!W1974=0,0,IF('REF. DE PREÇOS n editavel'!W1974&gt;0,"c","b"))</f>
        <v>0</v>
      </c>
    </row>
    <row r="1975" spans="1:25" ht="15" customHeight="1">
      <c r="A1975" s="317" t="s">
        <v>147</v>
      </c>
      <c r="B1975" s="870" t="s">
        <v>147</v>
      </c>
      <c r="C1975" s="871"/>
      <c r="D1975" s="881" t="s">
        <v>336</v>
      </c>
      <c r="E1975" s="882">
        <f>'REF. DE PREÇOS n editavel'!E1975</f>
        <v>37</v>
      </c>
      <c r="F1975" s="883">
        <f>'REF. DE PREÇOS n editavel'!F1975</f>
        <v>0.53</v>
      </c>
      <c r="G1975" s="923">
        <f>'REF. DE PREÇOS n editavel'!G1975</f>
        <v>22.403100000000002</v>
      </c>
      <c r="H1975" s="876">
        <f>'REF. DE PREÇOS n editavel'!H1975</f>
        <v>0</v>
      </c>
      <c r="I1975" s="876">
        <f>'REF. DE PREÇOS n editavel'!I1975</f>
        <v>0</v>
      </c>
      <c r="J1975" s="877">
        <f>'REF. DE PREÇOS n editavel'!J1975</f>
        <v>0</v>
      </c>
      <c r="K1975" s="878"/>
      <c r="L1975" s="1132"/>
      <c r="M1975" s="1093">
        <f t="shared" si="198"/>
        <v>0</v>
      </c>
      <c r="N1975" s="1131">
        <f t="shared" si="202"/>
        <v>0</v>
      </c>
      <c r="O1975" s="880"/>
      <c r="P1975" s="36" t="str">
        <f>IF(N1972&gt;0,"xx",IF(N1972&gt;0,"xy",""))</f>
        <v/>
      </c>
      <c r="Q1975" s="317" t="str">
        <f t="shared" si="199"/>
        <v/>
      </c>
      <c r="R1975" s="317" t="str">
        <f t="shared" si="200"/>
        <v/>
      </c>
      <c r="S1975" s="317" t="str">
        <f t="shared" si="201"/>
        <v/>
      </c>
      <c r="T1975" s="317" t="str">
        <f>'REF. DE PREÇOS n editavel'!S1975</f>
        <v/>
      </c>
      <c r="W1975" s="577">
        <v>0</v>
      </c>
      <c r="X1975" s="575"/>
      <c r="Y1975" s="578">
        <f>IF('REF. DE PREÇOS n editavel'!W1975=0,0,IF('REF. DE PREÇOS n editavel'!W1975&gt;0,"c","b"))</f>
        <v>0</v>
      </c>
    </row>
    <row r="1976" spans="1:25" ht="15" customHeight="1">
      <c r="A1976" s="317">
        <v>610800</v>
      </c>
      <c r="B1976" s="870" t="s">
        <v>1819</v>
      </c>
      <c r="C1976" s="871" t="s">
        <v>184</v>
      </c>
      <c r="D1976" s="881" t="s">
        <v>1999</v>
      </c>
      <c r="E1976" s="882">
        <f>'REF. DE PREÇOS n editavel'!E1976</f>
        <v>0</v>
      </c>
      <c r="F1976" s="883">
        <f>'REF. DE PREÇOS n editavel'!F1976</f>
        <v>0</v>
      </c>
      <c r="G1976" s="887">
        <f>'REF. DE PREÇOS n editavel'!G1976</f>
        <v>8.3327880000000007</v>
      </c>
      <c r="H1976" s="876">
        <f>'REF. DE PREÇOS n editavel'!H1976</f>
        <v>514.41999999999996</v>
      </c>
      <c r="I1976" s="876">
        <f>'REF. DE PREÇOS n editavel'!I1976</f>
        <v>522.75278800000001</v>
      </c>
      <c r="J1976" s="877">
        <f>'REF. DE PREÇOS n editavel'!J1976</f>
        <v>638.91</v>
      </c>
      <c r="K1976" s="878" t="s">
        <v>13</v>
      </c>
      <c r="L1976" s="1092">
        <v>119</v>
      </c>
      <c r="M1976" s="1093">
        <f t="shared" si="198"/>
        <v>638.91</v>
      </c>
      <c r="N1976" s="1131">
        <f t="shared" si="202"/>
        <v>76030.289999999994</v>
      </c>
      <c r="O1976" s="880"/>
      <c r="Q1976" s="317" t="str">
        <f t="shared" si="199"/>
        <v>x</v>
      </c>
      <c r="R1976" s="317" t="str">
        <f t="shared" si="200"/>
        <v>x</v>
      </c>
      <c r="S1976" s="317" t="str">
        <f t="shared" si="201"/>
        <v>x</v>
      </c>
      <c r="T1976" s="317" t="str">
        <f>'REF. DE PREÇOS n editavel'!S1976</f>
        <v>x</v>
      </c>
      <c r="W1976" s="577">
        <v>0</v>
      </c>
      <c r="X1976" s="575"/>
      <c r="Y1976" s="578">
        <f>IF('REF. DE PREÇOS n editavel'!W1976=0,0,IF('REF. DE PREÇOS n editavel'!W1976&gt;0,"c","b"))</f>
        <v>0</v>
      </c>
    </row>
    <row r="1977" spans="1:25" ht="15" customHeight="1">
      <c r="A1977" s="317" t="s">
        <v>147</v>
      </c>
      <c r="B1977" s="870" t="s">
        <v>147</v>
      </c>
      <c r="C1977" s="871"/>
      <c r="D1977" s="881" t="s">
        <v>190</v>
      </c>
      <c r="E1977" s="882">
        <f>'REF. DE PREÇOS n editavel'!E1977</f>
        <v>445</v>
      </c>
      <c r="F1977" s="883">
        <f>'REF. DE PREÇOS n editavel'!F1977</f>
        <v>3.2000000000000002E-3</v>
      </c>
      <c r="G1977" s="884">
        <f>'REF. DE PREÇOS n editavel'!G1977</f>
        <v>1.1357440000000001</v>
      </c>
      <c r="H1977" s="876">
        <f>'REF. DE PREÇOS n editavel'!H1977</f>
        <v>0</v>
      </c>
      <c r="I1977" s="876">
        <f>'REF. DE PREÇOS n editavel'!I1977</f>
        <v>0</v>
      </c>
      <c r="J1977" s="877">
        <f>'REF. DE PREÇOS n editavel'!J1977</f>
        <v>0</v>
      </c>
      <c r="K1977" s="878"/>
      <c r="L1977" s="1132"/>
      <c r="M1977" s="1093">
        <f t="shared" si="198"/>
        <v>0</v>
      </c>
      <c r="N1977" s="1131">
        <f t="shared" si="202"/>
        <v>0</v>
      </c>
      <c r="O1977" s="880"/>
      <c r="P1977" s="36" t="str">
        <f>IF(N1976&gt;0,"xx",IF(N1976&gt;0,"xy",""))</f>
        <v>xx</v>
      </c>
      <c r="Q1977" s="317" t="str">
        <f t="shared" si="199"/>
        <v>x</v>
      </c>
      <c r="R1977" s="317" t="str">
        <f t="shared" si="200"/>
        <v>x</v>
      </c>
      <c r="S1977" s="317" t="str">
        <f t="shared" si="201"/>
        <v/>
      </c>
      <c r="T1977" s="317" t="str">
        <f>'REF. DE PREÇOS n editavel'!S1977</f>
        <v/>
      </c>
      <c r="W1977" s="577">
        <v>0</v>
      </c>
      <c r="X1977" s="575"/>
      <c r="Y1977" s="578">
        <f>IF('REF. DE PREÇOS n editavel'!W1977=0,0,IF('REF. DE PREÇOS n editavel'!W1977&gt;0,"c","b"))</f>
        <v>0</v>
      </c>
    </row>
    <row r="1978" spans="1:25" ht="15" customHeight="1">
      <c r="A1978" s="317" t="s">
        <v>147</v>
      </c>
      <c r="B1978" s="870" t="s">
        <v>147</v>
      </c>
      <c r="C1978" s="871"/>
      <c r="D1978" s="881" t="s">
        <v>229</v>
      </c>
      <c r="E1978" s="882">
        <f>'REF. DE PREÇOS n editavel'!E1978</f>
        <v>290</v>
      </c>
      <c r="F1978" s="883">
        <f>'REF. DE PREÇOS n editavel'!F1978</f>
        <v>1.6799999999999999E-2</v>
      </c>
      <c r="G1978" s="923">
        <f>'REF. DE PREÇOS n editavel'!G1978</f>
        <v>5.2580640000000001</v>
      </c>
      <c r="H1978" s="876">
        <f>'REF. DE PREÇOS n editavel'!H1978</f>
        <v>0</v>
      </c>
      <c r="I1978" s="876">
        <f>'REF. DE PREÇOS n editavel'!I1978</f>
        <v>0</v>
      </c>
      <c r="J1978" s="877">
        <f>'REF. DE PREÇOS n editavel'!J1978</f>
        <v>0</v>
      </c>
      <c r="K1978" s="878"/>
      <c r="L1978" s="1132"/>
      <c r="M1978" s="1093">
        <f t="shared" si="198"/>
        <v>0</v>
      </c>
      <c r="N1978" s="1131">
        <f t="shared" si="202"/>
        <v>0</v>
      </c>
      <c r="O1978" s="880"/>
      <c r="P1978" s="36" t="str">
        <f>IF(N1976&gt;0,"xx",IF(N1976&gt;0,"xy",""))</f>
        <v>xx</v>
      </c>
      <c r="Q1978" s="317" t="str">
        <f t="shared" si="199"/>
        <v>x</v>
      </c>
      <c r="R1978" s="317" t="str">
        <f t="shared" si="200"/>
        <v>x</v>
      </c>
      <c r="S1978" s="317" t="str">
        <f t="shared" si="201"/>
        <v/>
      </c>
      <c r="T1978" s="317" t="str">
        <f>'REF. DE PREÇOS n editavel'!S1978</f>
        <v/>
      </c>
      <c r="W1978" s="577">
        <v>0</v>
      </c>
      <c r="X1978" s="575"/>
      <c r="Y1978" s="578">
        <f>IF('REF. DE PREÇOS n editavel'!W1978=0,0,IF('REF. DE PREÇOS n editavel'!W1978&gt;0,"c","b"))</f>
        <v>0</v>
      </c>
    </row>
    <row r="1979" spans="1:25" ht="15" customHeight="1">
      <c r="A1979" s="317" t="s">
        <v>147</v>
      </c>
      <c r="B1979" s="870" t="s">
        <v>147</v>
      </c>
      <c r="C1979" s="871"/>
      <c r="D1979" s="881" t="s">
        <v>336</v>
      </c>
      <c r="E1979" s="882">
        <f>'REF. DE PREÇOS n editavel'!E1979</f>
        <v>0.2</v>
      </c>
      <c r="F1979" s="883">
        <f>'REF. DE PREÇOS n editavel'!F1979</f>
        <v>0.67</v>
      </c>
      <c r="G1979" s="923">
        <f>'REF. DE PREÇOS n editavel'!G1979</f>
        <v>1.9389800000000001</v>
      </c>
      <c r="H1979" s="876">
        <f>'REF. DE PREÇOS n editavel'!H1979</f>
        <v>0</v>
      </c>
      <c r="I1979" s="876">
        <f>'REF. DE PREÇOS n editavel'!I1979</f>
        <v>0</v>
      </c>
      <c r="J1979" s="877">
        <f>'REF. DE PREÇOS n editavel'!J1979</f>
        <v>0</v>
      </c>
      <c r="K1979" s="878"/>
      <c r="L1979" s="1132"/>
      <c r="M1979" s="1093">
        <f t="shared" si="198"/>
        <v>0</v>
      </c>
      <c r="N1979" s="1131">
        <f t="shared" si="202"/>
        <v>0</v>
      </c>
      <c r="O1979" s="880"/>
      <c r="P1979" s="36" t="str">
        <f>IF(N1976&gt;0,"xx",IF(N1976&gt;0,"xy",""))</f>
        <v>xx</v>
      </c>
      <c r="Q1979" s="317" t="str">
        <f t="shared" si="199"/>
        <v>x</v>
      </c>
      <c r="R1979" s="317" t="str">
        <f t="shared" si="200"/>
        <v>x</v>
      </c>
      <c r="S1979" s="317" t="str">
        <f t="shared" si="201"/>
        <v/>
      </c>
      <c r="T1979" s="317" t="str">
        <f>'REF. DE PREÇOS n editavel'!S1979</f>
        <v/>
      </c>
      <c r="W1979" s="577">
        <v>0</v>
      </c>
      <c r="X1979" s="575"/>
      <c r="Y1979" s="578">
        <f>IF('REF. DE PREÇOS n editavel'!W1979=0,0,IF('REF. DE PREÇOS n editavel'!W1979&gt;0,"c","b"))</f>
        <v>0</v>
      </c>
    </row>
    <row r="1980" spans="1:25" ht="15" customHeight="1">
      <c r="A1980" s="317">
        <v>611000</v>
      </c>
      <c r="B1980" s="870" t="s">
        <v>1826</v>
      </c>
      <c r="C1980" s="871" t="s">
        <v>184</v>
      </c>
      <c r="D1980" s="881" t="s">
        <v>2000</v>
      </c>
      <c r="E1980" s="882">
        <f>'REF. DE PREÇOS n editavel'!E1980</f>
        <v>0</v>
      </c>
      <c r="F1980" s="883">
        <f>'REF. DE PREÇOS n editavel'!F1980</f>
        <v>0</v>
      </c>
      <c r="G1980" s="887">
        <f>'REF. DE PREÇOS n editavel'!G1980</f>
        <v>43.287710000000004</v>
      </c>
      <c r="H1980" s="876">
        <f>'REF. DE PREÇOS n editavel'!H1980</f>
        <v>710.08</v>
      </c>
      <c r="I1980" s="876">
        <f>'REF. DE PREÇOS n editavel'!I1980</f>
        <v>753.36770999999999</v>
      </c>
      <c r="J1980" s="877">
        <f>'REF. DE PREÇOS n editavel'!J1980</f>
        <v>920.77</v>
      </c>
      <c r="K1980" s="878" t="s">
        <v>13</v>
      </c>
      <c r="L1980" s="1092"/>
      <c r="M1980" s="1093">
        <f t="shared" si="198"/>
        <v>0</v>
      </c>
      <c r="N1980" s="1131">
        <f t="shared" si="202"/>
        <v>0</v>
      </c>
      <c r="O1980" s="880"/>
      <c r="Q1980" s="317" t="str">
        <f t="shared" si="199"/>
        <v/>
      </c>
      <c r="R1980" s="317" t="str">
        <f t="shared" si="200"/>
        <v/>
      </c>
      <c r="S1980" s="317" t="str">
        <f t="shared" si="201"/>
        <v/>
      </c>
      <c r="T1980" s="317" t="str">
        <f>'REF. DE PREÇOS n editavel'!S1980</f>
        <v/>
      </c>
      <c r="W1980" s="577">
        <v>0</v>
      </c>
      <c r="X1980" s="575"/>
      <c r="Y1980" s="578">
        <f>IF('REF. DE PREÇOS n editavel'!W1980=0,0,IF('REF. DE PREÇOS n editavel'!W1980&gt;0,"c","b"))</f>
        <v>0</v>
      </c>
    </row>
    <row r="1981" spans="1:25" ht="15" customHeight="1">
      <c r="A1981" s="317" t="s">
        <v>147</v>
      </c>
      <c r="B1981" s="870" t="s">
        <v>147</v>
      </c>
      <c r="C1981" s="871"/>
      <c r="D1981" s="881" t="s">
        <v>190</v>
      </c>
      <c r="E1981" s="882">
        <f>'REF. DE PREÇOS n editavel'!E1981</f>
        <v>445</v>
      </c>
      <c r="F1981" s="883">
        <f>'REF. DE PREÇOS n editavel'!F1981</f>
        <v>4.0000000000000001E-3</v>
      </c>
      <c r="G1981" s="884">
        <f>'REF. DE PREÇOS n editavel'!G1981</f>
        <v>1.4196800000000001</v>
      </c>
      <c r="H1981" s="876">
        <f>'REF. DE PREÇOS n editavel'!H1981</f>
        <v>0</v>
      </c>
      <c r="I1981" s="876">
        <f>'REF. DE PREÇOS n editavel'!I1981</f>
        <v>0</v>
      </c>
      <c r="J1981" s="877">
        <f>'REF. DE PREÇOS n editavel'!J1981</f>
        <v>0</v>
      </c>
      <c r="K1981" s="878"/>
      <c r="L1981" s="1132"/>
      <c r="M1981" s="1093">
        <f t="shared" si="198"/>
        <v>0</v>
      </c>
      <c r="N1981" s="1131">
        <f t="shared" si="202"/>
        <v>0</v>
      </c>
      <c r="O1981" s="880"/>
      <c r="P1981" s="36" t="str">
        <f>IF(N1980&gt;0,"xx",IF(N1980&gt;0,"xy",""))</f>
        <v/>
      </c>
      <c r="Q1981" s="317" t="str">
        <f t="shared" si="199"/>
        <v/>
      </c>
      <c r="R1981" s="317" t="str">
        <f t="shared" si="200"/>
        <v/>
      </c>
      <c r="S1981" s="317" t="str">
        <f t="shared" si="201"/>
        <v/>
      </c>
      <c r="T1981" s="317" t="str">
        <f>'REF. DE PREÇOS n editavel'!S1981</f>
        <v/>
      </c>
      <c r="W1981" s="577">
        <v>0</v>
      </c>
      <c r="X1981" s="575"/>
      <c r="Y1981" s="578">
        <f>IF('REF. DE PREÇOS n editavel'!W1981=0,0,IF('REF. DE PREÇOS n editavel'!W1981&gt;0,"c","b"))</f>
        <v>0</v>
      </c>
    </row>
    <row r="1982" spans="1:25" ht="15" customHeight="1">
      <c r="A1982" s="317" t="s">
        <v>147</v>
      </c>
      <c r="B1982" s="870" t="s">
        <v>147</v>
      </c>
      <c r="C1982" s="871"/>
      <c r="D1982" s="881" t="s">
        <v>229</v>
      </c>
      <c r="E1982" s="882">
        <f>'REF. DE PREÇOS n editavel'!E1982</f>
        <v>290</v>
      </c>
      <c r="F1982" s="883">
        <f>'REF. DE PREÇOS n editavel'!F1982</f>
        <v>2.1000000000000001E-2</v>
      </c>
      <c r="G1982" s="923">
        <f>'REF. DE PREÇOS n editavel'!G1982</f>
        <v>6.5725800000000012</v>
      </c>
      <c r="H1982" s="876">
        <f>'REF. DE PREÇOS n editavel'!H1982</f>
        <v>0</v>
      </c>
      <c r="I1982" s="876">
        <f>'REF. DE PREÇOS n editavel'!I1982</f>
        <v>0</v>
      </c>
      <c r="J1982" s="877">
        <f>'REF. DE PREÇOS n editavel'!J1982</f>
        <v>0</v>
      </c>
      <c r="K1982" s="878"/>
      <c r="L1982" s="1132"/>
      <c r="M1982" s="1093">
        <f t="shared" si="198"/>
        <v>0</v>
      </c>
      <c r="N1982" s="1131">
        <f t="shared" si="202"/>
        <v>0</v>
      </c>
      <c r="O1982" s="880"/>
      <c r="P1982" s="36" t="str">
        <f>IF(N1980&gt;0,"xx",IF(N1980&gt;0,"xy",""))</f>
        <v/>
      </c>
      <c r="Q1982" s="317" t="str">
        <f t="shared" si="199"/>
        <v/>
      </c>
      <c r="R1982" s="317" t="str">
        <f t="shared" si="200"/>
        <v/>
      </c>
      <c r="S1982" s="317" t="str">
        <f t="shared" si="201"/>
        <v/>
      </c>
      <c r="T1982" s="317" t="str">
        <f>'REF. DE PREÇOS n editavel'!S1982</f>
        <v/>
      </c>
      <c r="W1982" s="577">
        <v>0</v>
      </c>
      <c r="X1982" s="575"/>
      <c r="Y1982" s="578">
        <f>IF('REF. DE PREÇOS n editavel'!W1982=0,0,IF('REF. DE PREÇOS n editavel'!W1982&gt;0,"c","b"))</f>
        <v>0</v>
      </c>
    </row>
    <row r="1983" spans="1:25" ht="15" customHeight="1">
      <c r="A1983" s="317" t="s">
        <v>147</v>
      </c>
      <c r="B1983" s="870" t="s">
        <v>147</v>
      </c>
      <c r="C1983" s="871"/>
      <c r="D1983" s="881" t="s">
        <v>336</v>
      </c>
      <c r="E1983" s="882">
        <f>'REF. DE PREÇOS n editavel'!E1983</f>
        <v>37</v>
      </c>
      <c r="F1983" s="883">
        <f>'REF. DE PREÇOS n editavel'!F1983</f>
        <v>0.83499999999999996</v>
      </c>
      <c r="G1983" s="923">
        <f>'REF. DE PREÇOS n editavel'!G1983</f>
        <v>35.295450000000002</v>
      </c>
      <c r="H1983" s="876">
        <f>'REF. DE PREÇOS n editavel'!H1983</f>
        <v>0</v>
      </c>
      <c r="I1983" s="876">
        <f>'REF. DE PREÇOS n editavel'!I1983</f>
        <v>0</v>
      </c>
      <c r="J1983" s="877">
        <f>'REF. DE PREÇOS n editavel'!J1983</f>
        <v>0</v>
      </c>
      <c r="K1983" s="878"/>
      <c r="L1983" s="1132"/>
      <c r="M1983" s="1093">
        <f t="shared" si="198"/>
        <v>0</v>
      </c>
      <c r="N1983" s="1131">
        <f t="shared" si="202"/>
        <v>0</v>
      </c>
      <c r="O1983" s="880"/>
      <c r="P1983" s="36" t="str">
        <f>IF(N1980&gt;0,"xx",IF(N1980&gt;0,"xy",""))</f>
        <v/>
      </c>
      <c r="Q1983" s="317" t="str">
        <f t="shared" si="199"/>
        <v/>
      </c>
      <c r="R1983" s="317" t="str">
        <f t="shared" si="200"/>
        <v/>
      </c>
      <c r="S1983" s="317" t="str">
        <f t="shared" si="201"/>
        <v/>
      </c>
      <c r="T1983" s="317" t="str">
        <f>'REF. DE PREÇOS n editavel'!S1983</f>
        <v/>
      </c>
      <c r="W1983" s="577">
        <v>0</v>
      </c>
      <c r="X1983" s="575"/>
      <c r="Y1983" s="578">
        <f>IF('REF. DE PREÇOS n editavel'!W1983=0,0,IF('REF. DE PREÇOS n editavel'!W1983&gt;0,"c","b"))</f>
        <v>0</v>
      </c>
    </row>
    <row r="1984" spans="1:25" ht="15" customHeight="1">
      <c r="A1984" s="317">
        <v>611000</v>
      </c>
      <c r="B1984" s="870" t="s">
        <v>1827</v>
      </c>
      <c r="C1984" s="871" t="s">
        <v>184</v>
      </c>
      <c r="D1984" s="881" t="s">
        <v>2001</v>
      </c>
      <c r="E1984" s="882">
        <f>'REF. DE PREÇOS n editavel'!E1984</f>
        <v>0</v>
      </c>
      <c r="F1984" s="883">
        <f>'REF. DE PREÇOS n editavel'!F1984</f>
        <v>0</v>
      </c>
      <c r="G1984" s="887">
        <f>'REF. DE PREÇOS n editavel'!G1984</f>
        <v>12.484712</v>
      </c>
      <c r="H1984" s="876">
        <f>'REF. DE PREÇOS n editavel'!H1984</f>
        <v>803.98</v>
      </c>
      <c r="I1984" s="876">
        <f>'REF. DE PREÇOS n editavel'!I1984</f>
        <v>816.46471199999996</v>
      </c>
      <c r="J1984" s="877">
        <f>'REF. DE PREÇOS n editavel'!J1984</f>
        <v>997.88</v>
      </c>
      <c r="K1984" s="878" t="s">
        <v>13</v>
      </c>
      <c r="L1984" s="1092">
        <v>50</v>
      </c>
      <c r="M1984" s="1093">
        <f t="shared" si="198"/>
        <v>997.88</v>
      </c>
      <c r="N1984" s="1131">
        <f t="shared" si="202"/>
        <v>49894</v>
      </c>
      <c r="O1984" s="880"/>
      <c r="Q1984" s="317" t="str">
        <f t="shared" si="199"/>
        <v>x</v>
      </c>
      <c r="R1984" s="317" t="str">
        <f t="shared" si="200"/>
        <v>x</v>
      </c>
      <c r="S1984" s="317" t="str">
        <f t="shared" si="201"/>
        <v>x</v>
      </c>
      <c r="T1984" s="317" t="str">
        <f>'REF. DE PREÇOS n editavel'!S1984</f>
        <v>x</v>
      </c>
      <c r="W1984" s="577">
        <v>0</v>
      </c>
      <c r="X1984" s="575"/>
      <c r="Y1984" s="578">
        <f>IF('REF. DE PREÇOS n editavel'!W1984=0,0,IF('REF. DE PREÇOS n editavel'!W1984&gt;0,"c","b"))</f>
        <v>0</v>
      </c>
    </row>
    <row r="1985" spans="1:25" ht="15" customHeight="1">
      <c r="A1985" s="317" t="s">
        <v>147</v>
      </c>
      <c r="B1985" s="870" t="s">
        <v>147</v>
      </c>
      <c r="C1985" s="871"/>
      <c r="D1985" s="881" t="s">
        <v>190</v>
      </c>
      <c r="E1985" s="882">
        <f>'REF. DE PREÇOS n editavel'!E1985</f>
        <v>445</v>
      </c>
      <c r="F1985" s="883">
        <f>'REF. DE PREÇOS n editavel'!F1985</f>
        <v>4.7999999999999996E-3</v>
      </c>
      <c r="G1985" s="884">
        <f>'REF. DE PREÇOS n editavel'!G1985</f>
        <v>1.703616</v>
      </c>
      <c r="H1985" s="876">
        <f>'REF. DE PREÇOS n editavel'!H1985</f>
        <v>0</v>
      </c>
      <c r="I1985" s="876">
        <f>'REF. DE PREÇOS n editavel'!I1985</f>
        <v>0</v>
      </c>
      <c r="J1985" s="877">
        <f>'REF. DE PREÇOS n editavel'!J1985</f>
        <v>0</v>
      </c>
      <c r="K1985" s="878"/>
      <c r="L1985" s="1132"/>
      <c r="M1985" s="1093">
        <f t="shared" si="198"/>
        <v>0</v>
      </c>
      <c r="N1985" s="1131">
        <f t="shared" si="202"/>
        <v>0</v>
      </c>
      <c r="O1985" s="880"/>
      <c r="P1985" s="36" t="str">
        <f>IF(N1984&gt;0,"xx",IF(N1984&gt;0,"xy",""))</f>
        <v>xx</v>
      </c>
      <c r="Q1985" s="317" t="str">
        <f t="shared" si="199"/>
        <v>x</v>
      </c>
      <c r="R1985" s="317" t="str">
        <f t="shared" si="200"/>
        <v>x</v>
      </c>
      <c r="S1985" s="317" t="str">
        <f t="shared" si="201"/>
        <v/>
      </c>
      <c r="T1985" s="317" t="str">
        <f>'REF. DE PREÇOS n editavel'!S1985</f>
        <v/>
      </c>
      <c r="W1985" s="577">
        <v>0</v>
      </c>
      <c r="X1985" s="575"/>
      <c r="Y1985" s="578">
        <f>IF('REF. DE PREÇOS n editavel'!W1985=0,0,IF('REF. DE PREÇOS n editavel'!W1985&gt;0,"c","b"))</f>
        <v>0</v>
      </c>
    </row>
    <row r="1986" spans="1:25" ht="15" customHeight="1">
      <c r="A1986" s="317" t="s">
        <v>147</v>
      </c>
      <c r="B1986" s="870" t="s">
        <v>147</v>
      </c>
      <c r="C1986" s="871"/>
      <c r="D1986" s="881" t="s">
        <v>229</v>
      </c>
      <c r="E1986" s="882">
        <f>'REF. DE PREÇOS n editavel'!E1986</f>
        <v>290</v>
      </c>
      <c r="F1986" s="883">
        <f>'REF. DE PREÇOS n editavel'!F1986</f>
        <v>2.52E-2</v>
      </c>
      <c r="G1986" s="923">
        <f>'REF. DE PREÇOS n editavel'!G1986</f>
        <v>7.8870960000000006</v>
      </c>
      <c r="H1986" s="876">
        <f>'REF. DE PREÇOS n editavel'!H1986</f>
        <v>0</v>
      </c>
      <c r="I1986" s="876">
        <f>'REF. DE PREÇOS n editavel'!I1986</f>
        <v>0</v>
      </c>
      <c r="J1986" s="877">
        <f>'REF. DE PREÇOS n editavel'!J1986</f>
        <v>0</v>
      </c>
      <c r="K1986" s="878"/>
      <c r="L1986" s="1132"/>
      <c r="M1986" s="1093">
        <f t="shared" si="198"/>
        <v>0</v>
      </c>
      <c r="N1986" s="1131">
        <f t="shared" si="202"/>
        <v>0</v>
      </c>
      <c r="O1986" s="880"/>
      <c r="P1986" s="36" t="str">
        <f>IF(N1984&gt;0,"xx",IF(N1984&gt;0,"xy",""))</f>
        <v>xx</v>
      </c>
      <c r="Q1986" s="317" t="str">
        <f t="shared" si="199"/>
        <v>x</v>
      </c>
      <c r="R1986" s="317" t="str">
        <f t="shared" si="200"/>
        <v>x</v>
      </c>
      <c r="S1986" s="317" t="str">
        <f t="shared" si="201"/>
        <v/>
      </c>
      <c r="T1986" s="317" t="str">
        <f>'REF. DE PREÇOS n editavel'!S1986</f>
        <v/>
      </c>
      <c r="W1986" s="577">
        <v>0</v>
      </c>
      <c r="X1986" s="575"/>
      <c r="Y1986" s="578">
        <f>IF('REF. DE PREÇOS n editavel'!W1986=0,0,IF('REF. DE PREÇOS n editavel'!W1986&gt;0,"c","b"))</f>
        <v>0</v>
      </c>
    </row>
    <row r="1987" spans="1:25" ht="15" customHeight="1">
      <c r="A1987" s="317" t="s">
        <v>147</v>
      </c>
      <c r="B1987" s="870" t="s">
        <v>147</v>
      </c>
      <c r="C1987" s="871"/>
      <c r="D1987" s="881" t="s">
        <v>336</v>
      </c>
      <c r="E1987" s="882">
        <f>'REF. DE PREÇOS n editavel'!E1987</f>
        <v>0.2</v>
      </c>
      <c r="F1987" s="883">
        <f>'REF. DE PREÇOS n editavel'!F1987</f>
        <v>1</v>
      </c>
      <c r="G1987" s="923">
        <f>'REF. DE PREÇOS n editavel'!G1987</f>
        <v>2.8940000000000001</v>
      </c>
      <c r="H1987" s="876">
        <f>'REF. DE PREÇOS n editavel'!H1987</f>
        <v>0</v>
      </c>
      <c r="I1987" s="876">
        <f>'REF. DE PREÇOS n editavel'!I1987</f>
        <v>0</v>
      </c>
      <c r="J1987" s="877">
        <f>'REF. DE PREÇOS n editavel'!J1987</f>
        <v>0</v>
      </c>
      <c r="K1987" s="878"/>
      <c r="L1987" s="1132"/>
      <c r="M1987" s="1093">
        <f t="shared" si="198"/>
        <v>0</v>
      </c>
      <c r="N1987" s="1131">
        <f t="shared" si="202"/>
        <v>0</v>
      </c>
      <c r="O1987" s="880"/>
      <c r="P1987" s="36" t="str">
        <f>IF(N1984&gt;0,"xx",IF(N1984&gt;0,"xy",""))</f>
        <v>xx</v>
      </c>
      <c r="Q1987" s="317" t="str">
        <f t="shared" si="199"/>
        <v>x</v>
      </c>
      <c r="R1987" s="317" t="str">
        <f t="shared" si="200"/>
        <v>x</v>
      </c>
      <c r="S1987" s="317" t="str">
        <f t="shared" si="201"/>
        <v/>
      </c>
      <c r="T1987" s="317" t="str">
        <f>'REF. DE PREÇOS n editavel'!S1987</f>
        <v/>
      </c>
      <c r="W1987" s="577">
        <v>0</v>
      </c>
      <c r="X1987" s="575"/>
      <c r="Y1987" s="578">
        <f>IF('REF. DE PREÇOS n editavel'!W1987=0,0,IF('REF. DE PREÇOS n editavel'!W1987&gt;0,"c","b"))</f>
        <v>0</v>
      </c>
    </row>
    <row r="1988" spans="1:25" ht="15" customHeight="1">
      <c r="A1988" s="317">
        <v>611200</v>
      </c>
      <c r="B1988" s="870" t="s">
        <v>1830</v>
      </c>
      <c r="C1988" s="871" t="s">
        <v>184</v>
      </c>
      <c r="D1988" s="881" t="s">
        <v>2002</v>
      </c>
      <c r="E1988" s="882">
        <f>'REF. DE PREÇOS n editavel'!E1988</f>
        <v>0</v>
      </c>
      <c r="F1988" s="883">
        <f>'REF. DE PREÇOS n editavel'!F1988</f>
        <v>0</v>
      </c>
      <c r="G1988" s="887">
        <f>'REF. DE PREÇOS n editavel'!G1988</f>
        <v>73.691907999999998</v>
      </c>
      <c r="H1988" s="876">
        <f>'REF. DE PREÇOS n editavel'!H1988</f>
        <v>1026.27</v>
      </c>
      <c r="I1988" s="876">
        <f>'REF. DE PREÇOS n editavel'!I1988</f>
        <v>1099.961908</v>
      </c>
      <c r="J1988" s="877">
        <f>'REF. DE PREÇOS n editavel'!J1988</f>
        <v>1344.37</v>
      </c>
      <c r="K1988" s="878" t="s">
        <v>13</v>
      </c>
      <c r="L1988" s="1092"/>
      <c r="M1988" s="1093">
        <f t="shared" si="198"/>
        <v>0</v>
      </c>
      <c r="N1988" s="1131">
        <f t="shared" si="202"/>
        <v>0</v>
      </c>
      <c r="O1988" s="880"/>
      <c r="Q1988" s="317" t="str">
        <f t="shared" si="199"/>
        <v/>
      </c>
      <c r="R1988" s="317" t="str">
        <f t="shared" si="200"/>
        <v/>
      </c>
      <c r="S1988" s="317" t="str">
        <f t="shared" si="201"/>
        <v/>
      </c>
      <c r="T1988" s="317" t="str">
        <f>'REF. DE PREÇOS n editavel'!S1988</f>
        <v/>
      </c>
      <c r="W1988" s="577">
        <v>0</v>
      </c>
      <c r="X1988" s="575"/>
      <c r="Y1988" s="578">
        <f>IF('REF. DE PREÇOS n editavel'!W1988=0,0,IF('REF. DE PREÇOS n editavel'!W1988&gt;0,"c","b"))</f>
        <v>0</v>
      </c>
    </row>
    <row r="1989" spans="1:25" ht="15" customHeight="1">
      <c r="A1989" s="317" t="s">
        <v>147</v>
      </c>
      <c r="B1989" s="870" t="s">
        <v>147</v>
      </c>
      <c r="C1989" s="871"/>
      <c r="D1989" s="881" t="s">
        <v>190</v>
      </c>
      <c r="E1989" s="882">
        <f>'REF. DE PREÇOS n editavel'!E1989</f>
        <v>445</v>
      </c>
      <c r="F1989" s="883">
        <f>'REF. DE PREÇOS n editavel'!F1989</f>
        <v>6.4999999999999997E-3</v>
      </c>
      <c r="G1989" s="884">
        <f>'REF. DE PREÇOS n editavel'!G1989</f>
        <v>2.3069799999999998</v>
      </c>
      <c r="H1989" s="876">
        <f>'REF. DE PREÇOS n editavel'!H1989</f>
        <v>0</v>
      </c>
      <c r="I1989" s="876">
        <f>'REF. DE PREÇOS n editavel'!I1989</f>
        <v>0</v>
      </c>
      <c r="J1989" s="877">
        <f>'REF. DE PREÇOS n editavel'!J1989</f>
        <v>0</v>
      </c>
      <c r="K1989" s="878"/>
      <c r="L1989" s="1132"/>
      <c r="M1989" s="1093">
        <f t="shared" si="198"/>
        <v>0</v>
      </c>
      <c r="N1989" s="1131">
        <f t="shared" si="202"/>
        <v>0</v>
      </c>
      <c r="O1989" s="880"/>
      <c r="P1989" s="36" t="str">
        <f>IF(N1988&gt;0,"xx",IF(N1988&gt;0,"xy",""))</f>
        <v/>
      </c>
      <c r="Q1989" s="317" t="str">
        <f t="shared" si="199"/>
        <v/>
      </c>
      <c r="R1989" s="317" t="str">
        <f t="shared" si="200"/>
        <v/>
      </c>
      <c r="S1989" s="317" t="str">
        <f t="shared" si="201"/>
        <v/>
      </c>
      <c r="T1989" s="317" t="str">
        <f>'REF. DE PREÇOS n editavel'!S1989</f>
        <v/>
      </c>
      <c r="W1989" s="577">
        <v>0</v>
      </c>
      <c r="X1989" s="575"/>
      <c r="Y1989" s="578">
        <f>IF('REF. DE PREÇOS n editavel'!W1989=0,0,IF('REF. DE PREÇOS n editavel'!W1989&gt;0,"c","b"))</f>
        <v>0</v>
      </c>
    </row>
    <row r="1990" spans="1:25" ht="15" customHeight="1">
      <c r="A1990" s="317" t="s">
        <v>147</v>
      </c>
      <c r="B1990" s="870" t="s">
        <v>147</v>
      </c>
      <c r="C1990" s="871"/>
      <c r="D1990" s="881" t="s">
        <v>229</v>
      </c>
      <c r="E1990" s="882">
        <f>'REF. DE PREÇOS n editavel'!E1990</f>
        <v>290</v>
      </c>
      <c r="F1990" s="883">
        <f>'REF. DE PREÇOS n editavel'!F1990</f>
        <v>3.3599999999999998E-2</v>
      </c>
      <c r="G1990" s="923">
        <f>'REF. DE PREÇOS n editavel'!G1990</f>
        <v>10.516128</v>
      </c>
      <c r="H1990" s="876">
        <f>'REF. DE PREÇOS n editavel'!H1990</f>
        <v>0</v>
      </c>
      <c r="I1990" s="876">
        <f>'REF. DE PREÇOS n editavel'!I1990</f>
        <v>0</v>
      </c>
      <c r="J1990" s="877">
        <f>'REF. DE PREÇOS n editavel'!J1990</f>
        <v>0</v>
      </c>
      <c r="K1990" s="878"/>
      <c r="L1990" s="1132"/>
      <c r="M1990" s="1093">
        <f t="shared" ref="M1990:M2053" si="203">IF(L1990=0,0,ROUND(J1990,2))</f>
        <v>0</v>
      </c>
      <c r="N1990" s="1131">
        <f t="shared" si="202"/>
        <v>0</v>
      </c>
      <c r="O1990" s="880"/>
      <c r="P1990" s="36" t="str">
        <f>IF(N1988&gt;0,"xx",IF(N1988&gt;0,"xy",""))</f>
        <v/>
      </c>
      <c r="Q1990" s="317" t="str">
        <f t="shared" si="199"/>
        <v/>
      </c>
      <c r="R1990" s="317" t="str">
        <f t="shared" si="200"/>
        <v/>
      </c>
      <c r="S1990" s="317" t="str">
        <f t="shared" si="201"/>
        <v/>
      </c>
      <c r="T1990" s="317" t="str">
        <f>'REF. DE PREÇOS n editavel'!S1990</f>
        <v/>
      </c>
      <c r="W1990" s="577">
        <v>0</v>
      </c>
      <c r="X1990" s="575"/>
      <c r="Y1990" s="578">
        <f>IF('REF. DE PREÇOS n editavel'!W1990=0,0,IF('REF. DE PREÇOS n editavel'!W1990&gt;0,"c","b"))</f>
        <v>0</v>
      </c>
    </row>
    <row r="1991" spans="1:25" ht="15" customHeight="1">
      <c r="A1991" s="317" t="s">
        <v>147</v>
      </c>
      <c r="B1991" s="870" t="s">
        <v>147</v>
      </c>
      <c r="C1991" s="871"/>
      <c r="D1991" s="881" t="s">
        <v>336</v>
      </c>
      <c r="E1991" s="882">
        <f>'REF. DE PREÇOS n editavel'!E1991</f>
        <v>37</v>
      </c>
      <c r="F1991" s="883">
        <f>'REF. DE PREÇOS n editavel'!F1991</f>
        <v>1.44</v>
      </c>
      <c r="G1991" s="923">
        <f>'REF. DE PREÇOS n editavel'!G1991</f>
        <v>60.8688</v>
      </c>
      <c r="H1991" s="876">
        <f>'REF. DE PREÇOS n editavel'!H1991</f>
        <v>0</v>
      </c>
      <c r="I1991" s="876">
        <f>'REF. DE PREÇOS n editavel'!I1991</f>
        <v>0</v>
      </c>
      <c r="J1991" s="877">
        <f>'REF. DE PREÇOS n editavel'!J1991</f>
        <v>0</v>
      </c>
      <c r="K1991" s="878"/>
      <c r="L1991" s="1132"/>
      <c r="M1991" s="1093">
        <f t="shared" si="203"/>
        <v>0</v>
      </c>
      <c r="N1991" s="1131">
        <f t="shared" si="202"/>
        <v>0</v>
      </c>
      <c r="O1991" s="880"/>
      <c r="P1991" s="36" t="str">
        <f>IF(N1988&gt;0,"xx",IF(N1988&gt;0,"xy",""))</f>
        <v/>
      </c>
      <c r="Q1991" s="317" t="str">
        <f t="shared" si="199"/>
        <v/>
      </c>
      <c r="R1991" s="317" t="str">
        <f t="shared" si="200"/>
        <v/>
      </c>
      <c r="S1991" s="317" t="str">
        <f t="shared" si="201"/>
        <v/>
      </c>
      <c r="T1991" s="317" t="str">
        <f>'REF. DE PREÇOS n editavel'!S1991</f>
        <v/>
      </c>
      <c r="W1991" s="577">
        <v>0</v>
      </c>
      <c r="X1991" s="575"/>
      <c r="Y1991" s="578">
        <f>IF('REF. DE PREÇOS n editavel'!W1991=0,0,IF('REF. DE PREÇOS n editavel'!W1991&gt;0,"c","b"))</f>
        <v>0</v>
      </c>
    </row>
    <row r="1992" spans="1:25" ht="15" customHeight="1">
      <c r="A1992" s="317">
        <v>611400</v>
      </c>
      <c r="B1992" s="870" t="s">
        <v>1832</v>
      </c>
      <c r="C1992" s="871" t="s">
        <v>184</v>
      </c>
      <c r="D1992" s="881" t="s">
        <v>2003</v>
      </c>
      <c r="E1992" s="882">
        <f>'REF. DE PREÇOS n editavel'!E1992</f>
        <v>0</v>
      </c>
      <c r="F1992" s="883">
        <f>'REF. DE PREÇOS n editavel'!F1992</f>
        <v>0</v>
      </c>
      <c r="G1992" s="887">
        <f>'REF. DE PREÇOS n editavel'!G1992</f>
        <v>85.765512000000001</v>
      </c>
      <c r="H1992" s="876">
        <f>'REF. DE PREÇOS n editavel'!H1992</f>
        <v>1267.57</v>
      </c>
      <c r="I1992" s="876">
        <f>'REF. DE PREÇOS n editavel'!I1992</f>
        <v>1353.3355119999999</v>
      </c>
      <c r="J1992" s="877">
        <f>'REF. DE PREÇOS n editavel'!J1992</f>
        <v>1654.05</v>
      </c>
      <c r="K1992" s="878" t="s">
        <v>13</v>
      </c>
      <c r="L1992" s="1092"/>
      <c r="M1992" s="1093">
        <f t="shared" si="203"/>
        <v>0</v>
      </c>
      <c r="N1992" s="1131">
        <f t="shared" si="202"/>
        <v>0</v>
      </c>
      <c r="O1992" s="880"/>
      <c r="Q1992" s="317" t="str">
        <f t="shared" si="199"/>
        <v/>
      </c>
      <c r="R1992" s="317" t="str">
        <f t="shared" si="200"/>
        <v/>
      </c>
      <c r="S1992" s="317" t="str">
        <f t="shared" si="201"/>
        <v/>
      </c>
      <c r="T1992" s="317" t="str">
        <f>'REF. DE PREÇOS n editavel'!S1992</f>
        <v/>
      </c>
      <c r="W1992" s="577">
        <v>0</v>
      </c>
      <c r="X1992" s="575"/>
      <c r="Y1992" s="578">
        <f>IF('REF. DE PREÇOS n editavel'!W1992=0,0,IF('REF. DE PREÇOS n editavel'!W1992&gt;0,"c","b"))</f>
        <v>0</v>
      </c>
    </row>
    <row r="1993" spans="1:25" ht="15" customHeight="1">
      <c r="A1993" s="317" t="s">
        <v>147</v>
      </c>
      <c r="B1993" s="870" t="s">
        <v>147</v>
      </c>
      <c r="C1993" s="871"/>
      <c r="D1993" s="881" t="s">
        <v>190</v>
      </c>
      <c r="E1993" s="882">
        <f>'REF. DE PREÇOS n editavel'!E1993</f>
        <v>445</v>
      </c>
      <c r="F1993" s="883">
        <f>'REF. DE PREÇOS n editavel'!F1993</f>
        <v>8.0999999999999996E-3</v>
      </c>
      <c r="G1993" s="884">
        <f>'REF. DE PREÇOS n editavel'!G1993</f>
        <v>2.8748520000000002</v>
      </c>
      <c r="H1993" s="876">
        <f>'REF. DE PREÇOS n editavel'!H1993</f>
        <v>0</v>
      </c>
      <c r="I1993" s="876">
        <f>'REF. DE PREÇOS n editavel'!I1993</f>
        <v>0</v>
      </c>
      <c r="J1993" s="877">
        <f>'REF. DE PREÇOS n editavel'!J1993</f>
        <v>0</v>
      </c>
      <c r="K1993" s="878"/>
      <c r="L1993" s="1132"/>
      <c r="M1993" s="1093">
        <f t="shared" si="203"/>
        <v>0</v>
      </c>
      <c r="N1993" s="1131">
        <f t="shared" si="202"/>
        <v>0</v>
      </c>
      <c r="O1993" s="880"/>
      <c r="P1993" s="36" t="str">
        <f>IF(N1992&gt;0,"xx",IF(N1992&gt;0,"xy",""))</f>
        <v/>
      </c>
      <c r="Q1993" s="317" t="str">
        <f t="shared" si="199"/>
        <v/>
      </c>
      <c r="R1993" s="317" t="str">
        <f t="shared" si="200"/>
        <v/>
      </c>
      <c r="S1993" s="317" t="str">
        <f t="shared" si="201"/>
        <v/>
      </c>
      <c r="T1993" s="317" t="str">
        <f>'REF. DE PREÇOS n editavel'!S1993</f>
        <v/>
      </c>
      <c r="W1993" s="577">
        <v>0</v>
      </c>
      <c r="X1993" s="575"/>
      <c r="Y1993" s="578">
        <f>IF('REF. DE PREÇOS n editavel'!W1993=0,0,IF('REF. DE PREÇOS n editavel'!W1993&gt;0,"c","b"))</f>
        <v>0</v>
      </c>
    </row>
    <row r="1994" spans="1:25" ht="15" customHeight="1">
      <c r="A1994" s="317" t="s">
        <v>147</v>
      </c>
      <c r="B1994" s="870" t="s">
        <v>147</v>
      </c>
      <c r="C1994" s="871"/>
      <c r="D1994" s="881" t="s">
        <v>229</v>
      </c>
      <c r="E1994" s="882">
        <f>'REF. DE PREÇOS n editavel'!E1994</f>
        <v>290</v>
      </c>
      <c r="F1994" s="883">
        <f>'REF. DE PREÇOS n editavel'!F1994</f>
        <v>4.2000000000000003E-2</v>
      </c>
      <c r="G1994" s="923">
        <f>'REF. DE PREÇOS n editavel'!G1994</f>
        <v>13.145160000000002</v>
      </c>
      <c r="H1994" s="876">
        <f>'REF. DE PREÇOS n editavel'!H1994</f>
        <v>0</v>
      </c>
      <c r="I1994" s="876">
        <f>'REF. DE PREÇOS n editavel'!I1994</f>
        <v>0</v>
      </c>
      <c r="J1994" s="877">
        <f>'REF. DE PREÇOS n editavel'!J1994</f>
        <v>0</v>
      </c>
      <c r="K1994" s="878"/>
      <c r="L1994" s="1132"/>
      <c r="M1994" s="1093">
        <f t="shared" si="203"/>
        <v>0</v>
      </c>
      <c r="N1994" s="1131">
        <f t="shared" si="202"/>
        <v>0</v>
      </c>
      <c r="O1994" s="880"/>
      <c r="P1994" s="36" t="str">
        <f>IF(N1992&gt;0,"xx",IF(N1992&gt;0,"xy",""))</f>
        <v/>
      </c>
      <c r="Q1994" s="317" t="str">
        <f t="shared" si="199"/>
        <v/>
      </c>
      <c r="R1994" s="317" t="str">
        <f t="shared" si="200"/>
        <v/>
      </c>
      <c r="S1994" s="317" t="str">
        <f t="shared" si="201"/>
        <v/>
      </c>
      <c r="T1994" s="317" t="str">
        <f>'REF. DE PREÇOS n editavel'!S1994</f>
        <v/>
      </c>
      <c r="W1994" s="577">
        <v>0</v>
      </c>
      <c r="X1994" s="575"/>
      <c r="Y1994" s="578">
        <f>IF('REF. DE PREÇOS n editavel'!W1994=0,0,IF('REF. DE PREÇOS n editavel'!W1994&gt;0,"c","b"))</f>
        <v>0</v>
      </c>
    </row>
    <row r="1995" spans="1:25" ht="15" customHeight="1">
      <c r="A1995" s="317" t="s">
        <v>147</v>
      </c>
      <c r="B1995" s="870" t="s">
        <v>147</v>
      </c>
      <c r="C1995" s="871"/>
      <c r="D1995" s="881" t="s">
        <v>336</v>
      </c>
      <c r="E1995" s="882">
        <f>'REF. DE PREÇOS n editavel'!E1995</f>
        <v>37</v>
      </c>
      <c r="F1995" s="883">
        <f>'REF. DE PREÇOS n editavel'!F1995</f>
        <v>1.65</v>
      </c>
      <c r="G1995" s="923">
        <f>'REF. DE PREÇOS n editavel'!G1995</f>
        <v>69.745500000000007</v>
      </c>
      <c r="H1995" s="876">
        <f>'REF. DE PREÇOS n editavel'!H1995</f>
        <v>0</v>
      </c>
      <c r="I1995" s="876">
        <f>'REF. DE PREÇOS n editavel'!I1995</f>
        <v>0</v>
      </c>
      <c r="J1995" s="877">
        <f>'REF. DE PREÇOS n editavel'!J1995</f>
        <v>0</v>
      </c>
      <c r="K1995" s="878"/>
      <c r="L1995" s="1132"/>
      <c r="M1995" s="1093">
        <f t="shared" si="203"/>
        <v>0</v>
      </c>
      <c r="N1995" s="1131">
        <f t="shared" si="202"/>
        <v>0</v>
      </c>
      <c r="O1995" s="880"/>
      <c r="P1995" s="36" t="str">
        <f>IF(N1992&gt;0,"xx",IF(N1992&gt;0,"xy",""))</f>
        <v/>
      </c>
      <c r="Q1995" s="317" t="str">
        <f t="shared" si="199"/>
        <v/>
      </c>
      <c r="R1995" s="317" t="str">
        <f t="shared" si="200"/>
        <v/>
      </c>
      <c r="S1995" s="317" t="str">
        <f t="shared" si="201"/>
        <v/>
      </c>
      <c r="T1995" s="317" t="str">
        <f>'REF. DE PREÇOS n editavel'!S1995</f>
        <v/>
      </c>
      <c r="W1995" s="577">
        <v>0</v>
      </c>
      <c r="X1995" s="575"/>
      <c r="Y1995" s="578">
        <f>IF('REF. DE PREÇOS n editavel'!W1995=0,0,IF('REF. DE PREÇOS n editavel'!W1995&gt;0,"c","b"))</f>
        <v>0</v>
      </c>
    </row>
    <row r="1996" spans="1:25" ht="15" customHeight="1">
      <c r="A1996" s="317">
        <v>611400</v>
      </c>
      <c r="B1996" s="870" t="s">
        <v>1833</v>
      </c>
      <c r="C1996" s="871" t="s">
        <v>184</v>
      </c>
      <c r="D1996" s="881" t="s">
        <v>2004</v>
      </c>
      <c r="E1996" s="882">
        <f>'REF. DE PREÇOS n editavel'!E1996</f>
        <v>0</v>
      </c>
      <c r="F1996" s="883">
        <f>'REF. DE PREÇOS n editavel'!F1996</f>
        <v>0</v>
      </c>
      <c r="G1996" s="887">
        <f>'REF. DE PREÇOS n editavel'!G1996</f>
        <v>103.58745500000001</v>
      </c>
      <c r="H1996" s="876">
        <f>'REF. DE PREÇOS n editavel'!H1996</f>
        <v>1267.57</v>
      </c>
      <c r="I1996" s="876">
        <f>'REF. DE PREÇOS n editavel'!I1996</f>
        <v>1371.157455</v>
      </c>
      <c r="J1996" s="877">
        <f>'REF. DE PREÇOS n editavel'!J1996</f>
        <v>1675.83</v>
      </c>
      <c r="K1996" s="878" t="s">
        <v>13</v>
      </c>
      <c r="L1996" s="1092"/>
      <c r="M1996" s="1093">
        <f t="shared" si="203"/>
        <v>0</v>
      </c>
      <c r="N1996" s="1131">
        <f t="shared" si="202"/>
        <v>0</v>
      </c>
      <c r="O1996" s="880"/>
      <c r="Q1996" s="317" t="str">
        <f t="shared" si="199"/>
        <v/>
      </c>
      <c r="R1996" s="317" t="str">
        <f t="shared" si="200"/>
        <v/>
      </c>
      <c r="S1996" s="317" t="str">
        <f t="shared" si="201"/>
        <v/>
      </c>
      <c r="T1996" s="317" t="str">
        <f>'REF. DE PREÇOS n editavel'!S1996</f>
        <v/>
      </c>
      <c r="W1996" s="577">
        <v>0</v>
      </c>
      <c r="X1996" s="575"/>
      <c r="Y1996" s="578">
        <f>IF('REF. DE PREÇOS n editavel'!W1996=0,0,IF('REF. DE PREÇOS n editavel'!W1996&gt;0,"c","b"))</f>
        <v>0</v>
      </c>
    </row>
    <row r="1997" spans="1:25" ht="15" customHeight="1">
      <c r="A1997" s="317" t="s">
        <v>147</v>
      </c>
      <c r="B1997" s="870" t="s">
        <v>147</v>
      </c>
      <c r="C1997" s="871"/>
      <c r="D1997" s="881" t="s">
        <v>190</v>
      </c>
      <c r="E1997" s="882">
        <f>'REF. DE PREÇOS n editavel'!E1997</f>
        <v>445</v>
      </c>
      <c r="F1997" s="883">
        <f>'REF. DE PREÇOS n editavel'!F1997</f>
        <v>9.1999999999999998E-3</v>
      </c>
      <c r="G1997" s="884">
        <f>'REF. DE PREÇOS n editavel'!G1997</f>
        <v>3.2652640000000002</v>
      </c>
      <c r="H1997" s="876">
        <f>'REF. DE PREÇOS n editavel'!H1997</f>
        <v>0</v>
      </c>
      <c r="I1997" s="876">
        <f>'REF. DE PREÇOS n editavel'!I1997</f>
        <v>0</v>
      </c>
      <c r="J1997" s="877">
        <f>'REF. DE PREÇOS n editavel'!J1997</f>
        <v>0</v>
      </c>
      <c r="K1997" s="878"/>
      <c r="L1997" s="1132"/>
      <c r="M1997" s="1093">
        <f t="shared" si="203"/>
        <v>0</v>
      </c>
      <c r="N1997" s="1131">
        <f t="shared" si="202"/>
        <v>0</v>
      </c>
      <c r="O1997" s="880"/>
      <c r="P1997" s="36" t="str">
        <f>IF(N1996&gt;0,"xx",IF(N1996&gt;0,"xy",""))</f>
        <v/>
      </c>
      <c r="Q1997" s="317" t="str">
        <f t="shared" si="199"/>
        <v/>
      </c>
      <c r="R1997" s="317" t="str">
        <f t="shared" si="200"/>
        <v/>
      </c>
      <c r="S1997" s="317" t="str">
        <f t="shared" si="201"/>
        <v/>
      </c>
      <c r="T1997" s="317" t="str">
        <f>'REF. DE PREÇOS n editavel'!S1997</f>
        <v/>
      </c>
      <c r="W1997" s="577">
        <v>0</v>
      </c>
      <c r="X1997" s="575"/>
      <c r="Y1997" s="578">
        <f>IF('REF. DE PREÇOS n editavel'!W1997=0,0,IF('REF. DE PREÇOS n editavel'!W1997&gt;0,"c","b"))</f>
        <v>0</v>
      </c>
    </row>
    <row r="1998" spans="1:25" ht="15" customHeight="1">
      <c r="A1998" s="317" t="s">
        <v>147</v>
      </c>
      <c r="B1998" s="870" t="s">
        <v>147</v>
      </c>
      <c r="C1998" s="871"/>
      <c r="D1998" s="881" t="s">
        <v>229</v>
      </c>
      <c r="E1998" s="882">
        <f>'REF. DE PREÇOS n editavel'!E1998</f>
        <v>290</v>
      </c>
      <c r="F1998" s="883">
        <f>'REF. DE PREÇOS n editavel'!F1998</f>
        <v>4.7899999999999998E-2</v>
      </c>
      <c r="G1998" s="923">
        <f>'REF. DE PREÇOS n editavel'!G1998</f>
        <v>14.991742</v>
      </c>
      <c r="H1998" s="876">
        <f>'REF. DE PREÇOS n editavel'!H1998</f>
        <v>0</v>
      </c>
      <c r="I1998" s="876">
        <f>'REF. DE PREÇOS n editavel'!I1998</f>
        <v>0</v>
      </c>
      <c r="J1998" s="877">
        <f>'REF. DE PREÇOS n editavel'!J1998</f>
        <v>0</v>
      </c>
      <c r="K1998" s="878"/>
      <c r="L1998" s="1132"/>
      <c r="M1998" s="1093">
        <f t="shared" si="203"/>
        <v>0</v>
      </c>
      <c r="N1998" s="1131">
        <f t="shared" si="202"/>
        <v>0</v>
      </c>
      <c r="O1998" s="880"/>
      <c r="P1998" s="36" t="str">
        <f>IF(N1996&gt;0,"xx",IF(N1996&gt;0,"xy",""))</f>
        <v/>
      </c>
      <c r="Q1998" s="317" t="str">
        <f t="shared" si="199"/>
        <v/>
      </c>
      <c r="R1998" s="317" t="str">
        <f t="shared" si="200"/>
        <v/>
      </c>
      <c r="S1998" s="317" t="str">
        <f t="shared" si="201"/>
        <v/>
      </c>
      <c r="T1998" s="317" t="str">
        <f>'REF. DE PREÇOS n editavel'!S1998</f>
        <v/>
      </c>
      <c r="W1998" s="577">
        <v>0</v>
      </c>
      <c r="X1998" s="575"/>
      <c r="Y1998" s="578">
        <f>IF('REF. DE PREÇOS n editavel'!W1998=0,0,IF('REF. DE PREÇOS n editavel'!W1998&gt;0,"c","b"))</f>
        <v>0</v>
      </c>
    </row>
    <row r="1999" spans="1:25" ht="15" customHeight="1">
      <c r="A1999" s="317" t="s">
        <v>147</v>
      </c>
      <c r="B1999" s="870" t="s">
        <v>147</v>
      </c>
      <c r="C1999" s="871"/>
      <c r="D1999" s="881" t="s">
        <v>336</v>
      </c>
      <c r="E1999" s="882">
        <f>'REF. DE PREÇOS n editavel'!E1999</f>
        <v>37</v>
      </c>
      <c r="F1999" s="883">
        <f>'REF. DE PREÇOS n editavel'!F1999</f>
        <v>2.0186999999999999</v>
      </c>
      <c r="G1999" s="923">
        <f>'REF. DE PREÇOS n editavel'!G1999</f>
        <v>85.330449000000002</v>
      </c>
      <c r="H1999" s="876">
        <f>'REF. DE PREÇOS n editavel'!H1999</f>
        <v>0</v>
      </c>
      <c r="I1999" s="876">
        <f>'REF. DE PREÇOS n editavel'!I1999</f>
        <v>0</v>
      </c>
      <c r="J1999" s="877">
        <f>'REF. DE PREÇOS n editavel'!J1999</f>
        <v>0</v>
      </c>
      <c r="K1999" s="878"/>
      <c r="L1999" s="1132"/>
      <c r="M1999" s="1093">
        <f t="shared" si="203"/>
        <v>0</v>
      </c>
      <c r="N1999" s="1131">
        <f t="shared" si="202"/>
        <v>0</v>
      </c>
      <c r="O1999" s="880"/>
      <c r="P1999" s="36" t="str">
        <f>IF(N1996&gt;0,"xx",IF(N1996&gt;0,"xy",""))</f>
        <v/>
      </c>
      <c r="Q1999" s="317" t="str">
        <f t="shared" si="199"/>
        <v/>
      </c>
      <c r="R1999" s="317" t="str">
        <f t="shared" si="200"/>
        <v/>
      </c>
      <c r="S1999" s="317" t="str">
        <f t="shared" si="201"/>
        <v/>
      </c>
      <c r="T1999" s="317" t="str">
        <f>'REF. DE PREÇOS n editavel'!S1999</f>
        <v/>
      </c>
      <c r="W1999" s="577">
        <v>0</v>
      </c>
      <c r="X1999" s="575"/>
      <c r="Y1999" s="578">
        <f>IF('REF. DE PREÇOS n editavel'!W1999=0,0,IF('REF. DE PREÇOS n editavel'!W1999&gt;0,"c","b"))</f>
        <v>0</v>
      </c>
    </row>
    <row r="2000" spans="1:25" ht="15" customHeight="1">
      <c r="A2000" s="317">
        <v>611600</v>
      </c>
      <c r="B2000" s="870" t="s">
        <v>1836</v>
      </c>
      <c r="C2000" s="871" t="s">
        <v>184</v>
      </c>
      <c r="D2000" s="881" t="s">
        <v>2005</v>
      </c>
      <c r="E2000" s="882">
        <f>'REF. DE PREÇOS n editavel'!E2000</f>
        <v>0</v>
      </c>
      <c r="F2000" s="883">
        <f>'REF. DE PREÇOS n editavel'!F2000</f>
        <v>0</v>
      </c>
      <c r="G2000" s="887">
        <f>'REF. DE PREÇOS n editavel'!G2000</f>
        <v>110.097416</v>
      </c>
      <c r="H2000" s="876">
        <f>'REF. DE PREÇOS n editavel'!H2000</f>
        <v>3058.31</v>
      </c>
      <c r="I2000" s="876">
        <f>'REF. DE PREÇOS n editavel'!I2000</f>
        <v>3168.407416</v>
      </c>
      <c r="J2000" s="877">
        <f>'REF. DE PREÇOS n editavel'!J2000</f>
        <v>3872.43</v>
      </c>
      <c r="K2000" s="878" t="s">
        <v>13</v>
      </c>
      <c r="L2000" s="1092"/>
      <c r="M2000" s="1093">
        <f t="shared" si="203"/>
        <v>0</v>
      </c>
      <c r="N2000" s="1131">
        <f t="shared" si="202"/>
        <v>0</v>
      </c>
      <c r="O2000" s="880"/>
      <c r="Q2000" s="317" t="str">
        <f t="shared" si="199"/>
        <v/>
      </c>
      <c r="R2000" s="317" t="str">
        <f t="shared" si="200"/>
        <v/>
      </c>
      <c r="S2000" s="317" t="str">
        <f t="shared" si="201"/>
        <v/>
      </c>
      <c r="T2000" s="317" t="str">
        <f>'REF. DE PREÇOS n editavel'!S2000</f>
        <v/>
      </c>
      <c r="W2000" s="577">
        <v>0</v>
      </c>
      <c r="X2000" s="575"/>
      <c r="Y2000" s="578">
        <f>IF('REF. DE PREÇOS n editavel'!W2000=0,0,IF('REF. DE PREÇOS n editavel'!W2000&gt;0,"c","b"))</f>
        <v>0</v>
      </c>
    </row>
    <row r="2001" spans="1:25" ht="15" customHeight="1">
      <c r="A2001" s="317" t="s">
        <v>147</v>
      </c>
      <c r="B2001" s="870" t="s">
        <v>147</v>
      </c>
      <c r="C2001" s="871"/>
      <c r="D2001" s="881" t="s">
        <v>190</v>
      </c>
      <c r="E2001" s="882">
        <f>'REF. DE PREÇOS n editavel'!E2001</f>
        <v>445</v>
      </c>
      <c r="F2001" s="883">
        <f>'REF. DE PREÇOS n editavel'!F2001</f>
        <v>9.7000000000000003E-3</v>
      </c>
      <c r="G2001" s="884">
        <f>'REF. DE PREÇOS n editavel'!G2001</f>
        <v>3.4427240000000001</v>
      </c>
      <c r="H2001" s="876">
        <f>'REF. DE PREÇOS n editavel'!H2001</f>
        <v>0</v>
      </c>
      <c r="I2001" s="876">
        <f>'REF. DE PREÇOS n editavel'!I2001</f>
        <v>0</v>
      </c>
      <c r="J2001" s="877">
        <f>'REF. DE PREÇOS n editavel'!J2001</f>
        <v>0</v>
      </c>
      <c r="K2001" s="878"/>
      <c r="L2001" s="1132"/>
      <c r="M2001" s="1093">
        <f t="shared" si="203"/>
        <v>0</v>
      </c>
      <c r="N2001" s="1131">
        <f t="shared" si="202"/>
        <v>0</v>
      </c>
      <c r="O2001" s="880"/>
      <c r="P2001" s="36" t="str">
        <f>IF(N2000&gt;0,"xx",IF(N2000&gt;0,"xy",""))</f>
        <v/>
      </c>
      <c r="Q2001" s="317" t="str">
        <f t="shared" ref="Q2001:Q2064" si="204">IF(P2001="X","x",IF(P2001="xx","x",IF(P2001="xy","x",IF(P2001="y","x",IF(OR(N2001&gt;0,N2001&gt;0),"x","")))))</f>
        <v/>
      </c>
      <c r="R2001" s="317" t="str">
        <f t="shared" si="200"/>
        <v/>
      </c>
      <c r="S2001" s="317" t="str">
        <f t="shared" si="201"/>
        <v/>
      </c>
      <c r="T2001" s="317" t="str">
        <f>'REF. DE PREÇOS n editavel'!S2001</f>
        <v/>
      </c>
      <c r="W2001" s="577">
        <v>0</v>
      </c>
      <c r="X2001" s="575"/>
      <c r="Y2001" s="578">
        <f>IF('REF. DE PREÇOS n editavel'!W2001=0,0,IF('REF. DE PREÇOS n editavel'!W2001&gt;0,"c","b"))</f>
        <v>0</v>
      </c>
    </row>
    <row r="2002" spans="1:25" ht="15" customHeight="1">
      <c r="A2002" s="317" t="s">
        <v>147</v>
      </c>
      <c r="B2002" s="870" t="s">
        <v>147</v>
      </c>
      <c r="C2002" s="871"/>
      <c r="D2002" s="881" t="s">
        <v>229</v>
      </c>
      <c r="E2002" s="882">
        <f>'REF. DE PREÇOS n editavel'!E2002</f>
        <v>290</v>
      </c>
      <c r="F2002" s="883">
        <f>'REF. DE PREÇOS n editavel'!F2002</f>
        <v>5.04E-2</v>
      </c>
      <c r="G2002" s="923">
        <f>'REF. DE PREÇOS n editavel'!G2002</f>
        <v>15.774192000000001</v>
      </c>
      <c r="H2002" s="876">
        <f>'REF. DE PREÇOS n editavel'!H2002</f>
        <v>0</v>
      </c>
      <c r="I2002" s="876">
        <f>'REF. DE PREÇOS n editavel'!I2002</f>
        <v>0</v>
      </c>
      <c r="J2002" s="877">
        <f>'REF. DE PREÇOS n editavel'!J2002</f>
        <v>0</v>
      </c>
      <c r="K2002" s="878"/>
      <c r="L2002" s="1132"/>
      <c r="M2002" s="1093">
        <f t="shared" si="203"/>
        <v>0</v>
      </c>
      <c r="N2002" s="1131">
        <f t="shared" si="202"/>
        <v>0</v>
      </c>
      <c r="O2002" s="880"/>
      <c r="P2002" s="36" t="str">
        <f>IF(N2000&gt;0,"xx",IF(N2000&gt;0,"xy",""))</f>
        <v/>
      </c>
      <c r="Q2002" s="317" t="str">
        <f t="shared" si="204"/>
        <v/>
      </c>
      <c r="R2002" s="317" t="str">
        <f t="shared" si="200"/>
        <v/>
      </c>
      <c r="S2002" s="317" t="str">
        <f t="shared" si="201"/>
        <v/>
      </c>
      <c r="T2002" s="317" t="str">
        <f>'REF. DE PREÇOS n editavel'!S2002</f>
        <v/>
      </c>
      <c r="W2002" s="577">
        <v>0</v>
      </c>
      <c r="X2002" s="575"/>
      <c r="Y2002" s="578">
        <f>IF('REF. DE PREÇOS n editavel'!W2002=0,0,IF('REF. DE PREÇOS n editavel'!W2002&gt;0,"c","b"))</f>
        <v>0</v>
      </c>
    </row>
    <row r="2003" spans="1:25" ht="15" customHeight="1">
      <c r="A2003" s="317" t="s">
        <v>147</v>
      </c>
      <c r="B2003" s="870" t="s">
        <v>147</v>
      </c>
      <c r="C2003" s="871"/>
      <c r="D2003" s="881" t="s">
        <v>336</v>
      </c>
      <c r="E2003" s="882">
        <f>'REF. DE PREÇOS n editavel'!E2003</f>
        <v>37</v>
      </c>
      <c r="F2003" s="883">
        <f>'REF. DE PREÇOS n editavel'!F2003</f>
        <v>2.15</v>
      </c>
      <c r="G2003" s="923">
        <f>'REF. DE PREÇOS n editavel'!G2003</f>
        <v>90.880499999999998</v>
      </c>
      <c r="H2003" s="876">
        <f>'REF. DE PREÇOS n editavel'!H2003</f>
        <v>0</v>
      </c>
      <c r="I2003" s="876">
        <f>'REF. DE PREÇOS n editavel'!I2003</f>
        <v>0</v>
      </c>
      <c r="J2003" s="877">
        <f>'REF. DE PREÇOS n editavel'!J2003</f>
        <v>0</v>
      </c>
      <c r="K2003" s="878"/>
      <c r="L2003" s="1132"/>
      <c r="M2003" s="1093">
        <f t="shared" si="203"/>
        <v>0</v>
      </c>
      <c r="N2003" s="1131">
        <f t="shared" si="202"/>
        <v>0</v>
      </c>
      <c r="O2003" s="880"/>
      <c r="P2003" s="36" t="str">
        <f>IF(N2000&gt;0,"xx",IF(N2000&gt;0,"xy",""))</f>
        <v/>
      </c>
      <c r="Q2003" s="317" t="str">
        <f t="shared" si="204"/>
        <v/>
      </c>
      <c r="R2003" s="317" t="str">
        <f t="shared" ref="R2003:R2066" si="205">IF(P2003="X","x",IF(P2003="y","x",IF(P2003="xx","x",IF(N2003&gt;0,"x",""))))</f>
        <v/>
      </c>
      <c r="S2003" s="317" t="str">
        <f t="shared" ref="S2003:S2066" si="206">IF(P2003="X","x",IF(N2003&gt;0,"x",""))</f>
        <v/>
      </c>
      <c r="T2003" s="317" t="str">
        <f>'REF. DE PREÇOS n editavel'!S2003</f>
        <v/>
      </c>
      <c r="W2003" s="577">
        <v>0</v>
      </c>
      <c r="X2003" s="575"/>
      <c r="Y2003" s="578">
        <f>IF('REF. DE PREÇOS n editavel'!W2003=0,0,IF('REF. DE PREÇOS n editavel'!W2003&gt;0,"c","b"))</f>
        <v>0</v>
      </c>
    </row>
    <row r="2004" spans="1:25" ht="15" customHeight="1">
      <c r="A2004" s="317">
        <v>610400</v>
      </c>
      <c r="B2004" s="870" t="s">
        <v>1810</v>
      </c>
      <c r="C2004" s="871" t="s">
        <v>184</v>
      </c>
      <c r="D2004" s="881" t="s">
        <v>2006</v>
      </c>
      <c r="E2004" s="882">
        <f>'REF. DE PREÇOS n editavel'!E2004</f>
        <v>0</v>
      </c>
      <c r="F2004" s="883">
        <f>'REF. DE PREÇOS n editavel'!F2004</f>
        <v>0</v>
      </c>
      <c r="G2004" s="887">
        <f>'REF. DE PREÇOS n editavel'!G2004</f>
        <v>10.440538</v>
      </c>
      <c r="H2004" s="876">
        <f>'REF. DE PREÇOS n editavel'!H2004</f>
        <v>149.34</v>
      </c>
      <c r="I2004" s="876">
        <f>'REF. DE PREÇOS n editavel'!I2004</f>
        <v>159.78053800000001</v>
      </c>
      <c r="J2004" s="877">
        <f>'REF. DE PREÇOS n editavel'!J2004</f>
        <v>195.28</v>
      </c>
      <c r="K2004" s="878" t="s">
        <v>13</v>
      </c>
      <c r="L2004" s="1092"/>
      <c r="M2004" s="1093">
        <f t="shared" si="203"/>
        <v>0</v>
      </c>
      <c r="N2004" s="1131">
        <f t="shared" si="202"/>
        <v>0</v>
      </c>
      <c r="O2004" s="880"/>
      <c r="Q2004" s="317" t="str">
        <f t="shared" si="204"/>
        <v/>
      </c>
      <c r="R2004" s="317" t="str">
        <f t="shared" si="205"/>
        <v/>
      </c>
      <c r="S2004" s="317" t="str">
        <f t="shared" si="206"/>
        <v/>
      </c>
      <c r="T2004" s="317" t="str">
        <f>'REF. DE PREÇOS n editavel'!S2004</f>
        <v/>
      </c>
      <c r="W2004" s="577">
        <v>0</v>
      </c>
      <c r="X2004" s="575"/>
      <c r="Y2004" s="578">
        <f>IF('REF. DE PREÇOS n editavel'!W2004=0,0,IF('REF. DE PREÇOS n editavel'!W2004&gt;0,"c","b"))</f>
        <v>0</v>
      </c>
    </row>
    <row r="2005" spans="1:25" ht="15" customHeight="1">
      <c r="A2005" s="317" t="s">
        <v>147</v>
      </c>
      <c r="B2005" s="870" t="s">
        <v>147</v>
      </c>
      <c r="C2005" s="871"/>
      <c r="D2005" s="881" t="s">
        <v>190</v>
      </c>
      <c r="E2005" s="882">
        <f>'REF. DE PREÇOS n editavel'!E2005</f>
        <v>445</v>
      </c>
      <c r="F2005" s="883">
        <f>'REF. DE PREÇOS n editavel'!F2005</f>
        <v>1.9E-3</v>
      </c>
      <c r="G2005" s="884">
        <f>'REF. DE PREÇOS n editavel'!G2005</f>
        <v>0.67434800000000006</v>
      </c>
      <c r="H2005" s="876">
        <f>'REF. DE PREÇOS n editavel'!H2005</f>
        <v>0</v>
      </c>
      <c r="I2005" s="876">
        <f>'REF. DE PREÇOS n editavel'!I2005</f>
        <v>0</v>
      </c>
      <c r="J2005" s="877">
        <f>'REF. DE PREÇOS n editavel'!J2005</f>
        <v>0</v>
      </c>
      <c r="K2005" s="878"/>
      <c r="L2005" s="1132"/>
      <c r="M2005" s="1093">
        <f t="shared" si="203"/>
        <v>0</v>
      </c>
      <c r="N2005" s="1131">
        <f t="shared" si="202"/>
        <v>0</v>
      </c>
      <c r="O2005" s="880"/>
      <c r="P2005" s="36" t="str">
        <f>IF(N2004&gt;0,"xx",IF(N2004&gt;0,"xy",""))</f>
        <v/>
      </c>
      <c r="Q2005" s="317" t="str">
        <f t="shared" si="204"/>
        <v/>
      </c>
      <c r="R2005" s="317" t="str">
        <f t="shared" si="205"/>
        <v/>
      </c>
      <c r="S2005" s="317" t="str">
        <f t="shared" si="206"/>
        <v/>
      </c>
      <c r="T2005" s="317" t="str">
        <f>'REF. DE PREÇOS n editavel'!S2005</f>
        <v/>
      </c>
      <c r="W2005" s="577">
        <v>0</v>
      </c>
      <c r="X2005" s="575"/>
      <c r="Y2005" s="578">
        <f>IF('REF. DE PREÇOS n editavel'!W2005=0,0,IF('REF. DE PREÇOS n editavel'!W2005&gt;0,"c","b"))</f>
        <v>0</v>
      </c>
    </row>
    <row r="2006" spans="1:25" ht="15" customHeight="1">
      <c r="A2006" s="317" t="s">
        <v>147</v>
      </c>
      <c r="B2006" s="870" t="s">
        <v>147</v>
      </c>
      <c r="C2006" s="871"/>
      <c r="D2006" s="881" t="s">
        <v>229</v>
      </c>
      <c r="E2006" s="882">
        <f>'REF. DE PREÇOS n editavel'!E2006</f>
        <v>290</v>
      </c>
      <c r="F2006" s="883">
        <f>'REF. DE PREÇOS n editavel'!F2006</f>
        <v>0.01</v>
      </c>
      <c r="G2006" s="923">
        <f>'REF. DE PREÇOS n editavel'!G2006</f>
        <v>3.1298000000000004</v>
      </c>
      <c r="H2006" s="876">
        <f>'REF. DE PREÇOS n editavel'!H2006</f>
        <v>0</v>
      </c>
      <c r="I2006" s="876">
        <f>'REF. DE PREÇOS n editavel'!I2006</f>
        <v>0</v>
      </c>
      <c r="J2006" s="877">
        <f>'REF. DE PREÇOS n editavel'!J2006</f>
        <v>0</v>
      </c>
      <c r="K2006" s="878"/>
      <c r="L2006" s="1132"/>
      <c r="M2006" s="1093">
        <f t="shared" si="203"/>
        <v>0</v>
      </c>
      <c r="N2006" s="1131">
        <f t="shared" si="202"/>
        <v>0</v>
      </c>
      <c r="O2006" s="880"/>
      <c r="P2006" s="36" t="str">
        <f>IF(N2004&gt;0,"xx",IF(N2004&gt;0,"xy",""))</f>
        <v/>
      </c>
      <c r="Q2006" s="317" t="str">
        <f t="shared" si="204"/>
        <v/>
      </c>
      <c r="R2006" s="317" t="str">
        <f t="shared" si="205"/>
        <v/>
      </c>
      <c r="S2006" s="317" t="str">
        <f t="shared" si="206"/>
        <v/>
      </c>
      <c r="T2006" s="317" t="str">
        <f>'REF. DE PREÇOS n editavel'!S2006</f>
        <v/>
      </c>
      <c r="W2006" s="577">
        <v>0</v>
      </c>
      <c r="X2006" s="575"/>
      <c r="Y2006" s="578">
        <f>IF('REF. DE PREÇOS n editavel'!W2006=0,0,IF('REF. DE PREÇOS n editavel'!W2006&gt;0,"c","b"))</f>
        <v>0</v>
      </c>
    </row>
    <row r="2007" spans="1:25" ht="15" customHeight="1">
      <c r="A2007" s="317" t="s">
        <v>147</v>
      </c>
      <c r="B2007" s="870" t="s">
        <v>147</v>
      </c>
      <c r="C2007" s="871"/>
      <c r="D2007" s="881" t="s">
        <v>336</v>
      </c>
      <c r="E2007" s="882">
        <f>'REF. DE PREÇOS n editavel'!E2007</f>
        <v>37</v>
      </c>
      <c r="F2007" s="883">
        <f>'REF. DE PREÇOS n editavel'!F2007</f>
        <v>0.157</v>
      </c>
      <c r="G2007" s="923">
        <f>'REF. DE PREÇOS n editavel'!G2007</f>
        <v>6.6363900000000005</v>
      </c>
      <c r="H2007" s="876">
        <f>'REF. DE PREÇOS n editavel'!H2007</f>
        <v>0</v>
      </c>
      <c r="I2007" s="876">
        <f>'REF. DE PREÇOS n editavel'!I2007</f>
        <v>0</v>
      </c>
      <c r="J2007" s="877">
        <f>'REF. DE PREÇOS n editavel'!J2007</f>
        <v>0</v>
      </c>
      <c r="K2007" s="878"/>
      <c r="L2007" s="1132"/>
      <c r="M2007" s="1093">
        <f t="shared" si="203"/>
        <v>0</v>
      </c>
      <c r="N2007" s="1131">
        <f t="shared" ref="N2007:N2070" si="207">IF(ISBLANK(L2007),0,IF(W2007=0,ROUND(L2007*M2007,2),IF(W2007="b",ROUNDDOWN(L2007*M2007,2),ROUNDUP(L2007*M2007,2))))</f>
        <v>0</v>
      </c>
      <c r="O2007" s="880"/>
      <c r="P2007" s="36" t="str">
        <f>IF(N2004&gt;0,"xx",IF(N2004&gt;0,"xy",""))</f>
        <v/>
      </c>
      <c r="Q2007" s="317" t="str">
        <f t="shared" si="204"/>
        <v/>
      </c>
      <c r="R2007" s="317" t="str">
        <f t="shared" si="205"/>
        <v/>
      </c>
      <c r="S2007" s="317" t="str">
        <f t="shared" si="206"/>
        <v/>
      </c>
      <c r="T2007" s="317" t="str">
        <f>'REF. DE PREÇOS n editavel'!S2007</f>
        <v/>
      </c>
      <c r="W2007" s="577">
        <v>0</v>
      </c>
      <c r="X2007" s="575"/>
      <c r="Y2007" s="578">
        <f>IF('REF. DE PREÇOS n editavel'!W2007=0,0,IF('REF. DE PREÇOS n editavel'!W2007&gt;0,"c","b"))</f>
        <v>0</v>
      </c>
    </row>
    <row r="2008" spans="1:25" ht="15" customHeight="1">
      <c r="A2008" s="317">
        <v>610600</v>
      </c>
      <c r="B2008" s="870" t="s">
        <v>1815</v>
      </c>
      <c r="C2008" s="871" t="s">
        <v>184</v>
      </c>
      <c r="D2008" s="881" t="s">
        <v>2007</v>
      </c>
      <c r="E2008" s="882">
        <f>'REF. DE PREÇOS n editavel'!E2008</f>
        <v>0</v>
      </c>
      <c r="F2008" s="883">
        <f>'REF. DE PREÇOS n editavel'!F2008</f>
        <v>0</v>
      </c>
      <c r="G2008" s="887">
        <f>'REF. DE PREÇOS n editavel'!G2008</f>
        <v>15.045682000000001</v>
      </c>
      <c r="H2008" s="876">
        <f>'REF. DE PREÇOS n editavel'!H2008</f>
        <v>349.42</v>
      </c>
      <c r="I2008" s="876">
        <f>'REF. DE PREÇOS n editavel'!I2008</f>
        <v>364.46568200000002</v>
      </c>
      <c r="J2008" s="877">
        <f>'REF. DE PREÇOS n editavel'!J2008</f>
        <v>445.45</v>
      </c>
      <c r="K2008" s="878" t="s">
        <v>13</v>
      </c>
      <c r="L2008" s="1092"/>
      <c r="M2008" s="1093">
        <f t="shared" si="203"/>
        <v>0</v>
      </c>
      <c r="N2008" s="1131">
        <f t="shared" si="207"/>
        <v>0</v>
      </c>
      <c r="O2008" s="880"/>
      <c r="Q2008" s="317" t="str">
        <f t="shared" si="204"/>
        <v/>
      </c>
      <c r="R2008" s="317" t="str">
        <f t="shared" si="205"/>
        <v/>
      </c>
      <c r="S2008" s="317" t="str">
        <f t="shared" si="206"/>
        <v/>
      </c>
      <c r="T2008" s="317" t="str">
        <f>'REF. DE PREÇOS n editavel'!S2008</f>
        <v/>
      </c>
      <c r="W2008" s="577">
        <v>0</v>
      </c>
      <c r="X2008" s="575"/>
      <c r="Y2008" s="578">
        <f>IF('REF. DE PREÇOS n editavel'!W2008=0,0,IF('REF. DE PREÇOS n editavel'!W2008&gt;0,"c","b"))</f>
        <v>0</v>
      </c>
    </row>
    <row r="2009" spans="1:25" ht="15" customHeight="1">
      <c r="A2009" s="317" t="s">
        <v>147</v>
      </c>
      <c r="B2009" s="870" t="s">
        <v>147</v>
      </c>
      <c r="C2009" s="871"/>
      <c r="D2009" s="881" t="s">
        <v>190</v>
      </c>
      <c r="E2009" s="882">
        <f>'REF. DE PREÇOS n editavel'!E2009</f>
        <v>445</v>
      </c>
      <c r="F2009" s="883">
        <f>'REF. DE PREÇOS n editavel'!F2009</f>
        <v>2.3E-3</v>
      </c>
      <c r="G2009" s="884">
        <f>'REF. DE PREÇOS n editavel'!G2009</f>
        <v>0.81631600000000004</v>
      </c>
      <c r="H2009" s="876">
        <f>'REF. DE PREÇOS n editavel'!H2009</f>
        <v>0</v>
      </c>
      <c r="I2009" s="876">
        <f>'REF. DE PREÇOS n editavel'!I2009</f>
        <v>0</v>
      </c>
      <c r="J2009" s="877">
        <f>'REF. DE PREÇOS n editavel'!J2009</f>
        <v>0</v>
      </c>
      <c r="K2009" s="878"/>
      <c r="L2009" s="1132"/>
      <c r="M2009" s="1093">
        <f t="shared" si="203"/>
        <v>0</v>
      </c>
      <c r="N2009" s="1131">
        <f t="shared" si="207"/>
        <v>0</v>
      </c>
      <c r="O2009" s="880"/>
      <c r="P2009" s="36" t="str">
        <f>IF(N2008&gt;0,"xx",IF(N2008&gt;0,"xy",""))</f>
        <v/>
      </c>
      <c r="Q2009" s="317" t="str">
        <f t="shared" si="204"/>
        <v/>
      </c>
      <c r="R2009" s="317" t="str">
        <f t="shared" si="205"/>
        <v/>
      </c>
      <c r="S2009" s="317" t="str">
        <f t="shared" si="206"/>
        <v/>
      </c>
      <c r="T2009" s="317" t="str">
        <f>'REF. DE PREÇOS n editavel'!S2009</f>
        <v/>
      </c>
      <c r="W2009" s="577">
        <v>0</v>
      </c>
      <c r="X2009" s="575"/>
      <c r="Y2009" s="578">
        <f>IF('REF. DE PREÇOS n editavel'!W2009=0,0,IF('REF. DE PREÇOS n editavel'!W2009&gt;0,"c","b"))</f>
        <v>0</v>
      </c>
    </row>
    <row r="2010" spans="1:25" ht="15" customHeight="1">
      <c r="A2010" s="317" t="s">
        <v>147</v>
      </c>
      <c r="B2010" s="870" t="s">
        <v>147</v>
      </c>
      <c r="C2010" s="871"/>
      <c r="D2010" s="881" t="s">
        <v>229</v>
      </c>
      <c r="E2010" s="882">
        <f>'REF. DE PREÇOS n editavel'!E2010</f>
        <v>290</v>
      </c>
      <c r="F2010" s="883">
        <f>'REF. DE PREÇOS n editavel'!F2010</f>
        <v>1.17E-2</v>
      </c>
      <c r="G2010" s="923">
        <f>'REF. DE PREÇOS n editavel'!G2010</f>
        <v>3.6618660000000003</v>
      </c>
      <c r="H2010" s="876">
        <f>'REF. DE PREÇOS n editavel'!H2010</f>
        <v>0</v>
      </c>
      <c r="I2010" s="876">
        <f>'REF. DE PREÇOS n editavel'!I2010</f>
        <v>0</v>
      </c>
      <c r="J2010" s="877">
        <f>'REF. DE PREÇOS n editavel'!J2010</f>
        <v>0</v>
      </c>
      <c r="K2010" s="878"/>
      <c r="L2010" s="1132"/>
      <c r="M2010" s="1093">
        <f t="shared" si="203"/>
        <v>0</v>
      </c>
      <c r="N2010" s="1131">
        <f t="shared" si="207"/>
        <v>0</v>
      </c>
      <c r="O2010" s="880"/>
      <c r="P2010" s="36" t="str">
        <f>IF(N2008&gt;0,"xx",IF(N2008&gt;0,"xy",""))</f>
        <v/>
      </c>
      <c r="Q2010" s="317" t="str">
        <f t="shared" si="204"/>
        <v/>
      </c>
      <c r="R2010" s="317" t="str">
        <f t="shared" si="205"/>
        <v/>
      </c>
      <c r="S2010" s="317" t="str">
        <f t="shared" si="206"/>
        <v/>
      </c>
      <c r="T2010" s="317" t="str">
        <f>'REF. DE PREÇOS n editavel'!S2010</f>
        <v/>
      </c>
      <c r="W2010" s="577">
        <v>0</v>
      </c>
      <c r="X2010" s="575"/>
      <c r="Y2010" s="578">
        <f>IF('REF. DE PREÇOS n editavel'!W2010=0,0,IF('REF. DE PREÇOS n editavel'!W2010&gt;0,"c","b"))</f>
        <v>0</v>
      </c>
    </row>
    <row r="2011" spans="1:25" ht="15" customHeight="1">
      <c r="A2011" s="317" t="s">
        <v>147</v>
      </c>
      <c r="B2011" s="870" t="s">
        <v>147</v>
      </c>
      <c r="C2011" s="871"/>
      <c r="D2011" s="881" t="s">
        <v>336</v>
      </c>
      <c r="E2011" s="882">
        <f>'REF. DE PREÇOS n editavel'!E2011</f>
        <v>37</v>
      </c>
      <c r="F2011" s="883">
        <f>'REF. DE PREÇOS n editavel'!F2011</f>
        <v>0.25</v>
      </c>
      <c r="G2011" s="923">
        <f>'REF. DE PREÇOS n editavel'!G2011</f>
        <v>10.567500000000001</v>
      </c>
      <c r="H2011" s="876">
        <f>'REF. DE PREÇOS n editavel'!H2011</f>
        <v>0</v>
      </c>
      <c r="I2011" s="876">
        <f>'REF. DE PREÇOS n editavel'!I2011</f>
        <v>0</v>
      </c>
      <c r="J2011" s="877">
        <f>'REF. DE PREÇOS n editavel'!J2011</f>
        <v>0</v>
      </c>
      <c r="K2011" s="878"/>
      <c r="L2011" s="1132"/>
      <c r="M2011" s="1093">
        <f t="shared" si="203"/>
        <v>0</v>
      </c>
      <c r="N2011" s="1131">
        <f t="shared" si="207"/>
        <v>0</v>
      </c>
      <c r="O2011" s="880"/>
      <c r="P2011" s="36" t="str">
        <f>IF(N2008&gt;0,"xx",IF(N2008&gt;0,"xy",""))</f>
        <v/>
      </c>
      <c r="Q2011" s="317" t="str">
        <f t="shared" si="204"/>
        <v/>
      </c>
      <c r="R2011" s="317" t="str">
        <f t="shared" si="205"/>
        <v/>
      </c>
      <c r="S2011" s="317" t="str">
        <f t="shared" si="206"/>
        <v/>
      </c>
      <c r="T2011" s="317" t="str">
        <f>'REF. DE PREÇOS n editavel'!S2011</f>
        <v/>
      </c>
      <c r="W2011" s="577">
        <v>0</v>
      </c>
      <c r="X2011" s="575"/>
      <c r="Y2011" s="578">
        <f>IF('REF. DE PREÇOS n editavel'!W2011=0,0,IF('REF. DE PREÇOS n editavel'!W2011&gt;0,"c","b"))</f>
        <v>0</v>
      </c>
    </row>
    <row r="2012" spans="1:25" ht="15" customHeight="1">
      <c r="A2012" s="317">
        <v>610600</v>
      </c>
      <c r="B2012" s="870" t="s">
        <v>1816</v>
      </c>
      <c r="C2012" s="871" t="s">
        <v>184</v>
      </c>
      <c r="D2012" s="881" t="s">
        <v>2008</v>
      </c>
      <c r="E2012" s="882">
        <f>'REF. DE PREÇOS n editavel'!E2012</f>
        <v>0</v>
      </c>
      <c r="F2012" s="883">
        <f>'REF. DE PREÇOS n editavel'!F2012</f>
        <v>0</v>
      </c>
      <c r="G2012" s="887">
        <f>'REF. DE PREÇOS n editavel'!G2012</f>
        <v>21.602024000000004</v>
      </c>
      <c r="H2012" s="876">
        <f>'REF. DE PREÇOS n editavel'!H2012</f>
        <v>353.75</v>
      </c>
      <c r="I2012" s="876">
        <f>'REF. DE PREÇOS n editavel'!I2012</f>
        <v>375.35202400000003</v>
      </c>
      <c r="J2012" s="877">
        <f>'REF. DE PREÇOS n editavel'!J2012</f>
        <v>458.76</v>
      </c>
      <c r="K2012" s="878" t="s">
        <v>13</v>
      </c>
      <c r="L2012" s="1092"/>
      <c r="M2012" s="1093">
        <f t="shared" si="203"/>
        <v>0</v>
      </c>
      <c r="N2012" s="1131">
        <f t="shared" si="207"/>
        <v>0</v>
      </c>
      <c r="O2012" s="880"/>
      <c r="Q2012" s="317" t="str">
        <f t="shared" si="204"/>
        <v/>
      </c>
      <c r="R2012" s="317" t="str">
        <f t="shared" si="205"/>
        <v/>
      </c>
      <c r="S2012" s="317" t="str">
        <f t="shared" si="206"/>
        <v/>
      </c>
      <c r="T2012" s="317" t="str">
        <f>'REF. DE PREÇOS n editavel'!S2012</f>
        <v/>
      </c>
      <c r="W2012" s="577">
        <v>0</v>
      </c>
      <c r="X2012" s="575"/>
      <c r="Y2012" s="578">
        <f>IF('REF. DE PREÇOS n editavel'!W2012=0,0,IF('REF. DE PREÇOS n editavel'!W2012&gt;0,"c","b"))</f>
        <v>0</v>
      </c>
    </row>
    <row r="2013" spans="1:25" ht="15" customHeight="1">
      <c r="A2013" s="317" t="s">
        <v>147</v>
      </c>
      <c r="B2013" s="870" t="s">
        <v>147</v>
      </c>
      <c r="C2013" s="871"/>
      <c r="D2013" s="881" t="s">
        <v>190</v>
      </c>
      <c r="E2013" s="882">
        <f>'REF. DE PREÇOS n editavel'!E2013</f>
        <v>445</v>
      </c>
      <c r="F2013" s="883">
        <f>'REF. DE PREÇOS n editavel'!F2013</f>
        <v>2.5999999999999999E-3</v>
      </c>
      <c r="G2013" s="884">
        <f>'REF. DE PREÇOS n editavel'!G2013</f>
        <v>0.92279199999999995</v>
      </c>
      <c r="H2013" s="876">
        <f>'REF. DE PREÇOS n editavel'!H2013</f>
        <v>0</v>
      </c>
      <c r="I2013" s="876">
        <f>'REF. DE PREÇOS n editavel'!I2013</f>
        <v>0</v>
      </c>
      <c r="J2013" s="877">
        <f>'REF. DE PREÇOS n editavel'!J2013</f>
        <v>0</v>
      </c>
      <c r="K2013" s="878"/>
      <c r="L2013" s="1132"/>
      <c r="M2013" s="1093">
        <f t="shared" si="203"/>
        <v>0</v>
      </c>
      <c r="N2013" s="1131">
        <f t="shared" si="207"/>
        <v>0</v>
      </c>
      <c r="O2013" s="880"/>
      <c r="P2013" s="36" t="str">
        <f>IF(N2012&gt;0,"xx",IF(N2012&gt;0,"xy",""))</f>
        <v/>
      </c>
      <c r="Q2013" s="317" t="str">
        <f t="shared" si="204"/>
        <v/>
      </c>
      <c r="R2013" s="317" t="str">
        <f t="shared" si="205"/>
        <v/>
      </c>
      <c r="S2013" s="317" t="str">
        <f t="shared" si="206"/>
        <v/>
      </c>
      <c r="T2013" s="317" t="str">
        <f>'REF. DE PREÇOS n editavel'!S2013</f>
        <v/>
      </c>
      <c r="W2013" s="577">
        <v>0</v>
      </c>
      <c r="X2013" s="575"/>
      <c r="Y2013" s="578">
        <f>IF('REF. DE PREÇOS n editavel'!W2013=0,0,IF('REF. DE PREÇOS n editavel'!W2013&gt;0,"c","b"))</f>
        <v>0</v>
      </c>
    </row>
    <row r="2014" spans="1:25" ht="15" customHeight="1">
      <c r="A2014" s="317" t="s">
        <v>147</v>
      </c>
      <c r="B2014" s="870" t="s">
        <v>147</v>
      </c>
      <c r="C2014" s="871"/>
      <c r="D2014" s="881" t="s">
        <v>229</v>
      </c>
      <c r="E2014" s="882">
        <f>'REF. DE PREÇOS n editavel'!E2014</f>
        <v>290</v>
      </c>
      <c r="F2014" s="883">
        <f>'REF. DE PREÇOS n editavel'!F2014</f>
        <v>1.34E-2</v>
      </c>
      <c r="G2014" s="923">
        <f>'REF. DE PREÇOS n editavel'!G2014</f>
        <v>4.1939320000000002</v>
      </c>
      <c r="H2014" s="876">
        <f>'REF. DE PREÇOS n editavel'!H2014</f>
        <v>0</v>
      </c>
      <c r="I2014" s="876">
        <f>'REF. DE PREÇOS n editavel'!I2014</f>
        <v>0</v>
      </c>
      <c r="J2014" s="877">
        <f>'REF. DE PREÇOS n editavel'!J2014</f>
        <v>0</v>
      </c>
      <c r="K2014" s="878"/>
      <c r="L2014" s="1132"/>
      <c r="M2014" s="1093">
        <f t="shared" si="203"/>
        <v>0</v>
      </c>
      <c r="N2014" s="1131">
        <f t="shared" si="207"/>
        <v>0</v>
      </c>
      <c r="O2014" s="880"/>
      <c r="P2014" s="36" t="str">
        <f>IF(N2012&gt;0,"xx",IF(N2012&gt;0,"xy",""))</f>
        <v/>
      </c>
      <c r="Q2014" s="317" t="str">
        <f t="shared" si="204"/>
        <v/>
      </c>
      <c r="R2014" s="317" t="str">
        <f t="shared" si="205"/>
        <v/>
      </c>
      <c r="S2014" s="317" t="str">
        <f t="shared" si="206"/>
        <v/>
      </c>
      <c r="T2014" s="317" t="str">
        <f>'REF. DE PREÇOS n editavel'!S2014</f>
        <v/>
      </c>
      <c r="W2014" s="577">
        <v>0</v>
      </c>
      <c r="X2014" s="575"/>
      <c r="Y2014" s="578">
        <f>IF('REF. DE PREÇOS n editavel'!W2014=0,0,IF('REF. DE PREÇOS n editavel'!W2014&gt;0,"c","b"))</f>
        <v>0</v>
      </c>
    </row>
    <row r="2015" spans="1:25" ht="15" customHeight="1">
      <c r="A2015" s="317" t="s">
        <v>147</v>
      </c>
      <c r="B2015" s="870" t="s">
        <v>147</v>
      </c>
      <c r="C2015" s="871"/>
      <c r="D2015" s="881" t="s">
        <v>336</v>
      </c>
      <c r="E2015" s="882">
        <f>'REF. DE PREÇOS n editavel'!E2015</f>
        <v>37</v>
      </c>
      <c r="F2015" s="883">
        <f>'REF. DE PREÇOS n editavel'!F2015</f>
        <v>0.39</v>
      </c>
      <c r="G2015" s="923">
        <f>'REF. DE PREÇOS n editavel'!G2015</f>
        <v>16.485300000000002</v>
      </c>
      <c r="H2015" s="876">
        <f>'REF. DE PREÇOS n editavel'!H2015</f>
        <v>0</v>
      </c>
      <c r="I2015" s="876">
        <f>'REF. DE PREÇOS n editavel'!I2015</f>
        <v>0</v>
      </c>
      <c r="J2015" s="877">
        <f>'REF. DE PREÇOS n editavel'!J2015</f>
        <v>0</v>
      </c>
      <c r="K2015" s="878"/>
      <c r="L2015" s="1132"/>
      <c r="M2015" s="1093">
        <f t="shared" si="203"/>
        <v>0</v>
      </c>
      <c r="N2015" s="1131">
        <f t="shared" si="207"/>
        <v>0</v>
      </c>
      <c r="O2015" s="880"/>
      <c r="P2015" s="36" t="str">
        <f>IF(N2012&gt;0,"xx",IF(N2012&gt;0,"xy",""))</f>
        <v/>
      </c>
      <c r="Q2015" s="317" t="str">
        <f t="shared" si="204"/>
        <v/>
      </c>
      <c r="R2015" s="317" t="str">
        <f t="shared" si="205"/>
        <v/>
      </c>
      <c r="S2015" s="317" t="str">
        <f t="shared" si="206"/>
        <v/>
      </c>
      <c r="T2015" s="317" t="str">
        <f>'REF. DE PREÇOS n editavel'!S2015</f>
        <v/>
      </c>
      <c r="W2015" s="577">
        <v>0</v>
      </c>
      <c r="X2015" s="575"/>
      <c r="Y2015" s="578">
        <f>IF('REF. DE PREÇOS n editavel'!W2015=0,0,IF('REF. DE PREÇOS n editavel'!W2015&gt;0,"c","b"))</f>
        <v>0</v>
      </c>
    </row>
    <row r="2016" spans="1:25" ht="15" customHeight="1">
      <c r="A2016" s="317">
        <v>610800</v>
      </c>
      <c r="B2016" s="870" t="s">
        <v>1820</v>
      </c>
      <c r="C2016" s="871" t="s">
        <v>184</v>
      </c>
      <c r="D2016" s="881" t="s">
        <v>2009</v>
      </c>
      <c r="E2016" s="882">
        <f>'REF. DE PREÇOS n editavel'!E2016</f>
        <v>0</v>
      </c>
      <c r="F2016" s="883">
        <f>'REF. DE PREÇOS n editavel'!F2016</f>
        <v>0</v>
      </c>
      <c r="G2016" s="887">
        <f>'REF. DE PREÇOS n editavel'!G2016</f>
        <v>28.158366000000001</v>
      </c>
      <c r="H2016" s="876">
        <f>'REF. DE PREÇOS n editavel'!H2016</f>
        <v>575.75</v>
      </c>
      <c r="I2016" s="876">
        <f>'REF. DE PREÇOS n editavel'!I2016</f>
        <v>603.908366</v>
      </c>
      <c r="J2016" s="877">
        <f>'REF. DE PREÇOS n editavel'!J2016</f>
        <v>738.1</v>
      </c>
      <c r="K2016" s="878" t="s">
        <v>13</v>
      </c>
      <c r="L2016" s="1092"/>
      <c r="M2016" s="1093">
        <f t="shared" si="203"/>
        <v>0</v>
      </c>
      <c r="N2016" s="1131">
        <f t="shared" si="207"/>
        <v>0</v>
      </c>
      <c r="O2016" s="880"/>
      <c r="Q2016" s="317" t="str">
        <f t="shared" si="204"/>
        <v/>
      </c>
      <c r="R2016" s="317" t="str">
        <f t="shared" si="205"/>
        <v/>
      </c>
      <c r="S2016" s="317" t="str">
        <f t="shared" si="206"/>
        <v/>
      </c>
      <c r="T2016" s="317" t="str">
        <f>'REF. DE PREÇOS n editavel'!S2016</f>
        <v/>
      </c>
      <c r="W2016" s="577">
        <v>0</v>
      </c>
      <c r="X2016" s="575"/>
      <c r="Y2016" s="578">
        <f>IF('REF. DE PREÇOS n editavel'!W2016=0,0,IF('REF. DE PREÇOS n editavel'!W2016&gt;0,"c","b"))</f>
        <v>0</v>
      </c>
    </row>
    <row r="2017" spans="1:25" ht="15" customHeight="1">
      <c r="A2017" s="317" t="s">
        <v>147</v>
      </c>
      <c r="B2017" s="870" t="s">
        <v>147</v>
      </c>
      <c r="C2017" s="871"/>
      <c r="D2017" s="881" t="s">
        <v>190</v>
      </c>
      <c r="E2017" s="882">
        <f>'REF. DE PREÇOS n editavel'!E2017</f>
        <v>445</v>
      </c>
      <c r="F2017" s="883">
        <f>'REF. DE PREÇOS n editavel'!F2017</f>
        <v>2.8999999999999998E-3</v>
      </c>
      <c r="G2017" s="884">
        <f>'REF. DE PREÇOS n editavel'!G2017</f>
        <v>1.0292680000000001</v>
      </c>
      <c r="H2017" s="876">
        <f>'REF. DE PREÇOS n editavel'!H2017</f>
        <v>0</v>
      </c>
      <c r="I2017" s="876">
        <f>'REF. DE PREÇOS n editavel'!I2017</f>
        <v>0</v>
      </c>
      <c r="J2017" s="877">
        <f>'REF. DE PREÇOS n editavel'!J2017</f>
        <v>0</v>
      </c>
      <c r="K2017" s="878"/>
      <c r="L2017" s="1132"/>
      <c r="M2017" s="1093">
        <f t="shared" si="203"/>
        <v>0</v>
      </c>
      <c r="N2017" s="1131">
        <f t="shared" si="207"/>
        <v>0</v>
      </c>
      <c r="O2017" s="880"/>
      <c r="P2017" s="36" t="str">
        <f>IF(N2016&gt;0,"xx",IF(N2016&gt;0,"xy",""))</f>
        <v/>
      </c>
      <c r="Q2017" s="317" t="str">
        <f t="shared" si="204"/>
        <v/>
      </c>
      <c r="R2017" s="317" t="str">
        <f t="shared" si="205"/>
        <v/>
      </c>
      <c r="S2017" s="317" t="str">
        <f t="shared" si="206"/>
        <v/>
      </c>
      <c r="T2017" s="317" t="str">
        <f>'REF. DE PREÇOS n editavel'!S2017</f>
        <v/>
      </c>
      <c r="W2017" s="577">
        <v>0</v>
      </c>
      <c r="X2017" s="575"/>
      <c r="Y2017" s="578">
        <f>IF('REF. DE PREÇOS n editavel'!W2017=0,0,IF('REF. DE PREÇOS n editavel'!W2017&gt;0,"c","b"))</f>
        <v>0</v>
      </c>
    </row>
    <row r="2018" spans="1:25" ht="15" customHeight="1">
      <c r="A2018" s="317" t="s">
        <v>147</v>
      </c>
      <c r="B2018" s="870" t="s">
        <v>147</v>
      </c>
      <c r="C2018" s="871"/>
      <c r="D2018" s="881" t="s">
        <v>229</v>
      </c>
      <c r="E2018" s="882">
        <f>'REF. DE PREÇOS n editavel'!E2018</f>
        <v>290</v>
      </c>
      <c r="F2018" s="883">
        <f>'REF. DE PREÇOS n editavel'!F2018</f>
        <v>1.5100000000000001E-2</v>
      </c>
      <c r="G2018" s="923">
        <f>'REF. DE PREÇOS n editavel'!G2018</f>
        <v>4.7259980000000006</v>
      </c>
      <c r="H2018" s="876">
        <f>'REF. DE PREÇOS n editavel'!H2018</f>
        <v>0</v>
      </c>
      <c r="I2018" s="876">
        <f>'REF. DE PREÇOS n editavel'!I2018</f>
        <v>0</v>
      </c>
      <c r="J2018" s="877">
        <f>'REF. DE PREÇOS n editavel'!J2018</f>
        <v>0</v>
      </c>
      <c r="K2018" s="878"/>
      <c r="L2018" s="1132"/>
      <c r="M2018" s="1093">
        <f t="shared" si="203"/>
        <v>0</v>
      </c>
      <c r="N2018" s="1131">
        <f t="shared" si="207"/>
        <v>0</v>
      </c>
      <c r="O2018" s="880"/>
      <c r="P2018" s="36" t="str">
        <f>IF(N2016&gt;0,"xx",IF(N2016&gt;0,"xy",""))</f>
        <v/>
      </c>
      <c r="Q2018" s="317" t="str">
        <f t="shared" si="204"/>
        <v/>
      </c>
      <c r="R2018" s="317" t="str">
        <f t="shared" si="205"/>
        <v/>
      </c>
      <c r="S2018" s="317" t="str">
        <f t="shared" si="206"/>
        <v/>
      </c>
      <c r="T2018" s="317" t="str">
        <f>'REF. DE PREÇOS n editavel'!S2018</f>
        <v/>
      </c>
      <c r="W2018" s="577">
        <v>0</v>
      </c>
      <c r="X2018" s="575"/>
      <c r="Y2018" s="578">
        <f>IF('REF. DE PREÇOS n editavel'!W2018=0,0,IF('REF. DE PREÇOS n editavel'!W2018&gt;0,"c","b"))</f>
        <v>0</v>
      </c>
    </row>
    <row r="2019" spans="1:25" ht="15" customHeight="1">
      <c r="A2019" s="317" t="s">
        <v>147</v>
      </c>
      <c r="B2019" s="870" t="s">
        <v>147</v>
      </c>
      <c r="C2019" s="871"/>
      <c r="D2019" s="881" t="s">
        <v>336</v>
      </c>
      <c r="E2019" s="882">
        <f>'REF. DE PREÇOS n editavel'!E2019</f>
        <v>37</v>
      </c>
      <c r="F2019" s="883">
        <f>'REF. DE PREÇOS n editavel'!F2019</f>
        <v>0.53</v>
      </c>
      <c r="G2019" s="923">
        <f>'REF. DE PREÇOS n editavel'!G2019</f>
        <v>22.403100000000002</v>
      </c>
      <c r="H2019" s="876">
        <f>'REF. DE PREÇOS n editavel'!H2019</f>
        <v>0</v>
      </c>
      <c r="I2019" s="876">
        <f>'REF. DE PREÇOS n editavel'!I2019</f>
        <v>0</v>
      </c>
      <c r="J2019" s="877">
        <f>'REF. DE PREÇOS n editavel'!J2019</f>
        <v>0</v>
      </c>
      <c r="K2019" s="878"/>
      <c r="L2019" s="1132"/>
      <c r="M2019" s="1093">
        <f t="shared" si="203"/>
        <v>0</v>
      </c>
      <c r="N2019" s="1131">
        <f t="shared" si="207"/>
        <v>0</v>
      </c>
      <c r="O2019" s="880"/>
      <c r="P2019" s="36" t="str">
        <f>IF(N2016&gt;0,"xx",IF(N2016&gt;0,"xy",""))</f>
        <v/>
      </c>
      <c r="Q2019" s="317" t="str">
        <f t="shared" si="204"/>
        <v/>
      </c>
      <c r="R2019" s="317" t="str">
        <f t="shared" si="205"/>
        <v/>
      </c>
      <c r="S2019" s="317" t="str">
        <f t="shared" si="206"/>
        <v/>
      </c>
      <c r="T2019" s="317" t="str">
        <f>'REF. DE PREÇOS n editavel'!S2019</f>
        <v/>
      </c>
      <c r="W2019" s="577">
        <v>0</v>
      </c>
      <c r="X2019" s="575"/>
      <c r="Y2019" s="578">
        <f>IF('REF. DE PREÇOS n editavel'!W2019=0,0,IF('REF. DE PREÇOS n editavel'!W2019&gt;0,"c","b"))</f>
        <v>0</v>
      </c>
    </row>
    <row r="2020" spans="1:25" ht="15" customHeight="1">
      <c r="A2020" s="317">
        <v>610800</v>
      </c>
      <c r="B2020" s="870" t="s">
        <v>1821</v>
      </c>
      <c r="C2020" s="871" t="s">
        <v>184</v>
      </c>
      <c r="D2020" s="881" t="s">
        <v>2010</v>
      </c>
      <c r="E2020" s="882">
        <f>'REF. DE PREÇOS n editavel'!E2020</f>
        <v>0</v>
      </c>
      <c r="F2020" s="883">
        <f>'REF. DE PREÇOS n editavel'!F2020</f>
        <v>0</v>
      </c>
      <c r="G2020" s="887">
        <f>'REF. DE PREÇOS n editavel'!G2020</f>
        <v>34.714708000000002</v>
      </c>
      <c r="H2020" s="876">
        <f>'REF. DE PREÇOS n editavel'!H2020</f>
        <v>572.78</v>
      </c>
      <c r="I2020" s="876">
        <f>'REF. DE PREÇOS n editavel'!I2020</f>
        <v>607.49470799999995</v>
      </c>
      <c r="J2020" s="877">
        <f>'REF. DE PREÇOS n editavel'!J2020</f>
        <v>742.48</v>
      </c>
      <c r="K2020" s="878" t="s">
        <v>13</v>
      </c>
      <c r="L2020" s="1092"/>
      <c r="M2020" s="1093">
        <f t="shared" si="203"/>
        <v>0</v>
      </c>
      <c r="N2020" s="1131">
        <f t="shared" si="207"/>
        <v>0</v>
      </c>
      <c r="O2020" s="880"/>
      <c r="Q2020" s="317" t="str">
        <f t="shared" si="204"/>
        <v/>
      </c>
      <c r="R2020" s="317" t="str">
        <f t="shared" si="205"/>
        <v/>
      </c>
      <c r="S2020" s="317" t="str">
        <f t="shared" si="206"/>
        <v/>
      </c>
      <c r="T2020" s="317" t="str">
        <f>'REF. DE PREÇOS n editavel'!S2020</f>
        <v/>
      </c>
      <c r="W2020" s="577">
        <v>0</v>
      </c>
      <c r="X2020" s="575"/>
      <c r="Y2020" s="578">
        <f>IF('REF. DE PREÇOS n editavel'!W2020=0,0,IF('REF. DE PREÇOS n editavel'!W2020&gt;0,"c","b"))</f>
        <v>0</v>
      </c>
    </row>
    <row r="2021" spans="1:25" ht="15" customHeight="1">
      <c r="A2021" s="317" t="s">
        <v>147</v>
      </c>
      <c r="B2021" s="870" t="s">
        <v>147</v>
      </c>
      <c r="C2021" s="871"/>
      <c r="D2021" s="881" t="s">
        <v>190</v>
      </c>
      <c r="E2021" s="882">
        <f>'REF. DE PREÇOS n editavel'!E2021</f>
        <v>445</v>
      </c>
      <c r="F2021" s="883">
        <f>'REF. DE PREÇOS n editavel'!F2021</f>
        <v>3.2000000000000002E-3</v>
      </c>
      <c r="G2021" s="884">
        <f>'REF. DE PREÇOS n editavel'!G2021</f>
        <v>1.1357440000000001</v>
      </c>
      <c r="H2021" s="876">
        <f>'REF. DE PREÇOS n editavel'!H2021</f>
        <v>0</v>
      </c>
      <c r="I2021" s="876">
        <f>'REF. DE PREÇOS n editavel'!I2021</f>
        <v>0</v>
      </c>
      <c r="J2021" s="877">
        <f>'REF. DE PREÇOS n editavel'!J2021</f>
        <v>0</v>
      </c>
      <c r="K2021" s="878"/>
      <c r="L2021" s="1132"/>
      <c r="M2021" s="1093">
        <f t="shared" si="203"/>
        <v>0</v>
      </c>
      <c r="N2021" s="1131">
        <f t="shared" si="207"/>
        <v>0</v>
      </c>
      <c r="O2021" s="880"/>
      <c r="P2021" s="36" t="str">
        <f>IF(N2020&gt;0,"xx",IF(N2020&gt;0,"xy",""))</f>
        <v/>
      </c>
      <c r="Q2021" s="317" t="str">
        <f t="shared" si="204"/>
        <v/>
      </c>
      <c r="R2021" s="317" t="str">
        <f t="shared" si="205"/>
        <v/>
      </c>
      <c r="S2021" s="317" t="str">
        <f t="shared" si="206"/>
        <v/>
      </c>
      <c r="T2021" s="317" t="str">
        <f>'REF. DE PREÇOS n editavel'!S2021</f>
        <v/>
      </c>
      <c r="W2021" s="577">
        <v>0</v>
      </c>
      <c r="X2021" s="575"/>
      <c r="Y2021" s="578">
        <f>IF('REF. DE PREÇOS n editavel'!W2021=0,0,IF('REF. DE PREÇOS n editavel'!W2021&gt;0,"c","b"))</f>
        <v>0</v>
      </c>
    </row>
    <row r="2022" spans="1:25" ht="15" customHeight="1">
      <c r="A2022" s="317" t="s">
        <v>147</v>
      </c>
      <c r="B2022" s="870" t="s">
        <v>147</v>
      </c>
      <c r="C2022" s="871"/>
      <c r="D2022" s="881" t="s">
        <v>229</v>
      </c>
      <c r="E2022" s="882">
        <f>'REF. DE PREÇOS n editavel'!E2022</f>
        <v>290</v>
      </c>
      <c r="F2022" s="883">
        <f>'REF. DE PREÇOS n editavel'!F2022</f>
        <v>1.6799999999999999E-2</v>
      </c>
      <c r="G2022" s="923">
        <f>'REF. DE PREÇOS n editavel'!G2022</f>
        <v>5.2580640000000001</v>
      </c>
      <c r="H2022" s="876">
        <f>'REF. DE PREÇOS n editavel'!H2022</f>
        <v>0</v>
      </c>
      <c r="I2022" s="876">
        <f>'REF. DE PREÇOS n editavel'!I2022</f>
        <v>0</v>
      </c>
      <c r="J2022" s="877">
        <f>'REF. DE PREÇOS n editavel'!J2022</f>
        <v>0</v>
      </c>
      <c r="K2022" s="878"/>
      <c r="L2022" s="1132"/>
      <c r="M2022" s="1093">
        <f t="shared" si="203"/>
        <v>0</v>
      </c>
      <c r="N2022" s="1131">
        <f t="shared" si="207"/>
        <v>0</v>
      </c>
      <c r="O2022" s="880"/>
      <c r="P2022" s="36" t="str">
        <f>IF(N2020&gt;0,"xx",IF(N2020&gt;0,"xy",""))</f>
        <v/>
      </c>
      <c r="Q2022" s="317" t="str">
        <f t="shared" si="204"/>
        <v/>
      </c>
      <c r="R2022" s="317" t="str">
        <f t="shared" si="205"/>
        <v/>
      </c>
      <c r="S2022" s="317" t="str">
        <f t="shared" si="206"/>
        <v/>
      </c>
      <c r="T2022" s="317" t="str">
        <f>'REF. DE PREÇOS n editavel'!S2022</f>
        <v/>
      </c>
      <c r="W2022" s="577">
        <v>0</v>
      </c>
      <c r="X2022" s="575"/>
      <c r="Y2022" s="578">
        <f>IF('REF. DE PREÇOS n editavel'!W2022=0,0,IF('REF. DE PREÇOS n editavel'!W2022&gt;0,"c","b"))</f>
        <v>0</v>
      </c>
    </row>
    <row r="2023" spans="1:25" ht="15" customHeight="1">
      <c r="A2023" s="317" t="s">
        <v>147</v>
      </c>
      <c r="B2023" s="870" t="s">
        <v>147</v>
      </c>
      <c r="C2023" s="871"/>
      <c r="D2023" s="881" t="s">
        <v>336</v>
      </c>
      <c r="E2023" s="882">
        <f>'REF. DE PREÇOS n editavel'!E2023</f>
        <v>37</v>
      </c>
      <c r="F2023" s="883">
        <f>'REF. DE PREÇOS n editavel'!F2023</f>
        <v>0.67</v>
      </c>
      <c r="G2023" s="923">
        <f>'REF. DE PREÇOS n editavel'!G2023</f>
        <v>28.320900000000005</v>
      </c>
      <c r="H2023" s="876">
        <f>'REF. DE PREÇOS n editavel'!H2023</f>
        <v>0</v>
      </c>
      <c r="I2023" s="876">
        <f>'REF. DE PREÇOS n editavel'!I2023</f>
        <v>0</v>
      </c>
      <c r="J2023" s="877">
        <f>'REF. DE PREÇOS n editavel'!J2023</f>
        <v>0</v>
      </c>
      <c r="K2023" s="878"/>
      <c r="L2023" s="1132"/>
      <c r="M2023" s="1093">
        <f t="shared" si="203"/>
        <v>0</v>
      </c>
      <c r="N2023" s="1131">
        <f t="shared" si="207"/>
        <v>0</v>
      </c>
      <c r="O2023" s="880"/>
      <c r="P2023" s="36" t="str">
        <f>IF(N2020&gt;0,"xx",IF(N2020&gt;0,"xy",""))</f>
        <v/>
      </c>
      <c r="Q2023" s="317" t="str">
        <f t="shared" si="204"/>
        <v/>
      </c>
      <c r="R2023" s="317" t="str">
        <f t="shared" si="205"/>
        <v/>
      </c>
      <c r="S2023" s="317" t="str">
        <f t="shared" si="206"/>
        <v/>
      </c>
      <c r="T2023" s="317" t="str">
        <f>'REF. DE PREÇOS n editavel'!S2023</f>
        <v/>
      </c>
      <c r="W2023" s="577">
        <v>0</v>
      </c>
      <c r="X2023" s="575"/>
      <c r="Y2023" s="578">
        <f>IF('REF. DE PREÇOS n editavel'!W2023=0,0,IF('REF. DE PREÇOS n editavel'!W2023&gt;0,"c","b"))</f>
        <v>0</v>
      </c>
    </row>
    <row r="2024" spans="1:25" ht="15" customHeight="1">
      <c r="A2024" s="317">
        <v>611000</v>
      </c>
      <c r="B2024" s="870" t="s">
        <v>1828</v>
      </c>
      <c r="C2024" s="871" t="s">
        <v>184</v>
      </c>
      <c r="D2024" s="881" t="s">
        <v>2011</v>
      </c>
      <c r="E2024" s="882">
        <f>'REF. DE PREÇOS n editavel'!E2024</f>
        <v>0</v>
      </c>
      <c r="F2024" s="883">
        <f>'REF. DE PREÇOS n editavel'!F2024</f>
        <v>0</v>
      </c>
      <c r="G2024" s="887">
        <f>'REF. DE PREÇOS n editavel'!G2024</f>
        <v>43.287710000000004</v>
      </c>
      <c r="H2024" s="876">
        <f>'REF. DE PREÇOS n editavel'!H2024</f>
        <v>951.77</v>
      </c>
      <c r="I2024" s="876">
        <f>'REF. DE PREÇOS n editavel'!I2024</f>
        <v>995.05771000000004</v>
      </c>
      <c r="J2024" s="877">
        <f>'REF. DE PREÇOS n editavel'!J2024</f>
        <v>1216.1600000000001</v>
      </c>
      <c r="K2024" s="878" t="s">
        <v>13</v>
      </c>
      <c r="L2024" s="1092"/>
      <c r="M2024" s="1093">
        <f t="shared" si="203"/>
        <v>0</v>
      </c>
      <c r="N2024" s="1131">
        <f t="shared" si="207"/>
        <v>0</v>
      </c>
      <c r="O2024" s="880"/>
      <c r="Q2024" s="317" t="str">
        <f t="shared" si="204"/>
        <v/>
      </c>
      <c r="R2024" s="317" t="str">
        <f t="shared" si="205"/>
        <v/>
      </c>
      <c r="S2024" s="317" t="str">
        <f t="shared" si="206"/>
        <v/>
      </c>
      <c r="T2024" s="317" t="str">
        <f>'REF. DE PREÇOS n editavel'!S2024</f>
        <v/>
      </c>
      <c r="W2024" s="577">
        <v>0</v>
      </c>
      <c r="X2024" s="575"/>
      <c r="Y2024" s="578">
        <f>IF('REF. DE PREÇOS n editavel'!W2024=0,0,IF('REF. DE PREÇOS n editavel'!W2024&gt;0,"c","b"))</f>
        <v>0</v>
      </c>
    </row>
    <row r="2025" spans="1:25" ht="15" customHeight="1">
      <c r="A2025" s="317" t="s">
        <v>147</v>
      </c>
      <c r="B2025" s="870" t="s">
        <v>147</v>
      </c>
      <c r="C2025" s="871"/>
      <c r="D2025" s="881" t="s">
        <v>190</v>
      </c>
      <c r="E2025" s="882">
        <f>'REF. DE PREÇOS n editavel'!E2025</f>
        <v>445</v>
      </c>
      <c r="F2025" s="883">
        <f>'REF. DE PREÇOS n editavel'!F2025</f>
        <v>4.0000000000000001E-3</v>
      </c>
      <c r="G2025" s="884">
        <f>'REF. DE PREÇOS n editavel'!G2025</f>
        <v>1.4196800000000001</v>
      </c>
      <c r="H2025" s="876">
        <f>'REF. DE PREÇOS n editavel'!H2025</f>
        <v>0</v>
      </c>
      <c r="I2025" s="876">
        <f>'REF. DE PREÇOS n editavel'!I2025</f>
        <v>0</v>
      </c>
      <c r="J2025" s="877">
        <f>'REF. DE PREÇOS n editavel'!J2025</f>
        <v>0</v>
      </c>
      <c r="K2025" s="878"/>
      <c r="L2025" s="1132"/>
      <c r="M2025" s="1093">
        <f t="shared" si="203"/>
        <v>0</v>
      </c>
      <c r="N2025" s="1131">
        <f t="shared" si="207"/>
        <v>0</v>
      </c>
      <c r="O2025" s="880"/>
      <c r="P2025" s="36" t="str">
        <f>IF(N2024&gt;0,"xx",IF(N2024&gt;0,"xy",""))</f>
        <v/>
      </c>
      <c r="Q2025" s="317" t="str">
        <f t="shared" si="204"/>
        <v/>
      </c>
      <c r="R2025" s="317" t="str">
        <f t="shared" si="205"/>
        <v/>
      </c>
      <c r="S2025" s="317" t="str">
        <f t="shared" si="206"/>
        <v/>
      </c>
      <c r="T2025" s="317" t="str">
        <f>'REF. DE PREÇOS n editavel'!S2025</f>
        <v/>
      </c>
      <c r="W2025" s="577">
        <v>0</v>
      </c>
      <c r="X2025" s="575"/>
      <c r="Y2025" s="578">
        <f>IF('REF. DE PREÇOS n editavel'!W2025=0,0,IF('REF. DE PREÇOS n editavel'!W2025&gt;0,"c","b"))</f>
        <v>0</v>
      </c>
    </row>
    <row r="2026" spans="1:25" ht="15" customHeight="1">
      <c r="A2026" s="317" t="s">
        <v>147</v>
      </c>
      <c r="B2026" s="870" t="s">
        <v>147</v>
      </c>
      <c r="C2026" s="871"/>
      <c r="D2026" s="881" t="s">
        <v>229</v>
      </c>
      <c r="E2026" s="882">
        <f>'REF. DE PREÇOS n editavel'!E2026</f>
        <v>290</v>
      </c>
      <c r="F2026" s="883">
        <f>'REF. DE PREÇOS n editavel'!F2026</f>
        <v>2.1000000000000001E-2</v>
      </c>
      <c r="G2026" s="923">
        <f>'REF. DE PREÇOS n editavel'!G2026</f>
        <v>6.5725800000000012</v>
      </c>
      <c r="H2026" s="876">
        <f>'REF. DE PREÇOS n editavel'!H2026</f>
        <v>0</v>
      </c>
      <c r="I2026" s="876">
        <f>'REF. DE PREÇOS n editavel'!I2026</f>
        <v>0</v>
      </c>
      <c r="J2026" s="877">
        <f>'REF. DE PREÇOS n editavel'!J2026</f>
        <v>0</v>
      </c>
      <c r="K2026" s="878"/>
      <c r="L2026" s="1132"/>
      <c r="M2026" s="1093">
        <f t="shared" si="203"/>
        <v>0</v>
      </c>
      <c r="N2026" s="1131">
        <f t="shared" si="207"/>
        <v>0</v>
      </c>
      <c r="O2026" s="880"/>
      <c r="P2026" s="36" t="str">
        <f>IF(N2024&gt;0,"xx",IF(N2024&gt;0,"xy",""))</f>
        <v/>
      </c>
      <c r="Q2026" s="317" t="str">
        <f t="shared" si="204"/>
        <v/>
      </c>
      <c r="R2026" s="317" t="str">
        <f t="shared" si="205"/>
        <v/>
      </c>
      <c r="S2026" s="317" t="str">
        <f t="shared" si="206"/>
        <v/>
      </c>
      <c r="T2026" s="317" t="str">
        <f>'REF. DE PREÇOS n editavel'!S2026</f>
        <v/>
      </c>
      <c r="W2026" s="577">
        <v>0</v>
      </c>
      <c r="X2026" s="575"/>
      <c r="Y2026" s="578">
        <f>IF('REF. DE PREÇOS n editavel'!W2026=0,0,IF('REF. DE PREÇOS n editavel'!W2026&gt;0,"c","b"))</f>
        <v>0</v>
      </c>
    </row>
    <row r="2027" spans="1:25" ht="15" customHeight="1">
      <c r="A2027" s="317" t="s">
        <v>147</v>
      </c>
      <c r="B2027" s="870" t="s">
        <v>147</v>
      </c>
      <c r="C2027" s="871"/>
      <c r="D2027" s="881" t="s">
        <v>336</v>
      </c>
      <c r="E2027" s="882">
        <f>'REF. DE PREÇOS n editavel'!E2027</f>
        <v>37</v>
      </c>
      <c r="F2027" s="883">
        <f>'REF. DE PREÇOS n editavel'!F2027</f>
        <v>0.83499999999999996</v>
      </c>
      <c r="G2027" s="923">
        <f>'REF. DE PREÇOS n editavel'!G2027</f>
        <v>35.295450000000002</v>
      </c>
      <c r="H2027" s="876">
        <f>'REF. DE PREÇOS n editavel'!H2027</f>
        <v>0</v>
      </c>
      <c r="I2027" s="876">
        <f>'REF. DE PREÇOS n editavel'!I2027</f>
        <v>0</v>
      </c>
      <c r="J2027" s="877">
        <f>'REF. DE PREÇOS n editavel'!J2027</f>
        <v>0</v>
      </c>
      <c r="K2027" s="878"/>
      <c r="L2027" s="1132"/>
      <c r="M2027" s="1093">
        <f t="shared" si="203"/>
        <v>0</v>
      </c>
      <c r="N2027" s="1131">
        <f t="shared" si="207"/>
        <v>0</v>
      </c>
      <c r="O2027" s="880"/>
      <c r="P2027" s="36" t="str">
        <f>IF(N2024&gt;0,"xx",IF(N2024&gt;0,"xy",""))</f>
        <v/>
      </c>
      <c r="Q2027" s="317" t="str">
        <f t="shared" si="204"/>
        <v/>
      </c>
      <c r="R2027" s="317" t="str">
        <f t="shared" si="205"/>
        <v/>
      </c>
      <c r="S2027" s="317" t="str">
        <f t="shared" si="206"/>
        <v/>
      </c>
      <c r="T2027" s="317" t="str">
        <f>'REF. DE PREÇOS n editavel'!S2027</f>
        <v/>
      </c>
      <c r="W2027" s="577">
        <v>0</v>
      </c>
      <c r="X2027" s="575"/>
      <c r="Y2027" s="578">
        <f>IF('REF. DE PREÇOS n editavel'!W2027=0,0,IF('REF. DE PREÇOS n editavel'!W2027&gt;0,"c","b"))</f>
        <v>0</v>
      </c>
    </row>
    <row r="2028" spans="1:25" ht="15" customHeight="1">
      <c r="A2028" s="317">
        <v>611000</v>
      </c>
      <c r="B2028" s="870" t="s">
        <v>1829</v>
      </c>
      <c r="C2028" s="871" t="s">
        <v>184</v>
      </c>
      <c r="D2028" s="881" t="s">
        <v>2012</v>
      </c>
      <c r="E2028" s="882">
        <f>'REF. DE PREÇOS n editavel'!E2028</f>
        <v>0</v>
      </c>
      <c r="F2028" s="883">
        <f>'REF. DE PREÇOS n editavel'!F2028</f>
        <v>0</v>
      </c>
      <c r="G2028" s="887">
        <f>'REF. DE PREÇOS n editavel'!G2028</f>
        <v>51.860712000000007</v>
      </c>
      <c r="H2028" s="876">
        <f>'REF. DE PREÇOS n editavel'!H2028</f>
        <v>995.13</v>
      </c>
      <c r="I2028" s="876">
        <f>'REF. DE PREÇOS n editavel'!I2028</f>
        <v>1046.990712</v>
      </c>
      <c r="J2028" s="877">
        <f>'REF. DE PREÇOS n editavel'!J2028</f>
        <v>1279.6300000000001</v>
      </c>
      <c r="K2028" s="878" t="s">
        <v>13</v>
      </c>
      <c r="L2028" s="1092"/>
      <c r="M2028" s="1093">
        <f t="shared" si="203"/>
        <v>0</v>
      </c>
      <c r="N2028" s="1131">
        <f t="shared" si="207"/>
        <v>0</v>
      </c>
      <c r="O2028" s="880"/>
      <c r="Q2028" s="317" t="str">
        <f t="shared" si="204"/>
        <v/>
      </c>
      <c r="R2028" s="317" t="str">
        <f t="shared" si="205"/>
        <v/>
      </c>
      <c r="S2028" s="317" t="str">
        <f t="shared" si="206"/>
        <v/>
      </c>
      <c r="T2028" s="317" t="str">
        <f>'REF. DE PREÇOS n editavel'!S2028</f>
        <v/>
      </c>
      <c r="W2028" s="577">
        <v>0</v>
      </c>
      <c r="X2028" s="575"/>
      <c r="Y2028" s="578">
        <f>IF('REF. DE PREÇOS n editavel'!W2028=0,0,IF('REF. DE PREÇOS n editavel'!W2028&gt;0,"c","b"))</f>
        <v>0</v>
      </c>
    </row>
    <row r="2029" spans="1:25" ht="15" customHeight="1">
      <c r="A2029" s="317" t="s">
        <v>147</v>
      </c>
      <c r="B2029" s="870" t="s">
        <v>147</v>
      </c>
      <c r="C2029" s="871"/>
      <c r="D2029" s="881" t="s">
        <v>190</v>
      </c>
      <c r="E2029" s="882">
        <f>'REF. DE PREÇOS n editavel'!E2029</f>
        <v>445</v>
      </c>
      <c r="F2029" s="883">
        <f>'REF. DE PREÇOS n editavel'!F2029</f>
        <v>4.7999999999999996E-3</v>
      </c>
      <c r="G2029" s="884">
        <f>'REF. DE PREÇOS n editavel'!G2029</f>
        <v>1.703616</v>
      </c>
      <c r="H2029" s="876">
        <f>'REF. DE PREÇOS n editavel'!H2029</f>
        <v>0</v>
      </c>
      <c r="I2029" s="876">
        <f>'REF. DE PREÇOS n editavel'!I2029</f>
        <v>0</v>
      </c>
      <c r="J2029" s="877">
        <f>'REF. DE PREÇOS n editavel'!J2029</f>
        <v>0</v>
      </c>
      <c r="K2029" s="878"/>
      <c r="L2029" s="1132"/>
      <c r="M2029" s="1093">
        <f t="shared" si="203"/>
        <v>0</v>
      </c>
      <c r="N2029" s="1131">
        <f t="shared" si="207"/>
        <v>0</v>
      </c>
      <c r="O2029" s="880"/>
      <c r="P2029" s="36" t="str">
        <f>IF(N2028&gt;0,"xx",IF(N2028&gt;0,"xy",""))</f>
        <v/>
      </c>
      <c r="Q2029" s="317" t="str">
        <f t="shared" si="204"/>
        <v/>
      </c>
      <c r="R2029" s="317" t="str">
        <f t="shared" si="205"/>
        <v/>
      </c>
      <c r="S2029" s="317" t="str">
        <f t="shared" si="206"/>
        <v/>
      </c>
      <c r="T2029" s="317" t="str">
        <f>'REF. DE PREÇOS n editavel'!S2029</f>
        <v/>
      </c>
      <c r="W2029" s="577">
        <v>0</v>
      </c>
      <c r="X2029" s="575"/>
      <c r="Y2029" s="578">
        <f>IF('REF. DE PREÇOS n editavel'!W2029=0,0,IF('REF. DE PREÇOS n editavel'!W2029&gt;0,"c","b"))</f>
        <v>0</v>
      </c>
    </row>
    <row r="2030" spans="1:25" ht="15" customHeight="1">
      <c r="A2030" s="317" t="s">
        <v>147</v>
      </c>
      <c r="B2030" s="870" t="s">
        <v>147</v>
      </c>
      <c r="C2030" s="871"/>
      <c r="D2030" s="881" t="s">
        <v>229</v>
      </c>
      <c r="E2030" s="882">
        <f>'REF. DE PREÇOS n editavel'!E2030</f>
        <v>290</v>
      </c>
      <c r="F2030" s="883">
        <f>'REF. DE PREÇOS n editavel'!F2030</f>
        <v>2.52E-2</v>
      </c>
      <c r="G2030" s="923">
        <f>'REF. DE PREÇOS n editavel'!G2030</f>
        <v>7.8870960000000006</v>
      </c>
      <c r="H2030" s="876">
        <f>'REF. DE PREÇOS n editavel'!H2030</f>
        <v>0</v>
      </c>
      <c r="I2030" s="876">
        <f>'REF. DE PREÇOS n editavel'!I2030</f>
        <v>0</v>
      </c>
      <c r="J2030" s="877">
        <f>'REF. DE PREÇOS n editavel'!J2030</f>
        <v>0</v>
      </c>
      <c r="K2030" s="878"/>
      <c r="L2030" s="1132"/>
      <c r="M2030" s="1093">
        <f t="shared" si="203"/>
        <v>0</v>
      </c>
      <c r="N2030" s="1131">
        <f t="shared" si="207"/>
        <v>0</v>
      </c>
      <c r="O2030" s="880"/>
      <c r="P2030" s="36" t="str">
        <f>IF(N2028&gt;0,"xx",IF(N2028&gt;0,"xy",""))</f>
        <v/>
      </c>
      <c r="Q2030" s="317" t="str">
        <f t="shared" si="204"/>
        <v/>
      </c>
      <c r="R2030" s="317" t="str">
        <f t="shared" si="205"/>
        <v/>
      </c>
      <c r="S2030" s="317" t="str">
        <f t="shared" si="206"/>
        <v/>
      </c>
      <c r="T2030" s="317" t="str">
        <f>'REF. DE PREÇOS n editavel'!S2030</f>
        <v/>
      </c>
      <c r="W2030" s="577">
        <v>0</v>
      </c>
      <c r="X2030" s="575"/>
      <c r="Y2030" s="578">
        <f>IF('REF. DE PREÇOS n editavel'!W2030=0,0,IF('REF. DE PREÇOS n editavel'!W2030&gt;0,"c","b"))</f>
        <v>0</v>
      </c>
    </row>
    <row r="2031" spans="1:25" ht="15" customHeight="1">
      <c r="A2031" s="317" t="s">
        <v>147</v>
      </c>
      <c r="B2031" s="870" t="s">
        <v>147</v>
      </c>
      <c r="C2031" s="871"/>
      <c r="D2031" s="881" t="s">
        <v>336</v>
      </c>
      <c r="E2031" s="882">
        <f>'REF. DE PREÇOS n editavel'!E2031</f>
        <v>37</v>
      </c>
      <c r="F2031" s="883">
        <f>'REF. DE PREÇOS n editavel'!F2031</f>
        <v>1</v>
      </c>
      <c r="G2031" s="923">
        <f>'REF. DE PREÇOS n editavel'!G2031</f>
        <v>42.27</v>
      </c>
      <c r="H2031" s="876">
        <f>'REF. DE PREÇOS n editavel'!H2031</f>
        <v>0</v>
      </c>
      <c r="I2031" s="876">
        <f>'REF. DE PREÇOS n editavel'!I2031</f>
        <v>0</v>
      </c>
      <c r="J2031" s="877">
        <f>'REF. DE PREÇOS n editavel'!J2031</f>
        <v>0</v>
      </c>
      <c r="K2031" s="878"/>
      <c r="L2031" s="1132"/>
      <c r="M2031" s="1093">
        <f t="shared" si="203"/>
        <v>0</v>
      </c>
      <c r="N2031" s="1131">
        <f t="shared" si="207"/>
        <v>0</v>
      </c>
      <c r="O2031" s="880"/>
      <c r="P2031" s="36" t="str">
        <f>IF(N2028&gt;0,"xx",IF(N2028&gt;0,"xy",""))</f>
        <v/>
      </c>
      <c r="Q2031" s="317" t="str">
        <f t="shared" si="204"/>
        <v/>
      </c>
      <c r="R2031" s="317" t="str">
        <f t="shared" si="205"/>
        <v/>
      </c>
      <c r="S2031" s="317" t="str">
        <f t="shared" si="206"/>
        <v/>
      </c>
      <c r="T2031" s="317" t="str">
        <f>'REF. DE PREÇOS n editavel'!S2031</f>
        <v/>
      </c>
      <c r="W2031" s="577">
        <v>0</v>
      </c>
      <c r="X2031" s="575"/>
      <c r="Y2031" s="578">
        <f>IF('REF. DE PREÇOS n editavel'!W2031=0,0,IF('REF. DE PREÇOS n editavel'!W2031&gt;0,"c","b"))</f>
        <v>0</v>
      </c>
    </row>
    <row r="2032" spans="1:25" ht="15" customHeight="1">
      <c r="A2032" s="317">
        <v>611200</v>
      </c>
      <c r="B2032" s="870" t="s">
        <v>1831</v>
      </c>
      <c r="C2032" s="871" t="s">
        <v>184</v>
      </c>
      <c r="D2032" s="881" t="s">
        <v>2013</v>
      </c>
      <c r="E2032" s="882">
        <f>'REF. DE PREÇOS n editavel'!E2032</f>
        <v>0</v>
      </c>
      <c r="F2032" s="883">
        <f>'REF. DE PREÇOS n editavel'!F2032</f>
        <v>0</v>
      </c>
      <c r="G2032" s="887">
        <f>'REF. DE PREÇOS n editavel'!G2032</f>
        <v>73.691907999999998</v>
      </c>
      <c r="H2032" s="876">
        <f>'REF. DE PREÇOS n editavel'!H2032</f>
        <v>1150.08</v>
      </c>
      <c r="I2032" s="876">
        <f>'REF. DE PREÇOS n editavel'!I2032</f>
        <v>1223.7719079999999</v>
      </c>
      <c r="J2032" s="877">
        <f>'REF. DE PREÇOS n editavel'!J2032</f>
        <v>1495.69</v>
      </c>
      <c r="K2032" s="878" t="s">
        <v>13</v>
      </c>
      <c r="L2032" s="1092"/>
      <c r="M2032" s="1093">
        <f t="shared" si="203"/>
        <v>0</v>
      </c>
      <c r="N2032" s="1131">
        <f t="shared" si="207"/>
        <v>0</v>
      </c>
      <c r="O2032" s="880"/>
      <c r="Q2032" s="317" t="str">
        <f t="shared" si="204"/>
        <v/>
      </c>
      <c r="R2032" s="317" t="str">
        <f t="shared" si="205"/>
        <v/>
      </c>
      <c r="S2032" s="317" t="str">
        <f t="shared" si="206"/>
        <v/>
      </c>
      <c r="T2032" s="317" t="str">
        <f>'REF. DE PREÇOS n editavel'!S2032</f>
        <v/>
      </c>
      <c r="W2032" s="577">
        <v>0</v>
      </c>
      <c r="X2032" s="575"/>
      <c r="Y2032" s="578">
        <f>IF('REF. DE PREÇOS n editavel'!W2032=0,0,IF('REF. DE PREÇOS n editavel'!W2032&gt;0,"c","b"))</f>
        <v>0</v>
      </c>
    </row>
    <row r="2033" spans="1:25" ht="15" customHeight="1">
      <c r="A2033" s="317" t="s">
        <v>147</v>
      </c>
      <c r="B2033" s="870" t="s">
        <v>147</v>
      </c>
      <c r="C2033" s="871"/>
      <c r="D2033" s="881" t="s">
        <v>190</v>
      </c>
      <c r="E2033" s="882">
        <f>'REF. DE PREÇOS n editavel'!E2033</f>
        <v>445</v>
      </c>
      <c r="F2033" s="883">
        <f>'REF. DE PREÇOS n editavel'!F2033</f>
        <v>6.4999999999999997E-3</v>
      </c>
      <c r="G2033" s="884">
        <f>'REF. DE PREÇOS n editavel'!G2033</f>
        <v>2.3069799999999998</v>
      </c>
      <c r="H2033" s="876">
        <f>'REF. DE PREÇOS n editavel'!H2033</f>
        <v>0</v>
      </c>
      <c r="I2033" s="876">
        <f>'REF. DE PREÇOS n editavel'!I2033</f>
        <v>0</v>
      </c>
      <c r="J2033" s="877">
        <f>'REF. DE PREÇOS n editavel'!J2033</f>
        <v>0</v>
      </c>
      <c r="K2033" s="878"/>
      <c r="L2033" s="1132"/>
      <c r="M2033" s="1093">
        <f t="shared" si="203"/>
        <v>0</v>
      </c>
      <c r="N2033" s="1131">
        <f t="shared" si="207"/>
        <v>0</v>
      </c>
      <c r="O2033" s="880"/>
      <c r="P2033" s="36" t="str">
        <f>IF(N2032&gt;0,"xx",IF(N2032&gt;0,"xy",""))</f>
        <v/>
      </c>
      <c r="Q2033" s="317" t="str">
        <f t="shared" si="204"/>
        <v/>
      </c>
      <c r="R2033" s="317" t="str">
        <f t="shared" si="205"/>
        <v/>
      </c>
      <c r="S2033" s="317" t="str">
        <f t="shared" si="206"/>
        <v/>
      </c>
      <c r="T2033" s="317" t="str">
        <f>'REF. DE PREÇOS n editavel'!S2033</f>
        <v/>
      </c>
      <c r="W2033" s="577">
        <v>0</v>
      </c>
      <c r="X2033" s="575"/>
      <c r="Y2033" s="578">
        <f>IF('REF. DE PREÇOS n editavel'!W2033=0,0,IF('REF. DE PREÇOS n editavel'!W2033&gt;0,"c","b"))</f>
        <v>0</v>
      </c>
    </row>
    <row r="2034" spans="1:25" ht="15" customHeight="1">
      <c r="A2034" s="317" t="s">
        <v>147</v>
      </c>
      <c r="B2034" s="870" t="s">
        <v>147</v>
      </c>
      <c r="C2034" s="871"/>
      <c r="D2034" s="881" t="s">
        <v>229</v>
      </c>
      <c r="E2034" s="882">
        <f>'REF. DE PREÇOS n editavel'!E2034</f>
        <v>290</v>
      </c>
      <c r="F2034" s="883">
        <f>'REF. DE PREÇOS n editavel'!F2034</f>
        <v>3.3599999999999998E-2</v>
      </c>
      <c r="G2034" s="923">
        <f>'REF. DE PREÇOS n editavel'!G2034</f>
        <v>10.516128</v>
      </c>
      <c r="H2034" s="876">
        <f>'REF. DE PREÇOS n editavel'!H2034</f>
        <v>0</v>
      </c>
      <c r="I2034" s="876">
        <f>'REF. DE PREÇOS n editavel'!I2034</f>
        <v>0</v>
      </c>
      <c r="J2034" s="877">
        <f>'REF. DE PREÇOS n editavel'!J2034</f>
        <v>0</v>
      </c>
      <c r="K2034" s="878"/>
      <c r="L2034" s="1132"/>
      <c r="M2034" s="1093">
        <f t="shared" si="203"/>
        <v>0</v>
      </c>
      <c r="N2034" s="1131">
        <f t="shared" si="207"/>
        <v>0</v>
      </c>
      <c r="O2034" s="880"/>
      <c r="P2034" s="36" t="str">
        <f>IF(N2032&gt;0,"xx",IF(N2032&gt;0,"xy",""))</f>
        <v/>
      </c>
      <c r="Q2034" s="317" t="str">
        <f t="shared" si="204"/>
        <v/>
      </c>
      <c r="R2034" s="317" t="str">
        <f t="shared" si="205"/>
        <v/>
      </c>
      <c r="S2034" s="317" t="str">
        <f t="shared" si="206"/>
        <v/>
      </c>
      <c r="T2034" s="317" t="str">
        <f>'REF. DE PREÇOS n editavel'!S2034</f>
        <v/>
      </c>
      <c r="W2034" s="577">
        <v>0</v>
      </c>
      <c r="X2034" s="575"/>
      <c r="Y2034" s="578">
        <f>IF('REF. DE PREÇOS n editavel'!W2034=0,0,IF('REF. DE PREÇOS n editavel'!W2034&gt;0,"c","b"))</f>
        <v>0</v>
      </c>
    </row>
    <row r="2035" spans="1:25" ht="15" customHeight="1">
      <c r="A2035" s="317" t="s">
        <v>147</v>
      </c>
      <c r="B2035" s="870" t="s">
        <v>147</v>
      </c>
      <c r="C2035" s="871"/>
      <c r="D2035" s="881" t="s">
        <v>336</v>
      </c>
      <c r="E2035" s="882">
        <f>'REF. DE PREÇOS n editavel'!E2035</f>
        <v>37</v>
      </c>
      <c r="F2035" s="883">
        <f>'REF. DE PREÇOS n editavel'!F2035</f>
        <v>1.44</v>
      </c>
      <c r="G2035" s="923">
        <f>'REF. DE PREÇOS n editavel'!G2035</f>
        <v>60.8688</v>
      </c>
      <c r="H2035" s="876">
        <f>'REF. DE PREÇOS n editavel'!H2035</f>
        <v>0</v>
      </c>
      <c r="I2035" s="876">
        <f>'REF. DE PREÇOS n editavel'!I2035</f>
        <v>0</v>
      </c>
      <c r="J2035" s="877">
        <f>'REF. DE PREÇOS n editavel'!J2035</f>
        <v>0</v>
      </c>
      <c r="K2035" s="878"/>
      <c r="L2035" s="1132"/>
      <c r="M2035" s="1093">
        <f t="shared" si="203"/>
        <v>0</v>
      </c>
      <c r="N2035" s="1131">
        <f t="shared" si="207"/>
        <v>0</v>
      </c>
      <c r="O2035" s="880"/>
      <c r="P2035" s="36" t="str">
        <f>IF(N2032&gt;0,"xx",IF(N2032&gt;0,"xy",""))</f>
        <v/>
      </c>
      <c r="Q2035" s="317" t="str">
        <f t="shared" si="204"/>
        <v/>
      </c>
      <c r="R2035" s="317" t="str">
        <f t="shared" si="205"/>
        <v/>
      </c>
      <c r="S2035" s="317" t="str">
        <f t="shared" si="206"/>
        <v/>
      </c>
      <c r="T2035" s="317" t="str">
        <f>'REF. DE PREÇOS n editavel'!S2035</f>
        <v/>
      </c>
      <c r="W2035" s="577">
        <v>0</v>
      </c>
      <c r="X2035" s="575"/>
      <c r="Y2035" s="578">
        <f>IF('REF. DE PREÇOS n editavel'!W2035=0,0,IF('REF. DE PREÇOS n editavel'!W2035&gt;0,"c","b"))</f>
        <v>0</v>
      </c>
    </row>
    <row r="2036" spans="1:25" ht="15" customHeight="1">
      <c r="A2036" s="317">
        <v>611400</v>
      </c>
      <c r="B2036" s="870" t="s">
        <v>1834</v>
      </c>
      <c r="C2036" s="871" t="s">
        <v>184</v>
      </c>
      <c r="D2036" s="881" t="s">
        <v>2014</v>
      </c>
      <c r="E2036" s="882">
        <f>'REF. DE PREÇOS n editavel'!E2036</f>
        <v>0</v>
      </c>
      <c r="F2036" s="883">
        <f>'REF. DE PREÇOS n editavel'!F2036</f>
        <v>0</v>
      </c>
      <c r="G2036" s="887">
        <f>'REF. DE PREÇOS n editavel'!G2036</f>
        <v>85.765512000000001</v>
      </c>
      <c r="H2036" s="876">
        <f>'REF. DE PREÇOS n editavel'!H2036</f>
        <v>1451.97</v>
      </c>
      <c r="I2036" s="876">
        <f>'REF. DE PREÇOS n editavel'!I2036</f>
        <v>1537.735512</v>
      </c>
      <c r="J2036" s="877">
        <f>'REF. DE PREÇOS n editavel'!J2036</f>
        <v>1879.42</v>
      </c>
      <c r="K2036" s="878" t="s">
        <v>13</v>
      </c>
      <c r="L2036" s="1092"/>
      <c r="M2036" s="1093">
        <f t="shared" si="203"/>
        <v>0</v>
      </c>
      <c r="N2036" s="1131">
        <f t="shared" si="207"/>
        <v>0</v>
      </c>
      <c r="O2036" s="880"/>
      <c r="Q2036" s="317" t="str">
        <f t="shared" si="204"/>
        <v/>
      </c>
      <c r="R2036" s="317" t="str">
        <f t="shared" si="205"/>
        <v/>
      </c>
      <c r="S2036" s="317" t="str">
        <f t="shared" si="206"/>
        <v/>
      </c>
      <c r="T2036" s="317" t="str">
        <f>'REF. DE PREÇOS n editavel'!S2036</f>
        <v/>
      </c>
      <c r="W2036" s="577">
        <v>0</v>
      </c>
      <c r="X2036" s="575"/>
      <c r="Y2036" s="578">
        <f>IF('REF. DE PREÇOS n editavel'!W2036=0,0,IF('REF. DE PREÇOS n editavel'!W2036&gt;0,"c","b"))</f>
        <v>0</v>
      </c>
    </row>
    <row r="2037" spans="1:25" ht="15" customHeight="1">
      <c r="A2037" s="317" t="s">
        <v>147</v>
      </c>
      <c r="B2037" s="870" t="s">
        <v>147</v>
      </c>
      <c r="C2037" s="871"/>
      <c r="D2037" s="881" t="s">
        <v>190</v>
      </c>
      <c r="E2037" s="882">
        <f>'REF. DE PREÇOS n editavel'!E2037</f>
        <v>445</v>
      </c>
      <c r="F2037" s="883">
        <f>'REF. DE PREÇOS n editavel'!F2037</f>
        <v>8.0999999999999996E-3</v>
      </c>
      <c r="G2037" s="884">
        <f>'REF. DE PREÇOS n editavel'!G2037</f>
        <v>2.8748520000000002</v>
      </c>
      <c r="H2037" s="876">
        <f>'REF. DE PREÇOS n editavel'!H2037</f>
        <v>0</v>
      </c>
      <c r="I2037" s="876" t="str">
        <f>'REF. DE PREÇOS n editavel'!I2037</f>
        <v/>
      </c>
      <c r="J2037" s="877">
        <f>'REF. DE PREÇOS n editavel'!J2037</f>
        <v>0</v>
      </c>
      <c r="K2037" s="878"/>
      <c r="L2037" s="1132"/>
      <c r="M2037" s="1093">
        <f t="shared" si="203"/>
        <v>0</v>
      </c>
      <c r="N2037" s="1131">
        <f t="shared" si="207"/>
        <v>0</v>
      </c>
      <c r="O2037" s="880"/>
      <c r="P2037" s="36" t="str">
        <f>IF(N2036&gt;0,"xx",IF(N2036&gt;0,"xy",""))</f>
        <v/>
      </c>
      <c r="Q2037" s="317" t="str">
        <f t="shared" si="204"/>
        <v/>
      </c>
      <c r="R2037" s="317" t="str">
        <f t="shared" si="205"/>
        <v/>
      </c>
      <c r="S2037" s="317" t="str">
        <f t="shared" si="206"/>
        <v/>
      </c>
      <c r="T2037" s="317" t="str">
        <f>'REF. DE PREÇOS n editavel'!S2037</f>
        <v/>
      </c>
      <c r="W2037" s="577">
        <v>0</v>
      </c>
      <c r="X2037" s="575"/>
      <c r="Y2037" s="578">
        <f>IF('REF. DE PREÇOS n editavel'!W2037=0,0,IF('REF. DE PREÇOS n editavel'!W2037&gt;0,"c","b"))</f>
        <v>0</v>
      </c>
    </row>
    <row r="2038" spans="1:25" ht="15" customHeight="1">
      <c r="A2038" s="317" t="s">
        <v>147</v>
      </c>
      <c r="B2038" s="870" t="s">
        <v>147</v>
      </c>
      <c r="C2038" s="871"/>
      <c r="D2038" s="881" t="s">
        <v>229</v>
      </c>
      <c r="E2038" s="882">
        <f>'REF. DE PREÇOS n editavel'!E2038</f>
        <v>290</v>
      </c>
      <c r="F2038" s="883">
        <f>'REF. DE PREÇOS n editavel'!F2038</f>
        <v>4.2000000000000003E-2</v>
      </c>
      <c r="G2038" s="923">
        <f>'REF. DE PREÇOS n editavel'!G2038</f>
        <v>13.145160000000002</v>
      </c>
      <c r="H2038" s="876">
        <f>'REF. DE PREÇOS n editavel'!H2038</f>
        <v>0</v>
      </c>
      <c r="I2038" s="876" t="str">
        <f>'REF. DE PREÇOS n editavel'!I2038</f>
        <v/>
      </c>
      <c r="J2038" s="877">
        <f>'REF. DE PREÇOS n editavel'!J2038</f>
        <v>0</v>
      </c>
      <c r="K2038" s="878"/>
      <c r="L2038" s="1132"/>
      <c r="M2038" s="1093">
        <f t="shared" si="203"/>
        <v>0</v>
      </c>
      <c r="N2038" s="1131">
        <f t="shared" si="207"/>
        <v>0</v>
      </c>
      <c r="O2038" s="880"/>
      <c r="P2038" s="36" t="str">
        <f>IF(N2036&gt;0,"xx",IF(N2036&gt;0,"xy",""))</f>
        <v/>
      </c>
      <c r="Q2038" s="317" t="str">
        <f t="shared" si="204"/>
        <v/>
      </c>
      <c r="R2038" s="317" t="str">
        <f t="shared" si="205"/>
        <v/>
      </c>
      <c r="S2038" s="317" t="str">
        <f t="shared" si="206"/>
        <v/>
      </c>
      <c r="T2038" s="317" t="str">
        <f>'REF. DE PREÇOS n editavel'!S2038</f>
        <v/>
      </c>
      <c r="W2038" s="577">
        <v>0</v>
      </c>
      <c r="X2038" s="575"/>
      <c r="Y2038" s="578">
        <f>IF('REF. DE PREÇOS n editavel'!W2038=0,0,IF('REF. DE PREÇOS n editavel'!W2038&gt;0,"c","b"))</f>
        <v>0</v>
      </c>
    </row>
    <row r="2039" spans="1:25" ht="15" customHeight="1">
      <c r="A2039" s="317" t="s">
        <v>147</v>
      </c>
      <c r="B2039" s="870" t="s">
        <v>147</v>
      </c>
      <c r="C2039" s="871"/>
      <c r="D2039" s="881" t="s">
        <v>336</v>
      </c>
      <c r="E2039" s="882">
        <f>'REF. DE PREÇOS n editavel'!E2039</f>
        <v>37</v>
      </c>
      <c r="F2039" s="883">
        <f>'REF. DE PREÇOS n editavel'!F2039</f>
        <v>1.65</v>
      </c>
      <c r="G2039" s="923">
        <f>'REF. DE PREÇOS n editavel'!G2039</f>
        <v>69.745500000000007</v>
      </c>
      <c r="H2039" s="876">
        <f>'REF. DE PREÇOS n editavel'!H2039</f>
        <v>0</v>
      </c>
      <c r="I2039" s="876" t="str">
        <f>'REF. DE PREÇOS n editavel'!I2039</f>
        <v/>
      </c>
      <c r="J2039" s="877">
        <f>'REF. DE PREÇOS n editavel'!J2039</f>
        <v>0</v>
      </c>
      <c r="K2039" s="878"/>
      <c r="L2039" s="1132"/>
      <c r="M2039" s="1093">
        <f t="shared" si="203"/>
        <v>0</v>
      </c>
      <c r="N2039" s="1131">
        <f t="shared" si="207"/>
        <v>0</v>
      </c>
      <c r="O2039" s="880"/>
      <c r="P2039" s="36" t="str">
        <f>IF(N2036&gt;0,"xx",IF(N2036&gt;0,"xy",""))</f>
        <v/>
      </c>
      <c r="Q2039" s="317" t="str">
        <f t="shared" si="204"/>
        <v/>
      </c>
      <c r="R2039" s="317" t="str">
        <f t="shared" si="205"/>
        <v/>
      </c>
      <c r="S2039" s="317" t="str">
        <f t="shared" si="206"/>
        <v/>
      </c>
      <c r="T2039" s="317" t="str">
        <f>'REF. DE PREÇOS n editavel'!S2039</f>
        <v/>
      </c>
      <c r="W2039" s="577">
        <v>0</v>
      </c>
      <c r="X2039" s="575"/>
      <c r="Y2039" s="578">
        <f>IF('REF. DE PREÇOS n editavel'!W2039=0,0,IF('REF. DE PREÇOS n editavel'!W2039&gt;0,"c","b"))</f>
        <v>0</v>
      </c>
    </row>
    <row r="2040" spans="1:25" ht="15" customHeight="1">
      <c r="A2040" s="317">
        <v>611400</v>
      </c>
      <c r="B2040" s="870" t="s">
        <v>1835</v>
      </c>
      <c r="C2040" s="871" t="s">
        <v>184</v>
      </c>
      <c r="D2040" s="881" t="s">
        <v>2015</v>
      </c>
      <c r="E2040" s="882">
        <f>'REF. DE PREÇOS n editavel'!E2040</f>
        <v>0</v>
      </c>
      <c r="F2040" s="883">
        <f>'REF. DE PREÇOS n editavel'!F2040</f>
        <v>0</v>
      </c>
      <c r="G2040" s="887">
        <f>'REF. DE PREÇOS n editavel'!G2040</f>
        <v>103.58745500000001</v>
      </c>
      <c r="H2040" s="876">
        <f>'REF. DE PREÇOS n editavel'!H2040</f>
        <v>1450.81</v>
      </c>
      <c r="I2040" s="876">
        <f>'REF. DE PREÇOS n editavel'!I2040</f>
        <v>1554.397455</v>
      </c>
      <c r="J2040" s="877">
        <f>'REF. DE PREÇOS n editavel'!J2040</f>
        <v>1899.78</v>
      </c>
      <c r="K2040" s="878" t="s">
        <v>13</v>
      </c>
      <c r="L2040" s="1092"/>
      <c r="M2040" s="1093">
        <f t="shared" si="203"/>
        <v>0</v>
      </c>
      <c r="N2040" s="1131">
        <f t="shared" si="207"/>
        <v>0</v>
      </c>
      <c r="O2040" s="880"/>
      <c r="Q2040" s="317" t="str">
        <f t="shared" si="204"/>
        <v/>
      </c>
      <c r="R2040" s="317" t="str">
        <f t="shared" si="205"/>
        <v/>
      </c>
      <c r="S2040" s="317" t="str">
        <f t="shared" si="206"/>
        <v/>
      </c>
      <c r="T2040" s="317" t="str">
        <f>'REF. DE PREÇOS n editavel'!S2040</f>
        <v/>
      </c>
      <c r="W2040" s="577">
        <v>0</v>
      </c>
      <c r="X2040" s="575"/>
      <c r="Y2040" s="578">
        <f>IF('REF. DE PREÇOS n editavel'!W2040=0,0,IF('REF. DE PREÇOS n editavel'!W2040&gt;0,"c","b"))</f>
        <v>0</v>
      </c>
    </row>
    <row r="2041" spans="1:25" ht="15" customHeight="1">
      <c r="A2041" s="317" t="s">
        <v>147</v>
      </c>
      <c r="B2041" s="870" t="s">
        <v>147</v>
      </c>
      <c r="C2041" s="871"/>
      <c r="D2041" s="881" t="s">
        <v>190</v>
      </c>
      <c r="E2041" s="882">
        <f>'REF. DE PREÇOS n editavel'!E2041</f>
        <v>445</v>
      </c>
      <c r="F2041" s="883">
        <f>'REF. DE PREÇOS n editavel'!F2041</f>
        <v>9.1999999999999998E-3</v>
      </c>
      <c r="G2041" s="884">
        <f>'REF. DE PREÇOS n editavel'!G2041</f>
        <v>3.2652640000000002</v>
      </c>
      <c r="H2041" s="876">
        <f>'REF. DE PREÇOS n editavel'!H2041</f>
        <v>0</v>
      </c>
      <c r="I2041" s="876">
        <f>'REF. DE PREÇOS n editavel'!I2041</f>
        <v>0</v>
      </c>
      <c r="J2041" s="877">
        <f>'REF. DE PREÇOS n editavel'!J2041</f>
        <v>0</v>
      </c>
      <c r="K2041" s="878"/>
      <c r="L2041" s="1132"/>
      <c r="M2041" s="1093">
        <f t="shared" si="203"/>
        <v>0</v>
      </c>
      <c r="N2041" s="1131">
        <f t="shared" si="207"/>
        <v>0</v>
      </c>
      <c r="O2041" s="880"/>
      <c r="P2041" s="36" t="str">
        <f>IF(N2040&gt;0,"xx",IF(N2040&gt;0,"xy",""))</f>
        <v/>
      </c>
      <c r="Q2041" s="317" t="str">
        <f t="shared" si="204"/>
        <v/>
      </c>
      <c r="R2041" s="317" t="str">
        <f t="shared" si="205"/>
        <v/>
      </c>
      <c r="S2041" s="317" t="str">
        <f t="shared" si="206"/>
        <v/>
      </c>
      <c r="T2041" s="317" t="str">
        <f>'REF. DE PREÇOS n editavel'!S2041</f>
        <v/>
      </c>
      <c r="W2041" s="577">
        <v>0</v>
      </c>
      <c r="X2041" s="575"/>
      <c r="Y2041" s="578">
        <f>IF('REF. DE PREÇOS n editavel'!W2041=0,0,IF('REF. DE PREÇOS n editavel'!W2041&gt;0,"c","b"))</f>
        <v>0</v>
      </c>
    </row>
    <row r="2042" spans="1:25" ht="15" customHeight="1">
      <c r="A2042" s="317" t="s">
        <v>147</v>
      </c>
      <c r="B2042" s="870" t="s">
        <v>147</v>
      </c>
      <c r="C2042" s="871"/>
      <c r="D2042" s="881" t="s">
        <v>229</v>
      </c>
      <c r="E2042" s="882">
        <f>'REF. DE PREÇOS n editavel'!E2042</f>
        <v>290</v>
      </c>
      <c r="F2042" s="883">
        <f>'REF. DE PREÇOS n editavel'!F2042</f>
        <v>4.7899999999999998E-2</v>
      </c>
      <c r="G2042" s="923">
        <f>'REF. DE PREÇOS n editavel'!G2042</f>
        <v>14.991742</v>
      </c>
      <c r="H2042" s="876">
        <f>'REF. DE PREÇOS n editavel'!H2042</f>
        <v>0</v>
      </c>
      <c r="I2042" s="876">
        <f>'REF. DE PREÇOS n editavel'!I2042</f>
        <v>0</v>
      </c>
      <c r="J2042" s="877">
        <f>'REF. DE PREÇOS n editavel'!J2042</f>
        <v>0</v>
      </c>
      <c r="K2042" s="878"/>
      <c r="L2042" s="1132"/>
      <c r="M2042" s="1093">
        <f t="shared" si="203"/>
        <v>0</v>
      </c>
      <c r="N2042" s="1131">
        <f t="shared" si="207"/>
        <v>0</v>
      </c>
      <c r="O2042" s="880"/>
      <c r="P2042" s="36" t="str">
        <f>IF(N2040&gt;0,"xx",IF(N2040&gt;0,"xy",""))</f>
        <v/>
      </c>
      <c r="Q2042" s="317" t="str">
        <f t="shared" si="204"/>
        <v/>
      </c>
      <c r="R2042" s="317" t="str">
        <f t="shared" si="205"/>
        <v/>
      </c>
      <c r="S2042" s="317" t="str">
        <f t="shared" si="206"/>
        <v/>
      </c>
      <c r="T2042" s="317" t="str">
        <f>'REF. DE PREÇOS n editavel'!S2042</f>
        <v/>
      </c>
      <c r="W2042" s="577">
        <v>0</v>
      </c>
      <c r="X2042" s="575"/>
      <c r="Y2042" s="578">
        <f>IF('REF. DE PREÇOS n editavel'!W2042=0,0,IF('REF. DE PREÇOS n editavel'!W2042&gt;0,"c","b"))</f>
        <v>0</v>
      </c>
    </row>
    <row r="2043" spans="1:25" ht="15" customHeight="1">
      <c r="A2043" s="317" t="s">
        <v>147</v>
      </c>
      <c r="B2043" s="870" t="s">
        <v>147</v>
      </c>
      <c r="C2043" s="871"/>
      <c r="D2043" s="881" t="s">
        <v>336</v>
      </c>
      <c r="E2043" s="882">
        <f>'REF. DE PREÇOS n editavel'!E2043</f>
        <v>37</v>
      </c>
      <c r="F2043" s="883">
        <f>'REF. DE PREÇOS n editavel'!F2043</f>
        <v>2.0186999999999999</v>
      </c>
      <c r="G2043" s="923">
        <f>'REF. DE PREÇOS n editavel'!G2043</f>
        <v>85.330449000000002</v>
      </c>
      <c r="H2043" s="876">
        <f>'REF. DE PREÇOS n editavel'!H2043</f>
        <v>0</v>
      </c>
      <c r="I2043" s="876">
        <f>'REF. DE PREÇOS n editavel'!I2043</f>
        <v>0</v>
      </c>
      <c r="J2043" s="877">
        <f>'REF. DE PREÇOS n editavel'!J2043</f>
        <v>0</v>
      </c>
      <c r="K2043" s="878"/>
      <c r="L2043" s="1132"/>
      <c r="M2043" s="1093">
        <f t="shared" si="203"/>
        <v>0</v>
      </c>
      <c r="N2043" s="1131">
        <f t="shared" si="207"/>
        <v>0</v>
      </c>
      <c r="O2043" s="880"/>
      <c r="P2043" s="36" t="str">
        <f>IF(N2040&gt;0,"xx",IF(N2040&gt;0,"xy",""))</f>
        <v/>
      </c>
      <c r="Q2043" s="317" t="str">
        <f t="shared" si="204"/>
        <v/>
      </c>
      <c r="R2043" s="317" t="str">
        <f t="shared" si="205"/>
        <v/>
      </c>
      <c r="S2043" s="317" t="str">
        <f t="shared" si="206"/>
        <v/>
      </c>
      <c r="T2043" s="317" t="str">
        <f>'REF. DE PREÇOS n editavel'!S2043</f>
        <v/>
      </c>
      <c r="W2043" s="577">
        <v>0</v>
      </c>
      <c r="X2043" s="575"/>
      <c r="Y2043" s="578">
        <f>IF('REF. DE PREÇOS n editavel'!W2043=0,0,IF('REF. DE PREÇOS n editavel'!W2043&gt;0,"c","b"))</f>
        <v>0</v>
      </c>
    </row>
    <row r="2044" spans="1:25" ht="15" customHeight="1">
      <c r="A2044" s="317">
        <v>611600</v>
      </c>
      <c r="B2044" s="870" t="s">
        <v>1837</v>
      </c>
      <c r="C2044" s="871" t="s">
        <v>184</v>
      </c>
      <c r="D2044" s="881" t="s">
        <v>2016</v>
      </c>
      <c r="E2044" s="882">
        <f>'REF. DE PREÇOS n editavel'!E2044</f>
        <v>0</v>
      </c>
      <c r="F2044" s="883">
        <f>'REF. DE PREÇOS n editavel'!F2044</f>
        <v>0</v>
      </c>
      <c r="G2044" s="887">
        <f>'REF. DE PREÇOS n editavel'!G2044</f>
        <v>110.097416</v>
      </c>
      <c r="H2044" s="876">
        <f>'REF. DE PREÇOS n editavel'!H2044</f>
        <v>3497.54</v>
      </c>
      <c r="I2044" s="876">
        <f>'REF. DE PREÇOS n editavel'!I2044</f>
        <v>3607.637416</v>
      </c>
      <c r="J2044" s="877">
        <f>'REF. DE PREÇOS n editavel'!J2044</f>
        <v>4409.25</v>
      </c>
      <c r="K2044" s="878" t="s">
        <v>13</v>
      </c>
      <c r="L2044" s="1092"/>
      <c r="M2044" s="1093">
        <f t="shared" si="203"/>
        <v>0</v>
      </c>
      <c r="N2044" s="1131">
        <f t="shared" si="207"/>
        <v>0</v>
      </c>
      <c r="O2044" s="880"/>
      <c r="Q2044" s="317" t="str">
        <f t="shared" si="204"/>
        <v/>
      </c>
      <c r="R2044" s="317" t="str">
        <f t="shared" si="205"/>
        <v/>
      </c>
      <c r="S2044" s="317" t="str">
        <f t="shared" si="206"/>
        <v/>
      </c>
      <c r="T2044" s="317" t="str">
        <f>'REF. DE PREÇOS n editavel'!S2044</f>
        <v/>
      </c>
      <c r="W2044" s="577">
        <v>0</v>
      </c>
      <c r="X2044" s="575"/>
      <c r="Y2044" s="578">
        <f>IF('REF. DE PREÇOS n editavel'!W2044=0,0,IF('REF. DE PREÇOS n editavel'!W2044&gt;0,"c","b"))</f>
        <v>0</v>
      </c>
    </row>
    <row r="2045" spans="1:25" ht="15" customHeight="1">
      <c r="A2045" s="317" t="s">
        <v>147</v>
      </c>
      <c r="B2045" s="870" t="s">
        <v>147</v>
      </c>
      <c r="C2045" s="871"/>
      <c r="D2045" s="881" t="s">
        <v>190</v>
      </c>
      <c r="E2045" s="882">
        <f>'REF. DE PREÇOS n editavel'!E2045</f>
        <v>445</v>
      </c>
      <c r="F2045" s="883">
        <f>'REF. DE PREÇOS n editavel'!F2045</f>
        <v>9.7000000000000003E-3</v>
      </c>
      <c r="G2045" s="884">
        <f>'REF. DE PREÇOS n editavel'!G2045</f>
        <v>3.4427240000000001</v>
      </c>
      <c r="H2045" s="876">
        <f>'REF. DE PREÇOS n editavel'!H2045</f>
        <v>0</v>
      </c>
      <c r="I2045" s="876">
        <f>'REF. DE PREÇOS n editavel'!I2045</f>
        <v>0</v>
      </c>
      <c r="J2045" s="877">
        <f>'REF. DE PREÇOS n editavel'!J2045</f>
        <v>0</v>
      </c>
      <c r="K2045" s="878"/>
      <c r="L2045" s="1132"/>
      <c r="M2045" s="1093">
        <f t="shared" si="203"/>
        <v>0</v>
      </c>
      <c r="N2045" s="1131">
        <f t="shared" si="207"/>
        <v>0</v>
      </c>
      <c r="O2045" s="880"/>
      <c r="P2045" s="36" t="str">
        <f>IF(N2044&gt;0,"xx",IF(N2044&gt;0,"xy",""))</f>
        <v/>
      </c>
      <c r="Q2045" s="317" t="str">
        <f t="shared" si="204"/>
        <v/>
      </c>
      <c r="R2045" s="317" t="str">
        <f t="shared" si="205"/>
        <v/>
      </c>
      <c r="S2045" s="317" t="str">
        <f t="shared" si="206"/>
        <v/>
      </c>
      <c r="T2045" s="317" t="str">
        <f>'REF. DE PREÇOS n editavel'!S2045</f>
        <v/>
      </c>
      <c r="W2045" s="577">
        <v>0</v>
      </c>
      <c r="X2045" s="575"/>
      <c r="Y2045" s="578">
        <f>IF('REF. DE PREÇOS n editavel'!W2045=0,0,IF('REF. DE PREÇOS n editavel'!W2045&gt;0,"c","b"))</f>
        <v>0</v>
      </c>
    </row>
    <row r="2046" spans="1:25" ht="15" customHeight="1">
      <c r="A2046" s="317" t="s">
        <v>147</v>
      </c>
      <c r="B2046" s="870" t="s">
        <v>147</v>
      </c>
      <c r="C2046" s="871"/>
      <c r="D2046" s="881" t="s">
        <v>229</v>
      </c>
      <c r="E2046" s="882">
        <f>'REF. DE PREÇOS n editavel'!E2046</f>
        <v>290</v>
      </c>
      <c r="F2046" s="883">
        <f>'REF. DE PREÇOS n editavel'!F2046</f>
        <v>5.04E-2</v>
      </c>
      <c r="G2046" s="923">
        <f>'REF. DE PREÇOS n editavel'!G2046</f>
        <v>15.774192000000001</v>
      </c>
      <c r="H2046" s="876">
        <f>'REF. DE PREÇOS n editavel'!H2046</f>
        <v>0</v>
      </c>
      <c r="I2046" s="876">
        <f>'REF. DE PREÇOS n editavel'!I2046</f>
        <v>0</v>
      </c>
      <c r="J2046" s="877">
        <f>'REF. DE PREÇOS n editavel'!J2046</f>
        <v>0</v>
      </c>
      <c r="K2046" s="878"/>
      <c r="L2046" s="1132"/>
      <c r="M2046" s="1093">
        <f t="shared" si="203"/>
        <v>0</v>
      </c>
      <c r="N2046" s="1131">
        <f t="shared" si="207"/>
        <v>0</v>
      </c>
      <c r="O2046" s="880"/>
      <c r="P2046" s="36" t="str">
        <f>IF(N2044&gt;0,"xx",IF(N2044&gt;0,"xy",""))</f>
        <v/>
      </c>
      <c r="Q2046" s="317" t="str">
        <f t="shared" si="204"/>
        <v/>
      </c>
      <c r="R2046" s="317" t="str">
        <f t="shared" si="205"/>
        <v/>
      </c>
      <c r="S2046" s="317" t="str">
        <f t="shared" si="206"/>
        <v/>
      </c>
      <c r="T2046" s="317" t="str">
        <f>'REF. DE PREÇOS n editavel'!S2046</f>
        <v/>
      </c>
      <c r="W2046" s="577">
        <v>0</v>
      </c>
      <c r="X2046" s="575"/>
      <c r="Y2046" s="578">
        <f>IF('REF. DE PREÇOS n editavel'!W2046=0,0,IF('REF. DE PREÇOS n editavel'!W2046&gt;0,"c","b"))</f>
        <v>0</v>
      </c>
    </row>
    <row r="2047" spans="1:25" ht="15" customHeight="1">
      <c r="A2047" s="317" t="s">
        <v>147</v>
      </c>
      <c r="B2047" s="870" t="s">
        <v>147</v>
      </c>
      <c r="C2047" s="871"/>
      <c r="D2047" s="881" t="s">
        <v>336</v>
      </c>
      <c r="E2047" s="882">
        <f>'REF. DE PREÇOS n editavel'!E2047</f>
        <v>37</v>
      </c>
      <c r="F2047" s="883">
        <f>'REF. DE PREÇOS n editavel'!F2047</f>
        <v>2.15</v>
      </c>
      <c r="G2047" s="923">
        <f>'REF. DE PREÇOS n editavel'!G2047</f>
        <v>90.880499999999998</v>
      </c>
      <c r="H2047" s="876">
        <f>'REF. DE PREÇOS n editavel'!H2047</f>
        <v>0</v>
      </c>
      <c r="I2047" s="876">
        <f>'REF. DE PREÇOS n editavel'!I2047</f>
        <v>0</v>
      </c>
      <c r="J2047" s="877">
        <f>'REF. DE PREÇOS n editavel'!J2047</f>
        <v>0</v>
      </c>
      <c r="K2047" s="878"/>
      <c r="L2047" s="1132"/>
      <c r="M2047" s="1093">
        <f t="shared" si="203"/>
        <v>0</v>
      </c>
      <c r="N2047" s="1131">
        <f t="shared" si="207"/>
        <v>0</v>
      </c>
      <c r="O2047" s="880"/>
      <c r="P2047" s="36" t="str">
        <f>IF(N2044&gt;0,"xx",IF(N2044&gt;0,"xy",""))</f>
        <v/>
      </c>
      <c r="Q2047" s="317" t="str">
        <f t="shared" si="204"/>
        <v/>
      </c>
      <c r="R2047" s="317" t="str">
        <f t="shared" si="205"/>
        <v/>
      </c>
      <c r="S2047" s="317" t="str">
        <f t="shared" si="206"/>
        <v/>
      </c>
      <c r="T2047" s="317" t="str">
        <f>'REF. DE PREÇOS n editavel'!S2047</f>
        <v/>
      </c>
      <c r="W2047" s="577">
        <v>0</v>
      </c>
      <c r="X2047" s="575"/>
      <c r="Y2047" s="578">
        <f>IF('REF. DE PREÇOS n editavel'!W2047=0,0,IF('REF. DE PREÇOS n editavel'!W2047&gt;0,"c","b"))</f>
        <v>0</v>
      </c>
    </row>
    <row r="2048" spans="1:25" ht="15" customHeight="1">
      <c r="A2048" s="317">
        <v>610500</v>
      </c>
      <c r="B2048" s="870">
        <v>610500</v>
      </c>
      <c r="C2048" s="871" t="s">
        <v>184</v>
      </c>
      <c r="D2048" s="881" t="s">
        <v>2017</v>
      </c>
      <c r="E2048" s="882">
        <f>'REF. DE PREÇOS n editavel'!E2048</f>
        <v>0</v>
      </c>
      <c r="F2048" s="883">
        <f>'REF. DE PREÇOS n editavel'!F2048</f>
        <v>0</v>
      </c>
      <c r="G2048" s="887">
        <f>'REF. DE PREÇOS n editavel'!G2048</f>
        <v>41.307004599999999</v>
      </c>
      <c r="H2048" s="876">
        <f>'REF. DE PREÇOS n editavel'!H2048</f>
        <v>206.29</v>
      </c>
      <c r="I2048" s="876">
        <f>'REF. DE PREÇOS n editavel'!I2048</f>
        <v>247.59700459999999</v>
      </c>
      <c r="J2048" s="877">
        <f>'REF. DE PREÇOS n editavel'!J2048</f>
        <v>302.61</v>
      </c>
      <c r="K2048" s="878" t="s">
        <v>13</v>
      </c>
      <c r="L2048" s="1092"/>
      <c r="M2048" s="1093">
        <f t="shared" si="203"/>
        <v>0</v>
      </c>
      <c r="N2048" s="1131">
        <f t="shared" si="207"/>
        <v>0</v>
      </c>
      <c r="O2048" s="880"/>
      <c r="Q2048" s="317" t="str">
        <f t="shared" si="204"/>
        <v/>
      </c>
      <c r="R2048" s="317" t="str">
        <f t="shared" si="205"/>
        <v/>
      </c>
      <c r="S2048" s="317" t="str">
        <f t="shared" si="206"/>
        <v/>
      </c>
      <c r="T2048" s="317" t="str">
        <f>'REF. DE PREÇOS n editavel'!S2048</f>
        <v/>
      </c>
      <c r="W2048" s="577">
        <v>0</v>
      </c>
      <c r="X2048" s="575"/>
      <c r="Y2048" s="578">
        <f>IF('REF. DE PREÇOS n editavel'!W2048=0,0,IF('REF. DE PREÇOS n editavel'!W2048&gt;0,"c","b"))</f>
        <v>0</v>
      </c>
    </row>
    <row r="2049" spans="1:25" ht="15" customHeight="1">
      <c r="A2049" s="317" t="s">
        <v>147</v>
      </c>
      <c r="B2049" s="870" t="s">
        <v>147</v>
      </c>
      <c r="C2049" s="871"/>
      <c r="D2049" s="881" t="s">
        <v>190</v>
      </c>
      <c r="E2049" s="882">
        <f>'REF. DE PREÇOS n editavel'!E2049</f>
        <v>445</v>
      </c>
      <c r="F2049" s="883">
        <f>'REF. DE PREÇOS n editavel'!F2049</f>
        <v>2.2599999999999999E-2</v>
      </c>
      <c r="G2049" s="884">
        <f>'REF. DE PREÇOS n editavel'!G2049</f>
        <v>8.0211919999999992</v>
      </c>
      <c r="H2049" s="876">
        <f>'REF. DE PREÇOS n editavel'!H2049</f>
        <v>0</v>
      </c>
      <c r="I2049" s="876">
        <f>'REF. DE PREÇOS n editavel'!I2049</f>
        <v>0</v>
      </c>
      <c r="J2049" s="877">
        <f>'REF. DE PREÇOS n editavel'!J2049</f>
        <v>0</v>
      </c>
      <c r="K2049" s="878"/>
      <c r="L2049" s="1132"/>
      <c r="M2049" s="1093">
        <f t="shared" si="203"/>
        <v>0</v>
      </c>
      <c r="N2049" s="1131">
        <f t="shared" si="207"/>
        <v>0</v>
      </c>
      <c r="O2049" s="880"/>
      <c r="P2049" s="36" t="str">
        <f>IF(N2048&gt;0,"xx",IF(N2048&gt;0,"xy",""))</f>
        <v/>
      </c>
      <c r="Q2049" s="317" t="str">
        <f t="shared" si="204"/>
        <v/>
      </c>
      <c r="R2049" s="317" t="str">
        <f t="shared" si="205"/>
        <v/>
      </c>
      <c r="S2049" s="317" t="str">
        <f t="shared" si="206"/>
        <v/>
      </c>
      <c r="T2049" s="317" t="str">
        <f>'REF. DE PREÇOS n editavel'!S2049</f>
        <v/>
      </c>
      <c r="W2049" s="577">
        <v>0</v>
      </c>
      <c r="X2049" s="575"/>
      <c r="Y2049" s="578">
        <f>IF('REF. DE PREÇOS n editavel'!W2049=0,0,IF('REF. DE PREÇOS n editavel'!W2049&gt;0,"c","b"))</f>
        <v>0</v>
      </c>
    </row>
    <row r="2050" spans="1:25" ht="15" customHeight="1">
      <c r="A2050" s="317" t="s">
        <v>147</v>
      </c>
      <c r="B2050" s="870" t="s">
        <v>147</v>
      </c>
      <c r="C2050" s="871"/>
      <c r="D2050" s="881" t="s">
        <v>229</v>
      </c>
      <c r="E2050" s="882">
        <f>'REF. DE PREÇOS n editavel'!E2050</f>
        <v>290</v>
      </c>
      <c r="F2050" s="883">
        <f>'REF. DE PREÇOS n editavel'!F2050</f>
        <v>8.3900000000000002E-2</v>
      </c>
      <c r="G2050" s="923">
        <f>'REF. DE PREÇOS n editavel'!G2050</f>
        <v>26.259022000000002</v>
      </c>
      <c r="H2050" s="876">
        <f>'REF. DE PREÇOS n editavel'!H2050</f>
        <v>0</v>
      </c>
      <c r="I2050" s="876">
        <f>'REF. DE PREÇOS n editavel'!I2050</f>
        <v>0</v>
      </c>
      <c r="J2050" s="877">
        <f>'REF. DE PREÇOS n editavel'!J2050</f>
        <v>0</v>
      </c>
      <c r="K2050" s="878"/>
      <c r="L2050" s="1132"/>
      <c r="M2050" s="1093">
        <f t="shared" si="203"/>
        <v>0</v>
      </c>
      <c r="N2050" s="1131">
        <f t="shared" si="207"/>
        <v>0</v>
      </c>
      <c r="O2050" s="880"/>
      <c r="P2050" s="36" t="str">
        <f>IF(N2048&gt;0,"xx",IF(N2048&gt;0,"xy",""))</f>
        <v/>
      </c>
      <c r="Q2050" s="317" t="str">
        <f t="shared" si="204"/>
        <v/>
      </c>
      <c r="R2050" s="317" t="str">
        <f t="shared" si="205"/>
        <v/>
      </c>
      <c r="S2050" s="317" t="str">
        <f t="shared" si="206"/>
        <v/>
      </c>
      <c r="T2050" s="317" t="str">
        <f>'REF. DE PREÇOS n editavel'!S2050</f>
        <v/>
      </c>
      <c r="W2050" s="577">
        <v>0</v>
      </c>
      <c r="X2050" s="575"/>
      <c r="Y2050" s="578">
        <f>IF('REF. DE PREÇOS n editavel'!W2050=0,0,IF('REF. DE PREÇOS n editavel'!W2050&gt;0,"c","b"))</f>
        <v>0</v>
      </c>
    </row>
    <row r="2051" spans="1:25" ht="15" customHeight="1">
      <c r="A2051" s="317" t="s">
        <v>147</v>
      </c>
      <c r="B2051" s="870" t="s">
        <v>147</v>
      </c>
      <c r="C2051" s="871"/>
      <c r="D2051" s="881" t="s">
        <v>233</v>
      </c>
      <c r="E2051" s="882">
        <f>'REF. DE PREÇOS n editavel'!E2051</f>
        <v>0.2</v>
      </c>
      <c r="F2051" s="883">
        <f>'REF. DE PREÇOS n editavel'!F2051</f>
        <v>0.13490000000000002</v>
      </c>
      <c r="G2051" s="923">
        <f>'REF. DE PREÇOS n editavel'!G2051</f>
        <v>0.3904006000000001</v>
      </c>
      <c r="H2051" s="876">
        <f>'REF. DE PREÇOS n editavel'!H2051</f>
        <v>0</v>
      </c>
      <c r="I2051" s="876">
        <f>'REF. DE PREÇOS n editavel'!I2051</f>
        <v>0</v>
      </c>
      <c r="J2051" s="877">
        <f>'REF. DE PREÇOS n editavel'!J2051</f>
        <v>0</v>
      </c>
      <c r="K2051" s="878"/>
      <c r="L2051" s="1132"/>
      <c r="M2051" s="1093">
        <f t="shared" si="203"/>
        <v>0</v>
      </c>
      <c r="N2051" s="1131">
        <f t="shared" si="207"/>
        <v>0</v>
      </c>
      <c r="O2051" s="880"/>
      <c r="P2051" s="36" t="str">
        <f>IF(N2048&gt;0,"xx",IF(N2048&gt;0,"xy",""))</f>
        <v/>
      </c>
      <c r="Q2051" s="317" t="str">
        <f t="shared" si="204"/>
        <v/>
      </c>
      <c r="R2051" s="317" t="str">
        <f t="shared" si="205"/>
        <v/>
      </c>
      <c r="S2051" s="317" t="str">
        <f t="shared" si="206"/>
        <v/>
      </c>
      <c r="T2051" s="317" t="str">
        <f>'REF. DE PREÇOS n editavel'!S2051</f>
        <v/>
      </c>
      <c r="W2051" s="577">
        <v>0</v>
      </c>
      <c r="X2051" s="575"/>
      <c r="Y2051" s="578">
        <f>IF('REF. DE PREÇOS n editavel'!W2051=0,0,IF('REF. DE PREÇOS n editavel'!W2051&gt;0,"c","b"))</f>
        <v>0</v>
      </c>
    </row>
    <row r="2052" spans="1:25" ht="15" customHeight="1">
      <c r="A2052" s="317" t="s">
        <v>147</v>
      </c>
      <c r="B2052" s="870" t="s">
        <v>147</v>
      </c>
      <c r="C2052" s="871"/>
      <c r="D2052" s="881" t="s">
        <v>336</v>
      </c>
      <c r="E2052" s="882">
        <f>'REF. DE PREÇOS n editavel'!E2052</f>
        <v>37</v>
      </c>
      <c r="F2052" s="883">
        <f>'REF. DE PREÇOS n editavel'!F2052</f>
        <v>0.157</v>
      </c>
      <c r="G2052" s="923">
        <f>'REF. DE PREÇOS n editavel'!G2052</f>
        <v>6.6363900000000005</v>
      </c>
      <c r="H2052" s="876">
        <f>'REF. DE PREÇOS n editavel'!H2052</f>
        <v>0</v>
      </c>
      <c r="I2052" s="876">
        <f>'REF. DE PREÇOS n editavel'!I2052</f>
        <v>0</v>
      </c>
      <c r="J2052" s="877">
        <f>'REF. DE PREÇOS n editavel'!J2052</f>
        <v>0</v>
      </c>
      <c r="K2052" s="878"/>
      <c r="L2052" s="1132"/>
      <c r="M2052" s="1093">
        <f t="shared" si="203"/>
        <v>0</v>
      </c>
      <c r="N2052" s="1131">
        <f t="shared" si="207"/>
        <v>0</v>
      </c>
      <c r="O2052" s="880"/>
      <c r="P2052" s="36" t="str">
        <f>IF(N2048&gt;0,"xx",IF(N2048&gt;0,"xy",""))</f>
        <v/>
      </c>
      <c r="Q2052" s="317" t="str">
        <f t="shared" si="204"/>
        <v/>
      </c>
      <c r="R2052" s="317" t="str">
        <f t="shared" si="205"/>
        <v/>
      </c>
      <c r="S2052" s="317" t="str">
        <f t="shared" si="206"/>
        <v/>
      </c>
      <c r="T2052" s="317" t="str">
        <f>'REF. DE PREÇOS n editavel'!S2052</f>
        <v/>
      </c>
      <c r="W2052" s="577">
        <v>0</v>
      </c>
      <c r="X2052" s="575"/>
      <c r="Y2052" s="578">
        <f>IF('REF. DE PREÇOS n editavel'!W2052=0,0,IF('REF. DE PREÇOS n editavel'!W2052&gt;0,"c","b"))</f>
        <v>0</v>
      </c>
    </row>
    <row r="2053" spans="1:25" ht="15" customHeight="1">
      <c r="A2053" s="317">
        <v>610700</v>
      </c>
      <c r="B2053" s="870" t="s">
        <v>1822</v>
      </c>
      <c r="C2053" s="871" t="s">
        <v>184</v>
      </c>
      <c r="D2053" s="881" t="s">
        <v>2018</v>
      </c>
      <c r="E2053" s="882">
        <f>'REF. DE PREÇOS n editavel'!E2053</f>
        <v>0</v>
      </c>
      <c r="F2053" s="883">
        <f>'REF. DE PREÇOS n editavel'!F2053</f>
        <v>0</v>
      </c>
      <c r="G2053" s="887">
        <f>'REF. DE PREÇOS n editavel'!G2053</f>
        <v>54.201467400000006</v>
      </c>
      <c r="H2053" s="876">
        <f>'REF. DE PREÇOS n editavel'!H2053</f>
        <v>312.2</v>
      </c>
      <c r="I2053" s="876">
        <f>'REF. DE PREÇOS n editavel'!I2053</f>
        <v>366.4014674</v>
      </c>
      <c r="J2053" s="877">
        <f>'REF. DE PREÇOS n editavel'!J2053</f>
        <v>447.82</v>
      </c>
      <c r="K2053" s="878" t="s">
        <v>13</v>
      </c>
      <c r="L2053" s="1092"/>
      <c r="M2053" s="1093">
        <f t="shared" si="203"/>
        <v>0</v>
      </c>
      <c r="N2053" s="1131">
        <f t="shared" si="207"/>
        <v>0</v>
      </c>
      <c r="O2053" s="880"/>
      <c r="Q2053" s="317" t="str">
        <f t="shared" si="204"/>
        <v/>
      </c>
      <c r="R2053" s="317" t="str">
        <f t="shared" si="205"/>
        <v/>
      </c>
      <c r="S2053" s="317" t="str">
        <f t="shared" si="206"/>
        <v/>
      </c>
      <c r="T2053" s="317" t="str">
        <f>'REF. DE PREÇOS n editavel'!S2053</f>
        <v/>
      </c>
      <c r="W2053" s="577">
        <v>0</v>
      </c>
      <c r="X2053" s="575"/>
      <c r="Y2053" s="578">
        <f>IF('REF. DE PREÇOS n editavel'!W2053=0,0,IF('REF. DE PREÇOS n editavel'!W2053&gt;0,"c","b"))</f>
        <v>0</v>
      </c>
    </row>
    <row r="2054" spans="1:25" ht="15" customHeight="1">
      <c r="A2054" s="317" t="s">
        <v>147</v>
      </c>
      <c r="B2054" s="870" t="s">
        <v>147</v>
      </c>
      <c r="C2054" s="871"/>
      <c r="D2054" s="881" t="s">
        <v>190</v>
      </c>
      <c r="E2054" s="882">
        <f>'REF. DE PREÇOS n editavel'!E2054</f>
        <v>445</v>
      </c>
      <c r="F2054" s="883">
        <f>'REF. DE PREÇOS n editavel'!F2054</f>
        <v>2.86E-2</v>
      </c>
      <c r="G2054" s="884">
        <f>'REF. DE PREÇOS n editavel'!G2054</f>
        <v>10.150712</v>
      </c>
      <c r="H2054" s="876">
        <f>'REF. DE PREÇOS n editavel'!H2054</f>
        <v>0</v>
      </c>
      <c r="I2054" s="876">
        <f>'REF. DE PREÇOS n editavel'!I2054</f>
        <v>0</v>
      </c>
      <c r="J2054" s="877">
        <f>'REF. DE PREÇOS n editavel'!J2054</f>
        <v>0</v>
      </c>
      <c r="K2054" s="878"/>
      <c r="L2054" s="1132"/>
      <c r="M2054" s="1093">
        <f t="shared" ref="M2054:M2117" si="208">IF(L2054=0,0,ROUND(J2054,2))</f>
        <v>0</v>
      </c>
      <c r="N2054" s="1131">
        <f t="shared" si="207"/>
        <v>0</v>
      </c>
      <c r="O2054" s="880"/>
      <c r="P2054" s="36" t="str">
        <f>IF(N2053&gt;0,"xx",IF(N2053&gt;0,"xy",""))</f>
        <v/>
      </c>
      <c r="Q2054" s="317" t="str">
        <f t="shared" si="204"/>
        <v/>
      </c>
      <c r="R2054" s="317" t="str">
        <f t="shared" si="205"/>
        <v/>
      </c>
      <c r="S2054" s="317" t="str">
        <f t="shared" si="206"/>
        <v/>
      </c>
      <c r="T2054" s="317" t="str">
        <f>'REF. DE PREÇOS n editavel'!S2054</f>
        <v/>
      </c>
      <c r="W2054" s="577">
        <v>0</v>
      </c>
      <c r="X2054" s="575"/>
      <c r="Y2054" s="578">
        <f>IF('REF. DE PREÇOS n editavel'!W2054=0,0,IF('REF. DE PREÇOS n editavel'!W2054&gt;0,"c","b"))</f>
        <v>0</v>
      </c>
    </row>
    <row r="2055" spans="1:25" ht="15" customHeight="1">
      <c r="A2055" s="317" t="s">
        <v>147</v>
      </c>
      <c r="B2055" s="870" t="s">
        <v>147</v>
      </c>
      <c r="C2055" s="871"/>
      <c r="D2055" s="881" t="s">
        <v>229</v>
      </c>
      <c r="E2055" s="882">
        <f>'REF. DE PREÇOS n editavel'!E2055</f>
        <v>290</v>
      </c>
      <c r="F2055" s="883">
        <f>'REF. DE PREÇOS n editavel'!F2055</f>
        <v>0.10539999999999999</v>
      </c>
      <c r="G2055" s="923">
        <f>'REF. DE PREÇOS n editavel'!G2055</f>
        <v>32.988092000000002</v>
      </c>
      <c r="H2055" s="876">
        <f>'REF. DE PREÇOS n editavel'!H2055</f>
        <v>0</v>
      </c>
      <c r="I2055" s="876">
        <f>'REF. DE PREÇOS n editavel'!I2055</f>
        <v>0</v>
      </c>
      <c r="J2055" s="877">
        <f>'REF. DE PREÇOS n editavel'!J2055</f>
        <v>0</v>
      </c>
      <c r="K2055" s="878"/>
      <c r="L2055" s="1132"/>
      <c r="M2055" s="1093">
        <f t="shared" si="208"/>
        <v>0</v>
      </c>
      <c r="N2055" s="1131">
        <f t="shared" si="207"/>
        <v>0</v>
      </c>
      <c r="O2055" s="880"/>
      <c r="P2055" s="36" t="str">
        <f>IF(N2053&gt;0,"xx",IF(N2053&gt;0,"xy",""))</f>
        <v/>
      </c>
      <c r="Q2055" s="317" t="str">
        <f t="shared" si="204"/>
        <v/>
      </c>
      <c r="R2055" s="317" t="str">
        <f t="shared" si="205"/>
        <v/>
      </c>
      <c r="S2055" s="317" t="str">
        <f t="shared" si="206"/>
        <v/>
      </c>
      <c r="T2055" s="317" t="str">
        <f>'REF. DE PREÇOS n editavel'!S2055</f>
        <v/>
      </c>
      <c r="W2055" s="577">
        <v>0</v>
      </c>
      <c r="X2055" s="575"/>
      <c r="Y2055" s="578">
        <f>IF('REF. DE PREÇOS n editavel'!W2055=0,0,IF('REF. DE PREÇOS n editavel'!W2055&gt;0,"c","b"))</f>
        <v>0</v>
      </c>
    </row>
    <row r="2056" spans="1:25" ht="15" customHeight="1">
      <c r="A2056" s="317" t="s">
        <v>147</v>
      </c>
      <c r="B2056" s="870" t="s">
        <v>147</v>
      </c>
      <c r="C2056" s="871"/>
      <c r="D2056" s="881" t="s">
        <v>233</v>
      </c>
      <c r="E2056" s="882">
        <f>'REF. DE PREÇOS n editavel'!E2056</f>
        <v>0.2</v>
      </c>
      <c r="F2056" s="883">
        <f>'REF. DE PREÇOS n editavel'!F2056</f>
        <v>0.1711</v>
      </c>
      <c r="G2056" s="923">
        <f>'REF. DE PREÇOS n editavel'!G2056</f>
        <v>0.49516340000000003</v>
      </c>
      <c r="H2056" s="876">
        <f>'REF. DE PREÇOS n editavel'!H2056</f>
        <v>0</v>
      </c>
      <c r="I2056" s="876">
        <f>'REF. DE PREÇOS n editavel'!I2056</f>
        <v>0</v>
      </c>
      <c r="J2056" s="877">
        <f>'REF. DE PREÇOS n editavel'!J2056</f>
        <v>0</v>
      </c>
      <c r="K2056" s="878"/>
      <c r="L2056" s="1132"/>
      <c r="M2056" s="1093">
        <f t="shared" si="208"/>
        <v>0</v>
      </c>
      <c r="N2056" s="1131">
        <f t="shared" si="207"/>
        <v>0</v>
      </c>
      <c r="O2056" s="880"/>
      <c r="P2056" s="36" t="str">
        <f>IF(N2053&gt;0,"xx",IF(N2053&gt;0,"xy",""))</f>
        <v/>
      </c>
      <c r="Q2056" s="317" t="str">
        <f t="shared" si="204"/>
        <v/>
      </c>
      <c r="R2056" s="317" t="str">
        <f t="shared" si="205"/>
        <v/>
      </c>
      <c r="S2056" s="317" t="str">
        <f t="shared" si="206"/>
        <v/>
      </c>
      <c r="T2056" s="317" t="str">
        <f>'REF. DE PREÇOS n editavel'!S2056</f>
        <v/>
      </c>
      <c r="W2056" s="577">
        <v>0</v>
      </c>
      <c r="X2056" s="575"/>
      <c r="Y2056" s="578">
        <f>IF('REF. DE PREÇOS n editavel'!W2056=0,0,IF('REF. DE PREÇOS n editavel'!W2056&gt;0,"c","b"))</f>
        <v>0</v>
      </c>
    </row>
    <row r="2057" spans="1:25" ht="15" customHeight="1">
      <c r="A2057" s="317" t="s">
        <v>147</v>
      </c>
      <c r="B2057" s="870" t="s">
        <v>147</v>
      </c>
      <c r="C2057" s="871"/>
      <c r="D2057" s="881" t="s">
        <v>336</v>
      </c>
      <c r="E2057" s="882">
        <f>'REF. DE PREÇOS n editavel'!E2057</f>
        <v>37</v>
      </c>
      <c r="F2057" s="883">
        <f>'REF. DE PREÇOS n editavel'!F2057</f>
        <v>0.25</v>
      </c>
      <c r="G2057" s="923">
        <f>'REF. DE PREÇOS n editavel'!G2057</f>
        <v>10.567500000000001</v>
      </c>
      <c r="H2057" s="876">
        <f>'REF. DE PREÇOS n editavel'!H2057</f>
        <v>0</v>
      </c>
      <c r="I2057" s="876">
        <f>'REF. DE PREÇOS n editavel'!I2057</f>
        <v>0</v>
      </c>
      <c r="J2057" s="877">
        <f>'REF. DE PREÇOS n editavel'!J2057</f>
        <v>0</v>
      </c>
      <c r="K2057" s="878"/>
      <c r="L2057" s="1132"/>
      <c r="M2057" s="1093">
        <f t="shared" si="208"/>
        <v>0</v>
      </c>
      <c r="N2057" s="1131">
        <f t="shared" si="207"/>
        <v>0</v>
      </c>
      <c r="O2057" s="880"/>
      <c r="P2057" s="36" t="str">
        <f>IF(N2053&gt;0,"xx",IF(N2053&gt;0,"xy",""))</f>
        <v/>
      </c>
      <c r="Q2057" s="317" t="str">
        <f t="shared" si="204"/>
        <v/>
      </c>
      <c r="R2057" s="317" t="str">
        <f t="shared" si="205"/>
        <v/>
      </c>
      <c r="S2057" s="317" t="str">
        <f t="shared" si="206"/>
        <v/>
      </c>
      <c r="T2057" s="317" t="str">
        <f>'REF. DE PREÇOS n editavel'!S2057</f>
        <v/>
      </c>
      <c r="W2057" s="577">
        <v>0</v>
      </c>
      <c r="X2057" s="575"/>
      <c r="Y2057" s="578">
        <f>IF('REF. DE PREÇOS n editavel'!W2057=0,0,IF('REF. DE PREÇOS n editavel'!W2057&gt;0,"c","b"))</f>
        <v>0</v>
      </c>
    </row>
    <row r="2058" spans="1:25" ht="15" customHeight="1">
      <c r="A2058" s="317">
        <v>610700</v>
      </c>
      <c r="B2058" s="870" t="s">
        <v>1823</v>
      </c>
      <c r="C2058" s="871" t="s">
        <v>184</v>
      </c>
      <c r="D2058" s="881" t="s">
        <v>2019</v>
      </c>
      <c r="E2058" s="882">
        <f>'REF. DE PREÇOS n editavel'!E2058</f>
        <v>0</v>
      </c>
      <c r="F2058" s="883">
        <f>'REF. DE PREÇOS n editavel'!F2058</f>
        <v>0</v>
      </c>
      <c r="G2058" s="887">
        <f>'REF. DE PREÇOS n editavel'!G2058</f>
        <v>64.481968200000011</v>
      </c>
      <c r="H2058" s="876">
        <f>'REF. DE PREÇOS n editavel'!H2058</f>
        <v>412.12</v>
      </c>
      <c r="I2058" s="876">
        <f>'REF. DE PREÇOS n editavel'!I2058</f>
        <v>476.60196819999999</v>
      </c>
      <c r="J2058" s="877">
        <f>'REF. DE PREÇOS n editavel'!J2058</f>
        <v>582.5</v>
      </c>
      <c r="K2058" s="878" t="s">
        <v>13</v>
      </c>
      <c r="L2058" s="1092"/>
      <c r="M2058" s="1093">
        <f t="shared" si="208"/>
        <v>0</v>
      </c>
      <c r="N2058" s="1131">
        <f t="shared" si="207"/>
        <v>0</v>
      </c>
      <c r="O2058" s="880"/>
      <c r="Q2058" s="317" t="str">
        <f t="shared" si="204"/>
        <v/>
      </c>
      <c r="R2058" s="317" t="str">
        <f t="shared" si="205"/>
        <v/>
      </c>
      <c r="S2058" s="317" t="str">
        <f t="shared" si="206"/>
        <v/>
      </c>
      <c r="T2058" s="317" t="str">
        <f>'REF. DE PREÇOS n editavel'!S2058</f>
        <v/>
      </c>
      <c r="W2058" s="577">
        <v>0</v>
      </c>
      <c r="X2058" s="575"/>
      <c r="Y2058" s="578">
        <f>IF('REF. DE PREÇOS n editavel'!W2058=0,0,IF('REF. DE PREÇOS n editavel'!W2058&gt;0,"c","b"))</f>
        <v>0</v>
      </c>
    </row>
    <row r="2059" spans="1:25" ht="15" customHeight="1">
      <c r="A2059" s="317" t="s">
        <v>147</v>
      </c>
      <c r="B2059" s="870" t="s">
        <v>147</v>
      </c>
      <c r="C2059" s="871"/>
      <c r="D2059" s="881" t="s">
        <v>190</v>
      </c>
      <c r="E2059" s="882">
        <f>'REF. DE PREÇOS n editavel'!E2059</f>
        <v>445</v>
      </c>
      <c r="F2059" s="883">
        <f>'REF. DE PREÇOS n editavel'!F2059</f>
        <v>3.4500000000000003E-2</v>
      </c>
      <c r="G2059" s="884">
        <f>'REF. DE PREÇOS n editavel'!G2059</f>
        <v>12.244740000000002</v>
      </c>
      <c r="H2059" s="876">
        <f>'REF. DE PREÇOS n editavel'!H2059</f>
        <v>0</v>
      </c>
      <c r="I2059" s="876">
        <f>'REF. DE PREÇOS n editavel'!I2059</f>
        <v>0</v>
      </c>
      <c r="J2059" s="877">
        <f>'REF. DE PREÇOS n editavel'!J2059</f>
        <v>0</v>
      </c>
      <c r="K2059" s="878"/>
      <c r="L2059" s="1132"/>
      <c r="M2059" s="1093">
        <f t="shared" si="208"/>
        <v>0</v>
      </c>
      <c r="N2059" s="1131">
        <f t="shared" si="207"/>
        <v>0</v>
      </c>
      <c r="O2059" s="880"/>
      <c r="P2059" s="36" t="str">
        <f>IF(N2058&gt;0,"xx",IF(N2058&gt;0,"xy",""))</f>
        <v/>
      </c>
      <c r="Q2059" s="317" t="str">
        <f t="shared" si="204"/>
        <v/>
      </c>
      <c r="R2059" s="317" t="str">
        <f t="shared" si="205"/>
        <v/>
      </c>
      <c r="S2059" s="317" t="str">
        <f t="shared" si="206"/>
        <v/>
      </c>
      <c r="T2059" s="317" t="str">
        <f>'REF. DE PREÇOS n editavel'!S2059</f>
        <v/>
      </c>
      <c r="W2059" s="577">
        <v>0</v>
      </c>
      <c r="X2059" s="575"/>
      <c r="Y2059" s="578">
        <f>IF('REF. DE PREÇOS n editavel'!W2059=0,0,IF('REF. DE PREÇOS n editavel'!W2059&gt;0,"c","b"))</f>
        <v>0</v>
      </c>
    </row>
    <row r="2060" spans="1:25" ht="15" customHeight="1">
      <c r="A2060" s="317" t="s">
        <v>147</v>
      </c>
      <c r="B2060" s="870" t="s">
        <v>147</v>
      </c>
      <c r="C2060" s="871"/>
      <c r="D2060" s="881" t="s">
        <v>229</v>
      </c>
      <c r="E2060" s="882">
        <f>'REF. DE PREÇOS n editavel'!E2060</f>
        <v>290</v>
      </c>
      <c r="F2060" s="883">
        <f>'REF. DE PREÇOS n editavel'!F2060</f>
        <v>0.12690000000000001</v>
      </c>
      <c r="G2060" s="923">
        <f>'REF. DE PREÇOS n editavel'!G2060</f>
        <v>39.717162000000009</v>
      </c>
      <c r="H2060" s="876">
        <f>'REF. DE PREÇOS n editavel'!H2060</f>
        <v>0</v>
      </c>
      <c r="I2060" s="876">
        <f>'REF. DE PREÇOS n editavel'!I2060</f>
        <v>0</v>
      </c>
      <c r="J2060" s="877">
        <f>'REF. DE PREÇOS n editavel'!J2060</f>
        <v>0</v>
      </c>
      <c r="K2060" s="878"/>
      <c r="L2060" s="1132"/>
      <c r="M2060" s="1093">
        <f t="shared" si="208"/>
        <v>0</v>
      </c>
      <c r="N2060" s="1131">
        <f t="shared" si="207"/>
        <v>0</v>
      </c>
      <c r="O2060" s="880"/>
      <c r="P2060" s="36" t="str">
        <f>IF(N2058&gt;0,"xx",IF(N2058&gt;0,"xy",""))</f>
        <v/>
      </c>
      <c r="Q2060" s="317" t="str">
        <f t="shared" si="204"/>
        <v/>
      </c>
      <c r="R2060" s="317" t="str">
        <f t="shared" si="205"/>
        <v/>
      </c>
      <c r="S2060" s="317" t="str">
        <f t="shared" si="206"/>
        <v/>
      </c>
      <c r="T2060" s="317" t="str">
        <f>'REF. DE PREÇOS n editavel'!S2060</f>
        <v/>
      </c>
      <c r="W2060" s="577">
        <v>0</v>
      </c>
      <c r="X2060" s="575"/>
      <c r="Y2060" s="578">
        <f>IF('REF. DE PREÇOS n editavel'!W2060=0,0,IF('REF. DE PREÇOS n editavel'!W2060&gt;0,"c","b"))</f>
        <v>0</v>
      </c>
    </row>
    <row r="2061" spans="1:25" ht="15" customHeight="1">
      <c r="A2061" s="317" t="s">
        <v>147</v>
      </c>
      <c r="B2061" s="870" t="s">
        <v>147</v>
      </c>
      <c r="C2061" s="871"/>
      <c r="D2061" s="881" t="s">
        <v>233</v>
      </c>
      <c r="E2061" s="882">
        <f>'REF. DE PREÇOS n editavel'!E2061</f>
        <v>0.2</v>
      </c>
      <c r="F2061" s="883">
        <f>'REF. DE PREÇOS n editavel'!F2061</f>
        <v>0.20729999999999998</v>
      </c>
      <c r="G2061" s="923">
        <f>'REF. DE PREÇOS n editavel'!G2061</f>
        <v>0.59992619999999997</v>
      </c>
      <c r="H2061" s="876">
        <f>'REF. DE PREÇOS n editavel'!H2061</f>
        <v>0</v>
      </c>
      <c r="I2061" s="876">
        <f>'REF. DE PREÇOS n editavel'!I2061</f>
        <v>0</v>
      </c>
      <c r="J2061" s="877">
        <f>'REF. DE PREÇOS n editavel'!J2061</f>
        <v>0</v>
      </c>
      <c r="K2061" s="878"/>
      <c r="L2061" s="1132"/>
      <c r="M2061" s="1093">
        <f t="shared" si="208"/>
        <v>0</v>
      </c>
      <c r="N2061" s="1131">
        <f t="shared" si="207"/>
        <v>0</v>
      </c>
      <c r="O2061" s="880"/>
      <c r="P2061" s="36" t="str">
        <f>IF(N2058&gt;0,"xx",IF(N2058&gt;0,"xy",""))</f>
        <v/>
      </c>
      <c r="Q2061" s="317" t="str">
        <f t="shared" si="204"/>
        <v/>
      </c>
      <c r="R2061" s="317" t="str">
        <f t="shared" si="205"/>
        <v/>
      </c>
      <c r="S2061" s="317" t="str">
        <f t="shared" si="206"/>
        <v/>
      </c>
      <c r="T2061" s="317" t="str">
        <f>'REF. DE PREÇOS n editavel'!S2061</f>
        <v/>
      </c>
      <c r="W2061" s="577">
        <v>0</v>
      </c>
      <c r="X2061" s="575"/>
      <c r="Y2061" s="578">
        <f>IF('REF. DE PREÇOS n editavel'!W2061=0,0,IF('REF. DE PREÇOS n editavel'!W2061&gt;0,"c","b"))</f>
        <v>0</v>
      </c>
    </row>
    <row r="2062" spans="1:25" ht="15" customHeight="1">
      <c r="A2062" s="317" t="s">
        <v>147</v>
      </c>
      <c r="B2062" s="870" t="s">
        <v>147</v>
      </c>
      <c r="C2062" s="871"/>
      <c r="D2062" s="881" t="s">
        <v>336</v>
      </c>
      <c r="E2062" s="882">
        <f>'REF. DE PREÇOS n editavel'!E2062</f>
        <v>37</v>
      </c>
      <c r="F2062" s="883">
        <f>'REF. DE PREÇOS n editavel'!F2062</f>
        <v>0.28199999999999997</v>
      </c>
      <c r="G2062" s="923">
        <f>'REF. DE PREÇOS n editavel'!G2062</f>
        <v>11.92014</v>
      </c>
      <c r="H2062" s="876">
        <f>'REF. DE PREÇOS n editavel'!H2062</f>
        <v>0</v>
      </c>
      <c r="I2062" s="876">
        <f>'REF. DE PREÇOS n editavel'!I2062</f>
        <v>0</v>
      </c>
      <c r="J2062" s="877">
        <f>'REF. DE PREÇOS n editavel'!J2062</f>
        <v>0</v>
      </c>
      <c r="K2062" s="878"/>
      <c r="L2062" s="1132"/>
      <c r="M2062" s="1093">
        <f t="shared" si="208"/>
        <v>0</v>
      </c>
      <c r="N2062" s="1131">
        <f t="shared" si="207"/>
        <v>0</v>
      </c>
      <c r="O2062" s="880"/>
      <c r="P2062" s="36" t="str">
        <f>IF(N2058&gt;0,"xx",IF(N2058&gt;0,"xy",""))</f>
        <v/>
      </c>
      <c r="Q2062" s="317" t="str">
        <f t="shared" si="204"/>
        <v/>
      </c>
      <c r="R2062" s="317" t="str">
        <f t="shared" si="205"/>
        <v/>
      </c>
      <c r="S2062" s="317" t="str">
        <f t="shared" si="206"/>
        <v/>
      </c>
      <c r="T2062" s="317" t="str">
        <f>'REF. DE PREÇOS n editavel'!S2062</f>
        <v/>
      </c>
      <c r="W2062" s="577">
        <v>0</v>
      </c>
      <c r="X2062" s="575"/>
      <c r="Y2062" s="578">
        <f>IF('REF. DE PREÇOS n editavel'!W2062=0,0,IF('REF. DE PREÇOS n editavel'!W2062&gt;0,"c","b"))</f>
        <v>0</v>
      </c>
    </row>
    <row r="2063" spans="1:25" ht="15" customHeight="1">
      <c r="A2063" s="317">
        <v>610900</v>
      </c>
      <c r="B2063" s="870" t="s">
        <v>1824</v>
      </c>
      <c r="C2063" s="871" t="s">
        <v>184</v>
      </c>
      <c r="D2063" s="881" t="s">
        <v>2020</v>
      </c>
      <c r="E2063" s="882">
        <f>'REF. DE PREÇOS n editavel'!E2063</f>
        <v>0</v>
      </c>
      <c r="F2063" s="883">
        <f>'REF. DE PREÇOS n editavel'!F2063</f>
        <v>0</v>
      </c>
      <c r="G2063" s="887">
        <f>'REF. DE PREÇOS n editavel'!G2063</f>
        <v>94.039573799999999</v>
      </c>
      <c r="H2063" s="876">
        <f>'REF. DE PREÇOS n editavel'!H2063</f>
        <v>537.76</v>
      </c>
      <c r="I2063" s="876">
        <f>'REF. DE PREÇOS n editavel'!I2063</f>
        <v>631.79957379999996</v>
      </c>
      <c r="J2063" s="877">
        <f>'REF. DE PREÇOS n editavel'!J2063</f>
        <v>772.19</v>
      </c>
      <c r="K2063" s="878" t="s">
        <v>13</v>
      </c>
      <c r="L2063" s="1092"/>
      <c r="M2063" s="1093">
        <f t="shared" si="208"/>
        <v>0</v>
      </c>
      <c r="N2063" s="1131">
        <f t="shared" si="207"/>
        <v>0</v>
      </c>
      <c r="O2063" s="880"/>
      <c r="Q2063" s="317" t="str">
        <f t="shared" si="204"/>
        <v/>
      </c>
      <c r="R2063" s="317" t="str">
        <f t="shared" si="205"/>
        <v/>
      </c>
      <c r="S2063" s="317" t="str">
        <f t="shared" si="206"/>
        <v/>
      </c>
      <c r="T2063" s="317" t="str">
        <f>'REF. DE PREÇOS n editavel'!S2063</f>
        <v/>
      </c>
      <c r="W2063" s="577">
        <v>0</v>
      </c>
      <c r="X2063" s="575"/>
      <c r="Y2063" s="578">
        <f>IF('REF. DE PREÇOS n editavel'!W2063=0,0,IF('REF. DE PREÇOS n editavel'!W2063&gt;0,"c","b"))</f>
        <v>0</v>
      </c>
    </row>
    <row r="2064" spans="1:25" ht="15" customHeight="1">
      <c r="A2064" s="317" t="s">
        <v>147</v>
      </c>
      <c r="B2064" s="870" t="s">
        <v>147</v>
      </c>
      <c r="C2064" s="871"/>
      <c r="D2064" s="881" t="s">
        <v>190</v>
      </c>
      <c r="E2064" s="882">
        <f>'REF. DE PREÇOS n editavel'!E2064</f>
        <v>445</v>
      </c>
      <c r="F2064" s="883">
        <f>'REF. DE PREÇOS n editavel'!F2064</f>
        <v>4.7199999999999999E-2</v>
      </c>
      <c r="G2064" s="884">
        <f>'REF. DE PREÇOS n editavel'!G2064</f>
        <v>16.752224000000002</v>
      </c>
      <c r="H2064" s="876">
        <f>'REF. DE PREÇOS n editavel'!H2064</f>
        <v>0</v>
      </c>
      <c r="I2064" s="876">
        <f>'REF. DE PREÇOS n editavel'!I2064</f>
        <v>0</v>
      </c>
      <c r="J2064" s="877">
        <f>'REF. DE PREÇOS n editavel'!J2064</f>
        <v>0</v>
      </c>
      <c r="K2064" s="878"/>
      <c r="L2064" s="1132"/>
      <c r="M2064" s="1093">
        <f t="shared" si="208"/>
        <v>0</v>
      </c>
      <c r="N2064" s="1131">
        <f t="shared" si="207"/>
        <v>0</v>
      </c>
      <c r="O2064" s="880"/>
      <c r="P2064" s="36" t="str">
        <f>IF(N2063&gt;0,"xx",IF(N2063&gt;0,"xy",""))</f>
        <v/>
      </c>
      <c r="Q2064" s="317" t="str">
        <f t="shared" si="204"/>
        <v/>
      </c>
      <c r="R2064" s="317" t="str">
        <f t="shared" si="205"/>
        <v/>
      </c>
      <c r="S2064" s="317" t="str">
        <f t="shared" si="206"/>
        <v/>
      </c>
      <c r="T2064" s="317" t="str">
        <f>'REF. DE PREÇOS n editavel'!S2064</f>
        <v/>
      </c>
      <c r="W2064" s="577">
        <v>0</v>
      </c>
      <c r="X2064" s="575"/>
      <c r="Y2064" s="578">
        <f>IF('REF. DE PREÇOS n editavel'!W2064=0,0,IF('REF. DE PREÇOS n editavel'!W2064&gt;0,"c","b"))</f>
        <v>0</v>
      </c>
    </row>
    <row r="2065" spans="1:25" ht="15" customHeight="1">
      <c r="A2065" s="317" t="s">
        <v>147</v>
      </c>
      <c r="B2065" s="870" t="s">
        <v>147</v>
      </c>
      <c r="C2065" s="871"/>
      <c r="D2065" s="881" t="s">
        <v>229</v>
      </c>
      <c r="E2065" s="882">
        <f>'REF. DE PREÇOS n editavel'!E2065</f>
        <v>290</v>
      </c>
      <c r="F2065" s="883">
        <f>'REF. DE PREÇOS n editavel'!F2065</f>
        <v>0.17269999999999999</v>
      </c>
      <c r="G2065" s="923">
        <f>'REF. DE PREÇOS n editavel'!G2065</f>
        <v>54.051645999999998</v>
      </c>
      <c r="H2065" s="876">
        <f>'REF. DE PREÇOS n editavel'!H2065</f>
        <v>0</v>
      </c>
      <c r="I2065" s="876">
        <f>'REF. DE PREÇOS n editavel'!I2065</f>
        <v>0</v>
      </c>
      <c r="J2065" s="877">
        <f>'REF. DE PREÇOS n editavel'!J2065</f>
        <v>0</v>
      </c>
      <c r="K2065" s="878"/>
      <c r="L2065" s="1132"/>
      <c r="M2065" s="1093">
        <f t="shared" si="208"/>
        <v>0</v>
      </c>
      <c r="N2065" s="1131">
        <f t="shared" si="207"/>
        <v>0</v>
      </c>
      <c r="O2065" s="880"/>
      <c r="P2065" s="36" t="str">
        <f>IF(N2063&gt;0,"xx",IF(N2063&gt;0,"xy",""))</f>
        <v/>
      </c>
      <c r="Q2065" s="317" t="str">
        <f t="shared" ref="Q2065:Q2128" si="209">IF(P2065="X","x",IF(P2065="xx","x",IF(P2065="xy","x",IF(P2065="y","x",IF(OR(N2065&gt;0,N2065&gt;0),"x","")))))</f>
        <v/>
      </c>
      <c r="R2065" s="317" t="str">
        <f t="shared" si="205"/>
        <v/>
      </c>
      <c r="S2065" s="317" t="str">
        <f t="shared" si="206"/>
        <v/>
      </c>
      <c r="T2065" s="317" t="str">
        <f>'REF. DE PREÇOS n editavel'!S2065</f>
        <v/>
      </c>
      <c r="W2065" s="577">
        <v>0</v>
      </c>
      <c r="X2065" s="575"/>
      <c r="Y2065" s="578">
        <f>IF('REF. DE PREÇOS n editavel'!W2065=0,0,IF('REF. DE PREÇOS n editavel'!W2065&gt;0,"c","b"))</f>
        <v>0</v>
      </c>
    </row>
    <row r="2066" spans="1:25" ht="15" customHeight="1">
      <c r="A2066" s="317" t="s">
        <v>147</v>
      </c>
      <c r="B2066" s="870" t="s">
        <v>147</v>
      </c>
      <c r="C2066" s="871"/>
      <c r="D2066" s="881" t="s">
        <v>233</v>
      </c>
      <c r="E2066" s="882">
        <f>'REF. DE PREÇOS n editavel'!E2066</f>
        <v>0.2</v>
      </c>
      <c r="F2066" s="883">
        <f>'REF. DE PREÇOS n editavel'!F2066</f>
        <v>0.28770000000000001</v>
      </c>
      <c r="G2066" s="923">
        <f>'REF. DE PREÇOS n editavel'!G2066</f>
        <v>0.83260380000000012</v>
      </c>
      <c r="H2066" s="876">
        <f>'REF. DE PREÇOS n editavel'!H2066</f>
        <v>0</v>
      </c>
      <c r="I2066" s="876">
        <f>'REF. DE PREÇOS n editavel'!I2066</f>
        <v>0</v>
      </c>
      <c r="J2066" s="877">
        <f>'REF. DE PREÇOS n editavel'!J2066</f>
        <v>0</v>
      </c>
      <c r="K2066" s="878"/>
      <c r="L2066" s="1132"/>
      <c r="M2066" s="1093">
        <f t="shared" si="208"/>
        <v>0</v>
      </c>
      <c r="N2066" s="1131">
        <f t="shared" si="207"/>
        <v>0</v>
      </c>
      <c r="O2066" s="880"/>
      <c r="P2066" s="36" t="str">
        <f>IF(N2063&gt;0,"xx",IF(N2063&gt;0,"xy",""))</f>
        <v/>
      </c>
      <c r="Q2066" s="317" t="str">
        <f t="shared" si="209"/>
        <v/>
      </c>
      <c r="R2066" s="317" t="str">
        <f t="shared" si="205"/>
        <v/>
      </c>
      <c r="S2066" s="317" t="str">
        <f t="shared" si="206"/>
        <v/>
      </c>
      <c r="T2066" s="317" t="str">
        <f>'REF. DE PREÇOS n editavel'!S2066</f>
        <v/>
      </c>
      <c r="W2066" s="577">
        <v>0</v>
      </c>
      <c r="X2066" s="575"/>
      <c r="Y2066" s="578">
        <f>IF('REF. DE PREÇOS n editavel'!W2066=0,0,IF('REF. DE PREÇOS n editavel'!W2066&gt;0,"c","b"))</f>
        <v>0</v>
      </c>
    </row>
    <row r="2067" spans="1:25" ht="15" customHeight="1">
      <c r="A2067" s="317" t="s">
        <v>147</v>
      </c>
      <c r="B2067" s="870" t="s">
        <v>147</v>
      </c>
      <c r="C2067" s="871"/>
      <c r="D2067" s="881" t="s">
        <v>336</v>
      </c>
      <c r="E2067" s="882">
        <f>'REF. DE PREÇOS n editavel'!E2067</f>
        <v>37</v>
      </c>
      <c r="F2067" s="883">
        <f>'REF. DE PREÇOS n editavel'!F2067</f>
        <v>0.53</v>
      </c>
      <c r="G2067" s="923">
        <f>'REF. DE PREÇOS n editavel'!G2067</f>
        <v>22.403100000000002</v>
      </c>
      <c r="H2067" s="876">
        <f>'REF. DE PREÇOS n editavel'!H2067</f>
        <v>0</v>
      </c>
      <c r="I2067" s="876">
        <f>'REF. DE PREÇOS n editavel'!I2067</f>
        <v>0</v>
      </c>
      <c r="J2067" s="877">
        <f>'REF. DE PREÇOS n editavel'!J2067</f>
        <v>0</v>
      </c>
      <c r="K2067" s="878"/>
      <c r="L2067" s="1132"/>
      <c r="M2067" s="1093">
        <f t="shared" si="208"/>
        <v>0</v>
      </c>
      <c r="N2067" s="1131">
        <f t="shared" si="207"/>
        <v>0</v>
      </c>
      <c r="O2067" s="880"/>
      <c r="P2067" s="36" t="str">
        <f>IF(N2063&gt;0,"xx",IF(N2063&gt;0,"xy",""))</f>
        <v/>
      </c>
      <c r="Q2067" s="317" t="str">
        <f t="shared" si="209"/>
        <v/>
      </c>
      <c r="R2067" s="317" t="str">
        <f t="shared" ref="R2067:R2130" si="210">IF(P2067="X","x",IF(P2067="y","x",IF(P2067="xx","x",IF(N2067&gt;0,"x",""))))</f>
        <v/>
      </c>
      <c r="S2067" s="317" t="str">
        <f t="shared" ref="S2067:S2130" si="211">IF(P2067="X","x",IF(N2067&gt;0,"x",""))</f>
        <v/>
      </c>
      <c r="T2067" s="317" t="str">
        <f>'REF. DE PREÇOS n editavel'!S2067</f>
        <v/>
      </c>
      <c r="W2067" s="577">
        <v>0</v>
      </c>
      <c r="X2067" s="575"/>
      <c r="Y2067" s="578">
        <f>IF('REF. DE PREÇOS n editavel'!W2067=0,0,IF('REF. DE PREÇOS n editavel'!W2067&gt;0,"c","b"))</f>
        <v>0</v>
      </c>
    </row>
    <row r="2068" spans="1:25" ht="15" customHeight="1">
      <c r="A2068" s="317">
        <v>610900</v>
      </c>
      <c r="B2068" s="870" t="s">
        <v>1825</v>
      </c>
      <c r="C2068" s="871" t="s">
        <v>184</v>
      </c>
      <c r="D2068" s="881" t="s">
        <v>2021</v>
      </c>
      <c r="E2068" s="882">
        <f>'REF. DE PREÇOS n editavel'!E2068</f>
        <v>0</v>
      </c>
      <c r="F2068" s="883">
        <f>'REF. DE PREÇOS n editavel'!F2068</f>
        <v>0</v>
      </c>
      <c r="G2068" s="887">
        <f>'REF. DE PREÇOS n editavel'!G2068</f>
        <v>119.84612140000002</v>
      </c>
      <c r="H2068" s="876">
        <f>'REF. DE PREÇOS n editavel'!H2068</f>
        <v>677.21</v>
      </c>
      <c r="I2068" s="876">
        <f>'REF. DE PREÇOS n editavel'!I2068</f>
        <v>797.05612140000005</v>
      </c>
      <c r="J2068" s="877">
        <f>'REF. DE PREÇOS n editavel'!J2068</f>
        <v>974.16</v>
      </c>
      <c r="K2068" s="878" t="s">
        <v>13</v>
      </c>
      <c r="L2068" s="1092"/>
      <c r="M2068" s="1093">
        <f t="shared" si="208"/>
        <v>0</v>
      </c>
      <c r="N2068" s="1131">
        <f t="shared" si="207"/>
        <v>0</v>
      </c>
      <c r="O2068" s="880"/>
      <c r="Q2068" s="317" t="str">
        <f t="shared" si="209"/>
        <v/>
      </c>
      <c r="R2068" s="317" t="str">
        <f t="shared" si="210"/>
        <v/>
      </c>
      <c r="S2068" s="317" t="str">
        <f t="shared" si="211"/>
        <v/>
      </c>
      <c r="T2068" s="317" t="str">
        <f>'REF. DE PREÇOS n editavel'!S2068</f>
        <v/>
      </c>
      <c r="W2068" s="577">
        <v>0</v>
      </c>
      <c r="X2068" s="575"/>
      <c r="Y2068" s="578">
        <f>IF('REF. DE PREÇOS n editavel'!W2068=0,0,IF('REF. DE PREÇOS n editavel'!W2068&gt;0,"c","b"))</f>
        <v>0</v>
      </c>
    </row>
    <row r="2069" spans="1:25" ht="15" customHeight="1">
      <c r="A2069" s="317" t="s">
        <v>147</v>
      </c>
      <c r="B2069" s="870" t="s">
        <v>147</v>
      </c>
      <c r="C2069" s="871"/>
      <c r="D2069" s="881" t="s">
        <v>190</v>
      </c>
      <c r="E2069" s="882">
        <f>'REF. DE PREÇOS n editavel'!E2069</f>
        <v>445</v>
      </c>
      <c r="F2069" s="883">
        <f>'REF. DE PREÇOS n editavel'!F2069</f>
        <v>5.9900000000000002E-2</v>
      </c>
      <c r="G2069" s="884">
        <f>'REF. DE PREÇOS n editavel'!G2069</f>
        <v>21.259708000000003</v>
      </c>
      <c r="H2069" s="876">
        <f>'REF. DE PREÇOS n editavel'!H2069</f>
        <v>0</v>
      </c>
      <c r="I2069" s="876">
        <f>'REF. DE PREÇOS n editavel'!I2069</f>
        <v>0</v>
      </c>
      <c r="J2069" s="877">
        <f>'REF. DE PREÇOS n editavel'!J2069</f>
        <v>0</v>
      </c>
      <c r="K2069" s="878"/>
      <c r="L2069" s="1132"/>
      <c r="M2069" s="1093">
        <f t="shared" si="208"/>
        <v>0</v>
      </c>
      <c r="N2069" s="1131">
        <f t="shared" si="207"/>
        <v>0</v>
      </c>
      <c r="O2069" s="880"/>
      <c r="P2069" s="36" t="str">
        <f>IF(N2068&gt;0,"xx",IF(N2068&gt;0,"xy",""))</f>
        <v/>
      </c>
      <c r="Q2069" s="317" t="str">
        <f t="shared" si="209"/>
        <v/>
      </c>
      <c r="R2069" s="317" t="str">
        <f t="shared" si="210"/>
        <v/>
      </c>
      <c r="S2069" s="317" t="str">
        <f t="shared" si="211"/>
        <v/>
      </c>
      <c r="T2069" s="317" t="str">
        <f>'REF. DE PREÇOS n editavel'!S2069</f>
        <v/>
      </c>
      <c r="W2069" s="577">
        <v>0</v>
      </c>
      <c r="X2069" s="575"/>
      <c r="Y2069" s="578">
        <f>IF('REF. DE PREÇOS n editavel'!W2069=0,0,IF('REF. DE PREÇOS n editavel'!W2069&gt;0,"c","b"))</f>
        <v>0</v>
      </c>
    </row>
    <row r="2070" spans="1:25" ht="15" customHeight="1">
      <c r="A2070" s="317" t="s">
        <v>147</v>
      </c>
      <c r="B2070" s="870" t="s">
        <v>147</v>
      </c>
      <c r="C2070" s="871"/>
      <c r="D2070" s="881" t="s">
        <v>229</v>
      </c>
      <c r="E2070" s="882">
        <f>'REF. DE PREÇOS n editavel'!E2070</f>
        <v>290</v>
      </c>
      <c r="F2070" s="883">
        <f>'REF. DE PREÇOS n editavel'!F2070</f>
        <v>0.21840000000000001</v>
      </c>
      <c r="G2070" s="923">
        <f>'REF. DE PREÇOS n editavel'!G2070</f>
        <v>68.354832000000002</v>
      </c>
      <c r="H2070" s="876">
        <f>'REF. DE PREÇOS n editavel'!H2070</f>
        <v>0</v>
      </c>
      <c r="I2070" s="876">
        <f>'REF. DE PREÇOS n editavel'!I2070</f>
        <v>0</v>
      </c>
      <c r="J2070" s="877">
        <f>'REF. DE PREÇOS n editavel'!J2070</f>
        <v>0</v>
      </c>
      <c r="K2070" s="878"/>
      <c r="L2070" s="1132"/>
      <c r="M2070" s="1093">
        <f t="shared" si="208"/>
        <v>0</v>
      </c>
      <c r="N2070" s="1131">
        <f t="shared" si="207"/>
        <v>0</v>
      </c>
      <c r="O2070" s="880"/>
      <c r="P2070" s="36" t="str">
        <f>IF(N2068&gt;0,"xx",IF(N2068&gt;0,"xy",""))</f>
        <v/>
      </c>
      <c r="Q2070" s="317" t="str">
        <f t="shared" si="209"/>
        <v/>
      </c>
      <c r="R2070" s="317" t="str">
        <f t="shared" si="210"/>
        <v/>
      </c>
      <c r="S2070" s="317" t="str">
        <f t="shared" si="211"/>
        <v/>
      </c>
      <c r="T2070" s="317" t="str">
        <f>'REF. DE PREÇOS n editavel'!S2070</f>
        <v/>
      </c>
      <c r="W2070" s="577">
        <v>0</v>
      </c>
      <c r="X2070" s="575"/>
      <c r="Y2070" s="578">
        <f>IF('REF. DE PREÇOS n editavel'!W2070=0,0,IF('REF. DE PREÇOS n editavel'!W2070&gt;0,"c","b"))</f>
        <v>0</v>
      </c>
    </row>
    <row r="2071" spans="1:25" ht="15" customHeight="1">
      <c r="A2071" s="317" t="s">
        <v>147</v>
      </c>
      <c r="B2071" s="870" t="s">
        <v>147</v>
      </c>
      <c r="C2071" s="871"/>
      <c r="D2071" s="881" t="s">
        <v>233</v>
      </c>
      <c r="E2071" s="882">
        <f>'REF. DE PREÇOS n editavel'!E2071</f>
        <v>0.2</v>
      </c>
      <c r="F2071" s="883">
        <f>'REF. DE PREÇOS n editavel'!F2071</f>
        <v>0.36809999999999998</v>
      </c>
      <c r="G2071" s="923">
        <f>'REF. DE PREÇOS n editavel'!G2071</f>
        <v>1.0652813999999999</v>
      </c>
      <c r="H2071" s="876">
        <f>'REF. DE PREÇOS n editavel'!H2071</f>
        <v>0</v>
      </c>
      <c r="I2071" s="876">
        <f>'REF. DE PREÇOS n editavel'!I2071</f>
        <v>0</v>
      </c>
      <c r="J2071" s="877">
        <f>'REF. DE PREÇOS n editavel'!J2071</f>
        <v>0</v>
      </c>
      <c r="K2071" s="878"/>
      <c r="L2071" s="1132"/>
      <c r="M2071" s="1093">
        <f t="shared" si="208"/>
        <v>0</v>
      </c>
      <c r="N2071" s="1131">
        <f t="shared" ref="N2071:N2134" si="212">IF(ISBLANK(L2071),0,IF(W2071=0,ROUND(L2071*M2071,2),IF(W2071="b",ROUNDDOWN(L2071*M2071,2),ROUNDUP(L2071*M2071,2))))</f>
        <v>0</v>
      </c>
      <c r="O2071" s="880"/>
      <c r="P2071" s="36" t="str">
        <f>IF(N2068&gt;0,"xx",IF(N2068&gt;0,"xy",""))</f>
        <v/>
      </c>
      <c r="Q2071" s="317" t="str">
        <f t="shared" si="209"/>
        <v/>
      </c>
      <c r="R2071" s="317" t="str">
        <f t="shared" si="210"/>
        <v/>
      </c>
      <c r="S2071" s="317" t="str">
        <f t="shared" si="211"/>
        <v/>
      </c>
      <c r="T2071" s="317" t="str">
        <f>'REF. DE PREÇOS n editavel'!S2071</f>
        <v/>
      </c>
      <c r="W2071" s="577">
        <v>0</v>
      </c>
      <c r="X2071" s="575"/>
      <c r="Y2071" s="578">
        <f>IF('REF. DE PREÇOS n editavel'!W2071=0,0,IF('REF. DE PREÇOS n editavel'!W2071&gt;0,"c","b"))</f>
        <v>0</v>
      </c>
    </row>
    <row r="2072" spans="1:25" ht="15" customHeight="1">
      <c r="A2072" s="317" t="s">
        <v>147</v>
      </c>
      <c r="B2072" s="870" t="s">
        <v>147</v>
      </c>
      <c r="C2072" s="871"/>
      <c r="D2072" s="881" t="s">
        <v>336</v>
      </c>
      <c r="E2072" s="882">
        <f>'REF. DE PREÇOS n editavel'!E2072</f>
        <v>37</v>
      </c>
      <c r="F2072" s="883">
        <f>'REF. DE PREÇOS n editavel'!F2072</f>
        <v>0.69</v>
      </c>
      <c r="G2072" s="923">
        <f>'REF. DE PREÇOS n editavel'!G2072</f>
        <v>29.1663</v>
      </c>
      <c r="H2072" s="876">
        <f>'REF. DE PREÇOS n editavel'!H2072</f>
        <v>0</v>
      </c>
      <c r="I2072" s="876">
        <f>'REF. DE PREÇOS n editavel'!I2072</f>
        <v>0</v>
      </c>
      <c r="J2072" s="877">
        <f>'REF. DE PREÇOS n editavel'!J2072</f>
        <v>0</v>
      </c>
      <c r="K2072" s="878"/>
      <c r="L2072" s="1132"/>
      <c r="M2072" s="1093">
        <f t="shared" si="208"/>
        <v>0</v>
      </c>
      <c r="N2072" s="1131">
        <f t="shared" si="212"/>
        <v>0</v>
      </c>
      <c r="O2072" s="880"/>
      <c r="P2072" s="36" t="str">
        <f>IF(N2068&gt;0,"xx",IF(N2068&gt;0,"xy",""))</f>
        <v/>
      </c>
      <c r="Q2072" s="317" t="str">
        <f t="shared" si="209"/>
        <v/>
      </c>
      <c r="R2072" s="317" t="str">
        <f t="shared" si="210"/>
        <v/>
      </c>
      <c r="S2072" s="317" t="str">
        <f t="shared" si="211"/>
        <v/>
      </c>
      <c r="T2072" s="317" t="str">
        <f>'REF. DE PREÇOS n editavel'!S2072</f>
        <v/>
      </c>
      <c r="W2072" s="577">
        <v>0</v>
      </c>
      <c r="X2072" s="575"/>
      <c r="Y2072" s="578">
        <f>IF('REF. DE PREÇOS n editavel'!W2072=0,0,IF('REF. DE PREÇOS n editavel'!W2072&gt;0,"c","b"))</f>
        <v>0</v>
      </c>
    </row>
    <row r="2073" spans="1:25" ht="15" customHeight="1">
      <c r="A2073" s="317">
        <v>611100</v>
      </c>
      <c r="B2073" s="870" t="s">
        <v>1838</v>
      </c>
      <c r="C2073" s="871" t="s">
        <v>184</v>
      </c>
      <c r="D2073" s="881" t="s">
        <v>2022</v>
      </c>
      <c r="E2073" s="882">
        <f>'REF. DE PREÇOS n editavel'!E2073</f>
        <v>0</v>
      </c>
      <c r="F2073" s="883">
        <f>'REF. DE PREÇOS n editavel'!F2073</f>
        <v>0</v>
      </c>
      <c r="G2073" s="887">
        <f>'REF. DE PREÇOS n editavel'!G2073</f>
        <v>150.05553019999999</v>
      </c>
      <c r="H2073" s="876">
        <f>'REF. DE PREÇOS n editavel'!H2073</f>
        <v>885.23</v>
      </c>
      <c r="I2073" s="876">
        <f>'REF. DE PREÇOS n editavel'!I2073</f>
        <v>1035.2855302</v>
      </c>
      <c r="J2073" s="877">
        <f>'REF. DE PREÇOS n editavel'!J2073</f>
        <v>1265.33</v>
      </c>
      <c r="K2073" s="878" t="s">
        <v>13</v>
      </c>
      <c r="L2073" s="1092"/>
      <c r="M2073" s="1093">
        <f t="shared" si="208"/>
        <v>0</v>
      </c>
      <c r="N2073" s="1131">
        <f t="shared" si="212"/>
        <v>0</v>
      </c>
      <c r="O2073" s="880"/>
      <c r="Q2073" s="317" t="str">
        <f t="shared" si="209"/>
        <v/>
      </c>
      <c r="R2073" s="317" t="str">
        <f t="shared" si="210"/>
        <v/>
      </c>
      <c r="S2073" s="317" t="str">
        <f t="shared" si="211"/>
        <v/>
      </c>
      <c r="T2073" s="317" t="str">
        <f>'REF. DE PREÇOS n editavel'!S2073</f>
        <v/>
      </c>
      <c r="W2073" s="577">
        <v>0</v>
      </c>
      <c r="X2073" s="575"/>
      <c r="Y2073" s="578">
        <f>IF('REF. DE PREÇOS n editavel'!W2073=0,0,IF('REF. DE PREÇOS n editavel'!W2073&gt;0,"c","b"))</f>
        <v>0</v>
      </c>
    </row>
    <row r="2074" spans="1:25" ht="15" customHeight="1">
      <c r="A2074" s="317" t="s">
        <v>147</v>
      </c>
      <c r="B2074" s="870" t="s">
        <v>147</v>
      </c>
      <c r="C2074" s="871"/>
      <c r="D2074" s="881" t="s">
        <v>190</v>
      </c>
      <c r="E2074" s="882">
        <f>'REF. DE PREÇOS n editavel'!E2074</f>
        <v>445</v>
      </c>
      <c r="F2074" s="883">
        <f>'REF. DE PREÇOS n editavel'!F2074</f>
        <v>7.5800000000000006E-2</v>
      </c>
      <c r="G2074" s="884">
        <f>'REF. DE PREÇOS n editavel'!G2074</f>
        <v>26.902936000000004</v>
      </c>
      <c r="H2074" s="876">
        <f>'REF. DE PREÇOS n editavel'!H2074</f>
        <v>0</v>
      </c>
      <c r="I2074" s="876">
        <f>'REF. DE PREÇOS n editavel'!I2074</f>
        <v>0</v>
      </c>
      <c r="J2074" s="877">
        <f>'REF. DE PREÇOS n editavel'!J2074</f>
        <v>0</v>
      </c>
      <c r="K2074" s="878"/>
      <c r="L2074" s="1132"/>
      <c r="M2074" s="1093">
        <f t="shared" si="208"/>
        <v>0</v>
      </c>
      <c r="N2074" s="1131">
        <f t="shared" si="212"/>
        <v>0</v>
      </c>
      <c r="O2074" s="880"/>
      <c r="P2074" s="36" t="str">
        <f>IF(N2073&gt;0,"xx",IF(N2073&gt;0,"xy",""))</f>
        <v/>
      </c>
      <c r="Q2074" s="317" t="str">
        <f t="shared" si="209"/>
        <v/>
      </c>
      <c r="R2074" s="317" t="str">
        <f t="shared" si="210"/>
        <v/>
      </c>
      <c r="S2074" s="317" t="str">
        <f t="shared" si="211"/>
        <v/>
      </c>
      <c r="T2074" s="317" t="str">
        <f>'REF. DE PREÇOS n editavel'!S2074</f>
        <v/>
      </c>
      <c r="W2074" s="577">
        <v>0</v>
      </c>
      <c r="X2074" s="575"/>
      <c r="Y2074" s="578">
        <f>IF('REF. DE PREÇOS n editavel'!W2074=0,0,IF('REF. DE PREÇOS n editavel'!W2074&gt;0,"c","b"))</f>
        <v>0</v>
      </c>
    </row>
    <row r="2075" spans="1:25" ht="15" customHeight="1">
      <c r="A2075" s="317" t="s">
        <v>147</v>
      </c>
      <c r="B2075" s="870" t="s">
        <v>147</v>
      </c>
      <c r="C2075" s="871"/>
      <c r="D2075" s="881" t="s">
        <v>229</v>
      </c>
      <c r="E2075" s="882">
        <f>'REF. DE PREÇOS n editavel'!E2075</f>
        <v>290</v>
      </c>
      <c r="F2075" s="883">
        <f>'REF. DE PREÇOS n editavel'!F2075</f>
        <v>0.27639999999999998</v>
      </c>
      <c r="G2075" s="923">
        <f>'REF. DE PREÇOS n editavel'!G2075</f>
        <v>86.507671999999999</v>
      </c>
      <c r="H2075" s="876">
        <f>'REF. DE PREÇOS n editavel'!H2075</f>
        <v>0</v>
      </c>
      <c r="I2075" s="876">
        <f>'REF. DE PREÇOS n editavel'!I2075</f>
        <v>0</v>
      </c>
      <c r="J2075" s="877">
        <f>'REF. DE PREÇOS n editavel'!J2075</f>
        <v>0</v>
      </c>
      <c r="K2075" s="878"/>
      <c r="L2075" s="1132"/>
      <c r="M2075" s="1093">
        <f t="shared" si="208"/>
        <v>0</v>
      </c>
      <c r="N2075" s="1131">
        <f t="shared" si="212"/>
        <v>0</v>
      </c>
      <c r="O2075" s="880"/>
      <c r="P2075" s="36" t="str">
        <f>IF(N2073&gt;0,"xx",IF(N2073&gt;0,"xy",""))</f>
        <v/>
      </c>
      <c r="Q2075" s="317" t="str">
        <f t="shared" si="209"/>
        <v/>
      </c>
      <c r="R2075" s="317" t="str">
        <f t="shared" si="210"/>
        <v/>
      </c>
      <c r="S2075" s="317" t="str">
        <f t="shared" si="211"/>
        <v/>
      </c>
      <c r="T2075" s="317" t="str">
        <f>'REF. DE PREÇOS n editavel'!S2075</f>
        <v/>
      </c>
      <c r="W2075" s="577">
        <v>0</v>
      </c>
      <c r="X2075" s="575"/>
      <c r="Y2075" s="578">
        <f>IF('REF. DE PREÇOS n editavel'!W2075=0,0,IF('REF. DE PREÇOS n editavel'!W2075&gt;0,"c","b"))</f>
        <v>0</v>
      </c>
    </row>
    <row r="2076" spans="1:25" ht="15" customHeight="1">
      <c r="A2076" s="317" t="s">
        <v>147</v>
      </c>
      <c r="B2076" s="870" t="s">
        <v>147</v>
      </c>
      <c r="C2076" s="871"/>
      <c r="D2076" s="881" t="s">
        <v>233</v>
      </c>
      <c r="E2076" s="882">
        <f>'REF. DE PREÇOS n editavel'!E2076</f>
        <v>0.2</v>
      </c>
      <c r="F2076" s="883">
        <f>'REF. DE PREÇOS n editavel'!F2076</f>
        <v>0.46629999999999999</v>
      </c>
      <c r="G2076" s="923">
        <f>'REF. DE PREÇOS n editavel'!G2076</f>
        <v>1.3494722000000001</v>
      </c>
      <c r="H2076" s="876">
        <f>'REF. DE PREÇOS n editavel'!H2076</f>
        <v>0</v>
      </c>
      <c r="I2076" s="876">
        <f>'REF. DE PREÇOS n editavel'!I2076</f>
        <v>0</v>
      </c>
      <c r="J2076" s="877">
        <f>'REF. DE PREÇOS n editavel'!J2076</f>
        <v>0</v>
      </c>
      <c r="K2076" s="878"/>
      <c r="L2076" s="1132"/>
      <c r="M2076" s="1093">
        <f t="shared" si="208"/>
        <v>0</v>
      </c>
      <c r="N2076" s="1131">
        <f t="shared" si="212"/>
        <v>0</v>
      </c>
      <c r="O2076" s="880"/>
      <c r="P2076" s="36" t="str">
        <f>IF(N2073&gt;0,"xx",IF(N2073&gt;0,"xy",""))</f>
        <v/>
      </c>
      <c r="Q2076" s="317" t="str">
        <f t="shared" si="209"/>
        <v/>
      </c>
      <c r="R2076" s="317" t="str">
        <f t="shared" si="210"/>
        <v/>
      </c>
      <c r="S2076" s="317" t="str">
        <f t="shared" si="211"/>
        <v/>
      </c>
      <c r="T2076" s="317" t="str">
        <f>'REF. DE PREÇOS n editavel'!S2076</f>
        <v/>
      </c>
      <c r="W2076" s="577">
        <v>0</v>
      </c>
      <c r="X2076" s="575"/>
      <c r="Y2076" s="578">
        <f>IF('REF. DE PREÇOS n editavel'!W2076=0,0,IF('REF. DE PREÇOS n editavel'!W2076&gt;0,"c","b"))</f>
        <v>0</v>
      </c>
    </row>
    <row r="2077" spans="1:25" ht="15" customHeight="1">
      <c r="A2077" s="317" t="s">
        <v>147</v>
      </c>
      <c r="B2077" s="870" t="s">
        <v>147</v>
      </c>
      <c r="C2077" s="871"/>
      <c r="D2077" s="881" t="s">
        <v>336</v>
      </c>
      <c r="E2077" s="882">
        <f>'REF. DE PREÇOS n editavel'!E2077</f>
        <v>37</v>
      </c>
      <c r="F2077" s="883">
        <f>'REF. DE PREÇOS n editavel'!F2077</f>
        <v>0.83499999999999996</v>
      </c>
      <c r="G2077" s="923">
        <f>'REF. DE PREÇOS n editavel'!G2077</f>
        <v>35.295450000000002</v>
      </c>
      <c r="H2077" s="876">
        <f>'REF. DE PREÇOS n editavel'!H2077</f>
        <v>0</v>
      </c>
      <c r="I2077" s="876">
        <f>'REF. DE PREÇOS n editavel'!I2077</f>
        <v>0</v>
      </c>
      <c r="J2077" s="877">
        <f>'REF. DE PREÇOS n editavel'!J2077</f>
        <v>0</v>
      </c>
      <c r="K2077" s="878"/>
      <c r="L2077" s="1132"/>
      <c r="M2077" s="1093">
        <f t="shared" si="208"/>
        <v>0</v>
      </c>
      <c r="N2077" s="1131">
        <f t="shared" si="212"/>
        <v>0</v>
      </c>
      <c r="O2077" s="880"/>
      <c r="P2077" s="36" t="str">
        <f>IF(N2073&gt;0,"xx",IF(N2073&gt;0,"xy",""))</f>
        <v/>
      </c>
      <c r="Q2077" s="317" t="str">
        <f t="shared" si="209"/>
        <v/>
      </c>
      <c r="R2077" s="317" t="str">
        <f t="shared" si="210"/>
        <v/>
      </c>
      <c r="S2077" s="317" t="str">
        <f t="shared" si="211"/>
        <v/>
      </c>
      <c r="T2077" s="317" t="str">
        <f>'REF. DE PREÇOS n editavel'!S2077</f>
        <v/>
      </c>
      <c r="W2077" s="577">
        <v>0</v>
      </c>
      <c r="X2077" s="575"/>
      <c r="Y2077" s="578">
        <f>IF('REF. DE PREÇOS n editavel'!W2077=0,0,IF('REF. DE PREÇOS n editavel'!W2077&gt;0,"c","b"))</f>
        <v>0</v>
      </c>
    </row>
    <row r="2078" spans="1:25" ht="15" customHeight="1">
      <c r="A2078" s="317">
        <v>611100</v>
      </c>
      <c r="B2078" s="870" t="s">
        <v>1839</v>
      </c>
      <c r="C2078" s="871" t="s">
        <v>184</v>
      </c>
      <c r="D2078" s="881" t="s">
        <v>2023</v>
      </c>
      <c r="E2078" s="882">
        <f>'REF. DE PREÇOS n editavel'!E2078</f>
        <v>0</v>
      </c>
      <c r="F2078" s="883">
        <f>'REF. DE PREÇOS n editavel'!F2078</f>
        <v>0</v>
      </c>
      <c r="G2078" s="887">
        <f>'REF. DE PREÇOS n editavel'!G2078</f>
        <v>181.07875160000003</v>
      </c>
      <c r="H2078" s="876">
        <f>'REF. DE PREÇOS n editavel'!H2078</f>
        <v>1053.49</v>
      </c>
      <c r="I2078" s="876">
        <f>'REF. DE PREÇOS n editavel'!I2078</f>
        <v>1234.5687516</v>
      </c>
      <c r="J2078" s="877">
        <f>'REF. DE PREÇOS n editavel'!J2078</f>
        <v>1508.89</v>
      </c>
      <c r="K2078" s="878" t="s">
        <v>13</v>
      </c>
      <c r="L2078" s="1092"/>
      <c r="M2078" s="1093">
        <f t="shared" si="208"/>
        <v>0</v>
      </c>
      <c r="N2078" s="1131">
        <f t="shared" si="212"/>
        <v>0</v>
      </c>
      <c r="O2078" s="880"/>
      <c r="Q2078" s="317" t="str">
        <f t="shared" si="209"/>
        <v/>
      </c>
      <c r="R2078" s="317" t="str">
        <f t="shared" si="210"/>
        <v/>
      </c>
      <c r="S2078" s="317" t="str">
        <f t="shared" si="211"/>
        <v/>
      </c>
      <c r="T2078" s="317" t="str">
        <f>'REF. DE PREÇOS n editavel'!S2078</f>
        <v/>
      </c>
      <c r="W2078" s="577">
        <v>0</v>
      </c>
      <c r="X2078" s="575"/>
      <c r="Y2078" s="578">
        <f>IF('REF. DE PREÇOS n editavel'!W2078=0,0,IF('REF. DE PREÇOS n editavel'!W2078&gt;0,"c","b"))</f>
        <v>0</v>
      </c>
    </row>
    <row r="2079" spans="1:25" ht="15" customHeight="1">
      <c r="A2079" s="317" t="s">
        <v>147</v>
      </c>
      <c r="B2079" s="870" t="s">
        <v>147</v>
      </c>
      <c r="C2079" s="871"/>
      <c r="D2079" s="881" t="s">
        <v>190</v>
      </c>
      <c r="E2079" s="882">
        <f>'REF. DE PREÇOS n editavel'!E2079</f>
        <v>445</v>
      </c>
      <c r="F2079" s="883">
        <f>'REF. DE PREÇOS n editavel'!F2079</f>
        <v>9.1700000000000004E-2</v>
      </c>
      <c r="G2079" s="884">
        <f>'REF. DE PREÇOS n editavel'!G2079</f>
        <v>32.546164000000005</v>
      </c>
      <c r="H2079" s="876">
        <f>'REF. DE PREÇOS n editavel'!H2079</f>
        <v>0</v>
      </c>
      <c r="I2079" s="876">
        <f>'REF. DE PREÇOS n editavel'!I2079</f>
        <v>0</v>
      </c>
      <c r="J2079" s="877">
        <f>'REF. DE PREÇOS n editavel'!J2079</f>
        <v>0</v>
      </c>
      <c r="K2079" s="878"/>
      <c r="L2079" s="1132"/>
      <c r="M2079" s="1093">
        <f t="shared" si="208"/>
        <v>0</v>
      </c>
      <c r="N2079" s="1131">
        <f t="shared" si="212"/>
        <v>0</v>
      </c>
      <c r="O2079" s="880"/>
      <c r="P2079" s="36" t="str">
        <f>IF(N2078&gt;0,"xx",IF(N2078&gt;0,"xy",""))</f>
        <v/>
      </c>
      <c r="Q2079" s="317" t="str">
        <f t="shared" si="209"/>
        <v/>
      </c>
      <c r="R2079" s="317" t="str">
        <f t="shared" si="210"/>
        <v/>
      </c>
      <c r="S2079" s="317" t="str">
        <f t="shared" si="211"/>
        <v/>
      </c>
      <c r="T2079" s="317" t="str">
        <f>'REF. DE PREÇOS n editavel'!S2079</f>
        <v/>
      </c>
      <c r="W2079" s="577">
        <v>0</v>
      </c>
      <c r="X2079" s="575"/>
      <c r="Y2079" s="578">
        <f>IF('REF. DE PREÇOS n editavel'!W2079=0,0,IF('REF. DE PREÇOS n editavel'!W2079&gt;0,"c","b"))</f>
        <v>0</v>
      </c>
    </row>
    <row r="2080" spans="1:25" ht="15" customHeight="1">
      <c r="A2080" s="317" t="s">
        <v>147</v>
      </c>
      <c r="B2080" s="870" t="s">
        <v>147</v>
      </c>
      <c r="C2080" s="871"/>
      <c r="D2080" s="881" t="s">
        <v>229</v>
      </c>
      <c r="E2080" s="882">
        <f>'REF. DE PREÇOS n editavel'!E2080</f>
        <v>290</v>
      </c>
      <c r="F2080" s="883">
        <f>'REF. DE PREÇOS n editavel'!F2080</f>
        <v>0.33429999999999999</v>
      </c>
      <c r="G2080" s="923">
        <f>'REF. DE PREÇOS n editavel'!G2080</f>
        <v>104.629214</v>
      </c>
      <c r="H2080" s="876">
        <f>'REF. DE PREÇOS n editavel'!H2080</f>
        <v>0</v>
      </c>
      <c r="I2080" s="876">
        <f>'REF. DE PREÇOS n editavel'!I2080</f>
        <v>0</v>
      </c>
      <c r="J2080" s="877">
        <f>'REF. DE PREÇOS n editavel'!J2080</f>
        <v>0</v>
      </c>
      <c r="K2080" s="878"/>
      <c r="L2080" s="1132"/>
      <c r="M2080" s="1093">
        <f t="shared" si="208"/>
        <v>0</v>
      </c>
      <c r="N2080" s="1131">
        <f t="shared" si="212"/>
        <v>0</v>
      </c>
      <c r="O2080" s="880"/>
      <c r="P2080" s="36" t="str">
        <f>IF(N2078&gt;0,"xx",IF(N2078&gt;0,"xy",""))</f>
        <v/>
      </c>
      <c r="Q2080" s="317" t="str">
        <f t="shared" si="209"/>
        <v/>
      </c>
      <c r="R2080" s="317" t="str">
        <f t="shared" si="210"/>
        <v/>
      </c>
      <c r="S2080" s="317" t="str">
        <f t="shared" si="211"/>
        <v/>
      </c>
      <c r="T2080" s="317" t="str">
        <f>'REF. DE PREÇOS n editavel'!S2080</f>
        <v/>
      </c>
      <c r="W2080" s="577">
        <v>0</v>
      </c>
      <c r="X2080" s="575"/>
      <c r="Y2080" s="578">
        <f>IF('REF. DE PREÇOS n editavel'!W2080=0,0,IF('REF. DE PREÇOS n editavel'!W2080&gt;0,"c","b"))</f>
        <v>0</v>
      </c>
    </row>
    <row r="2081" spans="1:25" ht="15" customHeight="1">
      <c r="A2081" s="317" t="s">
        <v>147</v>
      </c>
      <c r="B2081" s="870" t="s">
        <v>147</v>
      </c>
      <c r="C2081" s="871"/>
      <c r="D2081" s="881" t="s">
        <v>233</v>
      </c>
      <c r="E2081" s="882">
        <f>'REF. DE PREÇOS n editavel'!E2081</f>
        <v>0.2</v>
      </c>
      <c r="F2081" s="883">
        <f>'REF. DE PREÇOS n editavel'!F2081</f>
        <v>0.56440000000000001</v>
      </c>
      <c r="G2081" s="923">
        <f>'REF. DE PREÇOS n editavel'!G2081</f>
        <v>1.6333736000000001</v>
      </c>
      <c r="H2081" s="876">
        <f>'REF. DE PREÇOS n editavel'!H2081</f>
        <v>0</v>
      </c>
      <c r="I2081" s="876">
        <f>'REF. DE PREÇOS n editavel'!I2081</f>
        <v>0</v>
      </c>
      <c r="J2081" s="877">
        <f>'REF. DE PREÇOS n editavel'!J2081</f>
        <v>0</v>
      </c>
      <c r="K2081" s="878"/>
      <c r="L2081" s="1132"/>
      <c r="M2081" s="1093">
        <f t="shared" si="208"/>
        <v>0</v>
      </c>
      <c r="N2081" s="1131">
        <f t="shared" si="212"/>
        <v>0</v>
      </c>
      <c r="O2081" s="880"/>
      <c r="P2081" s="36" t="str">
        <f>IF(N2078&gt;0,"xx",IF(N2078&gt;0,"xy",""))</f>
        <v/>
      </c>
      <c r="Q2081" s="317" t="str">
        <f t="shared" si="209"/>
        <v/>
      </c>
      <c r="R2081" s="317" t="str">
        <f t="shared" si="210"/>
        <v/>
      </c>
      <c r="S2081" s="317" t="str">
        <f t="shared" si="211"/>
        <v/>
      </c>
      <c r="T2081" s="317" t="str">
        <f>'REF. DE PREÇOS n editavel'!S2081</f>
        <v/>
      </c>
      <c r="W2081" s="577">
        <v>0</v>
      </c>
      <c r="X2081" s="575"/>
      <c r="Y2081" s="578">
        <f>IF('REF. DE PREÇOS n editavel'!W2081=0,0,IF('REF. DE PREÇOS n editavel'!W2081&gt;0,"c","b"))</f>
        <v>0</v>
      </c>
    </row>
    <row r="2082" spans="1:25" ht="15" customHeight="1">
      <c r="A2082" s="317" t="s">
        <v>147</v>
      </c>
      <c r="B2082" s="870" t="s">
        <v>147</v>
      </c>
      <c r="C2082" s="871"/>
      <c r="D2082" s="881" t="s">
        <v>336</v>
      </c>
      <c r="E2082" s="882">
        <f>'REF. DE PREÇOS n editavel'!E2082</f>
        <v>37</v>
      </c>
      <c r="F2082" s="883">
        <f>'REF. DE PREÇOS n editavel'!F2082</f>
        <v>1</v>
      </c>
      <c r="G2082" s="923">
        <f>'REF. DE PREÇOS n editavel'!G2082</f>
        <v>42.27</v>
      </c>
      <c r="H2082" s="876">
        <f>'REF. DE PREÇOS n editavel'!H2082</f>
        <v>0</v>
      </c>
      <c r="I2082" s="876">
        <f>'REF. DE PREÇOS n editavel'!I2082</f>
        <v>0</v>
      </c>
      <c r="J2082" s="877">
        <f>'REF. DE PREÇOS n editavel'!J2082</f>
        <v>0</v>
      </c>
      <c r="K2082" s="878"/>
      <c r="L2082" s="1132"/>
      <c r="M2082" s="1093">
        <f t="shared" si="208"/>
        <v>0</v>
      </c>
      <c r="N2082" s="1131">
        <f t="shared" si="212"/>
        <v>0</v>
      </c>
      <c r="O2082" s="880"/>
      <c r="P2082" s="36" t="str">
        <f>IF(N2078&gt;0,"xx",IF(N2078&gt;0,"xy",""))</f>
        <v/>
      </c>
      <c r="Q2082" s="317" t="str">
        <f t="shared" si="209"/>
        <v/>
      </c>
      <c r="R2082" s="317" t="str">
        <f t="shared" si="210"/>
        <v/>
      </c>
      <c r="S2082" s="317" t="str">
        <f t="shared" si="211"/>
        <v/>
      </c>
      <c r="T2082" s="317" t="str">
        <f>'REF. DE PREÇOS n editavel'!S2082</f>
        <v/>
      </c>
      <c r="W2082" s="577">
        <v>0</v>
      </c>
      <c r="X2082" s="575"/>
      <c r="Y2082" s="578">
        <f>IF('REF. DE PREÇOS n editavel'!W2082=0,0,IF('REF. DE PREÇOS n editavel'!W2082&gt;0,"c","b"))</f>
        <v>0</v>
      </c>
    </row>
    <row r="2083" spans="1:25" ht="15" customHeight="1">
      <c r="A2083" s="317">
        <v>611300</v>
      </c>
      <c r="B2083" s="870">
        <v>611300</v>
      </c>
      <c r="C2083" s="871" t="s">
        <v>184</v>
      </c>
      <c r="D2083" s="881" t="s">
        <v>2024</v>
      </c>
      <c r="E2083" s="882">
        <f>'REF. DE PREÇOS n editavel'!E2083</f>
        <v>0</v>
      </c>
      <c r="F2083" s="883">
        <f>'REF. DE PREÇOS n editavel'!F2083</f>
        <v>0</v>
      </c>
      <c r="G2083" s="887">
        <f>'REF. DE PREÇOS n editavel'!G2083</f>
        <v>253.19326000000004</v>
      </c>
      <c r="H2083" s="876">
        <f>'REF. DE PREÇOS n editavel'!H2083</f>
        <v>1362.43</v>
      </c>
      <c r="I2083" s="876">
        <f>'REF. DE PREÇOS n editavel'!I2083</f>
        <v>1615.6232600000001</v>
      </c>
      <c r="J2083" s="877">
        <f>'REF. DE PREÇOS n editavel'!J2083</f>
        <v>1974.61</v>
      </c>
      <c r="K2083" s="878" t="s">
        <v>13</v>
      </c>
      <c r="L2083" s="1092"/>
      <c r="M2083" s="1093">
        <f t="shared" si="208"/>
        <v>0</v>
      </c>
      <c r="N2083" s="1131">
        <f t="shared" si="212"/>
        <v>0</v>
      </c>
      <c r="O2083" s="880"/>
      <c r="Q2083" s="317" t="str">
        <f t="shared" si="209"/>
        <v/>
      </c>
      <c r="R2083" s="317" t="str">
        <f t="shared" si="210"/>
        <v/>
      </c>
      <c r="S2083" s="317" t="str">
        <f t="shared" si="211"/>
        <v/>
      </c>
      <c r="T2083" s="317" t="str">
        <f>'REF. DE PREÇOS n editavel'!S2083</f>
        <v/>
      </c>
      <c r="W2083" s="577">
        <v>0</v>
      </c>
      <c r="X2083" s="575"/>
      <c r="Y2083" s="578">
        <f>IF('REF. DE PREÇOS n editavel'!W2083=0,0,IF('REF. DE PREÇOS n editavel'!W2083&gt;0,"c","b"))</f>
        <v>0</v>
      </c>
    </row>
    <row r="2084" spans="1:25" ht="15" customHeight="1">
      <c r="A2084" s="317" t="s">
        <v>147</v>
      </c>
      <c r="B2084" s="870" t="s">
        <v>147</v>
      </c>
      <c r="C2084" s="871"/>
      <c r="D2084" s="881" t="s">
        <v>190</v>
      </c>
      <c r="E2084" s="882">
        <f>'REF. DE PREÇOS n editavel'!E2084</f>
        <v>445</v>
      </c>
      <c r="F2084" s="883">
        <f>'REF. DE PREÇOS n editavel'!F2084</f>
        <v>0.12720000000000001</v>
      </c>
      <c r="G2084" s="884">
        <f>'REF. DE PREÇOS n editavel'!G2084</f>
        <v>45.145824000000005</v>
      </c>
      <c r="H2084" s="876">
        <f>'REF. DE PREÇOS n editavel'!H2084</f>
        <v>0</v>
      </c>
      <c r="I2084" s="876">
        <f>'REF. DE PREÇOS n editavel'!I2084</f>
        <v>0</v>
      </c>
      <c r="J2084" s="877">
        <f>'REF. DE PREÇOS n editavel'!J2084</f>
        <v>0</v>
      </c>
      <c r="K2084" s="878"/>
      <c r="L2084" s="1132"/>
      <c r="M2084" s="1093">
        <f t="shared" si="208"/>
        <v>0</v>
      </c>
      <c r="N2084" s="1131">
        <f t="shared" si="212"/>
        <v>0</v>
      </c>
      <c r="O2084" s="880"/>
      <c r="P2084" s="36" t="str">
        <f>IF(N2083&gt;0,"xx",IF(N2083&gt;0,"xy",""))</f>
        <v/>
      </c>
      <c r="Q2084" s="317" t="str">
        <f t="shared" si="209"/>
        <v/>
      </c>
      <c r="R2084" s="317" t="str">
        <f t="shared" si="210"/>
        <v/>
      </c>
      <c r="S2084" s="317" t="str">
        <f t="shared" si="211"/>
        <v/>
      </c>
      <c r="T2084" s="317" t="str">
        <f>'REF. DE PREÇOS n editavel'!S2084</f>
        <v/>
      </c>
      <c r="W2084" s="577">
        <v>0</v>
      </c>
      <c r="X2084" s="575"/>
      <c r="Y2084" s="578">
        <f>IF('REF. DE PREÇOS n editavel'!W2084=0,0,IF('REF. DE PREÇOS n editavel'!W2084&gt;0,"c","b"))</f>
        <v>0</v>
      </c>
    </row>
    <row r="2085" spans="1:25" ht="15" customHeight="1">
      <c r="A2085" s="317" t="s">
        <v>147</v>
      </c>
      <c r="B2085" s="870" t="s">
        <v>147</v>
      </c>
      <c r="C2085" s="871"/>
      <c r="D2085" s="881" t="s">
        <v>229</v>
      </c>
      <c r="E2085" s="882">
        <f>'REF. DE PREÇOS n editavel'!E2085</f>
        <v>290</v>
      </c>
      <c r="F2085" s="883">
        <f>'REF. DE PREÇOS n editavel'!F2085</f>
        <v>0.46300000000000002</v>
      </c>
      <c r="G2085" s="923">
        <f>'REF. DE PREÇOS n editavel'!G2085</f>
        <v>144.90974000000003</v>
      </c>
      <c r="H2085" s="876">
        <f>'REF. DE PREÇOS n editavel'!H2085</f>
        <v>0</v>
      </c>
      <c r="I2085" s="876">
        <f>'REF. DE PREÇOS n editavel'!I2085</f>
        <v>0</v>
      </c>
      <c r="J2085" s="877">
        <f>'REF. DE PREÇOS n editavel'!J2085</f>
        <v>0</v>
      </c>
      <c r="K2085" s="878"/>
      <c r="L2085" s="1132"/>
      <c r="M2085" s="1093">
        <f t="shared" si="208"/>
        <v>0</v>
      </c>
      <c r="N2085" s="1131">
        <f t="shared" si="212"/>
        <v>0</v>
      </c>
      <c r="O2085" s="880"/>
      <c r="P2085" s="36" t="str">
        <f>IF(N2083&gt;0,"xx",IF(N2083&gt;0,"xy",""))</f>
        <v/>
      </c>
      <c r="Q2085" s="317" t="str">
        <f t="shared" si="209"/>
        <v/>
      </c>
      <c r="R2085" s="317" t="str">
        <f t="shared" si="210"/>
        <v/>
      </c>
      <c r="S2085" s="317" t="str">
        <f t="shared" si="211"/>
        <v/>
      </c>
      <c r="T2085" s="317" t="str">
        <f>'REF. DE PREÇOS n editavel'!S2085</f>
        <v/>
      </c>
      <c r="W2085" s="577">
        <v>0</v>
      </c>
      <c r="X2085" s="575"/>
      <c r="Y2085" s="578">
        <f>IF('REF. DE PREÇOS n editavel'!W2085=0,0,IF('REF. DE PREÇOS n editavel'!W2085&gt;0,"c","b"))</f>
        <v>0</v>
      </c>
    </row>
    <row r="2086" spans="1:25" ht="15" customHeight="1">
      <c r="A2086" s="317" t="s">
        <v>147</v>
      </c>
      <c r="B2086" s="870" t="s">
        <v>147</v>
      </c>
      <c r="C2086" s="871"/>
      <c r="D2086" s="881" t="s">
        <v>233</v>
      </c>
      <c r="E2086" s="882">
        <f>'REF. DE PREÇOS n editavel'!E2086</f>
        <v>0.2</v>
      </c>
      <c r="F2086" s="883">
        <f>'REF. DE PREÇOS n editavel'!F2086</f>
        <v>0.78400000000000003</v>
      </c>
      <c r="G2086" s="923">
        <f>'REF. DE PREÇOS n editavel'!G2086</f>
        <v>2.2688960000000002</v>
      </c>
      <c r="H2086" s="876">
        <f>'REF. DE PREÇOS n editavel'!H2086</f>
        <v>0</v>
      </c>
      <c r="I2086" s="876">
        <f>'REF. DE PREÇOS n editavel'!I2086</f>
        <v>0</v>
      </c>
      <c r="J2086" s="877">
        <f>'REF. DE PREÇOS n editavel'!J2086</f>
        <v>0</v>
      </c>
      <c r="K2086" s="878"/>
      <c r="L2086" s="1132"/>
      <c r="M2086" s="1093">
        <f t="shared" si="208"/>
        <v>0</v>
      </c>
      <c r="N2086" s="1131">
        <f t="shared" si="212"/>
        <v>0</v>
      </c>
      <c r="O2086" s="880"/>
      <c r="P2086" s="36" t="str">
        <f>IF(N2083&gt;0,"xx",IF(N2083&gt;0,"xy",""))</f>
        <v/>
      </c>
      <c r="Q2086" s="317" t="str">
        <f t="shared" si="209"/>
        <v/>
      </c>
      <c r="R2086" s="317" t="str">
        <f t="shared" si="210"/>
        <v/>
      </c>
      <c r="S2086" s="317" t="str">
        <f t="shared" si="211"/>
        <v/>
      </c>
      <c r="T2086" s="317" t="str">
        <f>'REF. DE PREÇOS n editavel'!S2086</f>
        <v/>
      </c>
      <c r="W2086" s="577">
        <v>0</v>
      </c>
      <c r="X2086" s="575"/>
      <c r="Y2086" s="578">
        <f>IF('REF. DE PREÇOS n editavel'!W2086=0,0,IF('REF. DE PREÇOS n editavel'!W2086&gt;0,"c","b"))</f>
        <v>0</v>
      </c>
    </row>
    <row r="2087" spans="1:25" ht="15" customHeight="1">
      <c r="A2087" s="317" t="s">
        <v>147</v>
      </c>
      <c r="B2087" s="870" t="s">
        <v>147</v>
      </c>
      <c r="C2087" s="871"/>
      <c r="D2087" s="881" t="s">
        <v>336</v>
      </c>
      <c r="E2087" s="882">
        <f>'REF. DE PREÇOS n editavel'!E2087</f>
        <v>37</v>
      </c>
      <c r="F2087" s="883">
        <f>'REF. DE PREÇOS n editavel'!F2087</f>
        <v>1.44</v>
      </c>
      <c r="G2087" s="923">
        <f>'REF. DE PREÇOS n editavel'!G2087</f>
        <v>60.8688</v>
      </c>
      <c r="H2087" s="876">
        <f>'REF. DE PREÇOS n editavel'!H2087</f>
        <v>0</v>
      </c>
      <c r="I2087" s="876">
        <f>'REF. DE PREÇOS n editavel'!I2087</f>
        <v>0</v>
      </c>
      <c r="J2087" s="877">
        <f>'REF. DE PREÇOS n editavel'!J2087</f>
        <v>0</v>
      </c>
      <c r="K2087" s="878"/>
      <c r="L2087" s="1132"/>
      <c r="M2087" s="1093">
        <f t="shared" si="208"/>
        <v>0</v>
      </c>
      <c r="N2087" s="1131">
        <f t="shared" si="212"/>
        <v>0</v>
      </c>
      <c r="O2087" s="880"/>
      <c r="P2087" s="36" t="str">
        <f>IF(N2083&gt;0,"xx",IF(N2083&gt;0,"xy",""))</f>
        <v/>
      </c>
      <c r="Q2087" s="317" t="str">
        <f t="shared" si="209"/>
        <v/>
      </c>
      <c r="R2087" s="317" t="str">
        <f t="shared" si="210"/>
        <v/>
      </c>
      <c r="S2087" s="317" t="str">
        <f t="shared" si="211"/>
        <v/>
      </c>
      <c r="T2087" s="317" t="str">
        <f>'REF. DE PREÇOS n editavel'!S2087</f>
        <v/>
      </c>
      <c r="W2087" s="577">
        <v>0</v>
      </c>
      <c r="X2087" s="575"/>
      <c r="Y2087" s="578">
        <f>IF('REF. DE PREÇOS n editavel'!W2087=0,0,IF('REF. DE PREÇOS n editavel'!W2087&gt;0,"c","b"))</f>
        <v>0</v>
      </c>
    </row>
    <row r="2088" spans="1:25" ht="15" customHeight="1">
      <c r="A2088" s="317">
        <v>611500</v>
      </c>
      <c r="B2088" s="870" t="s">
        <v>1840</v>
      </c>
      <c r="C2088" s="871" t="s">
        <v>184</v>
      </c>
      <c r="D2088" s="881" t="s">
        <v>2025</v>
      </c>
      <c r="E2088" s="882">
        <f>'REF. DE PREÇOS n editavel'!E2088</f>
        <v>0</v>
      </c>
      <c r="F2088" s="883">
        <f>'REF. DE PREÇOS n editavel'!F2088</f>
        <v>0</v>
      </c>
      <c r="G2088" s="887">
        <f>'REF. DE PREÇOS n editavel'!G2088</f>
        <v>351.7724126</v>
      </c>
      <c r="H2088" s="876">
        <f>'REF. DE PREÇOS n editavel'!H2088</f>
        <v>1749.33</v>
      </c>
      <c r="I2088" s="876">
        <f>'REF. DE PREÇOS n editavel'!I2088</f>
        <v>2101.1024125999998</v>
      </c>
      <c r="J2088" s="877">
        <f>'REF. DE PREÇOS n editavel'!J2088</f>
        <v>2567.9699999999998</v>
      </c>
      <c r="K2088" s="878" t="s">
        <v>13</v>
      </c>
      <c r="L2088" s="1092"/>
      <c r="M2088" s="1093">
        <f t="shared" si="208"/>
        <v>0</v>
      </c>
      <c r="N2088" s="1131">
        <f t="shared" si="212"/>
        <v>0</v>
      </c>
      <c r="O2088" s="880"/>
      <c r="Q2088" s="317" t="str">
        <f t="shared" si="209"/>
        <v/>
      </c>
      <c r="R2088" s="317" t="str">
        <f t="shared" si="210"/>
        <v/>
      </c>
      <c r="S2088" s="317" t="str">
        <f t="shared" si="211"/>
        <v/>
      </c>
      <c r="T2088" s="317" t="str">
        <f>'REF. DE PREÇOS n editavel'!S2088</f>
        <v/>
      </c>
      <c r="W2088" s="577">
        <v>0</v>
      </c>
      <c r="X2088" s="575"/>
      <c r="Y2088" s="578">
        <f>IF('REF. DE PREÇOS n editavel'!W2088=0,0,IF('REF. DE PREÇOS n editavel'!W2088&gt;0,"c","b"))</f>
        <v>0</v>
      </c>
    </row>
    <row r="2089" spans="1:25" ht="15" customHeight="1">
      <c r="A2089" s="317" t="s">
        <v>147</v>
      </c>
      <c r="B2089" s="870" t="s">
        <v>147</v>
      </c>
      <c r="C2089" s="871"/>
      <c r="D2089" s="881" t="s">
        <v>190</v>
      </c>
      <c r="E2089" s="882">
        <f>'REF. DE PREÇOS n editavel'!E2089</f>
        <v>445</v>
      </c>
      <c r="F2089" s="883">
        <f>'REF. DE PREÇOS n editavel'!F2089</f>
        <v>0.187</v>
      </c>
      <c r="G2089" s="884">
        <f>'REF. DE PREÇOS n editavel'!G2089</f>
        <v>66.370040000000003</v>
      </c>
      <c r="H2089" s="876">
        <f>'REF. DE PREÇOS n editavel'!H2089</f>
        <v>0</v>
      </c>
      <c r="I2089" s="876">
        <f>'REF. DE PREÇOS n editavel'!I2089</f>
        <v>0</v>
      </c>
      <c r="J2089" s="877">
        <f>'REF. DE PREÇOS n editavel'!J2089</f>
        <v>0</v>
      </c>
      <c r="K2089" s="878"/>
      <c r="L2089" s="1132"/>
      <c r="M2089" s="1093">
        <f t="shared" si="208"/>
        <v>0</v>
      </c>
      <c r="N2089" s="1131">
        <f t="shared" si="212"/>
        <v>0</v>
      </c>
      <c r="O2089" s="880"/>
      <c r="P2089" s="36" t="str">
        <f>IF(N2088&gt;0,"xx",IF(N2088&gt;0,"xy",""))</f>
        <v/>
      </c>
      <c r="Q2089" s="317" t="str">
        <f t="shared" si="209"/>
        <v/>
      </c>
      <c r="R2089" s="317" t="str">
        <f t="shared" si="210"/>
        <v/>
      </c>
      <c r="S2089" s="317" t="str">
        <f t="shared" si="211"/>
        <v/>
      </c>
      <c r="T2089" s="317" t="str">
        <f>'REF. DE PREÇOS n editavel'!S2089</f>
        <v/>
      </c>
      <c r="W2089" s="577">
        <v>0</v>
      </c>
      <c r="X2089" s="575"/>
      <c r="Y2089" s="578">
        <f>IF('REF. DE PREÇOS n editavel'!W2089=0,0,IF('REF. DE PREÇOS n editavel'!W2089&gt;0,"c","b"))</f>
        <v>0</v>
      </c>
    </row>
    <row r="2090" spans="1:25" ht="15" customHeight="1">
      <c r="A2090" s="317" t="s">
        <v>147</v>
      </c>
      <c r="B2090" s="870" t="s">
        <v>147</v>
      </c>
      <c r="C2090" s="871"/>
      <c r="D2090" s="881" t="s">
        <v>229</v>
      </c>
      <c r="E2090" s="882">
        <f>'REF. DE PREÇOS n editavel'!E2090</f>
        <v>290</v>
      </c>
      <c r="F2090" s="883">
        <f>'REF. DE PREÇOS n editavel'!F2090</f>
        <v>0.67830000000000001</v>
      </c>
      <c r="G2090" s="923">
        <f>'REF. DE PREÇOS n editavel'!G2090</f>
        <v>212.29433400000002</v>
      </c>
      <c r="H2090" s="876">
        <f>'REF. DE PREÇOS n editavel'!H2090</f>
        <v>0</v>
      </c>
      <c r="I2090" s="876">
        <f>'REF. DE PREÇOS n editavel'!I2090</f>
        <v>0</v>
      </c>
      <c r="J2090" s="877">
        <f>'REF. DE PREÇOS n editavel'!J2090</f>
        <v>0</v>
      </c>
      <c r="K2090" s="878"/>
      <c r="L2090" s="1132"/>
      <c r="M2090" s="1093">
        <f t="shared" si="208"/>
        <v>0</v>
      </c>
      <c r="N2090" s="1131">
        <f t="shared" si="212"/>
        <v>0</v>
      </c>
      <c r="O2090" s="880"/>
      <c r="P2090" s="36" t="str">
        <f>IF(N2088&gt;0,"xx",IF(N2088&gt;0,"xy",""))</f>
        <v/>
      </c>
      <c r="Q2090" s="317" t="str">
        <f t="shared" si="209"/>
        <v/>
      </c>
      <c r="R2090" s="317" t="str">
        <f t="shared" si="210"/>
        <v/>
      </c>
      <c r="S2090" s="317" t="str">
        <f t="shared" si="211"/>
        <v/>
      </c>
      <c r="T2090" s="317" t="str">
        <f>'REF. DE PREÇOS n editavel'!S2090</f>
        <v/>
      </c>
      <c r="W2090" s="577">
        <v>0</v>
      </c>
      <c r="X2090" s="575"/>
      <c r="Y2090" s="578">
        <f>IF('REF. DE PREÇOS n editavel'!W2090=0,0,IF('REF. DE PREÇOS n editavel'!W2090&gt;0,"c","b"))</f>
        <v>0</v>
      </c>
    </row>
    <row r="2091" spans="1:25" ht="15" customHeight="1">
      <c r="A2091" s="317" t="s">
        <v>147</v>
      </c>
      <c r="B2091" s="870" t="s">
        <v>147</v>
      </c>
      <c r="C2091" s="871"/>
      <c r="D2091" s="881" t="s">
        <v>233</v>
      </c>
      <c r="E2091" s="882">
        <f>'REF. DE PREÇOS n editavel'!E2091</f>
        <v>0.2</v>
      </c>
      <c r="F2091" s="883">
        <f>'REF. DE PREÇOS n editavel'!F2091</f>
        <v>1.1618999999999999</v>
      </c>
      <c r="G2091" s="923">
        <f>'REF. DE PREÇOS n editavel'!G2091</f>
        <v>3.3625386000000002</v>
      </c>
      <c r="H2091" s="876">
        <f>'REF. DE PREÇOS n editavel'!H2091</f>
        <v>0</v>
      </c>
      <c r="I2091" s="876">
        <f>'REF. DE PREÇOS n editavel'!I2091</f>
        <v>0</v>
      </c>
      <c r="J2091" s="877">
        <f>'REF. DE PREÇOS n editavel'!J2091</f>
        <v>0</v>
      </c>
      <c r="K2091" s="878"/>
      <c r="L2091" s="1132"/>
      <c r="M2091" s="1093">
        <f t="shared" si="208"/>
        <v>0</v>
      </c>
      <c r="N2091" s="1131">
        <f t="shared" si="212"/>
        <v>0</v>
      </c>
      <c r="O2091" s="880"/>
      <c r="P2091" s="36" t="str">
        <f>IF(N2088&gt;0,"xx",IF(N2088&gt;0,"xy",""))</f>
        <v/>
      </c>
      <c r="Q2091" s="317" t="str">
        <f t="shared" si="209"/>
        <v/>
      </c>
      <c r="R2091" s="317" t="str">
        <f t="shared" si="210"/>
        <v/>
      </c>
      <c r="S2091" s="317" t="str">
        <f t="shared" si="211"/>
        <v/>
      </c>
      <c r="T2091" s="317" t="str">
        <f>'REF. DE PREÇOS n editavel'!S2091</f>
        <v/>
      </c>
      <c r="W2091" s="577">
        <v>0</v>
      </c>
      <c r="X2091" s="575"/>
      <c r="Y2091" s="578">
        <f>IF('REF. DE PREÇOS n editavel'!W2091=0,0,IF('REF. DE PREÇOS n editavel'!W2091&gt;0,"c","b"))</f>
        <v>0</v>
      </c>
    </row>
    <row r="2092" spans="1:25" ht="15" customHeight="1">
      <c r="A2092" s="317" t="s">
        <v>147</v>
      </c>
      <c r="B2092" s="870" t="s">
        <v>147</v>
      </c>
      <c r="C2092" s="871"/>
      <c r="D2092" s="881" t="s">
        <v>336</v>
      </c>
      <c r="E2092" s="882">
        <f>'REF. DE PREÇOS n editavel'!E2092</f>
        <v>37</v>
      </c>
      <c r="F2092" s="883">
        <f>'REF. DE PREÇOS n editavel'!F2092</f>
        <v>1.65</v>
      </c>
      <c r="G2092" s="923">
        <f>'REF. DE PREÇOS n editavel'!G2092</f>
        <v>69.745500000000007</v>
      </c>
      <c r="H2092" s="876">
        <f>'REF. DE PREÇOS n editavel'!H2092</f>
        <v>0</v>
      </c>
      <c r="I2092" s="876">
        <f>'REF. DE PREÇOS n editavel'!I2092</f>
        <v>0</v>
      </c>
      <c r="J2092" s="877">
        <f>'REF. DE PREÇOS n editavel'!J2092</f>
        <v>0</v>
      </c>
      <c r="K2092" s="878"/>
      <c r="L2092" s="1132"/>
      <c r="M2092" s="1093">
        <f t="shared" si="208"/>
        <v>0</v>
      </c>
      <c r="N2092" s="1131">
        <f t="shared" si="212"/>
        <v>0</v>
      </c>
      <c r="O2092" s="880"/>
      <c r="P2092" s="36" t="str">
        <f>IF(N2088&gt;0,"xx",IF(N2088&gt;0,"xy",""))</f>
        <v/>
      </c>
      <c r="Q2092" s="317" t="str">
        <f t="shared" si="209"/>
        <v/>
      </c>
      <c r="R2092" s="317" t="str">
        <f t="shared" si="210"/>
        <v/>
      </c>
      <c r="S2092" s="317" t="str">
        <f t="shared" si="211"/>
        <v/>
      </c>
      <c r="T2092" s="317" t="str">
        <f>'REF. DE PREÇOS n editavel'!S2092</f>
        <v/>
      </c>
      <c r="W2092" s="577">
        <v>0</v>
      </c>
      <c r="X2092" s="575"/>
      <c r="Y2092" s="578">
        <f>IF('REF. DE PREÇOS n editavel'!W2092=0,0,IF('REF. DE PREÇOS n editavel'!W2092&gt;0,"c","b"))</f>
        <v>0</v>
      </c>
    </row>
    <row r="2093" spans="1:25" ht="15" customHeight="1">
      <c r="A2093" s="317">
        <v>611500</v>
      </c>
      <c r="B2093" s="870" t="s">
        <v>1841</v>
      </c>
      <c r="C2093" s="871" t="s">
        <v>184</v>
      </c>
      <c r="D2093" s="881" t="s">
        <v>2026</v>
      </c>
      <c r="E2093" s="882">
        <f>'REF. DE PREÇOS n editavel'!E2093</f>
        <v>0</v>
      </c>
      <c r="F2093" s="883">
        <f>'REF. DE PREÇOS n editavel'!F2093</f>
        <v>0</v>
      </c>
      <c r="G2093" s="887">
        <f>'REF. DE PREÇOS n editavel'!G2093</f>
        <v>451.16897319999998</v>
      </c>
      <c r="H2093" s="876">
        <f>'REF. DE PREÇOS n editavel'!H2093</f>
        <v>1749.33</v>
      </c>
      <c r="I2093" s="876">
        <f>'REF. DE PREÇOS n editavel'!I2093</f>
        <v>2200.4989731999999</v>
      </c>
      <c r="J2093" s="877">
        <f>'REF. DE PREÇOS n editavel'!J2093</f>
        <v>2689.45</v>
      </c>
      <c r="K2093" s="878" t="s">
        <v>13</v>
      </c>
      <c r="L2093" s="1092"/>
      <c r="M2093" s="1093">
        <f t="shared" si="208"/>
        <v>0</v>
      </c>
      <c r="N2093" s="1131">
        <f t="shared" si="212"/>
        <v>0</v>
      </c>
      <c r="O2093" s="880"/>
      <c r="Q2093" s="317" t="str">
        <f t="shared" si="209"/>
        <v/>
      </c>
      <c r="R2093" s="317" t="str">
        <f t="shared" si="210"/>
        <v/>
      </c>
      <c r="S2093" s="317" t="str">
        <f t="shared" si="211"/>
        <v/>
      </c>
      <c r="T2093" s="317" t="str">
        <f>'REF. DE PREÇOS n editavel'!S2093</f>
        <v/>
      </c>
      <c r="W2093" s="577">
        <v>0</v>
      </c>
      <c r="X2093" s="575"/>
      <c r="Y2093" s="578">
        <f>IF('REF. DE PREÇOS n editavel'!W2093=0,0,IF('REF. DE PREÇOS n editavel'!W2093&gt;0,"c","b"))</f>
        <v>0</v>
      </c>
    </row>
    <row r="2094" spans="1:25" ht="15" customHeight="1">
      <c r="A2094" s="317" t="s">
        <v>147</v>
      </c>
      <c r="B2094" s="870" t="s">
        <v>147</v>
      </c>
      <c r="C2094" s="871"/>
      <c r="D2094" s="881" t="s">
        <v>190</v>
      </c>
      <c r="E2094" s="882">
        <f>'REF. DE PREÇOS n editavel'!E2094</f>
        <v>445</v>
      </c>
      <c r="F2094" s="883">
        <f>'REF. DE PREÇOS n editavel'!F2094</f>
        <v>0.27410000000000001</v>
      </c>
      <c r="G2094" s="884">
        <f>'REF. DE PREÇOS n editavel'!G2094</f>
        <v>97.283572000000007</v>
      </c>
      <c r="H2094" s="876">
        <f>'REF. DE PREÇOS n editavel'!H2094</f>
        <v>0</v>
      </c>
      <c r="I2094" s="876">
        <f>'REF. DE PREÇOS n editavel'!I2094</f>
        <v>0</v>
      </c>
      <c r="J2094" s="877">
        <f>'REF. DE PREÇOS n editavel'!J2094</f>
        <v>0</v>
      </c>
      <c r="K2094" s="878"/>
      <c r="L2094" s="1132"/>
      <c r="M2094" s="1093">
        <f t="shared" si="208"/>
        <v>0</v>
      </c>
      <c r="N2094" s="1131">
        <f t="shared" si="212"/>
        <v>0</v>
      </c>
      <c r="O2094" s="880"/>
      <c r="P2094" s="36" t="str">
        <f>IF(N2093&gt;0,"xx",IF(N2093&gt;0,"xy",""))</f>
        <v/>
      </c>
      <c r="Q2094" s="317" t="str">
        <f t="shared" si="209"/>
        <v/>
      </c>
      <c r="R2094" s="317" t="str">
        <f t="shared" si="210"/>
        <v/>
      </c>
      <c r="S2094" s="317" t="str">
        <f t="shared" si="211"/>
        <v/>
      </c>
      <c r="T2094" s="317" t="str">
        <f>'REF. DE PREÇOS n editavel'!S2094</f>
        <v/>
      </c>
      <c r="W2094" s="577">
        <v>0</v>
      </c>
      <c r="X2094" s="575"/>
      <c r="Y2094" s="578">
        <f>IF('REF. DE PREÇOS n editavel'!W2094=0,0,IF('REF. DE PREÇOS n editavel'!W2094&gt;0,"c","b"))</f>
        <v>0</v>
      </c>
    </row>
    <row r="2095" spans="1:25" ht="15" customHeight="1">
      <c r="A2095" s="317" t="s">
        <v>147</v>
      </c>
      <c r="B2095" s="870" t="s">
        <v>147</v>
      </c>
      <c r="C2095" s="871"/>
      <c r="D2095" s="881" t="s">
        <v>229</v>
      </c>
      <c r="E2095" s="882">
        <f>'REF. DE PREÇOS n editavel'!E2095</f>
        <v>290</v>
      </c>
      <c r="F2095" s="883">
        <f>'REF. DE PREÇOS n editavel'!F2095</f>
        <v>0.9748</v>
      </c>
      <c r="G2095" s="923">
        <f>'REF. DE PREÇOS n editavel'!G2095</f>
        <v>305.09290400000003</v>
      </c>
      <c r="H2095" s="876">
        <f>'REF. DE PREÇOS n editavel'!H2095</f>
        <v>0</v>
      </c>
      <c r="I2095" s="876">
        <f>'REF. DE PREÇOS n editavel'!I2095</f>
        <v>0</v>
      </c>
      <c r="J2095" s="877">
        <f>'REF. DE PREÇOS n editavel'!J2095</f>
        <v>0</v>
      </c>
      <c r="K2095" s="878"/>
      <c r="L2095" s="1132"/>
      <c r="M2095" s="1093">
        <f t="shared" si="208"/>
        <v>0</v>
      </c>
      <c r="N2095" s="1131">
        <f t="shared" si="212"/>
        <v>0</v>
      </c>
      <c r="O2095" s="880"/>
      <c r="P2095" s="36" t="str">
        <f>IF(N2093&gt;0,"xx",IF(N2093&gt;0,"xy",""))</f>
        <v/>
      </c>
      <c r="Q2095" s="317" t="str">
        <f t="shared" si="209"/>
        <v/>
      </c>
      <c r="R2095" s="317" t="str">
        <f t="shared" si="210"/>
        <v/>
      </c>
      <c r="S2095" s="317" t="str">
        <f t="shared" si="211"/>
        <v/>
      </c>
      <c r="T2095" s="317" t="str">
        <f>'REF. DE PREÇOS n editavel'!S2095</f>
        <v/>
      </c>
      <c r="W2095" s="577">
        <v>0</v>
      </c>
      <c r="X2095" s="575"/>
      <c r="Y2095" s="578">
        <f>IF('REF. DE PREÇOS n editavel'!W2095=0,0,IF('REF. DE PREÇOS n editavel'!W2095&gt;0,"c","b"))</f>
        <v>0</v>
      </c>
    </row>
    <row r="2096" spans="1:25" ht="15" customHeight="1">
      <c r="A2096" s="317" t="s">
        <v>147</v>
      </c>
      <c r="B2096" s="870" t="s">
        <v>147</v>
      </c>
      <c r="C2096" s="871"/>
      <c r="D2096" s="881" t="s">
        <v>233</v>
      </c>
      <c r="E2096" s="882">
        <f>'REF. DE PREÇOS n editavel'!E2096</f>
        <v>0.2</v>
      </c>
      <c r="F2096" s="883">
        <f>'REF. DE PREÇOS n editavel'!F2096</f>
        <v>2.2538</v>
      </c>
      <c r="G2096" s="923">
        <f>'REF. DE PREÇOS n editavel'!G2096</f>
        <v>6.5224972000000001</v>
      </c>
      <c r="H2096" s="876">
        <f>'REF. DE PREÇOS n editavel'!H2096</f>
        <v>0</v>
      </c>
      <c r="I2096" s="876">
        <f>'REF. DE PREÇOS n editavel'!I2096</f>
        <v>0</v>
      </c>
      <c r="J2096" s="877">
        <f>'REF. DE PREÇOS n editavel'!J2096</f>
        <v>0</v>
      </c>
      <c r="K2096" s="878"/>
      <c r="L2096" s="1132"/>
      <c r="M2096" s="1093">
        <f t="shared" si="208"/>
        <v>0</v>
      </c>
      <c r="N2096" s="1131">
        <f t="shared" si="212"/>
        <v>0</v>
      </c>
      <c r="O2096" s="880"/>
      <c r="P2096" s="36" t="str">
        <f>IF(N2093&gt;0,"xx",IF(N2093&gt;0,"xy",""))</f>
        <v/>
      </c>
      <c r="Q2096" s="317" t="str">
        <f t="shared" si="209"/>
        <v/>
      </c>
      <c r="R2096" s="317" t="str">
        <f t="shared" si="210"/>
        <v/>
      </c>
      <c r="S2096" s="317" t="str">
        <f t="shared" si="211"/>
        <v/>
      </c>
      <c r="T2096" s="317" t="str">
        <f>'REF. DE PREÇOS n editavel'!S2096</f>
        <v/>
      </c>
      <c r="W2096" s="577">
        <v>0</v>
      </c>
      <c r="X2096" s="575"/>
      <c r="Y2096" s="578">
        <f>IF('REF. DE PREÇOS n editavel'!W2096=0,0,IF('REF. DE PREÇOS n editavel'!W2096&gt;0,"c","b"))</f>
        <v>0</v>
      </c>
    </row>
    <row r="2097" spans="1:25" ht="15" customHeight="1">
      <c r="A2097" s="317" t="s">
        <v>147</v>
      </c>
      <c r="B2097" s="870" t="s">
        <v>147</v>
      </c>
      <c r="C2097" s="871"/>
      <c r="D2097" s="881" t="s">
        <v>336</v>
      </c>
      <c r="E2097" s="882">
        <f>'REF. DE PREÇOS n editavel'!E2097</f>
        <v>37</v>
      </c>
      <c r="F2097" s="883">
        <f>'REF. DE PREÇOS n editavel'!F2097</f>
        <v>1</v>
      </c>
      <c r="G2097" s="923">
        <f>'REF. DE PREÇOS n editavel'!G2097</f>
        <v>42.27</v>
      </c>
      <c r="H2097" s="876">
        <f>'REF. DE PREÇOS n editavel'!H2097</f>
        <v>0</v>
      </c>
      <c r="I2097" s="876">
        <f>'REF. DE PREÇOS n editavel'!I2097</f>
        <v>0</v>
      </c>
      <c r="J2097" s="877">
        <f>'REF. DE PREÇOS n editavel'!J2097</f>
        <v>0</v>
      </c>
      <c r="K2097" s="878"/>
      <c r="L2097" s="1132"/>
      <c r="M2097" s="1093">
        <f t="shared" si="208"/>
        <v>0</v>
      </c>
      <c r="N2097" s="1131">
        <f t="shared" si="212"/>
        <v>0</v>
      </c>
      <c r="O2097" s="880"/>
      <c r="P2097" s="36" t="str">
        <f>IF(N2093&gt;0,"xx",IF(N2093&gt;0,"xy",""))</f>
        <v/>
      </c>
      <c r="Q2097" s="317" t="str">
        <f t="shared" si="209"/>
        <v/>
      </c>
      <c r="R2097" s="317" t="str">
        <f t="shared" si="210"/>
        <v/>
      </c>
      <c r="S2097" s="317" t="str">
        <f t="shared" si="211"/>
        <v/>
      </c>
      <c r="T2097" s="317" t="str">
        <f>'REF. DE PREÇOS n editavel'!S2097</f>
        <v/>
      </c>
      <c r="W2097" s="577">
        <v>0</v>
      </c>
      <c r="X2097" s="575"/>
      <c r="Y2097" s="578">
        <f>IF('REF. DE PREÇOS n editavel'!W2097=0,0,IF('REF. DE PREÇOS n editavel'!W2097&gt;0,"c","b"))</f>
        <v>0</v>
      </c>
    </row>
    <row r="2098" spans="1:25" ht="15" customHeight="1">
      <c r="A2098" s="317">
        <v>611700</v>
      </c>
      <c r="B2098" s="870">
        <v>611700</v>
      </c>
      <c r="C2098" s="871" t="s">
        <v>184</v>
      </c>
      <c r="D2098" s="881" t="s">
        <v>2027</v>
      </c>
      <c r="E2098" s="882">
        <f>'REF. DE PREÇOS n editavel'!E2098</f>
        <v>0</v>
      </c>
      <c r="F2098" s="883">
        <f>'REF. DE PREÇOS n editavel'!F2098</f>
        <v>0</v>
      </c>
      <c r="G2098" s="887">
        <f>'REF. DE PREÇOS n editavel'!G2098</f>
        <v>550.8772494000001</v>
      </c>
      <c r="H2098" s="876">
        <f>'REF. DE PREÇOS n editavel'!H2098</f>
        <v>3874.21</v>
      </c>
      <c r="I2098" s="876">
        <f>'REF. DE PREÇOS n editavel'!I2098</f>
        <v>4425.0872494000005</v>
      </c>
      <c r="J2098" s="877">
        <f>'REF. DE PREÇOS n editavel'!J2098</f>
        <v>5408.34</v>
      </c>
      <c r="K2098" s="878" t="s">
        <v>13</v>
      </c>
      <c r="L2098" s="1092"/>
      <c r="M2098" s="1093">
        <f t="shared" si="208"/>
        <v>0</v>
      </c>
      <c r="N2098" s="1131">
        <f t="shared" si="212"/>
        <v>0</v>
      </c>
      <c r="O2098" s="880"/>
      <c r="Q2098" s="317" t="str">
        <f t="shared" si="209"/>
        <v/>
      </c>
      <c r="R2098" s="317" t="str">
        <f t="shared" si="210"/>
        <v/>
      </c>
      <c r="S2098" s="317" t="str">
        <f t="shared" si="211"/>
        <v/>
      </c>
      <c r="T2098" s="317" t="str">
        <f>'REF. DE PREÇOS n editavel'!S2098</f>
        <v/>
      </c>
      <c r="W2098" s="577">
        <v>0</v>
      </c>
      <c r="X2098" s="575"/>
      <c r="Y2098" s="578">
        <f>IF('REF. DE PREÇOS n editavel'!W2098=0,0,IF('REF. DE PREÇOS n editavel'!W2098&gt;0,"c","b"))</f>
        <v>0</v>
      </c>
    </row>
    <row r="2099" spans="1:25" ht="15" customHeight="1">
      <c r="A2099" s="317" t="s">
        <v>147</v>
      </c>
      <c r="B2099" s="870" t="s">
        <v>147</v>
      </c>
      <c r="C2099" s="871"/>
      <c r="D2099" s="881" t="s">
        <v>190</v>
      </c>
      <c r="E2099" s="882">
        <f>'REF. DE PREÇOS n editavel'!E2099</f>
        <v>445</v>
      </c>
      <c r="F2099" s="883">
        <f>'REF. DE PREÇOS n editavel'!F2099</f>
        <v>0.30620000000000003</v>
      </c>
      <c r="G2099" s="884">
        <f>'REF. DE PREÇOS n editavel'!G2099</f>
        <v>108.67650400000001</v>
      </c>
      <c r="H2099" s="876">
        <f>'REF. DE PREÇOS n editavel'!H2099</f>
        <v>0</v>
      </c>
      <c r="I2099" s="876">
        <f>'REF. DE PREÇOS n editavel'!I2099</f>
        <v>0</v>
      </c>
      <c r="J2099" s="877">
        <f>'REF. DE PREÇOS n editavel'!J2099</f>
        <v>0</v>
      </c>
      <c r="K2099" s="878"/>
      <c r="L2099" s="1132"/>
      <c r="M2099" s="1093">
        <f t="shared" si="208"/>
        <v>0</v>
      </c>
      <c r="N2099" s="1131">
        <f t="shared" si="212"/>
        <v>0</v>
      </c>
      <c r="O2099" s="880"/>
      <c r="P2099" s="36" t="str">
        <f>IF(N2098&gt;0,"xx",IF(N2098&gt;0,"xy",""))</f>
        <v/>
      </c>
      <c r="Q2099" s="317" t="str">
        <f t="shared" si="209"/>
        <v/>
      </c>
      <c r="R2099" s="317" t="str">
        <f t="shared" si="210"/>
        <v/>
      </c>
      <c r="S2099" s="317" t="str">
        <f t="shared" si="211"/>
        <v/>
      </c>
      <c r="T2099" s="317" t="str">
        <f>'REF. DE PREÇOS n editavel'!S2099</f>
        <v/>
      </c>
      <c r="W2099" s="577">
        <v>0</v>
      </c>
      <c r="X2099" s="575"/>
      <c r="Y2099" s="578">
        <f>IF('REF. DE PREÇOS n editavel'!W2099=0,0,IF('REF. DE PREÇOS n editavel'!W2099&gt;0,"c","b"))</f>
        <v>0</v>
      </c>
    </row>
    <row r="2100" spans="1:25" ht="15" customHeight="1">
      <c r="A2100" s="317" t="s">
        <v>147</v>
      </c>
      <c r="B2100" s="870" t="s">
        <v>147</v>
      </c>
      <c r="C2100" s="871"/>
      <c r="D2100" s="881" t="s">
        <v>229</v>
      </c>
      <c r="E2100" s="882">
        <f>'REF. DE PREÇOS n editavel'!E2100</f>
        <v>290</v>
      </c>
      <c r="F2100" s="883">
        <f>'REF. DE PREÇOS n editavel'!F2100</f>
        <v>1.1047</v>
      </c>
      <c r="G2100" s="923">
        <f>'REF. DE PREÇOS n editavel'!G2100</f>
        <v>345.74900600000001</v>
      </c>
      <c r="H2100" s="876">
        <f>'REF. DE PREÇOS n editavel'!H2100</f>
        <v>0</v>
      </c>
      <c r="I2100" s="876">
        <f>'REF. DE PREÇOS n editavel'!I2100</f>
        <v>0</v>
      </c>
      <c r="J2100" s="877">
        <f>'REF. DE PREÇOS n editavel'!J2100</f>
        <v>0</v>
      </c>
      <c r="K2100" s="878"/>
      <c r="L2100" s="1132"/>
      <c r="M2100" s="1093">
        <f t="shared" si="208"/>
        <v>0</v>
      </c>
      <c r="N2100" s="1131">
        <f t="shared" si="212"/>
        <v>0</v>
      </c>
      <c r="O2100" s="880"/>
      <c r="P2100" s="36" t="str">
        <f>IF(N2098&gt;0,"xx",IF(N2098&gt;0,"xy",""))</f>
        <v/>
      </c>
      <c r="Q2100" s="317" t="str">
        <f t="shared" si="209"/>
        <v/>
      </c>
      <c r="R2100" s="317" t="str">
        <f t="shared" si="210"/>
        <v/>
      </c>
      <c r="S2100" s="317" t="str">
        <f t="shared" si="211"/>
        <v/>
      </c>
      <c r="T2100" s="317" t="str">
        <f>'REF. DE PREÇOS n editavel'!S2100</f>
        <v/>
      </c>
      <c r="W2100" s="577">
        <v>0</v>
      </c>
      <c r="X2100" s="575"/>
      <c r="Y2100" s="578">
        <f>IF('REF. DE PREÇOS n editavel'!W2100=0,0,IF('REF. DE PREÇOS n editavel'!W2100&gt;0,"c","b"))</f>
        <v>0</v>
      </c>
    </row>
    <row r="2101" spans="1:25" ht="15" customHeight="1">
      <c r="A2101" s="317" t="s">
        <v>147</v>
      </c>
      <c r="B2101" s="870" t="s">
        <v>147</v>
      </c>
      <c r="C2101" s="871"/>
      <c r="D2101" s="881" t="s">
        <v>233</v>
      </c>
      <c r="E2101" s="882">
        <f>'REF. DE PREÇOS n editavel'!E2101</f>
        <v>0.2</v>
      </c>
      <c r="F2101" s="883">
        <f>'REF. DE PREÇOS n editavel'!F2101</f>
        <v>1.9251</v>
      </c>
      <c r="G2101" s="923">
        <f>'REF. DE PREÇOS n editavel'!G2101</f>
        <v>5.5712394000000005</v>
      </c>
      <c r="H2101" s="876">
        <f>'REF. DE PREÇOS n editavel'!H2101</f>
        <v>0</v>
      </c>
      <c r="I2101" s="876">
        <f>'REF. DE PREÇOS n editavel'!I2101</f>
        <v>0</v>
      </c>
      <c r="J2101" s="877">
        <f>'REF. DE PREÇOS n editavel'!J2101</f>
        <v>0</v>
      </c>
      <c r="K2101" s="878"/>
      <c r="L2101" s="1132"/>
      <c r="M2101" s="1093">
        <f t="shared" si="208"/>
        <v>0</v>
      </c>
      <c r="N2101" s="1131">
        <f t="shared" si="212"/>
        <v>0</v>
      </c>
      <c r="O2101" s="880"/>
      <c r="P2101" s="36" t="str">
        <f>IF(N2098&gt;0,"xx",IF(N2098&gt;0,"xy",""))</f>
        <v/>
      </c>
      <c r="Q2101" s="317" t="str">
        <f t="shared" si="209"/>
        <v/>
      </c>
      <c r="R2101" s="317" t="str">
        <f t="shared" si="210"/>
        <v/>
      </c>
      <c r="S2101" s="317" t="str">
        <f t="shared" si="211"/>
        <v/>
      </c>
      <c r="T2101" s="317" t="str">
        <f>'REF. DE PREÇOS n editavel'!S2101</f>
        <v/>
      </c>
      <c r="W2101" s="577">
        <v>0</v>
      </c>
      <c r="X2101" s="575"/>
      <c r="Y2101" s="578">
        <f>IF('REF. DE PREÇOS n editavel'!W2101=0,0,IF('REF. DE PREÇOS n editavel'!W2101&gt;0,"c","b"))</f>
        <v>0</v>
      </c>
    </row>
    <row r="2102" spans="1:25" ht="15" customHeight="1">
      <c r="A2102" s="317" t="s">
        <v>147</v>
      </c>
      <c r="B2102" s="870" t="s">
        <v>147</v>
      </c>
      <c r="C2102" s="871"/>
      <c r="D2102" s="881" t="s">
        <v>336</v>
      </c>
      <c r="E2102" s="882">
        <f>'REF. DE PREÇOS n editavel'!E2102</f>
        <v>37</v>
      </c>
      <c r="F2102" s="883">
        <f>'REF. DE PREÇOS n editavel'!F2102</f>
        <v>2.15</v>
      </c>
      <c r="G2102" s="923">
        <f>'REF. DE PREÇOS n editavel'!G2102</f>
        <v>90.880499999999998</v>
      </c>
      <c r="H2102" s="876">
        <f>'REF. DE PREÇOS n editavel'!H2102</f>
        <v>0</v>
      </c>
      <c r="I2102" s="876">
        <f>'REF. DE PREÇOS n editavel'!I2102</f>
        <v>0</v>
      </c>
      <c r="J2102" s="877">
        <f>'REF. DE PREÇOS n editavel'!J2102</f>
        <v>0</v>
      </c>
      <c r="K2102" s="878"/>
      <c r="L2102" s="1132"/>
      <c r="M2102" s="1093">
        <f t="shared" si="208"/>
        <v>0</v>
      </c>
      <c r="N2102" s="1131">
        <f t="shared" si="212"/>
        <v>0</v>
      </c>
      <c r="O2102" s="880"/>
      <c r="P2102" s="36" t="str">
        <f>IF(N2098&gt;0,"xx",IF(N2098&gt;0,"xy",""))</f>
        <v/>
      </c>
      <c r="Q2102" s="317" t="str">
        <f t="shared" si="209"/>
        <v/>
      </c>
      <c r="R2102" s="317" t="str">
        <f t="shared" si="210"/>
        <v/>
      </c>
      <c r="S2102" s="317" t="str">
        <f t="shared" si="211"/>
        <v/>
      </c>
      <c r="T2102" s="317" t="str">
        <f>'REF. DE PREÇOS n editavel'!S2102</f>
        <v/>
      </c>
      <c r="W2102" s="577">
        <v>0</v>
      </c>
      <c r="X2102" s="575"/>
      <c r="Y2102" s="578">
        <f>IF('REF. DE PREÇOS n editavel'!W2102=0,0,IF('REF. DE PREÇOS n editavel'!W2102&gt;0,"c","b"))</f>
        <v>0</v>
      </c>
    </row>
    <row r="2103" spans="1:25" ht="15" customHeight="1">
      <c r="A2103" s="317" t="s">
        <v>17</v>
      </c>
      <c r="B2103" s="870" t="s">
        <v>17</v>
      </c>
      <c r="C2103" s="871" t="s">
        <v>184</v>
      </c>
      <c r="D2103" s="881" t="s">
        <v>54</v>
      </c>
      <c r="E2103" s="882">
        <f>'REF. DE PREÇOS n editavel'!E2103</f>
        <v>0</v>
      </c>
      <c r="F2103" s="883">
        <f>'REF. DE PREÇOS n editavel'!F2103</f>
        <v>0</v>
      </c>
      <c r="G2103" s="887">
        <f>'REF. DE PREÇOS n editavel'!G2103</f>
        <v>275.90747360799998</v>
      </c>
      <c r="H2103" s="876">
        <f>'REF. DE PREÇOS n editavel'!H2103</f>
        <v>1441.24</v>
      </c>
      <c r="I2103" s="876">
        <f>'REF. DE PREÇOS n editavel'!I2103</f>
        <v>1717.1474736079999</v>
      </c>
      <c r="J2103" s="877">
        <f>'REF. DE PREÇOS n editavel'!J2103</f>
        <v>2098.6999999999998</v>
      </c>
      <c r="K2103" s="878" t="s">
        <v>15</v>
      </c>
      <c r="L2103" s="1092">
        <v>6</v>
      </c>
      <c r="M2103" s="1093">
        <f t="shared" si="208"/>
        <v>2098.6999999999998</v>
      </c>
      <c r="N2103" s="1131">
        <f t="shared" si="212"/>
        <v>12592.2</v>
      </c>
      <c r="O2103" s="880"/>
      <c r="Q2103" s="317" t="str">
        <f t="shared" si="209"/>
        <v>x</v>
      </c>
      <c r="R2103" s="317" t="str">
        <f t="shared" si="210"/>
        <v>x</v>
      </c>
      <c r="S2103" s="317" t="str">
        <f t="shared" si="211"/>
        <v>x</v>
      </c>
      <c r="T2103" s="317" t="str">
        <f>'REF. DE PREÇOS n editavel'!S2103</f>
        <v>x</v>
      </c>
      <c r="W2103" s="577">
        <v>0</v>
      </c>
      <c r="X2103" s="575"/>
      <c r="Y2103" s="578">
        <f>IF('REF. DE PREÇOS n editavel'!W2103=0,0,IF('REF. DE PREÇOS n editavel'!W2103&gt;0,"c","b"))</f>
        <v>0</v>
      </c>
    </row>
    <row r="2104" spans="1:25" ht="15" customHeight="1">
      <c r="A2104" s="317" t="s">
        <v>147</v>
      </c>
      <c r="B2104" s="870" t="s">
        <v>147</v>
      </c>
      <c r="C2104" s="871"/>
      <c r="D2104" s="881" t="s">
        <v>190</v>
      </c>
      <c r="E2104" s="882">
        <f>'REF. DE PREÇOS n editavel'!E2104</f>
        <v>445</v>
      </c>
      <c r="F2104" s="883">
        <f>'REF. DE PREÇOS n editavel'!F2104</f>
        <v>0.11541040000000001</v>
      </c>
      <c r="G2104" s="884">
        <f>'REF. DE PREÇOS n editavel'!G2104</f>
        <v>40.961459168000005</v>
      </c>
      <c r="H2104" s="876">
        <f>'REF. DE PREÇOS n editavel'!H2104</f>
        <v>0</v>
      </c>
      <c r="I2104" s="876">
        <f>'REF. DE PREÇOS n editavel'!I2104</f>
        <v>0</v>
      </c>
      <c r="J2104" s="877">
        <f>'REF. DE PREÇOS n editavel'!J2104</f>
        <v>0</v>
      </c>
      <c r="K2104" s="878"/>
      <c r="L2104" s="1132"/>
      <c r="M2104" s="1093">
        <f t="shared" si="208"/>
        <v>0</v>
      </c>
      <c r="N2104" s="1131">
        <f t="shared" si="212"/>
        <v>0</v>
      </c>
      <c r="O2104" s="880"/>
      <c r="P2104" s="36" t="str">
        <f>IF(N2103&gt;0,"xx",IF(N2103&gt;0,"xy",""))</f>
        <v>xx</v>
      </c>
      <c r="Q2104" s="317" t="str">
        <f t="shared" si="209"/>
        <v>x</v>
      </c>
      <c r="R2104" s="317" t="str">
        <f t="shared" si="210"/>
        <v>x</v>
      </c>
      <c r="S2104" s="317" t="str">
        <f t="shared" si="211"/>
        <v/>
      </c>
      <c r="T2104" s="317" t="str">
        <f>'REF. DE PREÇOS n editavel'!S2104</f>
        <v/>
      </c>
      <c r="W2104" s="577">
        <v>0</v>
      </c>
      <c r="X2104" s="575"/>
      <c r="Y2104" s="578">
        <f>IF('REF. DE PREÇOS n editavel'!W2104=0,0,IF('REF. DE PREÇOS n editavel'!W2104&gt;0,"c","b"))</f>
        <v>0</v>
      </c>
    </row>
    <row r="2105" spans="1:25" ht="15" customHeight="1">
      <c r="A2105" s="317" t="s">
        <v>147</v>
      </c>
      <c r="B2105" s="870" t="s">
        <v>147</v>
      </c>
      <c r="C2105" s="871"/>
      <c r="D2105" s="881" t="s">
        <v>229</v>
      </c>
      <c r="E2105" s="882">
        <f>'REF. DE PREÇOS n editavel'!E2105</f>
        <v>290</v>
      </c>
      <c r="F2105" s="883">
        <f>'REF. DE PREÇOS n editavel'!F2105</f>
        <v>0.62209000000000003</v>
      </c>
      <c r="G2105" s="923">
        <f>'REF. DE PREÇOS n editavel'!G2105</f>
        <v>194.70172820000002</v>
      </c>
      <c r="H2105" s="876">
        <f>'REF. DE PREÇOS n editavel'!H2105</f>
        <v>0</v>
      </c>
      <c r="I2105" s="876">
        <f>'REF. DE PREÇOS n editavel'!I2105</f>
        <v>0</v>
      </c>
      <c r="J2105" s="877">
        <f>'REF. DE PREÇOS n editavel'!J2105</f>
        <v>0</v>
      </c>
      <c r="K2105" s="878"/>
      <c r="L2105" s="1132"/>
      <c r="M2105" s="1093">
        <f t="shared" si="208"/>
        <v>0</v>
      </c>
      <c r="N2105" s="1131">
        <f t="shared" si="212"/>
        <v>0</v>
      </c>
      <c r="O2105" s="880"/>
      <c r="P2105" s="36" t="str">
        <f>IF(N2103&gt;0,"xx",IF(N2103&gt;0,"xy",""))</f>
        <v>xx</v>
      </c>
      <c r="Q2105" s="317" t="str">
        <f t="shared" si="209"/>
        <v>x</v>
      </c>
      <c r="R2105" s="317" t="str">
        <f t="shared" si="210"/>
        <v>x</v>
      </c>
      <c r="S2105" s="317" t="str">
        <f t="shared" si="211"/>
        <v/>
      </c>
      <c r="T2105" s="317" t="str">
        <f>'REF. DE PREÇOS n editavel'!S2105</f>
        <v/>
      </c>
      <c r="W2105" s="577">
        <v>0</v>
      </c>
      <c r="X2105" s="575"/>
      <c r="Y2105" s="578">
        <f>IF('REF. DE PREÇOS n editavel'!W2105=0,0,IF('REF. DE PREÇOS n editavel'!W2105&gt;0,"c","b"))</f>
        <v>0</v>
      </c>
    </row>
    <row r="2106" spans="1:25" ht="15" customHeight="1">
      <c r="A2106" s="317" t="s">
        <v>147</v>
      </c>
      <c r="B2106" s="870" t="s">
        <v>147</v>
      </c>
      <c r="C2106" s="871"/>
      <c r="D2106" s="881" t="s">
        <v>233</v>
      </c>
      <c r="E2106" s="882">
        <f>'REF. DE PREÇOS n editavel'!E2106</f>
        <v>0.2</v>
      </c>
      <c r="F2106" s="883">
        <f>'REF. DE PREÇOS n editavel'!F2106</f>
        <v>0.20424000000000003</v>
      </c>
      <c r="G2106" s="923">
        <f>'REF. DE PREÇOS n editavel'!G2106</f>
        <v>0.59107056000000013</v>
      </c>
      <c r="H2106" s="876">
        <f>'REF. DE PREÇOS n editavel'!H2106</f>
        <v>0</v>
      </c>
      <c r="I2106" s="876">
        <f>'REF. DE PREÇOS n editavel'!I2106</f>
        <v>0</v>
      </c>
      <c r="J2106" s="877">
        <f>'REF. DE PREÇOS n editavel'!J2106</f>
        <v>0</v>
      </c>
      <c r="K2106" s="878"/>
      <c r="L2106" s="1132"/>
      <c r="M2106" s="1093">
        <f t="shared" si="208"/>
        <v>0</v>
      </c>
      <c r="N2106" s="1131">
        <f t="shared" si="212"/>
        <v>0</v>
      </c>
      <c r="O2106" s="880"/>
      <c r="P2106" s="36" t="str">
        <f>IF(N2103&gt;0,"xx",IF(N2103&gt;0,"xy",""))</f>
        <v>xx</v>
      </c>
      <c r="Q2106" s="317" t="str">
        <f t="shared" si="209"/>
        <v>x</v>
      </c>
      <c r="R2106" s="317" t="str">
        <f t="shared" si="210"/>
        <v>x</v>
      </c>
      <c r="S2106" s="317" t="str">
        <f t="shared" si="211"/>
        <v/>
      </c>
      <c r="T2106" s="317" t="str">
        <f>'REF. DE PREÇOS n editavel'!S2106</f>
        <v/>
      </c>
      <c r="W2106" s="577">
        <v>0</v>
      </c>
      <c r="X2106" s="575"/>
      <c r="Y2106" s="578">
        <f>IF('REF. DE PREÇOS n editavel'!W2106=0,0,IF('REF. DE PREÇOS n editavel'!W2106&gt;0,"c","b"))</f>
        <v>0</v>
      </c>
    </row>
    <row r="2107" spans="1:25" ht="15" customHeight="1">
      <c r="A2107" s="317" t="s">
        <v>147</v>
      </c>
      <c r="B2107" s="870" t="s">
        <v>147</v>
      </c>
      <c r="C2107" s="871"/>
      <c r="D2107" s="881" t="s">
        <v>365</v>
      </c>
      <c r="E2107" s="882">
        <f>'REF. DE PREÇOS n editavel'!E2107</f>
        <v>28</v>
      </c>
      <c r="F2107" s="883">
        <f>'REF. DE PREÇOS n editavel'!F2107</f>
        <v>0.87983999999999996</v>
      </c>
      <c r="G2107" s="923">
        <f>'REF. DE PREÇOS n editavel'!G2107</f>
        <v>28.717977599999998</v>
      </c>
      <c r="H2107" s="876">
        <f>'REF. DE PREÇOS n editavel'!H2107</f>
        <v>0</v>
      </c>
      <c r="I2107" s="876">
        <f>'REF. DE PREÇOS n editavel'!I2107</f>
        <v>0</v>
      </c>
      <c r="J2107" s="877">
        <f>'REF. DE PREÇOS n editavel'!J2107</f>
        <v>0</v>
      </c>
      <c r="K2107" s="878"/>
      <c r="L2107" s="1132"/>
      <c r="M2107" s="1093">
        <f t="shared" si="208"/>
        <v>0</v>
      </c>
      <c r="N2107" s="1131">
        <f t="shared" si="212"/>
        <v>0</v>
      </c>
      <c r="O2107" s="880"/>
      <c r="P2107" s="36" t="str">
        <f>IF(N2103&gt;0,"xx",IF(N2103&gt;0,"xy",""))</f>
        <v>xx</v>
      </c>
      <c r="Q2107" s="317" t="str">
        <f t="shared" si="209"/>
        <v>x</v>
      </c>
      <c r="R2107" s="317" t="str">
        <f t="shared" si="210"/>
        <v>x</v>
      </c>
      <c r="S2107" s="317" t="str">
        <f t="shared" si="211"/>
        <v/>
      </c>
      <c r="T2107" s="317" t="str">
        <f>'REF. DE PREÇOS n editavel'!S2107</f>
        <v/>
      </c>
      <c r="W2107" s="577">
        <v>0</v>
      </c>
      <c r="X2107" s="575"/>
      <c r="Y2107" s="578">
        <f>IF('REF. DE PREÇOS n editavel'!W2107=0,0,IF('REF. DE PREÇOS n editavel'!W2107&gt;0,"c","b"))</f>
        <v>0</v>
      </c>
    </row>
    <row r="2108" spans="1:25" ht="15" customHeight="1">
      <c r="A2108" s="317" t="s">
        <v>147</v>
      </c>
      <c r="B2108" s="870" t="s">
        <v>147</v>
      </c>
      <c r="C2108" s="871"/>
      <c r="D2108" s="881" t="s">
        <v>366</v>
      </c>
      <c r="E2108" s="882">
        <f>'REF. DE PREÇOS n editavel'!E2108</f>
        <v>468</v>
      </c>
      <c r="F2108" s="883">
        <f>'REF. DE PREÇOS n editavel'!F2108</f>
        <v>2.9328E-2</v>
      </c>
      <c r="G2108" s="884">
        <f>'REF. DE PREÇOS n editavel'!G2108</f>
        <v>10.93523808</v>
      </c>
      <c r="H2108" s="876">
        <f>'REF. DE PREÇOS n editavel'!H2108</f>
        <v>0</v>
      </c>
      <c r="I2108" s="876">
        <f>'REF. DE PREÇOS n editavel'!I2108</f>
        <v>0</v>
      </c>
      <c r="J2108" s="877">
        <f>'REF. DE PREÇOS n editavel'!J2108</f>
        <v>0</v>
      </c>
      <c r="K2108" s="878"/>
      <c r="L2108" s="1132"/>
      <c r="M2108" s="1093">
        <f t="shared" si="208"/>
        <v>0</v>
      </c>
      <c r="N2108" s="1131">
        <f t="shared" si="212"/>
        <v>0</v>
      </c>
      <c r="O2108" s="880"/>
      <c r="P2108" s="36" t="str">
        <f>IF(N2103&gt;0,"xx",IF(N2103&gt;0,"xy",""))</f>
        <v>xx</v>
      </c>
      <c r="Q2108" s="317" t="str">
        <f t="shared" si="209"/>
        <v>x</v>
      </c>
      <c r="R2108" s="317" t="str">
        <f t="shared" si="210"/>
        <v>x</v>
      </c>
      <c r="S2108" s="317" t="str">
        <f t="shared" si="211"/>
        <v/>
      </c>
      <c r="T2108" s="317" t="str">
        <f>'REF. DE PREÇOS n editavel'!S2108</f>
        <v/>
      </c>
      <c r="W2108" s="577">
        <v>0</v>
      </c>
      <c r="X2108" s="575"/>
      <c r="Y2108" s="578">
        <f>IF('REF. DE PREÇOS n editavel'!W2108=0,0,IF('REF. DE PREÇOS n editavel'!W2108&gt;0,"c","b"))</f>
        <v>0</v>
      </c>
    </row>
    <row r="2109" spans="1:25" ht="15" customHeight="1">
      <c r="A2109" s="317" t="s">
        <v>18</v>
      </c>
      <c r="B2109" s="870" t="s">
        <v>18</v>
      </c>
      <c r="C2109" s="871" t="s">
        <v>184</v>
      </c>
      <c r="D2109" s="881" t="s">
        <v>55</v>
      </c>
      <c r="E2109" s="882">
        <f>'REF. DE PREÇOS n editavel'!E2109</f>
        <v>0</v>
      </c>
      <c r="F2109" s="883">
        <f>'REF. DE PREÇOS n editavel'!F2109</f>
        <v>0</v>
      </c>
      <c r="G2109" s="887">
        <f>'REF. DE PREÇOS n editavel'!G2109</f>
        <v>334.89249624000001</v>
      </c>
      <c r="H2109" s="876">
        <f>'REF. DE PREÇOS n editavel'!H2109</f>
        <v>1595.65</v>
      </c>
      <c r="I2109" s="876">
        <f>'REF. DE PREÇOS n editavel'!I2109</f>
        <v>1930.5424962400002</v>
      </c>
      <c r="J2109" s="877">
        <f>'REF. DE PREÇOS n editavel'!J2109</f>
        <v>2359.5100000000002</v>
      </c>
      <c r="K2109" s="878" t="s">
        <v>15</v>
      </c>
      <c r="L2109" s="1092"/>
      <c r="M2109" s="1093">
        <f t="shared" si="208"/>
        <v>0</v>
      </c>
      <c r="N2109" s="1131">
        <f t="shared" si="212"/>
        <v>0</v>
      </c>
      <c r="O2109" s="880"/>
      <c r="Q2109" s="317" t="str">
        <f t="shared" si="209"/>
        <v/>
      </c>
      <c r="R2109" s="317" t="str">
        <f t="shared" si="210"/>
        <v/>
      </c>
      <c r="S2109" s="317" t="str">
        <f t="shared" si="211"/>
        <v/>
      </c>
      <c r="T2109" s="317" t="str">
        <f>'REF. DE PREÇOS n editavel'!S2109</f>
        <v/>
      </c>
      <c r="W2109" s="577">
        <v>0</v>
      </c>
      <c r="X2109" s="575"/>
      <c r="Y2109" s="578">
        <f>IF('REF. DE PREÇOS n editavel'!W2109=0,0,IF('REF. DE PREÇOS n editavel'!W2109&gt;0,"c","b"))</f>
        <v>0</v>
      </c>
    </row>
    <row r="2110" spans="1:25" ht="15" customHeight="1">
      <c r="A2110" s="317" t="s">
        <v>147</v>
      </c>
      <c r="B2110" s="870" t="s">
        <v>147</v>
      </c>
      <c r="C2110" s="871"/>
      <c r="D2110" s="881" t="s">
        <v>190</v>
      </c>
      <c r="E2110" s="882">
        <f>'REF. DE PREÇOS n editavel'!E2110</f>
        <v>445</v>
      </c>
      <c r="F2110" s="883">
        <f>'REF. DE PREÇOS n editavel'!F2110</f>
        <v>0.132608</v>
      </c>
      <c r="G2110" s="884">
        <f>'REF. DE PREÇOS n editavel'!G2110</f>
        <v>47.065231360000006</v>
      </c>
      <c r="H2110" s="876">
        <f>'REF. DE PREÇOS n editavel'!H2110</f>
        <v>0</v>
      </c>
      <c r="I2110" s="876">
        <f>'REF. DE PREÇOS n editavel'!I2110</f>
        <v>0</v>
      </c>
      <c r="J2110" s="877">
        <f>'REF. DE PREÇOS n editavel'!J2110</f>
        <v>0</v>
      </c>
      <c r="K2110" s="878"/>
      <c r="L2110" s="1132"/>
      <c r="M2110" s="1093">
        <f t="shared" si="208"/>
        <v>0</v>
      </c>
      <c r="N2110" s="1131">
        <f t="shared" si="212"/>
        <v>0</v>
      </c>
      <c r="O2110" s="880"/>
      <c r="P2110" s="36" t="str">
        <f>IF(N2109&gt;0,"xx",IF(N2109&gt;0,"xy",""))</f>
        <v/>
      </c>
      <c r="Q2110" s="317" t="str">
        <f t="shared" si="209"/>
        <v/>
      </c>
      <c r="R2110" s="317" t="str">
        <f t="shared" si="210"/>
        <v/>
      </c>
      <c r="S2110" s="317" t="str">
        <f t="shared" si="211"/>
        <v/>
      </c>
      <c r="T2110" s="317" t="str">
        <f>'REF. DE PREÇOS n editavel'!S2110</f>
        <v/>
      </c>
      <c r="W2110" s="577">
        <v>0</v>
      </c>
      <c r="X2110" s="575"/>
      <c r="Y2110" s="578">
        <f>IF('REF. DE PREÇOS n editavel'!W2110=0,0,IF('REF. DE PREÇOS n editavel'!W2110&gt;0,"c","b"))</f>
        <v>0</v>
      </c>
    </row>
    <row r="2111" spans="1:25" ht="15" customHeight="1">
      <c r="A2111" s="317" t="s">
        <v>147</v>
      </c>
      <c r="B2111" s="870" t="s">
        <v>147</v>
      </c>
      <c r="C2111" s="871"/>
      <c r="D2111" s="881" t="s">
        <v>229</v>
      </c>
      <c r="E2111" s="882">
        <f>'REF. DE PREÇOS n editavel'!E2111</f>
        <v>290</v>
      </c>
      <c r="F2111" s="883">
        <f>'REF. DE PREÇOS n editavel'!F2111</f>
        <v>0.73198000000000008</v>
      </c>
      <c r="G2111" s="923">
        <f>'REF. DE PREÇOS n editavel'!G2111</f>
        <v>229.09510040000004</v>
      </c>
      <c r="H2111" s="876">
        <f>'REF. DE PREÇOS n editavel'!H2111</f>
        <v>0</v>
      </c>
      <c r="I2111" s="876">
        <f>'REF. DE PREÇOS n editavel'!I2111</f>
        <v>0</v>
      </c>
      <c r="J2111" s="877">
        <f>'REF. DE PREÇOS n editavel'!J2111</f>
        <v>0</v>
      </c>
      <c r="K2111" s="878"/>
      <c r="L2111" s="1132"/>
      <c r="M2111" s="1093">
        <f t="shared" si="208"/>
        <v>0</v>
      </c>
      <c r="N2111" s="1131">
        <f t="shared" si="212"/>
        <v>0</v>
      </c>
      <c r="O2111" s="880"/>
      <c r="P2111" s="36" t="str">
        <f>IF(N2109&gt;0,"xx",IF(N2109&gt;0,"xy",""))</f>
        <v/>
      </c>
      <c r="Q2111" s="317" t="str">
        <f t="shared" si="209"/>
        <v/>
      </c>
      <c r="R2111" s="317" t="str">
        <f t="shared" si="210"/>
        <v/>
      </c>
      <c r="S2111" s="317" t="str">
        <f t="shared" si="211"/>
        <v/>
      </c>
      <c r="T2111" s="317" t="str">
        <f>'REF. DE PREÇOS n editavel'!S2111</f>
        <v/>
      </c>
      <c r="W2111" s="577">
        <v>0</v>
      </c>
      <c r="X2111" s="575"/>
      <c r="Y2111" s="578">
        <f>IF('REF. DE PREÇOS n editavel'!W2111=0,0,IF('REF. DE PREÇOS n editavel'!W2111&gt;0,"c","b"))</f>
        <v>0</v>
      </c>
    </row>
    <row r="2112" spans="1:25" ht="15" customHeight="1">
      <c r="A2112" s="317" t="s">
        <v>147</v>
      </c>
      <c r="B2112" s="870" t="s">
        <v>147</v>
      </c>
      <c r="C2112" s="871"/>
      <c r="D2112" s="881" t="s">
        <v>233</v>
      </c>
      <c r="E2112" s="882">
        <f>'REF. DE PREÇOS n editavel'!E2112</f>
        <v>43.1</v>
      </c>
      <c r="F2112" s="883">
        <f>'REF. DE PREÇOS n editavel'!F2112</f>
        <v>0.20424000000000003</v>
      </c>
      <c r="G2112" s="923">
        <f>'REF. DE PREÇOS n editavel'!G2112</f>
        <v>9.966299280000003</v>
      </c>
      <c r="H2112" s="876">
        <f>'REF. DE PREÇOS n editavel'!H2112</f>
        <v>0</v>
      </c>
      <c r="I2112" s="876">
        <f>'REF. DE PREÇOS n editavel'!I2112</f>
        <v>0</v>
      </c>
      <c r="J2112" s="877">
        <f>'REF. DE PREÇOS n editavel'!J2112</f>
        <v>0</v>
      </c>
      <c r="K2112" s="878"/>
      <c r="L2112" s="1132"/>
      <c r="M2112" s="1093">
        <f t="shared" si="208"/>
        <v>0</v>
      </c>
      <c r="N2112" s="1131">
        <f t="shared" si="212"/>
        <v>0</v>
      </c>
      <c r="O2112" s="880"/>
      <c r="P2112" s="36" t="str">
        <f>IF(N2109&gt;0,"xx",IF(N2109&gt;0,"xy",""))</f>
        <v/>
      </c>
      <c r="Q2112" s="317" t="str">
        <f t="shared" si="209"/>
        <v/>
      </c>
      <c r="R2112" s="317" t="str">
        <f t="shared" si="210"/>
        <v/>
      </c>
      <c r="S2112" s="317" t="str">
        <f t="shared" si="211"/>
        <v/>
      </c>
      <c r="T2112" s="317" t="str">
        <f>'REF. DE PREÇOS n editavel'!S2112</f>
        <v/>
      </c>
      <c r="W2112" s="577">
        <v>0</v>
      </c>
      <c r="X2112" s="575"/>
      <c r="Y2112" s="578">
        <f>IF('REF. DE PREÇOS n editavel'!W2112=0,0,IF('REF. DE PREÇOS n editavel'!W2112&gt;0,"c","b"))</f>
        <v>0</v>
      </c>
    </row>
    <row r="2113" spans="1:25" ht="15" customHeight="1">
      <c r="A2113" s="317" t="s">
        <v>147</v>
      </c>
      <c r="B2113" s="870" t="s">
        <v>147</v>
      </c>
      <c r="C2113" s="871"/>
      <c r="D2113" s="881" t="s">
        <v>365</v>
      </c>
      <c r="E2113" s="882">
        <f>'REF. DE PREÇOS n editavel'!E2113</f>
        <v>28</v>
      </c>
      <c r="F2113" s="883">
        <f>'REF. DE PREÇOS n editavel'!F2113</f>
        <v>1.0998000000000001</v>
      </c>
      <c r="G2113" s="923">
        <f>'REF. DE PREÇOS n editavel'!G2113</f>
        <v>35.897472000000008</v>
      </c>
      <c r="H2113" s="876">
        <f>'REF. DE PREÇOS n editavel'!H2113</f>
        <v>0</v>
      </c>
      <c r="I2113" s="876">
        <f>'REF. DE PREÇOS n editavel'!I2113</f>
        <v>0</v>
      </c>
      <c r="J2113" s="877">
        <f>'REF. DE PREÇOS n editavel'!J2113</f>
        <v>0</v>
      </c>
      <c r="K2113" s="878"/>
      <c r="L2113" s="1132"/>
      <c r="M2113" s="1093">
        <f t="shared" si="208"/>
        <v>0</v>
      </c>
      <c r="N2113" s="1131">
        <f t="shared" si="212"/>
        <v>0</v>
      </c>
      <c r="O2113" s="880"/>
      <c r="P2113" s="36" t="str">
        <f>IF(N2109&gt;0,"xx",IF(N2109&gt;0,"xy",""))</f>
        <v/>
      </c>
      <c r="Q2113" s="317" t="str">
        <f t="shared" si="209"/>
        <v/>
      </c>
      <c r="R2113" s="317" t="str">
        <f t="shared" si="210"/>
        <v/>
      </c>
      <c r="S2113" s="317" t="str">
        <f t="shared" si="211"/>
        <v/>
      </c>
      <c r="T2113" s="317" t="str">
        <f>'REF. DE PREÇOS n editavel'!S2113</f>
        <v/>
      </c>
      <c r="W2113" s="577">
        <v>0</v>
      </c>
      <c r="X2113" s="575"/>
      <c r="Y2113" s="578">
        <f>IF('REF. DE PREÇOS n editavel'!W2113=0,0,IF('REF. DE PREÇOS n editavel'!W2113&gt;0,"c","b"))</f>
        <v>0</v>
      </c>
    </row>
    <row r="2114" spans="1:25" ht="15" customHeight="1">
      <c r="A2114" s="317" t="s">
        <v>147</v>
      </c>
      <c r="B2114" s="870" t="s">
        <v>147</v>
      </c>
      <c r="C2114" s="871"/>
      <c r="D2114" s="881" t="s">
        <v>366</v>
      </c>
      <c r="E2114" s="882">
        <f>'REF. DE PREÇOS n editavel'!E2114</f>
        <v>440</v>
      </c>
      <c r="F2114" s="883">
        <f>'REF. DE PREÇOS n editavel'!F2114</f>
        <v>3.6659999999999998E-2</v>
      </c>
      <c r="G2114" s="884">
        <f>'REF. DE PREÇOS n editavel'!G2114</f>
        <v>12.868393200000002</v>
      </c>
      <c r="H2114" s="876">
        <f>'REF. DE PREÇOS n editavel'!H2114</f>
        <v>0</v>
      </c>
      <c r="I2114" s="876">
        <f>'REF. DE PREÇOS n editavel'!I2114</f>
        <v>0</v>
      </c>
      <c r="J2114" s="877">
        <f>'REF. DE PREÇOS n editavel'!J2114</f>
        <v>0</v>
      </c>
      <c r="K2114" s="878"/>
      <c r="L2114" s="1132"/>
      <c r="M2114" s="1093">
        <f t="shared" si="208"/>
        <v>0</v>
      </c>
      <c r="N2114" s="1131">
        <f t="shared" si="212"/>
        <v>0</v>
      </c>
      <c r="O2114" s="880"/>
      <c r="P2114" s="36" t="str">
        <f>IF(N2109&gt;0,"xx",IF(N2109&gt;0,"xy",""))</f>
        <v/>
      </c>
      <c r="Q2114" s="317" t="str">
        <f t="shared" si="209"/>
        <v/>
      </c>
      <c r="R2114" s="317" t="str">
        <f t="shared" si="210"/>
        <v/>
      </c>
      <c r="S2114" s="317" t="str">
        <f t="shared" si="211"/>
        <v/>
      </c>
      <c r="T2114" s="317" t="str">
        <f>'REF. DE PREÇOS n editavel'!S2114</f>
        <v/>
      </c>
      <c r="W2114" s="577">
        <v>0</v>
      </c>
      <c r="X2114" s="575"/>
      <c r="Y2114" s="578">
        <f>IF('REF. DE PREÇOS n editavel'!W2114=0,0,IF('REF. DE PREÇOS n editavel'!W2114&gt;0,"c","b"))</f>
        <v>0</v>
      </c>
    </row>
    <row r="2115" spans="1:25" ht="15" customHeight="1">
      <c r="A2115" s="317" t="s">
        <v>19</v>
      </c>
      <c r="B2115" s="870" t="s">
        <v>19</v>
      </c>
      <c r="C2115" s="871" t="s">
        <v>184</v>
      </c>
      <c r="D2115" s="881" t="s">
        <v>56</v>
      </c>
      <c r="E2115" s="882">
        <f>'REF. DE PREÇOS n editavel'!E2115</f>
        <v>0</v>
      </c>
      <c r="F2115" s="883">
        <f>'REF. DE PREÇOS n editavel'!F2115</f>
        <v>0</v>
      </c>
      <c r="G2115" s="887">
        <f>'REF. DE PREÇOS n editavel'!G2115</f>
        <v>418.04606967300003</v>
      </c>
      <c r="H2115" s="876">
        <f>'REF. DE PREÇOS n editavel'!H2115</f>
        <v>1851.05</v>
      </c>
      <c r="I2115" s="876">
        <f>'REF. DE PREÇOS n editavel'!I2115</f>
        <v>2269.0960696729999</v>
      </c>
      <c r="J2115" s="877">
        <f>'REF. DE PREÇOS n editavel'!J2115</f>
        <v>2773.29</v>
      </c>
      <c r="K2115" s="878" t="s">
        <v>15</v>
      </c>
      <c r="L2115" s="1092"/>
      <c r="M2115" s="1093">
        <f t="shared" si="208"/>
        <v>0</v>
      </c>
      <c r="N2115" s="1131">
        <f t="shared" si="212"/>
        <v>0</v>
      </c>
      <c r="O2115" s="880"/>
      <c r="Q2115" s="317" t="str">
        <f t="shared" si="209"/>
        <v/>
      </c>
      <c r="R2115" s="317" t="str">
        <f t="shared" si="210"/>
        <v/>
      </c>
      <c r="S2115" s="317" t="str">
        <f t="shared" si="211"/>
        <v/>
      </c>
      <c r="T2115" s="317" t="str">
        <f>'REF. DE PREÇOS n editavel'!S2115</f>
        <v/>
      </c>
      <c r="W2115" s="577">
        <v>0</v>
      </c>
      <c r="X2115" s="575"/>
      <c r="Y2115" s="578">
        <f>IF('REF. DE PREÇOS n editavel'!W2115=0,0,IF('REF. DE PREÇOS n editavel'!W2115&gt;0,"c","b"))</f>
        <v>0</v>
      </c>
    </row>
    <row r="2116" spans="1:25" ht="15" customHeight="1">
      <c r="A2116" s="317" t="s">
        <v>147</v>
      </c>
      <c r="B2116" s="870" t="s">
        <v>147</v>
      </c>
      <c r="C2116" s="871"/>
      <c r="D2116" s="881" t="s">
        <v>190</v>
      </c>
      <c r="E2116" s="882">
        <f>'REF. DE PREÇOS n editavel'!E2116</f>
        <v>445</v>
      </c>
      <c r="F2116" s="883">
        <f>'REF. DE PREÇOS n editavel'!F2116</f>
        <v>0.1610819</v>
      </c>
      <c r="G2116" s="884">
        <f>'REF. DE PREÇOS n editavel'!G2116</f>
        <v>57.171187948000004</v>
      </c>
      <c r="H2116" s="876">
        <f>'REF. DE PREÇOS n editavel'!H2116</f>
        <v>0</v>
      </c>
      <c r="I2116" s="876">
        <f>'REF. DE PREÇOS n editavel'!I2116</f>
        <v>0</v>
      </c>
      <c r="J2116" s="877">
        <f>'REF. DE PREÇOS n editavel'!J2116</f>
        <v>0</v>
      </c>
      <c r="K2116" s="878"/>
      <c r="L2116" s="1132"/>
      <c r="M2116" s="1093">
        <f t="shared" si="208"/>
        <v>0</v>
      </c>
      <c r="N2116" s="1131">
        <f t="shared" si="212"/>
        <v>0</v>
      </c>
      <c r="O2116" s="880"/>
      <c r="P2116" s="36" t="str">
        <f>IF(N2115&gt;0,"xx",IF(N2115&gt;0,"xy",""))</f>
        <v/>
      </c>
      <c r="Q2116" s="317" t="str">
        <f t="shared" si="209"/>
        <v/>
      </c>
      <c r="R2116" s="317" t="str">
        <f t="shared" si="210"/>
        <v/>
      </c>
      <c r="S2116" s="317" t="str">
        <f t="shared" si="211"/>
        <v/>
      </c>
      <c r="T2116" s="317" t="str">
        <f>'REF. DE PREÇOS n editavel'!S2116</f>
        <v/>
      </c>
      <c r="W2116" s="577">
        <v>0</v>
      </c>
      <c r="X2116" s="575"/>
      <c r="Y2116" s="578">
        <f>IF('REF. DE PREÇOS n editavel'!W2116=0,0,IF('REF. DE PREÇOS n editavel'!W2116&gt;0,"c","b"))</f>
        <v>0</v>
      </c>
    </row>
    <row r="2117" spans="1:25" ht="15" customHeight="1">
      <c r="A2117" s="317" t="s">
        <v>147</v>
      </c>
      <c r="B2117" s="870" t="s">
        <v>147</v>
      </c>
      <c r="C2117" s="871"/>
      <c r="D2117" s="881" t="s">
        <v>229</v>
      </c>
      <c r="E2117" s="882">
        <f>'REF. DE PREÇOS n editavel'!E2117</f>
        <v>290</v>
      </c>
      <c r="F2117" s="883">
        <f>'REF. DE PREÇOS n editavel'!F2117</f>
        <v>0.91383625000000013</v>
      </c>
      <c r="G2117" s="923">
        <f>'REF. DE PREÇOS n editavel'!G2117</f>
        <v>286.01246952500003</v>
      </c>
      <c r="H2117" s="876">
        <f>'REF. DE PREÇOS n editavel'!H2117</f>
        <v>0</v>
      </c>
      <c r="I2117" s="876">
        <f>'REF. DE PREÇOS n editavel'!I2117</f>
        <v>0</v>
      </c>
      <c r="J2117" s="877">
        <f>'REF. DE PREÇOS n editavel'!J2117</f>
        <v>0</v>
      </c>
      <c r="K2117" s="878"/>
      <c r="L2117" s="1132"/>
      <c r="M2117" s="1093">
        <f t="shared" si="208"/>
        <v>0</v>
      </c>
      <c r="N2117" s="1131">
        <f t="shared" si="212"/>
        <v>0</v>
      </c>
      <c r="O2117" s="880"/>
      <c r="P2117" s="36" t="str">
        <f>IF(N2115&gt;0,"xx",IF(N2115&gt;0,"xy",""))</f>
        <v/>
      </c>
      <c r="Q2117" s="317" t="str">
        <f t="shared" si="209"/>
        <v/>
      </c>
      <c r="R2117" s="317" t="str">
        <f t="shared" si="210"/>
        <v/>
      </c>
      <c r="S2117" s="317" t="str">
        <f t="shared" si="211"/>
        <v/>
      </c>
      <c r="T2117" s="317" t="str">
        <f>'REF. DE PREÇOS n editavel'!S2117</f>
        <v/>
      </c>
      <c r="W2117" s="577">
        <v>0</v>
      </c>
      <c r="X2117" s="575"/>
      <c r="Y2117" s="578">
        <f>IF('REF. DE PREÇOS n editavel'!W2117=0,0,IF('REF. DE PREÇOS n editavel'!W2117&gt;0,"c","b"))</f>
        <v>0</v>
      </c>
    </row>
    <row r="2118" spans="1:25" ht="15" customHeight="1">
      <c r="A2118" s="317" t="s">
        <v>147</v>
      </c>
      <c r="B2118" s="870" t="s">
        <v>147</v>
      </c>
      <c r="C2118" s="871"/>
      <c r="D2118" s="881" t="s">
        <v>233</v>
      </c>
      <c r="E2118" s="882">
        <f>'REF. DE PREÇOS n editavel'!E2118</f>
        <v>43.1</v>
      </c>
      <c r="F2118" s="883">
        <f>'REF. DE PREÇOS n editavel'!F2118</f>
        <v>0.20424000000000003</v>
      </c>
      <c r="G2118" s="923">
        <f>'REF. DE PREÇOS n editavel'!G2118</f>
        <v>9.966299280000003</v>
      </c>
      <c r="H2118" s="876">
        <f>'REF. DE PREÇOS n editavel'!H2118</f>
        <v>0</v>
      </c>
      <c r="I2118" s="876">
        <f>'REF. DE PREÇOS n editavel'!I2118</f>
        <v>0</v>
      </c>
      <c r="J2118" s="877">
        <f>'REF. DE PREÇOS n editavel'!J2118</f>
        <v>0</v>
      </c>
      <c r="K2118" s="878"/>
      <c r="L2118" s="1132"/>
      <c r="M2118" s="1093">
        <f t="shared" ref="M2118:M2181" si="213">IF(L2118=0,0,ROUND(J2118,2))</f>
        <v>0</v>
      </c>
      <c r="N2118" s="1131">
        <f t="shared" si="212"/>
        <v>0</v>
      </c>
      <c r="O2118" s="880"/>
      <c r="P2118" s="36" t="str">
        <f>IF(N2115&gt;0,"xx",IF(N2115&gt;0,"xy",""))</f>
        <v/>
      </c>
      <c r="Q2118" s="317" t="str">
        <f t="shared" si="209"/>
        <v/>
      </c>
      <c r="R2118" s="317" t="str">
        <f t="shared" si="210"/>
        <v/>
      </c>
      <c r="S2118" s="317" t="str">
        <f t="shared" si="211"/>
        <v/>
      </c>
      <c r="T2118" s="317" t="str">
        <f>'REF. DE PREÇOS n editavel'!S2118</f>
        <v/>
      </c>
      <c r="W2118" s="577">
        <v>0</v>
      </c>
      <c r="X2118" s="575"/>
      <c r="Y2118" s="578">
        <f>IF('REF. DE PREÇOS n editavel'!W2118=0,0,IF('REF. DE PREÇOS n editavel'!W2118&gt;0,"c","b"))</f>
        <v>0</v>
      </c>
    </row>
    <row r="2119" spans="1:25" ht="15" customHeight="1">
      <c r="A2119" s="317" t="s">
        <v>147</v>
      </c>
      <c r="B2119" s="870" t="s">
        <v>147</v>
      </c>
      <c r="C2119" s="871"/>
      <c r="D2119" s="881" t="s">
        <v>365</v>
      </c>
      <c r="E2119" s="882">
        <f>'REF. DE PREÇOS n editavel'!E2119</f>
        <v>28</v>
      </c>
      <c r="F2119" s="883">
        <f>'REF. DE PREÇOS n editavel'!F2119</f>
        <v>1.4635799999999999</v>
      </c>
      <c r="G2119" s="923">
        <f>'REF. DE PREÇOS n editavel'!G2119</f>
        <v>47.771251199999995</v>
      </c>
      <c r="H2119" s="876">
        <f>'REF. DE PREÇOS n editavel'!H2119</f>
        <v>0</v>
      </c>
      <c r="I2119" s="876">
        <f>'REF. DE PREÇOS n editavel'!I2119</f>
        <v>0</v>
      </c>
      <c r="J2119" s="877">
        <f>'REF. DE PREÇOS n editavel'!J2119</f>
        <v>0</v>
      </c>
      <c r="K2119" s="878"/>
      <c r="L2119" s="1132"/>
      <c r="M2119" s="1093">
        <f t="shared" si="213"/>
        <v>0</v>
      </c>
      <c r="N2119" s="1131">
        <f t="shared" si="212"/>
        <v>0</v>
      </c>
      <c r="O2119" s="880"/>
      <c r="P2119" s="36" t="str">
        <f>IF(N2115&gt;0,"xx",IF(N2115&gt;0,"xy",""))</f>
        <v/>
      </c>
      <c r="Q2119" s="317" t="str">
        <f t="shared" si="209"/>
        <v/>
      </c>
      <c r="R2119" s="317" t="str">
        <f t="shared" si="210"/>
        <v/>
      </c>
      <c r="S2119" s="317" t="str">
        <f t="shared" si="211"/>
        <v/>
      </c>
      <c r="T2119" s="317" t="str">
        <f>'REF. DE PREÇOS n editavel'!S2119</f>
        <v/>
      </c>
      <c r="W2119" s="577">
        <v>0</v>
      </c>
      <c r="X2119" s="575"/>
      <c r="Y2119" s="578">
        <f>IF('REF. DE PREÇOS n editavel'!W2119=0,0,IF('REF. DE PREÇOS n editavel'!W2119&gt;0,"c","b"))</f>
        <v>0</v>
      </c>
    </row>
    <row r="2120" spans="1:25" ht="15" customHeight="1">
      <c r="A2120" s="317" t="s">
        <v>147</v>
      </c>
      <c r="B2120" s="870" t="s">
        <v>147</v>
      </c>
      <c r="C2120" s="871"/>
      <c r="D2120" s="881" t="s">
        <v>366</v>
      </c>
      <c r="E2120" s="882">
        <f>'REF. DE PREÇOS n editavel'!E2120</f>
        <v>440</v>
      </c>
      <c r="F2120" s="883">
        <f>'REF. DE PREÇOS n editavel'!F2120</f>
        <v>4.8785999999999996E-2</v>
      </c>
      <c r="G2120" s="884">
        <f>'REF. DE PREÇOS n editavel'!G2120</f>
        <v>17.124861720000002</v>
      </c>
      <c r="H2120" s="876">
        <f>'REF. DE PREÇOS n editavel'!H2120</f>
        <v>0</v>
      </c>
      <c r="I2120" s="876">
        <f>'REF. DE PREÇOS n editavel'!I2120</f>
        <v>0</v>
      </c>
      <c r="J2120" s="877">
        <f>'REF. DE PREÇOS n editavel'!J2120</f>
        <v>0</v>
      </c>
      <c r="K2120" s="878"/>
      <c r="L2120" s="1132"/>
      <c r="M2120" s="1093">
        <f t="shared" si="213"/>
        <v>0</v>
      </c>
      <c r="N2120" s="1131">
        <f t="shared" si="212"/>
        <v>0</v>
      </c>
      <c r="O2120" s="880"/>
      <c r="P2120" s="36" t="str">
        <f>IF(N2115&gt;0,"xx",IF(N2115&gt;0,"xy",""))</f>
        <v/>
      </c>
      <c r="Q2120" s="317" t="str">
        <f t="shared" si="209"/>
        <v/>
      </c>
      <c r="R2120" s="317" t="str">
        <f t="shared" si="210"/>
        <v/>
      </c>
      <c r="S2120" s="317" t="str">
        <f t="shared" si="211"/>
        <v/>
      </c>
      <c r="T2120" s="317" t="str">
        <f>'REF. DE PREÇOS n editavel'!S2120</f>
        <v/>
      </c>
      <c r="W2120" s="577">
        <v>0</v>
      </c>
      <c r="X2120" s="575"/>
      <c r="Y2120" s="578">
        <f>IF('REF. DE PREÇOS n editavel'!W2120=0,0,IF('REF. DE PREÇOS n editavel'!W2120&gt;0,"c","b"))</f>
        <v>0</v>
      </c>
    </row>
    <row r="2121" spans="1:25" ht="15" customHeight="1">
      <c r="A2121" s="317" t="s">
        <v>20</v>
      </c>
      <c r="B2121" s="870" t="s">
        <v>20</v>
      </c>
      <c r="C2121" s="871" t="s">
        <v>184</v>
      </c>
      <c r="D2121" s="881" t="s">
        <v>57</v>
      </c>
      <c r="E2121" s="882">
        <f>'REF. DE PREÇOS n editavel'!E2121</f>
        <v>0</v>
      </c>
      <c r="F2121" s="883">
        <f>'REF. DE PREÇOS n editavel'!F2121</f>
        <v>0</v>
      </c>
      <c r="G2121" s="887">
        <f>'REF. DE PREÇOS n editavel'!G2121</f>
        <v>502.99050996699998</v>
      </c>
      <c r="H2121" s="876">
        <f>'REF. DE PREÇOS n editavel'!H2121</f>
        <v>2112.3000000000002</v>
      </c>
      <c r="I2121" s="876">
        <f>'REF. DE PREÇOS n editavel'!I2121</f>
        <v>2615.2905099670002</v>
      </c>
      <c r="J2121" s="877">
        <f>'REF. DE PREÇOS n editavel'!J2121</f>
        <v>3196.41</v>
      </c>
      <c r="K2121" s="878" t="s">
        <v>15</v>
      </c>
      <c r="L2121" s="1092"/>
      <c r="M2121" s="1093">
        <f t="shared" si="213"/>
        <v>0</v>
      </c>
      <c r="N2121" s="1131">
        <f t="shared" si="212"/>
        <v>0</v>
      </c>
      <c r="O2121" s="880"/>
      <c r="Q2121" s="317" t="str">
        <f t="shared" si="209"/>
        <v/>
      </c>
      <c r="R2121" s="317" t="str">
        <f t="shared" si="210"/>
        <v/>
      </c>
      <c r="S2121" s="317" t="str">
        <f t="shared" si="211"/>
        <v/>
      </c>
      <c r="T2121" s="317" t="str">
        <f>'REF. DE PREÇOS n editavel'!S2121</f>
        <v/>
      </c>
      <c r="W2121" s="577">
        <v>0</v>
      </c>
      <c r="X2121" s="575"/>
      <c r="Y2121" s="578">
        <f>IF('REF. DE PREÇOS n editavel'!W2121=0,0,IF('REF. DE PREÇOS n editavel'!W2121&gt;0,"c","b"))</f>
        <v>0</v>
      </c>
    </row>
    <row r="2122" spans="1:25" ht="15" customHeight="1">
      <c r="A2122" s="317" t="s">
        <v>147</v>
      </c>
      <c r="B2122" s="870" t="s">
        <v>147</v>
      </c>
      <c r="C2122" s="871"/>
      <c r="D2122" s="881" t="s">
        <v>190</v>
      </c>
      <c r="E2122" s="882">
        <f>'REF. DE PREÇOS n editavel'!E2122</f>
        <v>445</v>
      </c>
      <c r="F2122" s="883">
        <f>'REF. DE PREÇOS n editavel'!F2122</f>
        <v>0.19012209999999999</v>
      </c>
      <c r="G2122" s="884">
        <f>'REF. DE PREÇOS n editavel'!G2122</f>
        <v>67.478135731999998</v>
      </c>
      <c r="H2122" s="876">
        <f>'REF. DE PREÇOS n editavel'!H2122</f>
        <v>0</v>
      </c>
      <c r="I2122" s="876">
        <f>'REF. DE PREÇOS n editavel'!I2122</f>
        <v>0</v>
      </c>
      <c r="J2122" s="877">
        <f>'REF. DE PREÇOS n editavel'!J2122</f>
        <v>0</v>
      </c>
      <c r="K2122" s="878"/>
      <c r="L2122" s="1132"/>
      <c r="M2122" s="1093">
        <f t="shared" si="213"/>
        <v>0</v>
      </c>
      <c r="N2122" s="1131">
        <f t="shared" si="212"/>
        <v>0</v>
      </c>
      <c r="O2122" s="880"/>
      <c r="P2122" s="36" t="str">
        <f>IF(N2121&gt;0,"xx",IF(N2121&gt;0,"xy",""))</f>
        <v/>
      </c>
      <c r="Q2122" s="317" t="str">
        <f t="shared" si="209"/>
        <v/>
      </c>
      <c r="R2122" s="317" t="str">
        <f t="shared" si="210"/>
        <v/>
      </c>
      <c r="S2122" s="317" t="str">
        <f t="shared" si="211"/>
        <v/>
      </c>
      <c r="T2122" s="317" t="str">
        <f>'REF. DE PREÇOS n editavel'!S2122</f>
        <v/>
      </c>
      <c r="W2122" s="577">
        <v>0</v>
      </c>
      <c r="X2122" s="575"/>
      <c r="Y2122" s="578">
        <f>IF('REF. DE PREÇOS n editavel'!W2122=0,0,IF('REF. DE PREÇOS n editavel'!W2122&gt;0,"c","b"))</f>
        <v>0</v>
      </c>
    </row>
    <row r="2123" spans="1:25" ht="15" customHeight="1">
      <c r="A2123" s="317" t="s">
        <v>147</v>
      </c>
      <c r="B2123" s="870" t="s">
        <v>147</v>
      </c>
      <c r="C2123" s="871"/>
      <c r="D2123" s="881" t="s">
        <v>229</v>
      </c>
      <c r="E2123" s="882">
        <f>'REF. DE PREÇOS n editavel'!E2123</f>
        <v>290</v>
      </c>
      <c r="F2123" s="883">
        <f>'REF. DE PREÇOS n editavel'!F2123</f>
        <v>1.09957375</v>
      </c>
      <c r="G2123" s="923">
        <f>'REF. DE PREÇOS n editavel'!G2123</f>
        <v>344.14459227500004</v>
      </c>
      <c r="H2123" s="876">
        <f>'REF. DE PREÇOS n editavel'!H2123</f>
        <v>0</v>
      </c>
      <c r="I2123" s="876">
        <f>'REF. DE PREÇOS n editavel'!I2123</f>
        <v>0</v>
      </c>
      <c r="J2123" s="877">
        <f>'REF. DE PREÇOS n editavel'!J2123</f>
        <v>0</v>
      </c>
      <c r="K2123" s="878"/>
      <c r="L2123" s="1132"/>
      <c r="M2123" s="1093">
        <f t="shared" si="213"/>
        <v>0</v>
      </c>
      <c r="N2123" s="1131">
        <f t="shared" si="212"/>
        <v>0</v>
      </c>
      <c r="O2123" s="880"/>
      <c r="P2123" s="36" t="str">
        <f>IF(N2121&gt;0,"xx",IF(N2121&gt;0,"xy",""))</f>
        <v/>
      </c>
      <c r="Q2123" s="317" t="str">
        <f t="shared" si="209"/>
        <v/>
      </c>
      <c r="R2123" s="317" t="str">
        <f t="shared" si="210"/>
        <v/>
      </c>
      <c r="S2123" s="317" t="str">
        <f t="shared" si="211"/>
        <v/>
      </c>
      <c r="T2123" s="317" t="str">
        <f>'REF. DE PREÇOS n editavel'!S2123</f>
        <v/>
      </c>
      <c r="W2123" s="577">
        <v>0</v>
      </c>
      <c r="X2123" s="575"/>
      <c r="Y2123" s="578">
        <f>IF('REF. DE PREÇOS n editavel'!W2123=0,0,IF('REF. DE PREÇOS n editavel'!W2123&gt;0,"c","b"))</f>
        <v>0</v>
      </c>
    </row>
    <row r="2124" spans="1:25" ht="15" customHeight="1">
      <c r="A2124" s="317" t="s">
        <v>147</v>
      </c>
      <c r="B2124" s="870" t="s">
        <v>147</v>
      </c>
      <c r="C2124" s="871"/>
      <c r="D2124" s="881" t="s">
        <v>233</v>
      </c>
      <c r="E2124" s="882">
        <f>'REF. DE PREÇOS n editavel'!E2124</f>
        <v>43.1</v>
      </c>
      <c r="F2124" s="883">
        <f>'REF. DE PREÇOS n editavel'!F2124</f>
        <v>0.20424000000000003</v>
      </c>
      <c r="G2124" s="923">
        <f>'REF. DE PREÇOS n editavel'!G2124</f>
        <v>9.966299280000003</v>
      </c>
      <c r="H2124" s="876">
        <f>'REF. DE PREÇOS n editavel'!H2124</f>
        <v>0</v>
      </c>
      <c r="I2124" s="876">
        <f>'REF. DE PREÇOS n editavel'!I2124</f>
        <v>0</v>
      </c>
      <c r="J2124" s="877">
        <f>'REF. DE PREÇOS n editavel'!J2124</f>
        <v>0</v>
      </c>
      <c r="K2124" s="878"/>
      <c r="L2124" s="1132"/>
      <c r="M2124" s="1093">
        <f t="shared" si="213"/>
        <v>0</v>
      </c>
      <c r="N2124" s="1131">
        <f t="shared" si="212"/>
        <v>0</v>
      </c>
      <c r="O2124" s="880"/>
      <c r="P2124" s="36" t="str">
        <f>IF(N2121&gt;0,"xx",IF(N2121&gt;0,"xy",""))</f>
        <v/>
      </c>
      <c r="Q2124" s="317" t="str">
        <f t="shared" si="209"/>
        <v/>
      </c>
      <c r="R2124" s="317" t="str">
        <f t="shared" si="210"/>
        <v/>
      </c>
      <c r="S2124" s="317" t="str">
        <f t="shared" si="211"/>
        <v/>
      </c>
      <c r="T2124" s="317" t="str">
        <f>'REF. DE PREÇOS n editavel'!S2124</f>
        <v/>
      </c>
      <c r="W2124" s="577">
        <v>0</v>
      </c>
      <c r="X2124" s="575"/>
      <c r="Y2124" s="578">
        <f>IF('REF. DE PREÇOS n editavel'!W2124=0,0,IF('REF. DE PREÇOS n editavel'!W2124&gt;0,"c","b"))</f>
        <v>0</v>
      </c>
    </row>
    <row r="2125" spans="1:25" ht="15" customHeight="1">
      <c r="A2125" s="317" t="s">
        <v>147</v>
      </c>
      <c r="B2125" s="870" t="s">
        <v>147</v>
      </c>
      <c r="C2125" s="871"/>
      <c r="D2125" s="881" t="s">
        <v>365</v>
      </c>
      <c r="E2125" s="882">
        <f>'REF. DE PREÇOS n editavel'!E2125</f>
        <v>28</v>
      </c>
      <c r="F2125" s="883">
        <f>'REF. DE PREÇOS n editavel'!F2125</f>
        <v>1.8358199999999998</v>
      </c>
      <c r="G2125" s="923">
        <f>'REF. DE PREÇOS n editavel'!G2125</f>
        <v>59.921164799999993</v>
      </c>
      <c r="H2125" s="876">
        <f>'REF. DE PREÇOS n editavel'!H2125</f>
        <v>0</v>
      </c>
      <c r="I2125" s="876">
        <f>'REF. DE PREÇOS n editavel'!I2125</f>
        <v>0</v>
      </c>
      <c r="J2125" s="877">
        <f>'REF. DE PREÇOS n editavel'!J2125</f>
        <v>0</v>
      </c>
      <c r="K2125" s="878"/>
      <c r="L2125" s="1132"/>
      <c r="M2125" s="1093">
        <f t="shared" si="213"/>
        <v>0</v>
      </c>
      <c r="N2125" s="1131">
        <f t="shared" si="212"/>
        <v>0</v>
      </c>
      <c r="O2125" s="880"/>
      <c r="P2125" s="36" t="str">
        <f>IF(N2121&gt;0,"xx",IF(N2121&gt;0,"xy",""))</f>
        <v/>
      </c>
      <c r="Q2125" s="317" t="str">
        <f t="shared" si="209"/>
        <v/>
      </c>
      <c r="R2125" s="317" t="str">
        <f t="shared" si="210"/>
        <v/>
      </c>
      <c r="S2125" s="317" t="str">
        <f t="shared" si="211"/>
        <v/>
      </c>
      <c r="T2125" s="317" t="str">
        <f>'REF. DE PREÇOS n editavel'!S2125</f>
        <v/>
      </c>
      <c r="W2125" s="577">
        <v>0</v>
      </c>
      <c r="X2125" s="575"/>
      <c r="Y2125" s="578">
        <f>IF('REF. DE PREÇOS n editavel'!W2125=0,0,IF('REF. DE PREÇOS n editavel'!W2125&gt;0,"c","b"))</f>
        <v>0</v>
      </c>
    </row>
    <row r="2126" spans="1:25" ht="15" customHeight="1">
      <c r="A2126" s="317" t="s">
        <v>147</v>
      </c>
      <c r="B2126" s="870" t="s">
        <v>147</v>
      </c>
      <c r="C2126" s="871"/>
      <c r="D2126" s="881" t="s">
        <v>366</v>
      </c>
      <c r="E2126" s="882">
        <f>'REF. DE PREÇOS n editavel'!E2126</f>
        <v>440</v>
      </c>
      <c r="F2126" s="883">
        <f>'REF. DE PREÇOS n editavel'!F2126</f>
        <v>6.1193999999999998E-2</v>
      </c>
      <c r="G2126" s="884">
        <f>'REF. DE PREÇOS n editavel'!G2126</f>
        <v>21.480317880000001</v>
      </c>
      <c r="H2126" s="876">
        <f>'REF. DE PREÇOS n editavel'!H2126</f>
        <v>0</v>
      </c>
      <c r="I2126" s="876">
        <f>'REF. DE PREÇOS n editavel'!I2126</f>
        <v>0</v>
      </c>
      <c r="J2126" s="877">
        <f>'REF. DE PREÇOS n editavel'!J2126</f>
        <v>0</v>
      </c>
      <c r="K2126" s="878"/>
      <c r="L2126" s="1132"/>
      <c r="M2126" s="1093">
        <f t="shared" si="213"/>
        <v>0</v>
      </c>
      <c r="N2126" s="1131">
        <f t="shared" si="212"/>
        <v>0</v>
      </c>
      <c r="O2126" s="880"/>
      <c r="P2126" s="36" t="str">
        <f>IF(N2121&gt;0,"xx",IF(N2121&gt;0,"xy",""))</f>
        <v/>
      </c>
      <c r="Q2126" s="317" t="str">
        <f t="shared" si="209"/>
        <v/>
      </c>
      <c r="R2126" s="317" t="str">
        <f t="shared" si="210"/>
        <v/>
      </c>
      <c r="S2126" s="317" t="str">
        <f t="shared" si="211"/>
        <v/>
      </c>
      <c r="T2126" s="317" t="str">
        <f>'REF. DE PREÇOS n editavel'!S2126</f>
        <v/>
      </c>
      <c r="W2126" s="577">
        <v>0</v>
      </c>
      <c r="X2126" s="575"/>
      <c r="Y2126" s="578">
        <f>IF('REF. DE PREÇOS n editavel'!W2126=0,0,IF('REF. DE PREÇOS n editavel'!W2126&gt;0,"c","b"))</f>
        <v>0</v>
      </c>
    </row>
    <row r="2127" spans="1:25" ht="15" customHeight="1">
      <c r="A2127" s="317" t="s">
        <v>95</v>
      </c>
      <c r="B2127" s="870" t="s">
        <v>95</v>
      </c>
      <c r="C2127" s="871" t="s">
        <v>184</v>
      </c>
      <c r="D2127" s="881" t="s">
        <v>367</v>
      </c>
      <c r="E2127" s="882">
        <f>'REF. DE PREÇOS n editavel'!E2127</f>
        <v>0</v>
      </c>
      <c r="F2127" s="883">
        <f>'REF. DE PREÇOS n editavel'!F2127</f>
        <v>0</v>
      </c>
      <c r="G2127" s="887">
        <f>'REF. DE PREÇOS n editavel'!G2127</f>
        <v>624.80717834000006</v>
      </c>
      <c r="H2127" s="876">
        <f>'REF. DE PREÇOS n editavel'!H2127</f>
        <v>1144.18</v>
      </c>
      <c r="I2127" s="876">
        <f>'REF. DE PREÇOS n editavel'!I2127</f>
        <v>1768.9871783400001</v>
      </c>
      <c r="J2127" s="877">
        <f>'REF. DE PREÇOS n editavel'!J2127</f>
        <v>2162.06</v>
      </c>
      <c r="K2127" s="878" t="s">
        <v>15</v>
      </c>
      <c r="L2127" s="1092"/>
      <c r="M2127" s="1093">
        <f t="shared" si="213"/>
        <v>0</v>
      </c>
      <c r="N2127" s="1131">
        <f t="shared" si="212"/>
        <v>0</v>
      </c>
      <c r="O2127" s="880"/>
      <c r="Q2127" s="317" t="str">
        <f t="shared" si="209"/>
        <v/>
      </c>
      <c r="R2127" s="317" t="str">
        <f t="shared" si="210"/>
        <v/>
      </c>
      <c r="S2127" s="317" t="str">
        <f t="shared" si="211"/>
        <v/>
      </c>
      <c r="T2127" s="317" t="str">
        <f>'REF. DE PREÇOS n editavel'!S2127</f>
        <v/>
      </c>
      <c r="W2127" s="577">
        <v>0</v>
      </c>
      <c r="X2127" s="575"/>
      <c r="Y2127" s="578">
        <f>IF('REF. DE PREÇOS n editavel'!W2127=0,0,IF('REF. DE PREÇOS n editavel'!W2127&gt;0,"c","b"))</f>
        <v>0</v>
      </c>
    </row>
    <row r="2128" spans="1:25" ht="15" customHeight="1">
      <c r="A2128" s="317" t="s">
        <v>147</v>
      </c>
      <c r="B2128" s="870" t="s">
        <v>147</v>
      </c>
      <c r="C2128" s="871"/>
      <c r="D2128" s="881" t="s">
        <v>190</v>
      </c>
      <c r="E2128" s="882">
        <f>'REF. DE PREÇOS n editavel'!E2128</f>
        <v>445</v>
      </c>
      <c r="F2128" s="883">
        <f>'REF. DE PREÇOS n editavel'!F2128</f>
        <v>0.43266000000000004</v>
      </c>
      <c r="G2128" s="884">
        <f>'REF. DE PREÇOS n editavel'!G2128</f>
        <v>153.55968720000001</v>
      </c>
      <c r="H2128" s="876">
        <f>'REF. DE PREÇOS n editavel'!H2128</f>
        <v>0</v>
      </c>
      <c r="I2128" s="876">
        <f>'REF. DE PREÇOS n editavel'!I2128</f>
        <v>0</v>
      </c>
      <c r="J2128" s="877">
        <f>'REF. DE PREÇOS n editavel'!J2128</f>
        <v>0</v>
      </c>
      <c r="K2128" s="878"/>
      <c r="L2128" s="1132"/>
      <c r="M2128" s="1093">
        <f t="shared" si="213"/>
        <v>0</v>
      </c>
      <c r="N2128" s="1131">
        <f t="shared" si="212"/>
        <v>0</v>
      </c>
      <c r="O2128" s="880"/>
      <c r="P2128" s="36" t="str">
        <f>IF(N2127&gt;0,"xx",IF(N2127&gt;0,"xy",""))</f>
        <v/>
      </c>
      <c r="Q2128" s="317" t="str">
        <f t="shared" si="209"/>
        <v/>
      </c>
      <c r="R2128" s="317" t="str">
        <f t="shared" si="210"/>
        <v/>
      </c>
      <c r="S2128" s="317" t="str">
        <f t="shared" si="211"/>
        <v/>
      </c>
      <c r="T2128" s="317" t="str">
        <f>'REF. DE PREÇOS n editavel'!S2128</f>
        <v/>
      </c>
      <c r="W2128" s="577">
        <v>0</v>
      </c>
      <c r="X2128" s="575"/>
      <c r="Y2128" s="578">
        <f>IF('REF. DE PREÇOS n editavel'!W2128=0,0,IF('REF. DE PREÇOS n editavel'!W2128&gt;0,"c","b"))</f>
        <v>0</v>
      </c>
    </row>
    <row r="2129" spans="1:25" ht="15" customHeight="1">
      <c r="A2129" s="317" t="s">
        <v>147</v>
      </c>
      <c r="B2129" s="870" t="s">
        <v>147</v>
      </c>
      <c r="C2129" s="871"/>
      <c r="D2129" s="881" t="s">
        <v>229</v>
      </c>
      <c r="E2129" s="882">
        <f>'REF. DE PREÇOS n editavel'!E2129</f>
        <v>290</v>
      </c>
      <c r="F2129" s="883">
        <f>'REF. DE PREÇOS n editavel'!F2129</f>
        <v>1.26997</v>
      </c>
      <c r="G2129" s="923">
        <f>'REF. DE PREÇOS n editavel'!G2129</f>
        <v>397.47521060000003</v>
      </c>
      <c r="H2129" s="876">
        <f>'REF. DE PREÇOS n editavel'!H2129</f>
        <v>0</v>
      </c>
      <c r="I2129" s="876">
        <f>'REF. DE PREÇOS n editavel'!I2129</f>
        <v>0</v>
      </c>
      <c r="J2129" s="877">
        <f>'REF. DE PREÇOS n editavel'!J2129</f>
        <v>0</v>
      </c>
      <c r="K2129" s="878"/>
      <c r="L2129" s="1132"/>
      <c r="M2129" s="1093">
        <f t="shared" si="213"/>
        <v>0</v>
      </c>
      <c r="N2129" s="1131">
        <f t="shared" si="212"/>
        <v>0</v>
      </c>
      <c r="O2129" s="880"/>
      <c r="P2129" s="36" t="str">
        <f>IF(N2127&gt;0,"xx",IF(N2127&gt;0,"xy",""))</f>
        <v/>
      </c>
      <c r="Q2129" s="317" t="str">
        <f t="shared" ref="Q2129:Q2176" si="214">IF(P2129="X","x",IF(P2129="xx","x",IF(P2129="xy","x",IF(P2129="y","x",IF(OR(N2129&gt;0,N2129&gt;0),"x","")))))</f>
        <v/>
      </c>
      <c r="R2129" s="317" t="str">
        <f t="shared" si="210"/>
        <v/>
      </c>
      <c r="S2129" s="317" t="str">
        <f t="shared" si="211"/>
        <v/>
      </c>
      <c r="T2129" s="317" t="str">
        <f>'REF. DE PREÇOS n editavel'!S2129</f>
        <v/>
      </c>
      <c r="W2129" s="577">
        <v>0</v>
      </c>
      <c r="X2129" s="575"/>
      <c r="Y2129" s="578">
        <f>IF('REF. DE PREÇOS n editavel'!W2129=0,0,IF('REF. DE PREÇOS n editavel'!W2129&gt;0,"c","b"))</f>
        <v>0</v>
      </c>
    </row>
    <row r="2130" spans="1:25" ht="15" customHeight="1">
      <c r="A2130" s="317" t="s">
        <v>147</v>
      </c>
      <c r="B2130" s="870" t="s">
        <v>147</v>
      </c>
      <c r="C2130" s="871"/>
      <c r="D2130" s="881" t="s">
        <v>233</v>
      </c>
      <c r="E2130" s="882">
        <f>'REF. DE PREÇOS n editavel'!E2130</f>
        <v>43.1</v>
      </c>
      <c r="F2130" s="883">
        <f>'REF. DE PREÇOS n editavel'!F2130</f>
        <v>1.5118200000000002</v>
      </c>
      <c r="G2130" s="923">
        <f>'REF. DE PREÇOS n editavel'!G2130</f>
        <v>73.772280540000011</v>
      </c>
      <c r="H2130" s="876">
        <f>'REF. DE PREÇOS n editavel'!H2130</f>
        <v>0</v>
      </c>
      <c r="I2130" s="876">
        <f>'REF. DE PREÇOS n editavel'!I2130</f>
        <v>0</v>
      </c>
      <c r="J2130" s="877">
        <f>'REF. DE PREÇOS n editavel'!J2130</f>
        <v>0</v>
      </c>
      <c r="K2130" s="878"/>
      <c r="L2130" s="1132"/>
      <c r="M2130" s="1093">
        <f t="shared" si="213"/>
        <v>0</v>
      </c>
      <c r="N2130" s="1131">
        <f t="shared" si="212"/>
        <v>0</v>
      </c>
      <c r="O2130" s="880"/>
      <c r="P2130" s="36" t="str">
        <f>IF(N2127&gt;0,"xx",IF(N2127&gt;0,"xy",""))</f>
        <v/>
      </c>
      <c r="Q2130" s="317" t="str">
        <f t="shared" si="214"/>
        <v/>
      </c>
      <c r="R2130" s="317" t="str">
        <f t="shared" si="210"/>
        <v/>
      </c>
      <c r="S2130" s="317" t="str">
        <f t="shared" si="211"/>
        <v/>
      </c>
      <c r="T2130" s="317" t="str">
        <f>'REF. DE PREÇOS n editavel'!S2130</f>
        <v/>
      </c>
      <c r="W2130" s="577">
        <v>0</v>
      </c>
      <c r="X2130" s="575"/>
      <c r="Y2130" s="578">
        <f>IF('REF. DE PREÇOS n editavel'!W2130=0,0,IF('REF. DE PREÇOS n editavel'!W2130&gt;0,"c","b"))</f>
        <v>0</v>
      </c>
    </row>
    <row r="2131" spans="1:25" ht="15" customHeight="1">
      <c r="A2131" s="317" t="s">
        <v>96</v>
      </c>
      <c r="B2131" s="870" t="s">
        <v>96</v>
      </c>
      <c r="C2131" s="871" t="s">
        <v>184</v>
      </c>
      <c r="D2131" s="881" t="s">
        <v>368</v>
      </c>
      <c r="E2131" s="882">
        <f>'REF. DE PREÇOS n editavel'!E2131</f>
        <v>0</v>
      </c>
      <c r="F2131" s="883">
        <f>'REF. DE PREÇOS n editavel'!F2131</f>
        <v>0</v>
      </c>
      <c r="G2131" s="887">
        <f>'REF. DE PREÇOS n editavel'!G2131</f>
        <v>776.45631884000011</v>
      </c>
      <c r="H2131" s="876">
        <f>'REF. DE PREÇOS n editavel'!H2131</f>
        <v>1331.51</v>
      </c>
      <c r="I2131" s="876">
        <f>'REF. DE PREÇOS n editavel'!I2131</f>
        <v>2107.96631884</v>
      </c>
      <c r="J2131" s="877">
        <f>'REF. DE PREÇOS n editavel'!J2131</f>
        <v>2576.36</v>
      </c>
      <c r="K2131" s="878" t="s">
        <v>15</v>
      </c>
      <c r="L2131" s="1092"/>
      <c r="M2131" s="1093">
        <f t="shared" si="213"/>
        <v>0</v>
      </c>
      <c r="N2131" s="1131">
        <f t="shared" si="212"/>
        <v>0</v>
      </c>
      <c r="O2131" s="880"/>
      <c r="Q2131" s="317" t="str">
        <f t="shared" si="214"/>
        <v/>
      </c>
      <c r="R2131" s="317" t="str">
        <f t="shared" ref="R2131:R2178" si="215">IF(P2131="X","x",IF(P2131="y","x",IF(P2131="xx","x",IF(N2131&gt;0,"x",""))))</f>
        <v/>
      </c>
      <c r="S2131" s="317" t="str">
        <f t="shared" ref="S2131:S2178" si="216">IF(P2131="X","x",IF(N2131&gt;0,"x",""))</f>
        <v/>
      </c>
      <c r="T2131" s="317" t="str">
        <f>'REF. DE PREÇOS n editavel'!S2131</f>
        <v/>
      </c>
      <c r="W2131" s="577">
        <v>0</v>
      </c>
      <c r="X2131" s="575"/>
      <c r="Y2131" s="578">
        <f>IF('REF. DE PREÇOS n editavel'!W2131=0,0,IF('REF. DE PREÇOS n editavel'!W2131&gt;0,"c","b"))</f>
        <v>0</v>
      </c>
    </row>
    <row r="2132" spans="1:25" ht="15" customHeight="1">
      <c r="A2132" s="317" t="s">
        <v>147</v>
      </c>
      <c r="B2132" s="870" t="s">
        <v>147</v>
      </c>
      <c r="C2132" s="871"/>
      <c r="D2132" s="881" t="s">
        <v>190</v>
      </c>
      <c r="E2132" s="882">
        <f>'REF. DE PREÇOS n editavel'!E2132</f>
        <v>445</v>
      </c>
      <c r="F2132" s="883">
        <f>'REF. DE PREÇOS n editavel'!F2132</f>
        <v>0.54156000000000004</v>
      </c>
      <c r="G2132" s="884">
        <f>'REF. DE PREÇOS n editavel'!G2132</f>
        <v>192.21047520000002</v>
      </c>
      <c r="H2132" s="876">
        <f>'REF. DE PREÇOS n editavel'!H2132</f>
        <v>0</v>
      </c>
      <c r="I2132" s="876">
        <f>'REF. DE PREÇOS n editavel'!I2132</f>
        <v>0</v>
      </c>
      <c r="J2132" s="877">
        <f>'REF. DE PREÇOS n editavel'!J2132</f>
        <v>0</v>
      </c>
      <c r="K2132" s="878"/>
      <c r="L2132" s="1132"/>
      <c r="M2132" s="1093">
        <f t="shared" si="213"/>
        <v>0</v>
      </c>
      <c r="N2132" s="1131">
        <f t="shared" si="212"/>
        <v>0</v>
      </c>
      <c r="O2132" s="880"/>
      <c r="P2132" s="36" t="str">
        <f>IF(N2131&gt;0,"xx",IF(N2131&gt;0,"xy",""))</f>
        <v/>
      </c>
      <c r="Q2132" s="317" t="str">
        <f t="shared" si="214"/>
        <v/>
      </c>
      <c r="R2132" s="317" t="str">
        <f t="shared" si="215"/>
        <v/>
      </c>
      <c r="S2132" s="317" t="str">
        <f t="shared" si="216"/>
        <v/>
      </c>
      <c r="T2132" s="317" t="str">
        <f>'REF. DE PREÇOS n editavel'!S2132</f>
        <v/>
      </c>
      <c r="W2132" s="577">
        <v>0</v>
      </c>
      <c r="X2132" s="575"/>
      <c r="Y2132" s="578">
        <f>IF('REF. DE PREÇOS n editavel'!W2132=0,0,IF('REF. DE PREÇOS n editavel'!W2132&gt;0,"c","b"))</f>
        <v>0</v>
      </c>
    </row>
    <row r="2133" spans="1:25" ht="15" customHeight="1">
      <c r="A2133" s="317" t="s">
        <v>147</v>
      </c>
      <c r="B2133" s="870" t="s">
        <v>147</v>
      </c>
      <c r="C2133" s="871"/>
      <c r="D2133" s="881" t="s">
        <v>229</v>
      </c>
      <c r="E2133" s="882">
        <f>'REF. DE PREÇOS n editavel'!E2133</f>
        <v>290</v>
      </c>
      <c r="F2133" s="883">
        <f>'REF. DE PREÇOS n editavel'!F2133</f>
        <v>1.5739000000000001</v>
      </c>
      <c r="G2133" s="923">
        <f>'REF. DE PREÇOS n editavel'!G2133</f>
        <v>492.59922200000005</v>
      </c>
      <c r="H2133" s="876">
        <f>'REF. DE PREÇOS n editavel'!H2133</f>
        <v>0</v>
      </c>
      <c r="I2133" s="876">
        <f>'REF. DE PREÇOS n editavel'!I2133</f>
        <v>0</v>
      </c>
      <c r="J2133" s="877">
        <f>'REF. DE PREÇOS n editavel'!J2133</f>
        <v>0</v>
      </c>
      <c r="K2133" s="878"/>
      <c r="L2133" s="1132"/>
      <c r="M2133" s="1093">
        <f t="shared" si="213"/>
        <v>0</v>
      </c>
      <c r="N2133" s="1131">
        <f t="shared" si="212"/>
        <v>0</v>
      </c>
      <c r="O2133" s="880"/>
      <c r="P2133" s="36" t="str">
        <f>IF(N2131&gt;0,"xx",IF(N2131&gt;0,"xy",""))</f>
        <v/>
      </c>
      <c r="Q2133" s="317" t="str">
        <f t="shared" si="214"/>
        <v/>
      </c>
      <c r="R2133" s="317" t="str">
        <f t="shared" si="215"/>
        <v/>
      </c>
      <c r="S2133" s="317" t="str">
        <f t="shared" si="216"/>
        <v/>
      </c>
      <c r="T2133" s="317" t="str">
        <f>'REF. DE PREÇOS n editavel'!S2133</f>
        <v/>
      </c>
      <c r="W2133" s="577">
        <v>0</v>
      </c>
      <c r="X2133" s="575"/>
      <c r="Y2133" s="578">
        <f>IF('REF. DE PREÇOS n editavel'!W2133=0,0,IF('REF. DE PREÇOS n editavel'!W2133&gt;0,"c","b"))</f>
        <v>0</v>
      </c>
    </row>
    <row r="2134" spans="1:25" ht="15" customHeight="1">
      <c r="A2134" s="317" t="s">
        <v>147</v>
      </c>
      <c r="B2134" s="870" t="s">
        <v>147</v>
      </c>
      <c r="C2134" s="871"/>
      <c r="D2134" s="881" t="s">
        <v>233</v>
      </c>
      <c r="E2134" s="882">
        <f>'REF. DE PREÇOS n editavel'!E2134</f>
        <v>43.1</v>
      </c>
      <c r="F2134" s="883">
        <f>'REF. DE PREÇOS n editavel'!F2134</f>
        <v>1.8781200000000002</v>
      </c>
      <c r="G2134" s="923">
        <f>'REF. DE PREÇOS n editavel'!G2134</f>
        <v>91.646621640000021</v>
      </c>
      <c r="H2134" s="876">
        <f>'REF. DE PREÇOS n editavel'!H2134</f>
        <v>0</v>
      </c>
      <c r="I2134" s="876">
        <f>'REF. DE PREÇOS n editavel'!I2134</f>
        <v>0</v>
      </c>
      <c r="J2134" s="877">
        <f>'REF. DE PREÇOS n editavel'!J2134</f>
        <v>0</v>
      </c>
      <c r="K2134" s="878"/>
      <c r="L2134" s="1132"/>
      <c r="M2134" s="1093">
        <f t="shared" si="213"/>
        <v>0</v>
      </c>
      <c r="N2134" s="1131">
        <f t="shared" si="212"/>
        <v>0</v>
      </c>
      <c r="O2134" s="880"/>
      <c r="P2134" s="36" t="str">
        <f>IF(N2131&gt;0,"xx",IF(N2131&gt;0,"xy",""))</f>
        <v/>
      </c>
      <c r="Q2134" s="317" t="str">
        <f t="shared" si="214"/>
        <v/>
      </c>
      <c r="R2134" s="317" t="str">
        <f t="shared" si="215"/>
        <v/>
      </c>
      <c r="S2134" s="317" t="str">
        <f t="shared" si="216"/>
        <v/>
      </c>
      <c r="T2134" s="317" t="str">
        <f>'REF. DE PREÇOS n editavel'!S2134</f>
        <v/>
      </c>
      <c r="W2134" s="577">
        <v>0</v>
      </c>
      <c r="X2134" s="575"/>
      <c r="Y2134" s="578">
        <f>IF('REF. DE PREÇOS n editavel'!W2134=0,0,IF('REF. DE PREÇOS n editavel'!W2134&gt;0,"c","b"))</f>
        <v>0</v>
      </c>
    </row>
    <row r="2135" spans="1:25" ht="15" customHeight="1">
      <c r="A2135" s="317" t="s">
        <v>97</v>
      </c>
      <c r="B2135" s="870" t="s">
        <v>97</v>
      </c>
      <c r="C2135" s="871" t="s">
        <v>184</v>
      </c>
      <c r="D2135" s="881" t="s">
        <v>369</v>
      </c>
      <c r="E2135" s="882">
        <f>'REF. DE PREÇOS n editavel'!E2135</f>
        <v>0</v>
      </c>
      <c r="F2135" s="883">
        <f>'REF. DE PREÇOS n editavel'!F2135</f>
        <v>0</v>
      </c>
      <c r="G2135" s="887">
        <f>'REF. DE PREÇOS n editavel'!G2135</f>
        <v>1024.6094578400002</v>
      </c>
      <c r="H2135" s="876">
        <f>'REF. DE PREÇOS n editavel'!H2135</f>
        <v>1638.59</v>
      </c>
      <c r="I2135" s="876">
        <f>'REF. DE PREÇOS n editavel'!I2135</f>
        <v>2663.1994578399999</v>
      </c>
      <c r="J2135" s="877">
        <f>'REF. DE PREÇOS n editavel'!J2135</f>
        <v>3254.96</v>
      </c>
      <c r="K2135" s="878" t="s">
        <v>15</v>
      </c>
      <c r="L2135" s="1092"/>
      <c r="M2135" s="1093">
        <f t="shared" si="213"/>
        <v>0</v>
      </c>
      <c r="N2135" s="1131">
        <f t="shared" ref="N2135:N2198" si="217">IF(ISBLANK(L2135),0,IF(W2135=0,ROUND(L2135*M2135,2),IF(W2135="b",ROUNDDOWN(L2135*M2135,2),ROUNDUP(L2135*M2135,2))))</f>
        <v>0</v>
      </c>
      <c r="O2135" s="880"/>
      <c r="Q2135" s="317" t="str">
        <f t="shared" si="214"/>
        <v/>
      </c>
      <c r="R2135" s="317" t="str">
        <f t="shared" si="215"/>
        <v/>
      </c>
      <c r="S2135" s="317" t="str">
        <f t="shared" si="216"/>
        <v/>
      </c>
      <c r="T2135" s="317" t="str">
        <f>'REF. DE PREÇOS n editavel'!S2135</f>
        <v/>
      </c>
      <c r="W2135" s="577">
        <v>0</v>
      </c>
      <c r="X2135" s="575"/>
      <c r="Y2135" s="578">
        <f>IF('REF. DE PREÇOS n editavel'!W2135=0,0,IF('REF. DE PREÇOS n editavel'!W2135&gt;0,"c","b"))</f>
        <v>0</v>
      </c>
    </row>
    <row r="2136" spans="1:25" ht="15" customHeight="1">
      <c r="A2136" s="317" t="s">
        <v>147</v>
      </c>
      <c r="B2136" s="870" t="s">
        <v>147</v>
      </c>
      <c r="C2136" s="871"/>
      <c r="D2136" s="881" t="s">
        <v>190</v>
      </c>
      <c r="E2136" s="882">
        <f>'REF. DE PREÇOS n editavel'!E2136</f>
        <v>445</v>
      </c>
      <c r="F2136" s="883">
        <f>'REF. DE PREÇOS n editavel'!F2136</f>
        <v>0.71976000000000007</v>
      </c>
      <c r="G2136" s="884">
        <f>'REF. DE PREÇOS n editavel'!G2136</f>
        <v>255.45721920000003</v>
      </c>
      <c r="H2136" s="876">
        <f>'REF. DE PREÇOS n editavel'!H2136</f>
        <v>0</v>
      </c>
      <c r="I2136" s="876">
        <f>'REF. DE PREÇOS n editavel'!I2136</f>
        <v>0</v>
      </c>
      <c r="J2136" s="877">
        <f>'REF. DE PREÇOS n editavel'!J2136</f>
        <v>0</v>
      </c>
      <c r="K2136" s="878"/>
      <c r="L2136" s="1132"/>
      <c r="M2136" s="1093">
        <f t="shared" si="213"/>
        <v>0</v>
      </c>
      <c r="N2136" s="1131">
        <f t="shared" si="217"/>
        <v>0</v>
      </c>
      <c r="O2136" s="880"/>
      <c r="P2136" s="36" t="str">
        <f>IF(N2135&gt;0,"xx",IF(N2135&gt;0,"xy",""))</f>
        <v/>
      </c>
      <c r="Q2136" s="317" t="str">
        <f t="shared" si="214"/>
        <v/>
      </c>
      <c r="R2136" s="317" t="str">
        <f t="shared" si="215"/>
        <v/>
      </c>
      <c r="S2136" s="317" t="str">
        <f t="shared" si="216"/>
        <v/>
      </c>
      <c r="T2136" s="317" t="str">
        <f>'REF. DE PREÇOS n editavel'!S2136</f>
        <v/>
      </c>
      <c r="W2136" s="577">
        <v>0</v>
      </c>
      <c r="X2136" s="575"/>
      <c r="Y2136" s="578">
        <f>IF('REF. DE PREÇOS n editavel'!W2136=0,0,IF('REF. DE PREÇOS n editavel'!W2136&gt;0,"c","b"))</f>
        <v>0</v>
      </c>
    </row>
    <row r="2137" spans="1:25" ht="15" customHeight="1">
      <c r="A2137" s="317" t="s">
        <v>147</v>
      </c>
      <c r="B2137" s="870" t="s">
        <v>147</v>
      </c>
      <c r="C2137" s="871"/>
      <c r="D2137" s="881" t="s">
        <v>229</v>
      </c>
      <c r="E2137" s="882">
        <f>'REF. DE PREÇOS n editavel'!E2137</f>
        <v>290</v>
      </c>
      <c r="F2137" s="883">
        <f>'REF. DE PREÇOS n editavel'!F2137</f>
        <v>2.0712400000000004</v>
      </c>
      <c r="G2137" s="923">
        <f>'REF. DE PREÇOS n editavel'!G2137</f>
        <v>648.25669520000019</v>
      </c>
      <c r="H2137" s="876">
        <f>'REF. DE PREÇOS n editavel'!H2137</f>
        <v>0</v>
      </c>
      <c r="I2137" s="876">
        <f>'REF. DE PREÇOS n editavel'!I2137</f>
        <v>0</v>
      </c>
      <c r="J2137" s="877">
        <f>'REF. DE PREÇOS n editavel'!J2137</f>
        <v>0</v>
      </c>
      <c r="K2137" s="878"/>
      <c r="L2137" s="1132"/>
      <c r="M2137" s="1093">
        <f t="shared" si="213"/>
        <v>0</v>
      </c>
      <c r="N2137" s="1131">
        <f t="shared" si="217"/>
        <v>0</v>
      </c>
      <c r="O2137" s="880"/>
      <c r="P2137" s="36" t="str">
        <f>IF(N2135&gt;0,"xx",IF(N2135&gt;0,"xy",""))</f>
        <v/>
      </c>
      <c r="Q2137" s="317" t="str">
        <f t="shared" si="214"/>
        <v/>
      </c>
      <c r="R2137" s="317" t="str">
        <f t="shared" si="215"/>
        <v/>
      </c>
      <c r="S2137" s="317" t="str">
        <f t="shared" si="216"/>
        <v/>
      </c>
      <c r="T2137" s="317" t="str">
        <f>'REF. DE PREÇOS n editavel'!S2137</f>
        <v/>
      </c>
      <c r="W2137" s="577">
        <v>0</v>
      </c>
      <c r="X2137" s="575"/>
      <c r="Y2137" s="578">
        <f>IF('REF. DE PREÇOS n editavel'!W2137=0,0,IF('REF. DE PREÇOS n editavel'!W2137&gt;0,"c","b"))</f>
        <v>0</v>
      </c>
    </row>
    <row r="2138" spans="1:25" ht="15" customHeight="1">
      <c r="A2138" s="317" t="s">
        <v>147</v>
      </c>
      <c r="B2138" s="870" t="s">
        <v>147</v>
      </c>
      <c r="C2138" s="871"/>
      <c r="D2138" s="881" t="s">
        <v>233</v>
      </c>
      <c r="E2138" s="882">
        <f>'REF. DE PREÇOS n editavel'!E2138</f>
        <v>43.1</v>
      </c>
      <c r="F2138" s="883">
        <f>'REF. DE PREÇOS n editavel'!F2138</f>
        <v>2.4775200000000002</v>
      </c>
      <c r="G2138" s="923">
        <f>'REF. DE PREÇOS n editavel'!G2138</f>
        <v>120.89554344000001</v>
      </c>
      <c r="H2138" s="876">
        <f>'REF. DE PREÇOS n editavel'!H2138</f>
        <v>0</v>
      </c>
      <c r="I2138" s="876">
        <f>'REF. DE PREÇOS n editavel'!I2138</f>
        <v>0</v>
      </c>
      <c r="J2138" s="877">
        <f>'REF. DE PREÇOS n editavel'!J2138</f>
        <v>0</v>
      </c>
      <c r="K2138" s="878"/>
      <c r="L2138" s="1132"/>
      <c r="M2138" s="1093">
        <f t="shared" si="213"/>
        <v>0</v>
      </c>
      <c r="N2138" s="1131">
        <f t="shared" si="217"/>
        <v>0</v>
      </c>
      <c r="O2138" s="880"/>
      <c r="P2138" s="36" t="str">
        <f>IF(N2135&gt;0,"xx",IF(N2135&gt;0,"xy",""))</f>
        <v/>
      </c>
      <c r="Q2138" s="317" t="str">
        <f t="shared" si="214"/>
        <v/>
      </c>
      <c r="R2138" s="317" t="str">
        <f t="shared" si="215"/>
        <v/>
      </c>
      <c r="S2138" s="317" t="str">
        <f t="shared" si="216"/>
        <v/>
      </c>
      <c r="T2138" s="317" t="str">
        <f>'REF. DE PREÇOS n editavel'!S2138</f>
        <v/>
      </c>
      <c r="W2138" s="577">
        <v>0</v>
      </c>
      <c r="X2138" s="575"/>
      <c r="Y2138" s="578">
        <f>IF('REF. DE PREÇOS n editavel'!W2138=0,0,IF('REF. DE PREÇOS n editavel'!W2138&gt;0,"c","b"))</f>
        <v>0</v>
      </c>
    </row>
    <row r="2139" spans="1:25" ht="15" customHeight="1">
      <c r="A2139" s="317" t="s">
        <v>98</v>
      </c>
      <c r="B2139" s="870" t="s">
        <v>98</v>
      </c>
      <c r="C2139" s="871" t="s">
        <v>184</v>
      </c>
      <c r="D2139" s="881" t="s">
        <v>370</v>
      </c>
      <c r="E2139" s="882">
        <f>'REF. DE PREÇOS n editavel'!E2139</f>
        <v>0</v>
      </c>
      <c r="F2139" s="883">
        <f>'REF. DE PREÇOS n editavel'!F2139</f>
        <v>0</v>
      </c>
      <c r="G2139" s="887">
        <f>'REF. DE PREÇOS n editavel'!G2139</f>
        <v>0</v>
      </c>
      <c r="H2139" s="876">
        <f>'REF. DE PREÇOS n editavel'!H2139</f>
        <v>1950.71</v>
      </c>
      <c r="I2139" s="876">
        <f>'REF. DE PREÇOS n editavel'!I2139</f>
        <v>1950.71</v>
      </c>
      <c r="J2139" s="877">
        <f>'REF. DE PREÇOS n editavel'!J2139</f>
        <v>2384.16</v>
      </c>
      <c r="K2139" s="878" t="s">
        <v>15</v>
      </c>
      <c r="L2139" s="1092"/>
      <c r="M2139" s="1093">
        <f t="shared" si="213"/>
        <v>0</v>
      </c>
      <c r="N2139" s="1131">
        <f t="shared" si="217"/>
        <v>0</v>
      </c>
      <c r="O2139" s="880"/>
      <c r="Q2139" s="317" t="str">
        <f t="shared" si="214"/>
        <v/>
      </c>
      <c r="R2139" s="317" t="str">
        <f t="shared" si="215"/>
        <v/>
      </c>
      <c r="S2139" s="317" t="str">
        <f t="shared" si="216"/>
        <v/>
      </c>
      <c r="T2139" s="317" t="str">
        <f>'REF. DE PREÇOS n editavel'!S2139</f>
        <v/>
      </c>
      <c r="W2139" s="577">
        <v>0</v>
      </c>
      <c r="X2139" s="575"/>
      <c r="Y2139" s="578">
        <f>IF('REF. DE PREÇOS n editavel'!W2139=0,0,IF('REF. DE PREÇOS n editavel'!W2139&gt;0,"c","b"))</f>
        <v>0</v>
      </c>
    </row>
    <row r="2140" spans="1:25" ht="15" customHeight="1">
      <c r="A2140" s="317" t="s">
        <v>147</v>
      </c>
      <c r="B2140" s="870" t="s">
        <v>147</v>
      </c>
      <c r="C2140" s="871"/>
      <c r="D2140" s="881" t="s">
        <v>190</v>
      </c>
      <c r="E2140" s="882">
        <f>'REF. DE PREÇOS n editavel'!E2140</f>
        <v>445</v>
      </c>
      <c r="F2140" s="883">
        <f>'REF. DE PREÇOS n editavel'!F2140</f>
        <v>0.90125999999999995</v>
      </c>
      <c r="G2140" s="884">
        <f>'REF. DE PREÇOS n editavel'!G2140</f>
        <v>319.8751992</v>
      </c>
      <c r="H2140" s="876">
        <f>'REF. DE PREÇOS n editavel'!H2140</f>
        <v>0</v>
      </c>
      <c r="I2140" s="876">
        <f>'REF. DE PREÇOS n editavel'!I2140</f>
        <v>0</v>
      </c>
      <c r="J2140" s="877">
        <f>'REF. DE PREÇOS n editavel'!J2140</f>
        <v>0</v>
      </c>
      <c r="K2140" s="878"/>
      <c r="L2140" s="1132"/>
      <c r="M2140" s="1093">
        <f t="shared" si="213"/>
        <v>0</v>
      </c>
      <c r="N2140" s="1131">
        <f t="shared" si="217"/>
        <v>0</v>
      </c>
      <c r="O2140" s="880"/>
      <c r="P2140" s="36" t="str">
        <f>IF(N2139&gt;0,"xx",IF(N2139&gt;0,"xy",""))</f>
        <v/>
      </c>
      <c r="Q2140" s="317" t="str">
        <f t="shared" si="214"/>
        <v/>
      </c>
      <c r="R2140" s="317" t="str">
        <f t="shared" si="215"/>
        <v/>
      </c>
      <c r="S2140" s="317" t="str">
        <f t="shared" si="216"/>
        <v/>
      </c>
      <c r="T2140" s="317" t="str">
        <f>'REF. DE PREÇOS n editavel'!S2140</f>
        <v/>
      </c>
      <c r="W2140" s="577">
        <v>0</v>
      </c>
      <c r="X2140" s="575"/>
      <c r="Y2140" s="578">
        <f>IF('REF. DE PREÇOS n editavel'!W2140=0,0,IF('REF. DE PREÇOS n editavel'!W2140&gt;0,"c","b"))</f>
        <v>0</v>
      </c>
    </row>
    <row r="2141" spans="1:25" ht="15" customHeight="1">
      <c r="A2141" s="317" t="s">
        <v>147</v>
      </c>
      <c r="B2141" s="870" t="s">
        <v>147</v>
      </c>
      <c r="C2141" s="871"/>
      <c r="D2141" s="881" t="s">
        <v>229</v>
      </c>
      <c r="E2141" s="882">
        <f>'REF. DE PREÇOS n editavel'!E2141</f>
        <v>290</v>
      </c>
      <c r="F2141" s="883">
        <f>'REF. DE PREÇOS n editavel'!F2141</f>
        <v>2.5777900000000002</v>
      </c>
      <c r="G2141" s="923">
        <f>'REF. DE PREÇOS n editavel'!G2141</f>
        <v>806.79671420000011</v>
      </c>
      <c r="H2141" s="876">
        <f>'REF. DE PREÇOS n editavel'!H2141</f>
        <v>0</v>
      </c>
      <c r="I2141" s="876">
        <f>'REF. DE PREÇOS n editavel'!I2141</f>
        <v>0</v>
      </c>
      <c r="J2141" s="877">
        <f>'REF. DE PREÇOS n editavel'!J2141</f>
        <v>0</v>
      </c>
      <c r="K2141" s="878"/>
      <c r="L2141" s="1132"/>
      <c r="M2141" s="1093">
        <f t="shared" si="213"/>
        <v>0</v>
      </c>
      <c r="N2141" s="1131">
        <f t="shared" si="217"/>
        <v>0</v>
      </c>
      <c r="O2141" s="880"/>
      <c r="P2141" s="36" t="str">
        <f>IF(N2139&gt;0,"xx",IF(N2139&gt;0,"xy",""))</f>
        <v/>
      </c>
      <c r="Q2141" s="317" t="str">
        <f t="shared" si="214"/>
        <v/>
      </c>
      <c r="R2141" s="317" t="str">
        <f t="shared" si="215"/>
        <v/>
      </c>
      <c r="S2141" s="317" t="str">
        <f t="shared" si="216"/>
        <v/>
      </c>
      <c r="T2141" s="317" t="str">
        <f>'REF. DE PREÇOS n editavel'!S2141</f>
        <v/>
      </c>
      <c r="W2141" s="577">
        <v>0</v>
      </c>
      <c r="X2141" s="575"/>
      <c r="Y2141" s="578">
        <f>IF('REF. DE PREÇOS n editavel'!W2141=0,0,IF('REF. DE PREÇOS n editavel'!W2141&gt;0,"c","b"))</f>
        <v>0</v>
      </c>
    </row>
    <row r="2142" spans="1:25" ht="15" customHeight="1">
      <c r="A2142" s="317" t="s">
        <v>147</v>
      </c>
      <c r="B2142" s="870" t="s">
        <v>147</v>
      </c>
      <c r="C2142" s="871"/>
      <c r="D2142" s="881" t="s">
        <v>233</v>
      </c>
      <c r="E2142" s="882">
        <f>'REF. DE PREÇOS n editavel'!E2142</f>
        <v>43.1</v>
      </c>
      <c r="F2142" s="883">
        <f>'REF. DE PREÇOS n editavel'!F2142</f>
        <v>3.0880200000000002</v>
      </c>
      <c r="G2142" s="923">
        <f>'REF. DE PREÇOS n editavel'!G2142</f>
        <v>150.68611194000002</v>
      </c>
      <c r="H2142" s="876">
        <f>'REF. DE PREÇOS n editavel'!H2142</f>
        <v>0</v>
      </c>
      <c r="I2142" s="876">
        <f>'REF. DE PREÇOS n editavel'!I2142</f>
        <v>0</v>
      </c>
      <c r="J2142" s="877">
        <f>'REF. DE PREÇOS n editavel'!J2142</f>
        <v>0</v>
      </c>
      <c r="K2142" s="878"/>
      <c r="L2142" s="1132"/>
      <c r="M2142" s="1093">
        <f t="shared" si="213"/>
        <v>0</v>
      </c>
      <c r="N2142" s="1131">
        <f t="shared" si="217"/>
        <v>0</v>
      </c>
      <c r="O2142" s="880"/>
      <c r="P2142" s="36" t="str">
        <f>IF(N2139&gt;0,"xx",IF(N2139&gt;0,"xy",""))</f>
        <v/>
      </c>
      <c r="Q2142" s="317" t="str">
        <f t="shared" si="214"/>
        <v/>
      </c>
      <c r="R2142" s="317" t="str">
        <f t="shared" si="215"/>
        <v/>
      </c>
      <c r="S2142" s="317" t="str">
        <f t="shared" si="216"/>
        <v/>
      </c>
      <c r="T2142" s="317" t="str">
        <f>'REF. DE PREÇOS n editavel'!S2142</f>
        <v/>
      </c>
      <c r="W2142" s="577">
        <v>0</v>
      </c>
      <c r="X2142" s="575"/>
      <c r="Y2142" s="578">
        <f>IF('REF. DE PREÇOS n editavel'!W2142=0,0,IF('REF. DE PREÇOS n editavel'!W2142&gt;0,"c","b"))</f>
        <v>0</v>
      </c>
    </row>
    <row r="2143" spans="1:25" ht="15" customHeight="1">
      <c r="A2143" s="317" t="s">
        <v>21</v>
      </c>
      <c r="B2143" s="870" t="s">
        <v>21</v>
      </c>
      <c r="C2143" s="871" t="s">
        <v>184</v>
      </c>
      <c r="D2143" s="881" t="s">
        <v>90</v>
      </c>
      <c r="E2143" s="882">
        <f>'REF. DE PREÇOS n editavel'!E2143</f>
        <v>0</v>
      </c>
      <c r="F2143" s="883">
        <f>'REF. DE PREÇOS n editavel'!F2143</f>
        <v>0</v>
      </c>
      <c r="G2143" s="887">
        <f>'REF. DE PREÇOS n editavel'!G2143</f>
        <v>296.31958942</v>
      </c>
      <c r="H2143" s="876">
        <f>'REF. DE PREÇOS n editavel'!H2143</f>
        <v>1946.06</v>
      </c>
      <c r="I2143" s="876">
        <f>'REF. DE PREÇOS n editavel'!I2143</f>
        <v>2242.3795894199998</v>
      </c>
      <c r="J2143" s="877">
        <f>'REF. DE PREÇOS n editavel'!J2143</f>
        <v>2740.64</v>
      </c>
      <c r="K2143" s="878" t="s">
        <v>15</v>
      </c>
      <c r="L2143" s="1092"/>
      <c r="M2143" s="1093">
        <f t="shared" si="213"/>
        <v>0</v>
      </c>
      <c r="N2143" s="1131">
        <f t="shared" si="217"/>
        <v>0</v>
      </c>
      <c r="O2143" s="880"/>
      <c r="Q2143" s="317" t="str">
        <f t="shared" si="214"/>
        <v/>
      </c>
      <c r="R2143" s="317" t="str">
        <f t="shared" si="215"/>
        <v/>
      </c>
      <c r="S2143" s="317" t="str">
        <f t="shared" si="216"/>
        <v/>
      </c>
      <c r="T2143" s="317" t="str">
        <f>'REF. DE PREÇOS n editavel'!S2143</f>
        <v/>
      </c>
      <c r="W2143" s="577">
        <v>0</v>
      </c>
      <c r="X2143" s="575"/>
      <c r="Y2143" s="578">
        <f>IF('REF. DE PREÇOS n editavel'!W2143=0,0,IF('REF. DE PREÇOS n editavel'!W2143&gt;0,"c","b"))</f>
        <v>0</v>
      </c>
    </row>
    <row r="2144" spans="1:25" ht="15" customHeight="1">
      <c r="A2144" s="317" t="s">
        <v>147</v>
      </c>
      <c r="B2144" s="870" t="s">
        <v>147</v>
      </c>
      <c r="C2144" s="871"/>
      <c r="D2144" s="881" t="s">
        <v>190</v>
      </c>
      <c r="E2144" s="882">
        <f>'REF. DE PREÇOS n editavel'!E2144</f>
        <v>445</v>
      </c>
      <c r="F2144" s="883">
        <f>'REF. DE PREÇOS n editavel'!F2144</f>
        <v>0.20478000000000002</v>
      </c>
      <c r="G2144" s="884">
        <f>'REF. DE PREÇOS n editavel'!G2144</f>
        <v>72.680517600000016</v>
      </c>
      <c r="H2144" s="876">
        <f>'REF. DE PREÇOS n editavel'!H2144</f>
        <v>0</v>
      </c>
      <c r="I2144" s="876">
        <f>'REF. DE PREÇOS n editavel'!I2144</f>
        <v>0</v>
      </c>
      <c r="J2144" s="877">
        <f>'REF. DE PREÇOS n editavel'!J2144</f>
        <v>0</v>
      </c>
      <c r="K2144" s="878"/>
      <c r="L2144" s="1132"/>
      <c r="M2144" s="1093">
        <f t="shared" si="213"/>
        <v>0</v>
      </c>
      <c r="N2144" s="1131">
        <f t="shared" si="217"/>
        <v>0</v>
      </c>
      <c r="O2144" s="880"/>
      <c r="P2144" s="36" t="str">
        <f>IF(N2143&gt;0,"xx",IF(N2143&gt;0,"xy",""))</f>
        <v/>
      </c>
      <c r="Q2144" s="317" t="str">
        <f t="shared" si="214"/>
        <v/>
      </c>
      <c r="R2144" s="317" t="str">
        <f t="shared" si="215"/>
        <v/>
      </c>
      <c r="S2144" s="317" t="str">
        <f t="shared" si="216"/>
        <v/>
      </c>
      <c r="T2144" s="317" t="str">
        <f>'REF. DE PREÇOS n editavel'!S2144</f>
        <v/>
      </c>
      <c r="W2144" s="577">
        <v>0</v>
      </c>
      <c r="X2144" s="575"/>
      <c r="Y2144" s="578">
        <f>IF('REF. DE PREÇOS n editavel'!W2144=0,0,IF('REF. DE PREÇOS n editavel'!W2144&gt;0,"c","b"))</f>
        <v>0</v>
      </c>
    </row>
    <row r="2145" spans="1:25" ht="15" customHeight="1">
      <c r="A2145" s="317" t="s">
        <v>147</v>
      </c>
      <c r="B2145" s="870" t="s">
        <v>147</v>
      </c>
      <c r="C2145" s="871"/>
      <c r="D2145" s="881" t="s">
        <v>229</v>
      </c>
      <c r="E2145" s="882">
        <f>'REF. DE PREÇOS n editavel'!E2145</f>
        <v>290</v>
      </c>
      <c r="F2145" s="883">
        <f>'REF. DE PREÇOS n editavel'!F2145</f>
        <v>0.60275000000000001</v>
      </c>
      <c r="G2145" s="923">
        <f>'REF. DE PREÇOS n editavel'!G2145</f>
        <v>188.648695</v>
      </c>
      <c r="H2145" s="876">
        <f>'REF. DE PREÇOS n editavel'!H2145</f>
        <v>0</v>
      </c>
      <c r="I2145" s="876">
        <f>'REF. DE PREÇOS n editavel'!I2145</f>
        <v>0</v>
      </c>
      <c r="J2145" s="877">
        <f>'REF. DE PREÇOS n editavel'!J2145</f>
        <v>0</v>
      </c>
      <c r="K2145" s="878"/>
      <c r="L2145" s="1132"/>
      <c r="M2145" s="1093">
        <f t="shared" si="213"/>
        <v>0</v>
      </c>
      <c r="N2145" s="1131">
        <f t="shared" si="217"/>
        <v>0</v>
      </c>
      <c r="O2145" s="880"/>
      <c r="P2145" s="36" t="str">
        <f>IF(N2143&gt;0,"xx",IF(N2143&gt;0,"xy",""))</f>
        <v/>
      </c>
      <c r="Q2145" s="317" t="str">
        <f t="shared" si="214"/>
        <v/>
      </c>
      <c r="R2145" s="317" t="str">
        <f t="shared" si="215"/>
        <v/>
      </c>
      <c r="S2145" s="317" t="str">
        <f t="shared" si="216"/>
        <v/>
      </c>
      <c r="T2145" s="317" t="str">
        <f>'REF. DE PREÇOS n editavel'!S2145</f>
        <v/>
      </c>
      <c r="W2145" s="577">
        <v>0</v>
      </c>
      <c r="X2145" s="575"/>
      <c r="Y2145" s="578">
        <f>IF('REF. DE PREÇOS n editavel'!W2145=0,0,IF('REF. DE PREÇOS n editavel'!W2145&gt;0,"c","b"))</f>
        <v>0</v>
      </c>
    </row>
    <row r="2146" spans="1:25" ht="15" customHeight="1">
      <c r="A2146" s="317" t="s">
        <v>147</v>
      </c>
      <c r="B2146" s="870" t="s">
        <v>147</v>
      </c>
      <c r="C2146" s="871"/>
      <c r="D2146" s="881" t="s">
        <v>233</v>
      </c>
      <c r="E2146" s="882">
        <f>'REF. DE PREÇOS n editavel'!E2146</f>
        <v>43.1</v>
      </c>
      <c r="F2146" s="883">
        <f>'REF. DE PREÇOS n editavel'!F2146</f>
        <v>0.71706000000000003</v>
      </c>
      <c r="G2146" s="923">
        <f>'REF. DE PREÇOS n editavel'!G2146</f>
        <v>34.990376820000002</v>
      </c>
      <c r="H2146" s="876">
        <f>'REF. DE PREÇOS n editavel'!H2146</f>
        <v>0</v>
      </c>
      <c r="I2146" s="876">
        <f>'REF. DE PREÇOS n editavel'!I2146</f>
        <v>0</v>
      </c>
      <c r="J2146" s="877">
        <f>'REF. DE PREÇOS n editavel'!J2146</f>
        <v>0</v>
      </c>
      <c r="K2146" s="878"/>
      <c r="L2146" s="1132"/>
      <c r="M2146" s="1093">
        <f t="shared" si="213"/>
        <v>0</v>
      </c>
      <c r="N2146" s="1131">
        <f t="shared" si="217"/>
        <v>0</v>
      </c>
      <c r="O2146" s="880"/>
      <c r="P2146" s="36" t="str">
        <f>IF(N2143&gt;0,"xx",IF(N2143&gt;0,"xy",""))</f>
        <v/>
      </c>
      <c r="Q2146" s="317" t="str">
        <f t="shared" si="214"/>
        <v/>
      </c>
      <c r="R2146" s="317" t="str">
        <f t="shared" si="215"/>
        <v/>
      </c>
      <c r="S2146" s="317" t="str">
        <f t="shared" si="216"/>
        <v/>
      </c>
      <c r="T2146" s="317" t="str">
        <f>'REF. DE PREÇOS n editavel'!S2146</f>
        <v/>
      </c>
      <c r="W2146" s="577">
        <v>0</v>
      </c>
      <c r="X2146" s="575"/>
      <c r="Y2146" s="578">
        <f>IF('REF. DE PREÇOS n editavel'!W2146=0,0,IF('REF. DE PREÇOS n editavel'!W2146&gt;0,"c","b"))</f>
        <v>0</v>
      </c>
    </row>
    <row r="2147" spans="1:25" ht="15" customHeight="1">
      <c r="A2147" s="317" t="s">
        <v>22</v>
      </c>
      <c r="B2147" s="870" t="s">
        <v>22</v>
      </c>
      <c r="C2147" s="871" t="s">
        <v>184</v>
      </c>
      <c r="D2147" s="881" t="s">
        <v>87</v>
      </c>
      <c r="E2147" s="882">
        <f>'REF. DE PREÇOS n editavel'!E2147</f>
        <v>0</v>
      </c>
      <c r="F2147" s="883">
        <f>'REF. DE PREÇOS n editavel'!F2147</f>
        <v>0</v>
      </c>
      <c r="G2147" s="887">
        <f>'REF. DE PREÇOS n editavel'!G2147</f>
        <v>369.84644542000001</v>
      </c>
      <c r="H2147" s="876">
        <f>'REF. DE PREÇOS n editavel'!H2147</f>
        <v>2350.13</v>
      </c>
      <c r="I2147" s="876">
        <f>'REF. DE PREÇOS n editavel'!I2147</f>
        <v>2719.9764454200003</v>
      </c>
      <c r="J2147" s="877">
        <f>'REF. DE PREÇOS n editavel'!J2147</f>
        <v>3324.36</v>
      </c>
      <c r="K2147" s="878" t="s">
        <v>15</v>
      </c>
      <c r="L2147" s="1092"/>
      <c r="M2147" s="1093">
        <f t="shared" si="213"/>
        <v>0</v>
      </c>
      <c r="N2147" s="1131">
        <f t="shared" si="217"/>
        <v>0</v>
      </c>
      <c r="O2147" s="880"/>
      <c r="Q2147" s="317" t="str">
        <f t="shared" si="214"/>
        <v/>
      </c>
      <c r="R2147" s="317" t="str">
        <f t="shared" si="215"/>
        <v/>
      </c>
      <c r="S2147" s="317" t="str">
        <f t="shared" si="216"/>
        <v/>
      </c>
      <c r="T2147" s="317" t="str">
        <f>'REF. DE PREÇOS n editavel'!S2147</f>
        <v/>
      </c>
      <c r="W2147" s="577">
        <v>0</v>
      </c>
      <c r="X2147" s="575"/>
      <c r="Y2147" s="578">
        <f>IF('REF. DE PREÇOS n editavel'!W2147=0,0,IF('REF. DE PREÇOS n editavel'!W2147&gt;0,"c","b"))</f>
        <v>0</v>
      </c>
    </row>
    <row r="2148" spans="1:25" ht="15" customHeight="1">
      <c r="A2148" s="317" t="s">
        <v>147</v>
      </c>
      <c r="B2148" s="870" t="s">
        <v>147</v>
      </c>
      <c r="C2148" s="871"/>
      <c r="D2148" s="881" t="s">
        <v>190</v>
      </c>
      <c r="E2148" s="882">
        <f>'REF. DE PREÇOS n editavel'!E2148</f>
        <v>445</v>
      </c>
      <c r="F2148" s="883">
        <f>'REF. DE PREÇOS n editavel'!F2148</f>
        <v>0.25757999999999998</v>
      </c>
      <c r="G2148" s="884">
        <f>'REF. DE PREÇOS n editavel'!G2148</f>
        <v>91.420293599999994</v>
      </c>
      <c r="H2148" s="876">
        <f>'REF. DE PREÇOS n editavel'!H2148</f>
        <v>0</v>
      </c>
      <c r="I2148" s="876">
        <f>'REF. DE PREÇOS n editavel'!I2148</f>
        <v>0</v>
      </c>
      <c r="J2148" s="877">
        <f>'REF. DE PREÇOS n editavel'!J2148</f>
        <v>0</v>
      </c>
      <c r="K2148" s="878"/>
      <c r="L2148" s="1132"/>
      <c r="M2148" s="1093">
        <f t="shared" si="213"/>
        <v>0</v>
      </c>
      <c r="N2148" s="1131">
        <f t="shared" si="217"/>
        <v>0</v>
      </c>
      <c r="O2148" s="880"/>
      <c r="P2148" s="36" t="str">
        <f>IF(N2147&gt;0,"xx",IF(N2147&gt;0,"xy",""))</f>
        <v/>
      </c>
      <c r="Q2148" s="317" t="str">
        <f t="shared" si="214"/>
        <v/>
      </c>
      <c r="R2148" s="317" t="str">
        <f t="shared" si="215"/>
        <v/>
      </c>
      <c r="S2148" s="317" t="str">
        <f t="shared" si="216"/>
        <v/>
      </c>
      <c r="T2148" s="317" t="str">
        <f>'REF. DE PREÇOS n editavel'!S2148</f>
        <v/>
      </c>
      <c r="W2148" s="577">
        <v>0</v>
      </c>
      <c r="X2148" s="575"/>
      <c r="Y2148" s="578">
        <f>IF('REF. DE PREÇOS n editavel'!W2148=0,0,IF('REF. DE PREÇOS n editavel'!W2148&gt;0,"c","b"))</f>
        <v>0</v>
      </c>
    </row>
    <row r="2149" spans="1:25" ht="15" customHeight="1">
      <c r="A2149" s="317" t="s">
        <v>147</v>
      </c>
      <c r="B2149" s="870" t="s">
        <v>147</v>
      </c>
      <c r="C2149" s="871"/>
      <c r="D2149" s="881" t="s">
        <v>229</v>
      </c>
      <c r="E2149" s="882">
        <f>'REF. DE PREÇOS n editavel'!E2149</f>
        <v>290</v>
      </c>
      <c r="F2149" s="883">
        <f>'REF. DE PREÇOS n editavel'!F2149</f>
        <v>0.75010999999999994</v>
      </c>
      <c r="G2149" s="923">
        <f>'REF. DE PREÇOS n editavel'!G2149</f>
        <v>234.76942779999999</v>
      </c>
      <c r="H2149" s="876">
        <f>'REF. DE PREÇOS n editavel'!H2149</f>
        <v>0</v>
      </c>
      <c r="I2149" s="876">
        <f>'REF. DE PREÇOS n editavel'!I2149</f>
        <v>0</v>
      </c>
      <c r="J2149" s="877">
        <f>'REF. DE PREÇOS n editavel'!J2149</f>
        <v>0</v>
      </c>
      <c r="K2149" s="878"/>
      <c r="L2149" s="1132"/>
      <c r="M2149" s="1093">
        <f t="shared" si="213"/>
        <v>0</v>
      </c>
      <c r="N2149" s="1131">
        <f t="shared" si="217"/>
        <v>0</v>
      </c>
      <c r="O2149" s="880"/>
      <c r="P2149" s="36" t="str">
        <f>IF(N2147&gt;0,"xx",IF(N2147&gt;0,"xy",""))</f>
        <v/>
      </c>
      <c r="Q2149" s="317" t="str">
        <f t="shared" si="214"/>
        <v/>
      </c>
      <c r="R2149" s="317" t="str">
        <f t="shared" si="215"/>
        <v/>
      </c>
      <c r="S2149" s="317" t="str">
        <f t="shared" si="216"/>
        <v/>
      </c>
      <c r="T2149" s="317" t="str">
        <f>'REF. DE PREÇOS n editavel'!S2149</f>
        <v/>
      </c>
      <c r="W2149" s="577">
        <v>0</v>
      </c>
      <c r="X2149" s="575"/>
      <c r="Y2149" s="578">
        <f>IF('REF. DE PREÇOS n editavel'!W2149=0,0,IF('REF. DE PREÇOS n editavel'!W2149&gt;0,"c","b"))</f>
        <v>0</v>
      </c>
    </row>
    <row r="2150" spans="1:25" ht="15" customHeight="1">
      <c r="A2150" s="317" t="s">
        <v>147</v>
      </c>
      <c r="B2150" s="870" t="s">
        <v>147</v>
      </c>
      <c r="C2150" s="871"/>
      <c r="D2150" s="881" t="s">
        <v>233</v>
      </c>
      <c r="E2150" s="882">
        <f>'REF. DE PREÇOS n editavel'!E2150</f>
        <v>43.1</v>
      </c>
      <c r="F2150" s="883">
        <f>'REF. DE PREÇOS n editavel'!F2150</f>
        <v>0.89466000000000001</v>
      </c>
      <c r="G2150" s="923">
        <f>'REF. DE PREÇOS n editavel'!G2150</f>
        <v>43.656724020000006</v>
      </c>
      <c r="H2150" s="876">
        <f>'REF. DE PREÇOS n editavel'!H2150</f>
        <v>0</v>
      </c>
      <c r="I2150" s="876">
        <f>'REF. DE PREÇOS n editavel'!I2150</f>
        <v>0</v>
      </c>
      <c r="J2150" s="877">
        <f>'REF. DE PREÇOS n editavel'!J2150</f>
        <v>0</v>
      </c>
      <c r="K2150" s="878"/>
      <c r="L2150" s="1132"/>
      <c r="M2150" s="1093">
        <f t="shared" si="213"/>
        <v>0</v>
      </c>
      <c r="N2150" s="1131">
        <f t="shared" si="217"/>
        <v>0</v>
      </c>
      <c r="O2150" s="880"/>
      <c r="P2150" s="36" t="str">
        <f>IF(N2147&gt;0,"xx",IF(N2147&gt;0,"xy",""))</f>
        <v/>
      </c>
      <c r="Q2150" s="317" t="str">
        <f t="shared" si="214"/>
        <v/>
      </c>
      <c r="R2150" s="317" t="str">
        <f t="shared" si="215"/>
        <v/>
      </c>
      <c r="S2150" s="317" t="str">
        <f t="shared" si="216"/>
        <v/>
      </c>
      <c r="T2150" s="317" t="str">
        <f>'REF. DE PREÇOS n editavel'!S2150</f>
        <v/>
      </c>
      <c r="W2150" s="577">
        <v>0</v>
      </c>
      <c r="X2150" s="575"/>
      <c r="Y2150" s="578">
        <f>IF('REF. DE PREÇOS n editavel'!W2150=0,0,IF('REF. DE PREÇOS n editavel'!W2150&gt;0,"c","b"))</f>
        <v>0</v>
      </c>
    </row>
    <row r="2151" spans="1:25" ht="15" customHeight="1">
      <c r="A2151" s="317" t="s">
        <v>23</v>
      </c>
      <c r="B2151" s="870" t="s">
        <v>23</v>
      </c>
      <c r="C2151" s="871" t="s">
        <v>184</v>
      </c>
      <c r="D2151" s="881" t="s">
        <v>88</v>
      </c>
      <c r="E2151" s="882">
        <f>'REF. DE PREÇOS n editavel'!E2151</f>
        <v>0</v>
      </c>
      <c r="F2151" s="883">
        <f>'REF. DE PREÇOS n editavel'!F2151</f>
        <v>0</v>
      </c>
      <c r="G2151" s="887">
        <f>'REF. DE PREÇOS n editavel'!G2151</f>
        <v>489.3275864200001</v>
      </c>
      <c r="H2151" s="876">
        <f>'REF. DE PREÇOS n editavel'!H2151</f>
        <v>2551.63</v>
      </c>
      <c r="I2151" s="876">
        <f>'REF. DE PREÇOS n editavel'!I2151</f>
        <v>3040.9575864200001</v>
      </c>
      <c r="J2151" s="877">
        <f>'REF. DE PREÇOS n editavel'!J2151</f>
        <v>3716.66</v>
      </c>
      <c r="K2151" s="878" t="s">
        <v>15</v>
      </c>
      <c r="L2151" s="1092"/>
      <c r="M2151" s="1093">
        <f t="shared" si="213"/>
        <v>0</v>
      </c>
      <c r="N2151" s="1131">
        <f t="shared" si="217"/>
        <v>0</v>
      </c>
      <c r="O2151" s="880"/>
      <c r="Q2151" s="317" t="str">
        <f t="shared" si="214"/>
        <v/>
      </c>
      <c r="R2151" s="317" t="str">
        <f t="shared" si="215"/>
        <v/>
      </c>
      <c r="S2151" s="317" t="str">
        <f t="shared" si="216"/>
        <v/>
      </c>
      <c r="T2151" s="317" t="str">
        <f>'REF. DE PREÇOS n editavel'!S2151</f>
        <v/>
      </c>
      <c r="W2151" s="577">
        <v>0</v>
      </c>
      <c r="X2151" s="575"/>
      <c r="Y2151" s="578">
        <f>IF('REF. DE PREÇOS n editavel'!W2151=0,0,IF('REF. DE PREÇOS n editavel'!W2151&gt;0,"c","b"))</f>
        <v>0</v>
      </c>
    </row>
    <row r="2152" spans="1:25" ht="15" customHeight="1">
      <c r="A2152" s="317" t="s">
        <v>147</v>
      </c>
      <c r="B2152" s="870" t="s">
        <v>147</v>
      </c>
      <c r="C2152" s="871"/>
      <c r="D2152" s="881" t="s">
        <v>190</v>
      </c>
      <c r="E2152" s="882">
        <f>'REF. DE PREÇOS n editavel'!E2152</f>
        <v>445</v>
      </c>
      <c r="F2152" s="883">
        <f>'REF. DE PREÇOS n editavel'!F2152</f>
        <v>0.34338000000000002</v>
      </c>
      <c r="G2152" s="884">
        <f>'REF. DE PREÇOS n editavel'!G2152</f>
        <v>121.87242960000002</v>
      </c>
      <c r="H2152" s="876">
        <f>'REF. DE PREÇOS n editavel'!H2152</f>
        <v>0</v>
      </c>
      <c r="I2152" s="876">
        <f>'REF. DE PREÇOS n editavel'!I2152</f>
        <v>0</v>
      </c>
      <c r="J2152" s="877">
        <f>'REF. DE PREÇOS n editavel'!J2152</f>
        <v>0</v>
      </c>
      <c r="K2152" s="878"/>
      <c r="L2152" s="1132"/>
      <c r="M2152" s="1093">
        <f t="shared" si="213"/>
        <v>0</v>
      </c>
      <c r="N2152" s="1131">
        <f t="shared" si="217"/>
        <v>0</v>
      </c>
      <c r="O2152" s="880"/>
      <c r="P2152" s="36" t="str">
        <f>IF(N2151&gt;0,"xx",IF(N2151&gt;0,"xy",""))</f>
        <v/>
      </c>
      <c r="Q2152" s="317" t="str">
        <f t="shared" si="214"/>
        <v/>
      </c>
      <c r="R2152" s="317" t="str">
        <f t="shared" si="215"/>
        <v/>
      </c>
      <c r="S2152" s="317" t="str">
        <f t="shared" si="216"/>
        <v/>
      </c>
      <c r="T2152" s="317" t="str">
        <f>'REF. DE PREÇOS n editavel'!S2152</f>
        <v/>
      </c>
      <c r="W2152" s="577">
        <v>0</v>
      </c>
      <c r="X2152" s="575"/>
      <c r="Y2152" s="578">
        <f>IF('REF. DE PREÇOS n editavel'!W2152=0,0,IF('REF. DE PREÇOS n editavel'!W2152&gt;0,"c","b"))</f>
        <v>0</v>
      </c>
    </row>
    <row r="2153" spans="1:25" ht="15" customHeight="1">
      <c r="A2153" s="317" t="s">
        <v>147</v>
      </c>
      <c r="B2153" s="870" t="s">
        <v>147</v>
      </c>
      <c r="C2153" s="871"/>
      <c r="D2153" s="881" t="s">
        <v>229</v>
      </c>
      <c r="E2153" s="882">
        <f>'REF. DE PREÇOS n editavel'!E2153</f>
        <v>290</v>
      </c>
      <c r="F2153" s="883">
        <f>'REF. DE PREÇOS n editavel'!F2153</f>
        <v>0.98957000000000006</v>
      </c>
      <c r="G2153" s="923">
        <f>'REF. DE PREÇOS n editavel'!G2153</f>
        <v>309.71561860000003</v>
      </c>
      <c r="H2153" s="876">
        <f>'REF. DE PREÇOS n editavel'!H2153</f>
        <v>0</v>
      </c>
      <c r="I2153" s="876">
        <f>'REF. DE PREÇOS n editavel'!I2153</f>
        <v>0</v>
      </c>
      <c r="J2153" s="877">
        <f>'REF. DE PREÇOS n editavel'!J2153</f>
        <v>0</v>
      </c>
      <c r="K2153" s="878"/>
      <c r="L2153" s="1132"/>
      <c r="M2153" s="1093">
        <f t="shared" si="213"/>
        <v>0</v>
      </c>
      <c r="N2153" s="1131">
        <f t="shared" si="217"/>
        <v>0</v>
      </c>
      <c r="O2153" s="880"/>
      <c r="P2153" s="36" t="str">
        <f>IF(N2151&gt;0,"xx",IF(N2151&gt;0,"xy",""))</f>
        <v/>
      </c>
      <c r="Q2153" s="317" t="str">
        <f t="shared" si="214"/>
        <v/>
      </c>
      <c r="R2153" s="317" t="str">
        <f t="shared" si="215"/>
        <v/>
      </c>
      <c r="S2153" s="317" t="str">
        <f t="shared" si="216"/>
        <v/>
      </c>
      <c r="T2153" s="317" t="str">
        <f>'REF. DE PREÇOS n editavel'!S2153</f>
        <v/>
      </c>
      <c r="W2153" s="577">
        <v>0</v>
      </c>
      <c r="X2153" s="575"/>
      <c r="Y2153" s="578">
        <f>IF('REF. DE PREÇOS n editavel'!W2153=0,0,IF('REF. DE PREÇOS n editavel'!W2153&gt;0,"c","b"))</f>
        <v>0</v>
      </c>
    </row>
    <row r="2154" spans="1:25" ht="15" customHeight="1">
      <c r="A2154" s="317" t="s">
        <v>147</v>
      </c>
      <c r="B2154" s="870" t="s">
        <v>147</v>
      </c>
      <c r="C2154" s="871"/>
      <c r="D2154" s="881" t="s">
        <v>233</v>
      </c>
      <c r="E2154" s="882">
        <f>'REF. DE PREÇOS n editavel'!E2154</f>
        <v>43.1</v>
      </c>
      <c r="F2154" s="883">
        <f>'REF. DE PREÇOS n editavel'!F2154</f>
        <v>1.1832600000000002</v>
      </c>
      <c r="G2154" s="923">
        <f>'REF. DE PREÇOS n editavel'!G2154</f>
        <v>57.739538220000014</v>
      </c>
      <c r="H2154" s="876">
        <f>'REF. DE PREÇOS n editavel'!H2154</f>
        <v>0</v>
      </c>
      <c r="I2154" s="876">
        <f>'REF. DE PREÇOS n editavel'!I2154</f>
        <v>0</v>
      </c>
      <c r="J2154" s="877">
        <f>'REF. DE PREÇOS n editavel'!J2154</f>
        <v>0</v>
      </c>
      <c r="K2154" s="878"/>
      <c r="L2154" s="1132"/>
      <c r="M2154" s="1093">
        <f t="shared" si="213"/>
        <v>0</v>
      </c>
      <c r="N2154" s="1131">
        <f t="shared" si="217"/>
        <v>0</v>
      </c>
      <c r="O2154" s="880"/>
      <c r="P2154" s="36" t="str">
        <f>IF(N2151&gt;0,"xx",IF(N2151&gt;0,"xy",""))</f>
        <v/>
      </c>
      <c r="Q2154" s="317" t="str">
        <f t="shared" si="214"/>
        <v/>
      </c>
      <c r="R2154" s="317" t="str">
        <f t="shared" si="215"/>
        <v/>
      </c>
      <c r="S2154" s="317" t="str">
        <f t="shared" si="216"/>
        <v/>
      </c>
      <c r="T2154" s="317" t="str">
        <f>'REF. DE PREÇOS n editavel'!S2154</f>
        <v/>
      </c>
      <c r="W2154" s="577">
        <v>0</v>
      </c>
      <c r="X2154" s="575"/>
      <c r="Y2154" s="578">
        <f>IF('REF. DE PREÇOS n editavel'!W2154=0,0,IF('REF. DE PREÇOS n editavel'!W2154&gt;0,"c","b"))</f>
        <v>0</v>
      </c>
    </row>
    <row r="2155" spans="1:25" ht="15" customHeight="1">
      <c r="A2155" s="317" t="s">
        <v>24</v>
      </c>
      <c r="B2155" s="870" t="s">
        <v>24</v>
      </c>
      <c r="C2155" s="871" t="s">
        <v>184</v>
      </c>
      <c r="D2155" s="881" t="s">
        <v>89</v>
      </c>
      <c r="E2155" s="882">
        <f>'REF. DE PREÇOS n editavel'!E2155</f>
        <v>0</v>
      </c>
      <c r="F2155" s="883">
        <f>'REF. DE PREÇOS n editavel'!F2155</f>
        <v>0</v>
      </c>
      <c r="G2155" s="887">
        <f>'REF. DE PREÇOS n editavel'!G2155</f>
        <v>608.80872742000008</v>
      </c>
      <c r="H2155" s="876">
        <f>'REF. DE PREÇOS n editavel'!H2155</f>
        <v>3101.29</v>
      </c>
      <c r="I2155" s="876">
        <f>'REF. DE PREÇOS n editavel'!I2155</f>
        <v>3710.0987274200002</v>
      </c>
      <c r="J2155" s="877">
        <f>'REF. DE PREÇOS n editavel'!J2155</f>
        <v>4534.4799999999996</v>
      </c>
      <c r="K2155" s="878" t="s">
        <v>15</v>
      </c>
      <c r="L2155" s="1092"/>
      <c r="M2155" s="1093">
        <f t="shared" si="213"/>
        <v>0</v>
      </c>
      <c r="N2155" s="1131">
        <f t="shared" si="217"/>
        <v>0</v>
      </c>
      <c r="O2155" s="880"/>
      <c r="Q2155" s="317" t="str">
        <f t="shared" si="214"/>
        <v/>
      </c>
      <c r="R2155" s="317" t="str">
        <f t="shared" si="215"/>
        <v/>
      </c>
      <c r="S2155" s="317" t="str">
        <f t="shared" si="216"/>
        <v/>
      </c>
      <c r="T2155" s="317" t="str">
        <f>'REF. DE PREÇOS n editavel'!S2155</f>
        <v/>
      </c>
      <c r="W2155" s="577">
        <v>0</v>
      </c>
      <c r="X2155" s="575"/>
      <c r="Y2155" s="578">
        <f>IF('REF. DE PREÇOS n editavel'!W2155=0,0,IF('REF. DE PREÇOS n editavel'!W2155&gt;0,"c","b"))</f>
        <v>0</v>
      </c>
    </row>
    <row r="2156" spans="1:25" ht="15" customHeight="1">
      <c r="A2156" s="317" t="s">
        <v>147</v>
      </c>
      <c r="B2156" s="870" t="s">
        <v>147</v>
      </c>
      <c r="C2156" s="871"/>
      <c r="D2156" s="881" t="s">
        <v>190</v>
      </c>
      <c r="E2156" s="882">
        <f>'REF. DE PREÇOS n editavel'!E2156</f>
        <v>445</v>
      </c>
      <c r="F2156" s="883">
        <f>'REF. DE PREÇOS n editavel'!F2156</f>
        <v>0.42918000000000001</v>
      </c>
      <c r="G2156" s="884">
        <f>'REF. DE PREÇOS n editavel'!G2156</f>
        <v>152.3245656</v>
      </c>
      <c r="H2156" s="876">
        <f>'REF. DE PREÇOS n editavel'!H2156</f>
        <v>0</v>
      </c>
      <c r="I2156" s="876">
        <f>'REF. DE PREÇOS n editavel'!I2156</f>
        <v>0</v>
      </c>
      <c r="J2156" s="877">
        <f>'REF. DE PREÇOS n editavel'!J2156</f>
        <v>0</v>
      </c>
      <c r="K2156" s="878"/>
      <c r="L2156" s="1132"/>
      <c r="M2156" s="1093">
        <f t="shared" si="213"/>
        <v>0</v>
      </c>
      <c r="N2156" s="1131">
        <f t="shared" si="217"/>
        <v>0</v>
      </c>
      <c r="O2156" s="880"/>
      <c r="P2156" s="36" t="str">
        <f>IF(N2155&gt;0,"xx",IF(N2155&gt;0,"xy",""))</f>
        <v/>
      </c>
      <c r="Q2156" s="317" t="str">
        <f t="shared" si="214"/>
        <v/>
      </c>
      <c r="R2156" s="317" t="str">
        <f t="shared" si="215"/>
        <v/>
      </c>
      <c r="S2156" s="317" t="str">
        <f t="shared" si="216"/>
        <v/>
      </c>
      <c r="T2156" s="317" t="str">
        <f>'REF. DE PREÇOS n editavel'!S2156</f>
        <v/>
      </c>
      <c r="W2156" s="577">
        <v>0</v>
      </c>
      <c r="X2156" s="575"/>
      <c r="Y2156" s="578">
        <f>IF('REF. DE PREÇOS n editavel'!W2156=0,0,IF('REF. DE PREÇOS n editavel'!W2156&gt;0,"c","b"))</f>
        <v>0</v>
      </c>
    </row>
    <row r="2157" spans="1:25" ht="15" customHeight="1">
      <c r="A2157" s="317" t="s">
        <v>147</v>
      </c>
      <c r="B2157" s="870" t="s">
        <v>147</v>
      </c>
      <c r="C2157" s="871"/>
      <c r="D2157" s="881" t="s">
        <v>229</v>
      </c>
      <c r="E2157" s="882">
        <f>'REF. DE PREÇOS n editavel'!E2157</f>
        <v>290</v>
      </c>
      <c r="F2157" s="883">
        <f>'REF. DE PREÇOS n editavel'!F2157</f>
        <v>1.2290300000000001</v>
      </c>
      <c r="G2157" s="923">
        <f>'REF. DE PREÇOS n editavel'!G2157</f>
        <v>384.66180940000004</v>
      </c>
      <c r="H2157" s="876">
        <f>'REF. DE PREÇOS n editavel'!H2157</f>
        <v>0</v>
      </c>
      <c r="I2157" s="876">
        <f>'REF. DE PREÇOS n editavel'!I2157</f>
        <v>0</v>
      </c>
      <c r="J2157" s="877">
        <f>'REF. DE PREÇOS n editavel'!J2157</f>
        <v>0</v>
      </c>
      <c r="K2157" s="878"/>
      <c r="L2157" s="1132"/>
      <c r="M2157" s="1093">
        <f t="shared" si="213"/>
        <v>0</v>
      </c>
      <c r="N2157" s="1131">
        <f t="shared" si="217"/>
        <v>0</v>
      </c>
      <c r="O2157" s="880"/>
      <c r="P2157" s="36" t="str">
        <f>IF(N2155&gt;0,"xx",IF(N2155&gt;0,"xy",""))</f>
        <v/>
      </c>
      <c r="Q2157" s="317" t="str">
        <f t="shared" si="214"/>
        <v/>
      </c>
      <c r="R2157" s="317" t="str">
        <f t="shared" si="215"/>
        <v/>
      </c>
      <c r="S2157" s="317" t="str">
        <f t="shared" si="216"/>
        <v/>
      </c>
      <c r="T2157" s="317" t="str">
        <f>'REF. DE PREÇOS n editavel'!S2157</f>
        <v/>
      </c>
      <c r="W2157" s="577">
        <v>0</v>
      </c>
      <c r="X2157" s="575"/>
      <c r="Y2157" s="578">
        <f>IF('REF. DE PREÇOS n editavel'!W2157=0,0,IF('REF. DE PREÇOS n editavel'!W2157&gt;0,"c","b"))</f>
        <v>0</v>
      </c>
    </row>
    <row r="2158" spans="1:25" ht="15" customHeight="1">
      <c r="A2158" s="317" t="s">
        <v>147</v>
      </c>
      <c r="B2158" s="870" t="s">
        <v>147</v>
      </c>
      <c r="C2158" s="871"/>
      <c r="D2158" s="881" t="s">
        <v>233</v>
      </c>
      <c r="E2158" s="882">
        <f>'REF. DE PREÇOS n editavel'!E2158</f>
        <v>43.1</v>
      </c>
      <c r="F2158" s="883">
        <f>'REF. DE PREÇOS n editavel'!F2158</f>
        <v>1.4718600000000002</v>
      </c>
      <c r="G2158" s="923">
        <f>'REF. DE PREÇOS n editavel'!G2158</f>
        <v>71.822352420000016</v>
      </c>
      <c r="H2158" s="876">
        <f>'REF. DE PREÇOS n editavel'!H2158</f>
        <v>0</v>
      </c>
      <c r="I2158" s="876">
        <f>'REF. DE PREÇOS n editavel'!I2158</f>
        <v>0</v>
      </c>
      <c r="J2158" s="877">
        <f>'REF. DE PREÇOS n editavel'!J2158</f>
        <v>0</v>
      </c>
      <c r="K2158" s="878"/>
      <c r="L2158" s="1132"/>
      <c r="M2158" s="1093">
        <f t="shared" si="213"/>
        <v>0</v>
      </c>
      <c r="N2158" s="1131">
        <f t="shared" si="217"/>
        <v>0</v>
      </c>
      <c r="O2158" s="880"/>
      <c r="P2158" s="36" t="str">
        <f>IF(N2155&gt;0,"xx",IF(N2155&gt;0,"xy",""))</f>
        <v/>
      </c>
      <c r="Q2158" s="317" t="str">
        <f t="shared" si="214"/>
        <v/>
      </c>
      <c r="R2158" s="317" t="str">
        <f t="shared" si="215"/>
        <v/>
      </c>
      <c r="S2158" s="317" t="str">
        <f t="shared" si="216"/>
        <v/>
      </c>
      <c r="T2158" s="317" t="str">
        <f>'REF. DE PREÇOS n editavel'!S2158</f>
        <v/>
      </c>
      <c r="W2158" s="577">
        <v>0</v>
      </c>
      <c r="X2158" s="575"/>
      <c r="Y2158" s="578">
        <f>IF('REF. DE PREÇOS n editavel'!W2158=0,0,IF('REF. DE PREÇOS n editavel'!W2158&gt;0,"c","b"))</f>
        <v>0</v>
      </c>
    </row>
    <row r="2159" spans="1:25" ht="15" customHeight="1">
      <c r="A2159" s="317" t="s">
        <v>25</v>
      </c>
      <c r="B2159" s="870" t="s">
        <v>25</v>
      </c>
      <c r="C2159" s="871" t="s">
        <v>184</v>
      </c>
      <c r="D2159" s="881" t="s">
        <v>83</v>
      </c>
      <c r="E2159" s="882">
        <f>'REF. DE PREÇOS n editavel'!E2159</f>
        <v>0</v>
      </c>
      <c r="F2159" s="883">
        <f>'REF. DE PREÇOS n editavel'!F2159</f>
        <v>0</v>
      </c>
      <c r="G2159" s="887">
        <f>'REF. DE PREÇOS n editavel'!G2159</f>
        <v>519.1851693320001</v>
      </c>
      <c r="H2159" s="876">
        <f>'REF. DE PREÇOS n editavel'!H2159</f>
        <v>2761.42</v>
      </c>
      <c r="I2159" s="876">
        <f>'REF. DE PREÇOS n editavel'!I2159</f>
        <v>3280.6051693320001</v>
      </c>
      <c r="J2159" s="877">
        <f>'REF. DE PREÇOS n editavel'!J2159</f>
        <v>4009.56</v>
      </c>
      <c r="K2159" s="878" t="s">
        <v>15</v>
      </c>
      <c r="L2159" s="1092"/>
      <c r="M2159" s="1093">
        <f t="shared" si="213"/>
        <v>0</v>
      </c>
      <c r="N2159" s="1131">
        <f t="shared" si="217"/>
        <v>0</v>
      </c>
      <c r="O2159" s="880"/>
      <c r="Q2159" s="317" t="str">
        <f t="shared" si="214"/>
        <v/>
      </c>
      <c r="R2159" s="317" t="str">
        <f t="shared" si="215"/>
        <v/>
      </c>
      <c r="S2159" s="317" t="str">
        <f t="shared" si="216"/>
        <v/>
      </c>
      <c r="T2159" s="317" t="str">
        <f>'REF. DE PREÇOS n editavel'!S2159</f>
        <v/>
      </c>
      <c r="W2159" s="577">
        <v>0</v>
      </c>
      <c r="X2159" s="575"/>
      <c r="Y2159" s="578">
        <f>IF('REF. DE PREÇOS n editavel'!W2159=0,0,IF('REF. DE PREÇOS n editavel'!W2159&gt;0,"c","b"))</f>
        <v>0</v>
      </c>
    </row>
    <row r="2160" spans="1:25" ht="15" customHeight="1">
      <c r="A2160" s="317" t="s">
        <v>147</v>
      </c>
      <c r="B2160" s="870" t="s">
        <v>147</v>
      </c>
      <c r="C2160" s="871"/>
      <c r="D2160" s="881" t="s">
        <v>190</v>
      </c>
      <c r="E2160" s="882">
        <f>'REF. DE PREÇOS n editavel'!E2160</f>
        <v>445</v>
      </c>
      <c r="F2160" s="883">
        <f>'REF. DE PREÇOS n editavel'!F2160</f>
        <v>0.2047668</v>
      </c>
      <c r="G2160" s="884">
        <f>'REF. DE PREÇOS n editavel'!G2160</f>
        <v>72.675832655999997</v>
      </c>
      <c r="H2160" s="876">
        <f>'REF. DE PREÇOS n editavel'!H2160</f>
        <v>0</v>
      </c>
      <c r="I2160" s="876">
        <f>'REF. DE PREÇOS n editavel'!I2160</f>
        <v>0</v>
      </c>
      <c r="J2160" s="877">
        <f>'REF. DE PREÇOS n editavel'!J2160</f>
        <v>0</v>
      </c>
      <c r="K2160" s="878"/>
      <c r="L2160" s="1132"/>
      <c r="M2160" s="1093">
        <f t="shared" si="213"/>
        <v>0</v>
      </c>
      <c r="N2160" s="1131">
        <f t="shared" si="217"/>
        <v>0</v>
      </c>
      <c r="O2160" s="880"/>
      <c r="P2160" s="36" t="str">
        <f>IF(N2159&gt;0,"xx",IF(N2159&gt;0,"xy",""))</f>
        <v/>
      </c>
      <c r="Q2160" s="317" t="str">
        <f t="shared" si="214"/>
        <v/>
      </c>
      <c r="R2160" s="317" t="str">
        <f t="shared" si="215"/>
        <v/>
      </c>
      <c r="S2160" s="317" t="str">
        <f t="shared" si="216"/>
        <v/>
      </c>
      <c r="T2160" s="317" t="str">
        <f>'REF. DE PREÇOS n editavel'!S2160</f>
        <v/>
      </c>
      <c r="W2160" s="577">
        <v>0</v>
      </c>
      <c r="X2160" s="575"/>
      <c r="Y2160" s="578">
        <f>IF('REF. DE PREÇOS n editavel'!W2160=0,0,IF('REF. DE PREÇOS n editavel'!W2160&gt;0,"c","b"))</f>
        <v>0</v>
      </c>
    </row>
    <row r="2161" spans="1:25" ht="15" customHeight="1">
      <c r="A2161" s="317" t="s">
        <v>147</v>
      </c>
      <c r="B2161" s="870" t="s">
        <v>147</v>
      </c>
      <c r="C2161" s="871"/>
      <c r="D2161" s="881" t="s">
        <v>229</v>
      </c>
      <c r="E2161" s="882">
        <f>'REF. DE PREÇOS n editavel'!E2161</f>
        <v>290</v>
      </c>
      <c r="F2161" s="883">
        <f>'REF. DE PREÇOS n editavel'!F2161</f>
        <v>1.1293030000000002</v>
      </c>
      <c r="G2161" s="923">
        <f>'REF. DE PREÇOS n editavel'!G2161</f>
        <v>353.44925294000006</v>
      </c>
      <c r="H2161" s="876">
        <f>'REF. DE PREÇOS n editavel'!H2161</f>
        <v>0</v>
      </c>
      <c r="I2161" s="876">
        <f>'REF. DE PREÇOS n editavel'!I2161</f>
        <v>0</v>
      </c>
      <c r="J2161" s="877">
        <f>'REF. DE PREÇOS n editavel'!J2161</f>
        <v>0</v>
      </c>
      <c r="K2161" s="878"/>
      <c r="L2161" s="1132"/>
      <c r="M2161" s="1093">
        <f t="shared" si="213"/>
        <v>0</v>
      </c>
      <c r="N2161" s="1131">
        <f t="shared" si="217"/>
        <v>0</v>
      </c>
      <c r="O2161" s="880"/>
      <c r="P2161" s="36" t="str">
        <f>IF(N2159&gt;0,"xx",IF(N2159&gt;0,"xy",""))</f>
        <v/>
      </c>
      <c r="Q2161" s="317" t="str">
        <f t="shared" si="214"/>
        <v/>
      </c>
      <c r="R2161" s="317" t="str">
        <f t="shared" si="215"/>
        <v/>
      </c>
      <c r="S2161" s="317" t="str">
        <f t="shared" si="216"/>
        <v/>
      </c>
      <c r="T2161" s="317" t="str">
        <f>'REF. DE PREÇOS n editavel'!S2161</f>
        <v/>
      </c>
      <c r="W2161" s="577">
        <v>0</v>
      </c>
      <c r="X2161" s="575"/>
      <c r="Y2161" s="578">
        <f>IF('REF. DE PREÇOS n editavel'!W2161=0,0,IF('REF. DE PREÇOS n editavel'!W2161&gt;0,"c","b"))</f>
        <v>0</v>
      </c>
    </row>
    <row r="2162" spans="1:25" ht="15" customHeight="1">
      <c r="A2162" s="317" t="s">
        <v>147</v>
      </c>
      <c r="B2162" s="870" t="s">
        <v>147</v>
      </c>
      <c r="C2162" s="871"/>
      <c r="D2162" s="881" t="s">
        <v>233</v>
      </c>
      <c r="E2162" s="882">
        <f>'REF. DE PREÇOS n editavel'!E2162</f>
        <v>43.1</v>
      </c>
      <c r="F2162" s="883">
        <f>'REF. DE PREÇOS n editavel'!F2162</f>
        <v>0.38805600000000001</v>
      </c>
      <c r="G2162" s="923">
        <f>'REF. DE PREÇOS n editavel'!G2162</f>
        <v>18.935968632000002</v>
      </c>
      <c r="H2162" s="876">
        <f>'REF. DE PREÇOS n editavel'!H2162</f>
        <v>0</v>
      </c>
      <c r="I2162" s="876">
        <f>'REF. DE PREÇOS n editavel'!I2162</f>
        <v>0</v>
      </c>
      <c r="J2162" s="877">
        <f>'REF. DE PREÇOS n editavel'!J2162</f>
        <v>0</v>
      </c>
      <c r="K2162" s="878"/>
      <c r="L2162" s="1132"/>
      <c r="M2162" s="1093">
        <f t="shared" si="213"/>
        <v>0</v>
      </c>
      <c r="N2162" s="1131">
        <f t="shared" si="217"/>
        <v>0</v>
      </c>
      <c r="O2162" s="880"/>
      <c r="P2162" s="36" t="str">
        <f>IF(N2159&gt;0,"xx",IF(N2159&gt;0,"xy",""))</f>
        <v/>
      </c>
      <c r="Q2162" s="317" t="str">
        <f t="shared" si="214"/>
        <v/>
      </c>
      <c r="R2162" s="317" t="str">
        <f t="shared" si="215"/>
        <v/>
      </c>
      <c r="S2162" s="317" t="str">
        <f t="shared" si="216"/>
        <v/>
      </c>
      <c r="T2162" s="317" t="str">
        <f>'REF. DE PREÇOS n editavel'!S2162</f>
        <v/>
      </c>
      <c r="W2162" s="577">
        <v>0</v>
      </c>
      <c r="X2162" s="575"/>
      <c r="Y2162" s="578">
        <f>IF('REF. DE PREÇOS n editavel'!W2162=0,0,IF('REF. DE PREÇOS n editavel'!W2162&gt;0,"c","b"))</f>
        <v>0</v>
      </c>
    </row>
    <row r="2163" spans="1:25" ht="15" customHeight="1">
      <c r="A2163" s="317" t="s">
        <v>147</v>
      </c>
      <c r="B2163" s="870" t="s">
        <v>147</v>
      </c>
      <c r="C2163" s="871"/>
      <c r="D2163" s="881" t="s">
        <v>365</v>
      </c>
      <c r="E2163" s="882">
        <f>'REF. DE PREÇOS n editavel'!E2163</f>
        <v>28</v>
      </c>
      <c r="F2163" s="883">
        <f>'REF. DE PREÇOS n editavel'!F2163</f>
        <v>1.6716959999999998</v>
      </c>
      <c r="G2163" s="923">
        <f>'REF. DE PREÇOS n editavel'!G2163</f>
        <v>54.564157439999995</v>
      </c>
      <c r="H2163" s="876">
        <f>'REF. DE PREÇOS n editavel'!H2163</f>
        <v>0</v>
      </c>
      <c r="I2163" s="876">
        <f>'REF. DE PREÇOS n editavel'!I2163</f>
        <v>0</v>
      </c>
      <c r="J2163" s="877">
        <f>'REF. DE PREÇOS n editavel'!J2163</f>
        <v>0</v>
      </c>
      <c r="K2163" s="878"/>
      <c r="L2163" s="1132"/>
      <c r="M2163" s="1093">
        <f t="shared" si="213"/>
        <v>0</v>
      </c>
      <c r="N2163" s="1131">
        <f t="shared" si="217"/>
        <v>0</v>
      </c>
      <c r="O2163" s="880"/>
      <c r="P2163" s="36" t="str">
        <f>IF(N2159&gt;0,"xx",IF(N2159&gt;0,"xy",""))</f>
        <v/>
      </c>
      <c r="Q2163" s="317" t="str">
        <f t="shared" si="214"/>
        <v/>
      </c>
      <c r="R2163" s="317" t="str">
        <f t="shared" si="215"/>
        <v/>
      </c>
      <c r="S2163" s="317" t="str">
        <f t="shared" si="216"/>
        <v/>
      </c>
      <c r="T2163" s="317" t="str">
        <f>'REF. DE PREÇOS n editavel'!S2163</f>
        <v/>
      </c>
      <c r="W2163" s="577">
        <v>0</v>
      </c>
      <c r="X2163" s="575"/>
      <c r="Y2163" s="578">
        <f>IF('REF. DE PREÇOS n editavel'!W2163=0,0,IF('REF. DE PREÇOS n editavel'!W2163&gt;0,"c","b"))</f>
        <v>0</v>
      </c>
    </row>
    <row r="2164" spans="1:25" ht="15" customHeight="1">
      <c r="A2164" s="317" t="s">
        <v>147</v>
      </c>
      <c r="B2164" s="870" t="s">
        <v>147</v>
      </c>
      <c r="C2164" s="871"/>
      <c r="D2164" s="881" t="s">
        <v>366</v>
      </c>
      <c r="E2164" s="882">
        <f>'REF. DE PREÇOS n editavel'!E2164</f>
        <v>440</v>
      </c>
      <c r="F2164" s="883">
        <f>'REF. DE PREÇOS n editavel'!F2164</f>
        <v>5.5723200000000001E-2</v>
      </c>
      <c r="G2164" s="884">
        <f>'REF. DE PREÇOS n editavel'!G2164</f>
        <v>19.559957664000002</v>
      </c>
      <c r="H2164" s="876">
        <f>'REF. DE PREÇOS n editavel'!H2164</f>
        <v>0</v>
      </c>
      <c r="I2164" s="876">
        <f>'REF. DE PREÇOS n editavel'!I2164</f>
        <v>0</v>
      </c>
      <c r="J2164" s="877">
        <f>'REF. DE PREÇOS n editavel'!J2164</f>
        <v>0</v>
      </c>
      <c r="K2164" s="878"/>
      <c r="L2164" s="1132"/>
      <c r="M2164" s="1093">
        <f t="shared" si="213"/>
        <v>0</v>
      </c>
      <c r="N2164" s="1131">
        <f t="shared" si="217"/>
        <v>0</v>
      </c>
      <c r="O2164" s="880"/>
      <c r="P2164" s="36" t="str">
        <f>IF(N2159&gt;0,"xx",IF(N2159&gt;0,"xy",""))</f>
        <v/>
      </c>
      <c r="Q2164" s="317" t="str">
        <f t="shared" si="214"/>
        <v/>
      </c>
      <c r="R2164" s="317" t="str">
        <f t="shared" si="215"/>
        <v/>
      </c>
      <c r="S2164" s="317" t="str">
        <f t="shared" si="216"/>
        <v/>
      </c>
      <c r="T2164" s="317" t="str">
        <f>'REF. DE PREÇOS n editavel'!S2164</f>
        <v/>
      </c>
      <c r="W2164" s="577">
        <v>0</v>
      </c>
      <c r="X2164" s="575"/>
      <c r="Y2164" s="578">
        <f>IF('REF. DE PREÇOS n editavel'!W2164=0,0,IF('REF. DE PREÇOS n editavel'!W2164&gt;0,"c","b"))</f>
        <v>0</v>
      </c>
    </row>
    <row r="2165" spans="1:25" ht="15" customHeight="1">
      <c r="A2165" s="317" t="s">
        <v>26</v>
      </c>
      <c r="B2165" s="870" t="s">
        <v>26</v>
      </c>
      <c r="C2165" s="871" t="s">
        <v>184</v>
      </c>
      <c r="D2165" s="881" t="s">
        <v>84</v>
      </c>
      <c r="E2165" s="882">
        <f>'REF. DE PREÇOS n editavel'!E2165</f>
        <v>0</v>
      </c>
      <c r="F2165" s="883">
        <f>'REF. DE PREÇOS n editavel'!F2165</f>
        <v>0</v>
      </c>
      <c r="G2165" s="887">
        <f>'REF. DE PREÇOS n editavel'!G2165</f>
        <v>609.25202985199996</v>
      </c>
      <c r="H2165" s="876">
        <f>'REF. DE PREÇOS n editavel'!H2165</f>
        <v>3050.91</v>
      </c>
      <c r="I2165" s="876">
        <f>'REF. DE PREÇOS n editavel'!I2165</f>
        <v>3660.1620298519997</v>
      </c>
      <c r="J2165" s="877">
        <f>'REF. DE PREÇOS n editavel'!J2165</f>
        <v>4473.45</v>
      </c>
      <c r="K2165" s="878" t="s">
        <v>15</v>
      </c>
      <c r="L2165" s="1092"/>
      <c r="M2165" s="1093">
        <f t="shared" si="213"/>
        <v>0</v>
      </c>
      <c r="N2165" s="1131">
        <f t="shared" si="217"/>
        <v>0</v>
      </c>
      <c r="O2165" s="880"/>
      <c r="Q2165" s="317" t="str">
        <f t="shared" si="214"/>
        <v/>
      </c>
      <c r="R2165" s="317" t="str">
        <f t="shared" si="215"/>
        <v/>
      </c>
      <c r="S2165" s="317" t="str">
        <f t="shared" si="216"/>
        <v/>
      </c>
      <c r="T2165" s="317" t="str">
        <f>'REF. DE PREÇOS n editavel'!S2165</f>
        <v/>
      </c>
      <c r="W2165" s="577">
        <v>0</v>
      </c>
      <c r="X2165" s="575"/>
      <c r="Y2165" s="578">
        <f>IF('REF. DE PREÇOS n editavel'!W2165=0,0,IF('REF. DE PREÇOS n editavel'!W2165&gt;0,"c","b"))</f>
        <v>0</v>
      </c>
    </row>
    <row r="2166" spans="1:25" ht="15" customHeight="1">
      <c r="A2166" s="317" t="s">
        <v>147</v>
      </c>
      <c r="B2166" s="870" t="s">
        <v>147</v>
      </c>
      <c r="C2166" s="871"/>
      <c r="D2166" s="881" t="s">
        <v>190</v>
      </c>
      <c r="E2166" s="882">
        <f>'REF. DE PREÇOS n editavel'!E2166</f>
        <v>445</v>
      </c>
      <c r="F2166" s="883">
        <f>'REF. DE PREÇOS n editavel'!F2166</f>
        <v>0.23381399999999999</v>
      </c>
      <c r="G2166" s="884">
        <f>'REF. DE PREÇOS n editavel'!G2166</f>
        <v>82.985264880000003</v>
      </c>
      <c r="H2166" s="876">
        <f>'REF. DE PREÇOS n editavel'!H2166</f>
        <v>0</v>
      </c>
      <c r="I2166" s="876">
        <f>'REF. DE PREÇOS n editavel'!I2166</f>
        <v>0</v>
      </c>
      <c r="J2166" s="877">
        <f>'REF. DE PREÇOS n editavel'!J2166</f>
        <v>0</v>
      </c>
      <c r="K2166" s="878"/>
      <c r="L2166" s="1132"/>
      <c r="M2166" s="1093">
        <f t="shared" si="213"/>
        <v>0</v>
      </c>
      <c r="N2166" s="1131">
        <f t="shared" si="217"/>
        <v>0</v>
      </c>
      <c r="O2166" s="880"/>
      <c r="P2166" s="36" t="str">
        <f>IF(N2165&gt;0,"xx",IF(N2165&gt;0,"xy",""))</f>
        <v/>
      </c>
      <c r="Q2166" s="317" t="str">
        <f t="shared" si="214"/>
        <v/>
      </c>
      <c r="R2166" s="317" t="str">
        <f t="shared" si="215"/>
        <v/>
      </c>
      <c r="S2166" s="317" t="str">
        <f t="shared" si="216"/>
        <v/>
      </c>
      <c r="T2166" s="317" t="str">
        <f>'REF. DE PREÇOS n editavel'!S2166</f>
        <v/>
      </c>
      <c r="W2166" s="577">
        <v>0</v>
      </c>
      <c r="X2166" s="575"/>
      <c r="Y2166" s="578">
        <f>IF('REF. DE PREÇOS n editavel'!W2166=0,0,IF('REF. DE PREÇOS n editavel'!W2166&gt;0,"c","b"))</f>
        <v>0</v>
      </c>
    </row>
    <row r="2167" spans="1:25" ht="15" customHeight="1">
      <c r="A2167" s="317" t="s">
        <v>147</v>
      </c>
      <c r="B2167" s="870" t="s">
        <v>147</v>
      </c>
      <c r="C2167" s="871"/>
      <c r="D2167" s="881" t="s">
        <v>229</v>
      </c>
      <c r="E2167" s="882">
        <f>'REF. DE PREÇOS n editavel'!E2167</f>
        <v>290</v>
      </c>
      <c r="F2167" s="883">
        <f>'REF. DE PREÇOS n editavel'!F2167</f>
        <v>1.324927</v>
      </c>
      <c r="G2167" s="923">
        <f>'REF. DE PREÇOS n editavel'!G2167</f>
        <v>414.67565246000004</v>
      </c>
      <c r="H2167" s="876">
        <f>'REF. DE PREÇOS n editavel'!H2167</f>
        <v>0</v>
      </c>
      <c r="I2167" s="876">
        <f>'REF. DE PREÇOS n editavel'!I2167</f>
        <v>0</v>
      </c>
      <c r="J2167" s="877">
        <f>'REF. DE PREÇOS n editavel'!J2167</f>
        <v>0</v>
      </c>
      <c r="K2167" s="878"/>
      <c r="L2167" s="1132"/>
      <c r="M2167" s="1093">
        <f t="shared" si="213"/>
        <v>0</v>
      </c>
      <c r="N2167" s="1131">
        <f t="shared" si="217"/>
        <v>0</v>
      </c>
      <c r="O2167" s="880"/>
      <c r="P2167" s="36" t="str">
        <f>IF(N2165&gt;0,"xx",IF(N2165&gt;0,"xy",""))</f>
        <v/>
      </c>
      <c r="Q2167" s="317" t="str">
        <f t="shared" si="214"/>
        <v/>
      </c>
      <c r="R2167" s="317" t="str">
        <f t="shared" si="215"/>
        <v/>
      </c>
      <c r="S2167" s="317" t="str">
        <f t="shared" si="216"/>
        <v/>
      </c>
      <c r="T2167" s="317" t="str">
        <f>'REF. DE PREÇOS n editavel'!S2167</f>
        <v/>
      </c>
      <c r="W2167" s="577">
        <v>0</v>
      </c>
      <c r="X2167" s="575"/>
      <c r="Y2167" s="578">
        <f>IF('REF. DE PREÇOS n editavel'!W2167=0,0,IF('REF. DE PREÇOS n editavel'!W2167&gt;0,"c","b"))</f>
        <v>0</v>
      </c>
    </row>
    <row r="2168" spans="1:25" ht="15" customHeight="1">
      <c r="A2168" s="317" t="s">
        <v>147</v>
      </c>
      <c r="B2168" s="870" t="s">
        <v>147</v>
      </c>
      <c r="C2168" s="871"/>
      <c r="D2168" s="881" t="s">
        <v>233</v>
      </c>
      <c r="E2168" s="882">
        <f>'REF. DE PREÇOS n editavel'!E2168</f>
        <v>43.1</v>
      </c>
      <c r="F2168" s="883">
        <f>'REF. DE PREÇOS n editavel'!F2168</f>
        <v>0.38805600000000001</v>
      </c>
      <c r="G2168" s="923">
        <f>'REF. DE PREÇOS n editavel'!G2168</f>
        <v>18.935968632000002</v>
      </c>
      <c r="H2168" s="876">
        <f>'REF. DE PREÇOS n editavel'!H2168</f>
        <v>0</v>
      </c>
      <c r="I2168" s="876">
        <f>'REF. DE PREÇOS n editavel'!I2168</f>
        <v>0</v>
      </c>
      <c r="J2168" s="877">
        <f>'REF. DE PREÇOS n editavel'!J2168</f>
        <v>0</v>
      </c>
      <c r="K2168" s="878"/>
      <c r="L2168" s="1132"/>
      <c r="M2168" s="1093">
        <f t="shared" si="213"/>
        <v>0</v>
      </c>
      <c r="N2168" s="1131">
        <f t="shared" si="217"/>
        <v>0</v>
      </c>
      <c r="O2168" s="880"/>
      <c r="P2168" s="36" t="str">
        <f>IF(N2165&gt;0,"xx",IF(N2165&gt;0,"xy",""))</f>
        <v/>
      </c>
      <c r="Q2168" s="317" t="str">
        <f t="shared" si="214"/>
        <v/>
      </c>
      <c r="R2168" s="317" t="str">
        <f t="shared" si="215"/>
        <v/>
      </c>
      <c r="S2168" s="317" t="str">
        <f t="shared" si="216"/>
        <v/>
      </c>
      <c r="T2168" s="317" t="str">
        <f>'REF. DE PREÇOS n editavel'!S2168</f>
        <v/>
      </c>
      <c r="W2168" s="577">
        <v>0</v>
      </c>
      <c r="X2168" s="575"/>
      <c r="Y2168" s="578">
        <f>IF('REF. DE PREÇOS n editavel'!W2168=0,0,IF('REF. DE PREÇOS n editavel'!W2168&gt;0,"c","b"))</f>
        <v>0</v>
      </c>
    </row>
    <row r="2169" spans="1:25" ht="15" customHeight="1">
      <c r="A2169" s="317" t="s">
        <v>147</v>
      </c>
      <c r="B2169" s="870" t="s">
        <v>147</v>
      </c>
      <c r="C2169" s="871"/>
      <c r="D2169" s="881" t="s">
        <v>365</v>
      </c>
      <c r="E2169" s="882">
        <f>'REF. DE PREÇOS n editavel'!E2169</f>
        <v>28</v>
      </c>
      <c r="F2169" s="883">
        <f>'REF. DE PREÇOS n editavel'!F2169</f>
        <v>2.0896199999999996</v>
      </c>
      <c r="G2169" s="923">
        <f>'REF. DE PREÇOS n editavel'!G2169</f>
        <v>68.205196799999982</v>
      </c>
      <c r="H2169" s="876">
        <f>'REF. DE PREÇOS n editavel'!H2169</f>
        <v>0</v>
      </c>
      <c r="I2169" s="876">
        <f>'REF. DE PREÇOS n editavel'!I2169</f>
        <v>0</v>
      </c>
      <c r="J2169" s="877">
        <f>'REF. DE PREÇOS n editavel'!J2169</f>
        <v>0</v>
      </c>
      <c r="K2169" s="878"/>
      <c r="L2169" s="1132"/>
      <c r="M2169" s="1093">
        <f t="shared" si="213"/>
        <v>0</v>
      </c>
      <c r="N2169" s="1131">
        <f t="shared" si="217"/>
        <v>0</v>
      </c>
      <c r="O2169" s="880"/>
      <c r="P2169" s="36" t="str">
        <f>IF(N2165&gt;0,"xx",IF(N2165&gt;0,"xy",""))</f>
        <v/>
      </c>
      <c r="Q2169" s="317" t="str">
        <f t="shared" si="214"/>
        <v/>
      </c>
      <c r="R2169" s="317" t="str">
        <f t="shared" si="215"/>
        <v/>
      </c>
      <c r="S2169" s="317" t="str">
        <f t="shared" si="216"/>
        <v/>
      </c>
      <c r="T2169" s="317" t="str">
        <f>'REF. DE PREÇOS n editavel'!S2169</f>
        <v/>
      </c>
      <c r="W2169" s="577">
        <v>0</v>
      </c>
      <c r="X2169" s="575"/>
      <c r="Y2169" s="578">
        <f>IF('REF. DE PREÇOS n editavel'!W2169=0,0,IF('REF. DE PREÇOS n editavel'!W2169&gt;0,"c","b"))</f>
        <v>0</v>
      </c>
    </row>
    <row r="2170" spans="1:25" ht="15" customHeight="1">
      <c r="A2170" s="317" t="s">
        <v>147</v>
      </c>
      <c r="B2170" s="870" t="s">
        <v>147</v>
      </c>
      <c r="C2170" s="871"/>
      <c r="D2170" s="881" t="s">
        <v>366</v>
      </c>
      <c r="E2170" s="882">
        <f>'REF. DE PREÇOS n editavel'!E2170</f>
        <v>440</v>
      </c>
      <c r="F2170" s="883">
        <f>'REF. DE PREÇOS n editavel'!F2170</f>
        <v>6.9653999999999994E-2</v>
      </c>
      <c r="G2170" s="884">
        <f>'REF. DE PREÇOS n editavel'!G2170</f>
        <v>24.449947080000001</v>
      </c>
      <c r="H2170" s="876">
        <f>'REF. DE PREÇOS n editavel'!H2170</f>
        <v>0</v>
      </c>
      <c r="I2170" s="876">
        <f>'REF. DE PREÇOS n editavel'!I2170</f>
        <v>0</v>
      </c>
      <c r="J2170" s="877">
        <f>'REF. DE PREÇOS n editavel'!J2170</f>
        <v>0</v>
      </c>
      <c r="K2170" s="878"/>
      <c r="L2170" s="1132"/>
      <c r="M2170" s="1093">
        <f t="shared" si="213"/>
        <v>0</v>
      </c>
      <c r="N2170" s="1131">
        <f t="shared" si="217"/>
        <v>0</v>
      </c>
      <c r="O2170" s="880"/>
      <c r="P2170" s="36" t="str">
        <f>IF(N2165&gt;0,"xx",IF(N2165&gt;0,"xy",""))</f>
        <v/>
      </c>
      <c r="Q2170" s="317" t="str">
        <f t="shared" si="214"/>
        <v/>
      </c>
      <c r="R2170" s="317" t="str">
        <f t="shared" si="215"/>
        <v/>
      </c>
      <c r="S2170" s="317" t="str">
        <f t="shared" si="216"/>
        <v/>
      </c>
      <c r="T2170" s="317" t="str">
        <f>'REF. DE PREÇOS n editavel'!S2170</f>
        <v/>
      </c>
      <c r="W2170" s="577">
        <v>0</v>
      </c>
      <c r="X2170" s="575"/>
      <c r="Y2170" s="578">
        <f>IF('REF. DE PREÇOS n editavel'!W2170=0,0,IF('REF. DE PREÇOS n editavel'!W2170&gt;0,"c","b"))</f>
        <v>0</v>
      </c>
    </row>
    <row r="2171" spans="1:25" ht="15" customHeight="1">
      <c r="A2171" s="317" t="s">
        <v>99</v>
      </c>
      <c r="B2171" s="870" t="s">
        <v>99</v>
      </c>
      <c r="C2171" s="871" t="s">
        <v>184</v>
      </c>
      <c r="D2171" s="881" t="s">
        <v>85</v>
      </c>
      <c r="E2171" s="882">
        <f>'REF. DE PREÇOS n editavel'!E2171</f>
        <v>0</v>
      </c>
      <c r="F2171" s="883">
        <f>'REF. DE PREÇOS n editavel'!F2171</f>
        <v>0</v>
      </c>
      <c r="G2171" s="887">
        <f>'REF. DE PREÇOS n editavel'!G2171</f>
        <v>758.20876071200007</v>
      </c>
      <c r="H2171" s="876">
        <f>'REF. DE PREÇOS n editavel'!H2171</f>
        <v>3529.67</v>
      </c>
      <c r="I2171" s="876">
        <f>'REF. DE PREÇOS n editavel'!I2171</f>
        <v>4287.8787607120003</v>
      </c>
      <c r="J2171" s="877">
        <f>'REF. DE PREÇOS n editavel'!J2171</f>
        <v>5240.6499999999996</v>
      </c>
      <c r="K2171" s="878" t="s">
        <v>15</v>
      </c>
      <c r="L2171" s="1092"/>
      <c r="M2171" s="1093">
        <f t="shared" si="213"/>
        <v>0</v>
      </c>
      <c r="N2171" s="1131">
        <f t="shared" si="217"/>
        <v>0</v>
      </c>
      <c r="O2171" s="880"/>
      <c r="Q2171" s="317" t="str">
        <f t="shared" si="214"/>
        <v/>
      </c>
      <c r="R2171" s="317" t="str">
        <f t="shared" si="215"/>
        <v/>
      </c>
      <c r="S2171" s="317" t="str">
        <f t="shared" si="216"/>
        <v/>
      </c>
      <c r="T2171" s="317" t="str">
        <f>'REF. DE PREÇOS n editavel'!S2171</f>
        <v/>
      </c>
      <c r="W2171" s="577">
        <v>0</v>
      </c>
      <c r="X2171" s="575"/>
      <c r="Y2171" s="578">
        <f>IF('REF. DE PREÇOS n editavel'!W2171=0,0,IF('REF. DE PREÇOS n editavel'!W2171&gt;0,"c","b"))</f>
        <v>0</v>
      </c>
    </row>
    <row r="2172" spans="1:25" ht="15" customHeight="1">
      <c r="A2172" s="317" t="s">
        <v>147</v>
      </c>
      <c r="B2172" s="870" t="s">
        <v>147</v>
      </c>
      <c r="C2172" s="871"/>
      <c r="D2172" s="881" t="s">
        <v>190</v>
      </c>
      <c r="E2172" s="882">
        <f>'REF. DE PREÇOS n editavel'!E2172</f>
        <v>445</v>
      </c>
      <c r="F2172" s="883">
        <f>'REF. DE PREÇOS n editavel'!F2172</f>
        <v>0.28185359999999998</v>
      </c>
      <c r="G2172" s="884">
        <f>'REF. DE PREÇOS n editavel'!G2172</f>
        <v>100.035479712</v>
      </c>
      <c r="H2172" s="876">
        <f>'REF. DE PREÇOS n editavel'!H2172</f>
        <v>0</v>
      </c>
      <c r="I2172" s="876">
        <f>'REF. DE PREÇOS n editavel'!I2172</f>
        <v>0</v>
      </c>
      <c r="J2172" s="877">
        <f>'REF. DE PREÇOS n editavel'!J2172</f>
        <v>0</v>
      </c>
      <c r="K2172" s="878"/>
      <c r="L2172" s="1132"/>
      <c r="M2172" s="1093">
        <f t="shared" si="213"/>
        <v>0</v>
      </c>
      <c r="N2172" s="1131">
        <f t="shared" si="217"/>
        <v>0</v>
      </c>
      <c r="O2172" s="880"/>
      <c r="P2172" s="36" t="str">
        <f>IF(N2171&gt;0,"xx",IF(N2171&gt;0,"xy",""))</f>
        <v/>
      </c>
      <c r="Q2172" s="317" t="str">
        <f t="shared" si="214"/>
        <v/>
      </c>
      <c r="R2172" s="317" t="str">
        <f t="shared" si="215"/>
        <v/>
      </c>
      <c r="S2172" s="317" t="str">
        <f t="shared" si="216"/>
        <v/>
      </c>
      <c r="T2172" s="317" t="str">
        <f>'REF. DE PREÇOS n editavel'!S2172</f>
        <v/>
      </c>
      <c r="W2172" s="577">
        <v>0</v>
      </c>
      <c r="X2172" s="575"/>
      <c r="Y2172" s="578">
        <f>IF('REF. DE PREÇOS n editavel'!W2172=0,0,IF('REF. DE PREÇOS n editavel'!W2172&gt;0,"c","b"))</f>
        <v>0</v>
      </c>
    </row>
    <row r="2173" spans="1:25" ht="15" customHeight="1">
      <c r="A2173" s="317" t="s">
        <v>147</v>
      </c>
      <c r="B2173" s="870" t="s">
        <v>147</v>
      </c>
      <c r="C2173" s="871"/>
      <c r="D2173" s="881" t="s">
        <v>229</v>
      </c>
      <c r="E2173" s="882">
        <f>'REF. DE PREÇOS n editavel'!E2173</f>
        <v>290</v>
      </c>
      <c r="F2173" s="883">
        <f>'REF. DE PREÇOS n editavel'!F2173</f>
        <v>1.6484590000000001</v>
      </c>
      <c r="G2173" s="923">
        <f>'REF. DE PREÇOS n editavel'!G2173</f>
        <v>515.93469782000011</v>
      </c>
      <c r="H2173" s="876">
        <f>'REF. DE PREÇOS n editavel'!H2173</f>
        <v>0</v>
      </c>
      <c r="I2173" s="876">
        <f>'REF. DE PREÇOS n editavel'!I2173</f>
        <v>0</v>
      </c>
      <c r="J2173" s="877">
        <f>'REF. DE PREÇOS n editavel'!J2173</f>
        <v>0</v>
      </c>
      <c r="K2173" s="878"/>
      <c r="L2173" s="1132"/>
      <c r="M2173" s="1093">
        <f t="shared" si="213"/>
        <v>0</v>
      </c>
      <c r="N2173" s="1131">
        <f t="shared" si="217"/>
        <v>0</v>
      </c>
      <c r="O2173" s="880"/>
      <c r="P2173" s="36" t="str">
        <f>IF(N2171&gt;0,"xx",IF(N2171&gt;0,"xy",""))</f>
        <v/>
      </c>
      <c r="Q2173" s="317" t="str">
        <f t="shared" si="214"/>
        <v/>
      </c>
      <c r="R2173" s="317" t="str">
        <f t="shared" si="215"/>
        <v/>
      </c>
      <c r="S2173" s="317" t="str">
        <f t="shared" si="216"/>
        <v/>
      </c>
      <c r="T2173" s="317" t="str">
        <f>'REF. DE PREÇOS n editavel'!S2173</f>
        <v/>
      </c>
      <c r="W2173" s="577">
        <v>0</v>
      </c>
      <c r="X2173" s="575"/>
      <c r="Y2173" s="578">
        <f>IF('REF. DE PREÇOS n editavel'!W2173=0,0,IF('REF. DE PREÇOS n editavel'!W2173&gt;0,"c","b"))</f>
        <v>0</v>
      </c>
    </row>
    <row r="2174" spans="1:25" ht="15" customHeight="1">
      <c r="A2174" s="317" t="s">
        <v>147</v>
      </c>
      <c r="B2174" s="870" t="s">
        <v>147</v>
      </c>
      <c r="C2174" s="871"/>
      <c r="D2174" s="881" t="s">
        <v>233</v>
      </c>
      <c r="E2174" s="882">
        <f>'REF. DE PREÇOS n editavel'!E2174</f>
        <v>43.1</v>
      </c>
      <c r="F2174" s="883">
        <f>'REF. DE PREÇOS n editavel'!F2174</f>
        <v>0.38805600000000001</v>
      </c>
      <c r="G2174" s="923">
        <f>'REF. DE PREÇOS n editavel'!G2174</f>
        <v>18.935968632000002</v>
      </c>
      <c r="H2174" s="876">
        <f>'REF. DE PREÇOS n editavel'!H2174</f>
        <v>0</v>
      </c>
      <c r="I2174" s="876">
        <f>'REF. DE PREÇOS n editavel'!I2174</f>
        <v>0</v>
      </c>
      <c r="J2174" s="877">
        <f>'REF. DE PREÇOS n editavel'!J2174</f>
        <v>0</v>
      </c>
      <c r="K2174" s="878"/>
      <c r="L2174" s="1132"/>
      <c r="M2174" s="1093">
        <f t="shared" si="213"/>
        <v>0</v>
      </c>
      <c r="N2174" s="1131">
        <f t="shared" si="217"/>
        <v>0</v>
      </c>
      <c r="O2174" s="880"/>
      <c r="P2174" s="36" t="str">
        <f>IF(N2171&gt;0,"xx",IF(N2171&gt;0,"xy",""))</f>
        <v/>
      </c>
      <c r="Q2174" s="317" t="str">
        <f t="shared" si="214"/>
        <v/>
      </c>
      <c r="R2174" s="317" t="str">
        <f t="shared" si="215"/>
        <v/>
      </c>
      <c r="S2174" s="317" t="str">
        <f t="shared" si="216"/>
        <v/>
      </c>
      <c r="T2174" s="317" t="str">
        <f>'REF. DE PREÇOS n editavel'!S2174</f>
        <v/>
      </c>
      <c r="W2174" s="577">
        <v>0</v>
      </c>
      <c r="X2174" s="575"/>
      <c r="Y2174" s="578">
        <f>IF('REF. DE PREÇOS n editavel'!W2174=0,0,IF('REF. DE PREÇOS n editavel'!W2174&gt;0,"c","b"))</f>
        <v>0</v>
      </c>
    </row>
    <row r="2175" spans="1:25" ht="15" customHeight="1">
      <c r="A2175" s="317" t="s">
        <v>147</v>
      </c>
      <c r="B2175" s="870" t="s">
        <v>147</v>
      </c>
      <c r="C2175" s="871"/>
      <c r="D2175" s="881" t="s">
        <v>365</v>
      </c>
      <c r="E2175" s="882">
        <f>'REF. DE PREÇOS n editavel'!E2175</f>
        <v>28</v>
      </c>
      <c r="F2175" s="883">
        <f>'REF. DE PREÇOS n editavel'!F2175</f>
        <v>2.780802</v>
      </c>
      <c r="G2175" s="923">
        <f>'REF. DE PREÇOS n editavel'!G2175</f>
        <v>90.765377279999996</v>
      </c>
      <c r="H2175" s="876">
        <f>'REF. DE PREÇOS n editavel'!H2175</f>
        <v>0</v>
      </c>
      <c r="I2175" s="876">
        <f>'REF. DE PREÇOS n editavel'!I2175</f>
        <v>0</v>
      </c>
      <c r="J2175" s="877">
        <f>'REF. DE PREÇOS n editavel'!J2175</f>
        <v>0</v>
      </c>
      <c r="K2175" s="878"/>
      <c r="L2175" s="1132"/>
      <c r="M2175" s="1093">
        <f t="shared" si="213"/>
        <v>0</v>
      </c>
      <c r="N2175" s="1131">
        <f t="shared" si="217"/>
        <v>0</v>
      </c>
      <c r="O2175" s="880"/>
      <c r="P2175" s="36" t="str">
        <f>IF(N2171&gt;0,"xx",IF(N2171&gt;0,"xy",""))</f>
        <v/>
      </c>
      <c r="Q2175" s="317" t="str">
        <f t="shared" si="214"/>
        <v/>
      </c>
      <c r="R2175" s="317" t="str">
        <f t="shared" si="215"/>
        <v/>
      </c>
      <c r="S2175" s="317" t="str">
        <f t="shared" si="216"/>
        <v/>
      </c>
      <c r="T2175" s="317" t="str">
        <f>'REF. DE PREÇOS n editavel'!S2175</f>
        <v/>
      </c>
      <c r="W2175" s="577">
        <v>0</v>
      </c>
      <c r="X2175" s="575"/>
      <c r="Y2175" s="578">
        <f>IF('REF. DE PREÇOS n editavel'!W2175=0,0,IF('REF. DE PREÇOS n editavel'!W2175&gt;0,"c","b"))</f>
        <v>0</v>
      </c>
    </row>
    <row r="2176" spans="1:25" ht="15" customHeight="1">
      <c r="A2176" s="317" t="s">
        <v>147</v>
      </c>
      <c r="B2176" s="870" t="s">
        <v>147</v>
      </c>
      <c r="C2176" s="871"/>
      <c r="D2176" s="881" t="s">
        <v>366</v>
      </c>
      <c r="E2176" s="882">
        <f>'REF. DE PREÇOS n editavel'!E2176</f>
        <v>440</v>
      </c>
      <c r="F2176" s="883">
        <f>'REF. DE PREÇOS n editavel'!F2176</f>
        <v>9.2693399999999995E-2</v>
      </c>
      <c r="G2176" s="884">
        <f>'REF. DE PREÇOS n editavel'!G2176</f>
        <v>32.537237267999998</v>
      </c>
      <c r="H2176" s="876">
        <f>'REF. DE PREÇOS n editavel'!H2176</f>
        <v>0</v>
      </c>
      <c r="I2176" s="876">
        <f>'REF. DE PREÇOS n editavel'!I2176</f>
        <v>0</v>
      </c>
      <c r="J2176" s="877">
        <f>'REF. DE PREÇOS n editavel'!J2176</f>
        <v>0</v>
      </c>
      <c r="K2176" s="878"/>
      <c r="L2176" s="1132"/>
      <c r="M2176" s="1093">
        <f t="shared" si="213"/>
        <v>0</v>
      </c>
      <c r="N2176" s="1131">
        <f t="shared" si="217"/>
        <v>0</v>
      </c>
      <c r="O2176" s="880"/>
      <c r="P2176" s="36" t="str">
        <f>IF(N2171&gt;0,"xx",IF(N2171&gt;0,"xy",""))</f>
        <v/>
      </c>
      <c r="Q2176" s="317" t="str">
        <f t="shared" si="214"/>
        <v/>
      </c>
      <c r="R2176" s="317" t="str">
        <f t="shared" si="215"/>
        <v/>
      </c>
      <c r="S2176" s="317" t="str">
        <f t="shared" si="216"/>
        <v/>
      </c>
      <c r="T2176" s="317" t="str">
        <f>'REF. DE PREÇOS n editavel'!S2176</f>
        <v/>
      </c>
      <c r="W2176" s="577">
        <v>0</v>
      </c>
      <c r="X2176" s="575"/>
      <c r="Y2176" s="578">
        <f>IF('REF. DE PREÇOS n editavel'!W2176=0,0,IF('REF. DE PREÇOS n editavel'!W2176&gt;0,"c","b"))</f>
        <v>0</v>
      </c>
    </row>
    <row r="2177" spans="1:25" ht="15" customHeight="1">
      <c r="A2177" s="317" t="s">
        <v>100</v>
      </c>
      <c r="B2177" s="870" t="s">
        <v>100</v>
      </c>
      <c r="C2177" s="871" t="s">
        <v>184</v>
      </c>
      <c r="D2177" s="881" t="s">
        <v>86</v>
      </c>
      <c r="E2177" s="882">
        <f>'REF. DE PREÇOS n editavel'!E2177</f>
        <v>0</v>
      </c>
      <c r="F2177" s="883">
        <f>'REF. DE PREÇOS n editavel'!F2177</f>
        <v>0</v>
      </c>
      <c r="G2177" s="887">
        <f>'REF. DE PREÇOS n editavel'!G2177</f>
        <v>910.62960159199997</v>
      </c>
      <c r="H2177" s="876">
        <f>'REF. DE PREÇOS n editavel'!H2177</f>
        <v>4019.56</v>
      </c>
      <c r="I2177" s="876">
        <f>'REF. DE PREÇOS n editavel'!I2177</f>
        <v>4930.1896015920001</v>
      </c>
      <c r="J2177" s="877">
        <f>'REF. DE PREÇOS n editavel'!J2177</f>
        <v>6025.68</v>
      </c>
      <c r="K2177" s="878" t="s">
        <v>15</v>
      </c>
      <c r="L2177" s="1092"/>
      <c r="M2177" s="1093">
        <f t="shared" si="213"/>
        <v>0</v>
      </c>
      <c r="N2177" s="1131">
        <f t="shared" si="217"/>
        <v>0</v>
      </c>
      <c r="O2177" s="880"/>
      <c r="Q2177" s="317" t="str">
        <f t="shared" ref="Q2177:Q2224" si="218">IF(P2177="X","x",IF(P2177="xx","x",IF(P2177="xy","x",IF(P2177="y","x",IF(OR(N2177&gt;0,N2177&gt;0),"x","")))))</f>
        <v/>
      </c>
      <c r="R2177" s="317" t="str">
        <f t="shared" si="215"/>
        <v/>
      </c>
      <c r="S2177" s="317" t="str">
        <f t="shared" si="216"/>
        <v/>
      </c>
      <c r="T2177" s="317" t="str">
        <f>'REF. DE PREÇOS n editavel'!S2177</f>
        <v/>
      </c>
      <c r="W2177" s="577">
        <v>0</v>
      </c>
      <c r="X2177" s="575"/>
      <c r="Y2177" s="578">
        <f>IF('REF. DE PREÇOS n editavel'!W2177=0,0,IF('REF. DE PREÇOS n editavel'!W2177&gt;0,"c","b"))</f>
        <v>0</v>
      </c>
    </row>
    <row r="2178" spans="1:25" ht="15" customHeight="1">
      <c r="A2178" s="317" t="s">
        <v>147</v>
      </c>
      <c r="B2178" s="870" t="s">
        <v>147</v>
      </c>
      <c r="C2178" s="871"/>
      <c r="D2178" s="881" t="s">
        <v>190</v>
      </c>
      <c r="E2178" s="882">
        <f>'REF. DE PREÇOS n editavel'!E2178</f>
        <v>445</v>
      </c>
      <c r="F2178" s="883">
        <f>'REF. DE PREÇOS n editavel'!F2178</f>
        <v>0.33101039999999993</v>
      </c>
      <c r="G2178" s="884">
        <f>'REF. DE PREÇOS n editavel'!G2178</f>
        <v>117.48221116799998</v>
      </c>
      <c r="H2178" s="876">
        <f>'REF. DE PREÇOS n editavel'!H2178</f>
        <v>0</v>
      </c>
      <c r="I2178" s="876">
        <f>'REF. DE PREÇOS n editavel'!I2178</f>
        <v>0</v>
      </c>
      <c r="J2178" s="877">
        <f>'REF. DE PREÇOS n editavel'!J2178</f>
        <v>0</v>
      </c>
      <c r="K2178" s="878"/>
      <c r="L2178" s="1132"/>
      <c r="M2178" s="1093">
        <f t="shared" si="213"/>
        <v>0</v>
      </c>
      <c r="N2178" s="1131">
        <f t="shared" si="217"/>
        <v>0</v>
      </c>
      <c r="O2178" s="880"/>
      <c r="P2178" s="36" t="str">
        <f>IF(N2177&gt;0,"xx",IF(N2177&gt;0,"xy",""))</f>
        <v/>
      </c>
      <c r="Q2178" s="317" t="str">
        <f t="shared" si="218"/>
        <v/>
      </c>
      <c r="R2178" s="317" t="str">
        <f t="shared" si="215"/>
        <v/>
      </c>
      <c r="S2178" s="317" t="str">
        <f t="shared" si="216"/>
        <v/>
      </c>
      <c r="T2178" s="317" t="str">
        <f>'REF. DE PREÇOS n editavel'!S2178</f>
        <v/>
      </c>
      <c r="W2178" s="577">
        <v>0</v>
      </c>
      <c r="X2178" s="575"/>
      <c r="Y2178" s="578">
        <f>IF('REF. DE PREÇOS n editavel'!W2178=0,0,IF('REF. DE PREÇOS n editavel'!W2178&gt;0,"c","b"))</f>
        <v>0</v>
      </c>
    </row>
    <row r="2179" spans="1:25" ht="15" customHeight="1">
      <c r="A2179" s="317" t="s">
        <v>147</v>
      </c>
      <c r="B2179" s="870" t="s">
        <v>147</v>
      </c>
      <c r="C2179" s="871"/>
      <c r="D2179" s="881" t="s">
        <v>229</v>
      </c>
      <c r="E2179" s="882">
        <f>'REF. DE PREÇOS n editavel'!E2179</f>
        <v>290</v>
      </c>
      <c r="F2179" s="883">
        <f>'REF. DE PREÇOS n editavel'!F2179</f>
        <v>1.9795149999999999</v>
      </c>
      <c r="G2179" s="923">
        <f>'REF. DE PREÇOS n editavel'!G2179</f>
        <v>619.54860470000006</v>
      </c>
      <c r="H2179" s="876">
        <f>'REF. DE PREÇOS n editavel'!H2179</f>
        <v>0</v>
      </c>
      <c r="I2179" s="876">
        <f>'REF. DE PREÇOS n editavel'!I2179</f>
        <v>0</v>
      </c>
      <c r="J2179" s="877">
        <f>'REF. DE PREÇOS n editavel'!J2179</f>
        <v>0</v>
      </c>
      <c r="K2179" s="878"/>
      <c r="L2179" s="1132"/>
      <c r="M2179" s="1093">
        <f t="shared" si="213"/>
        <v>0</v>
      </c>
      <c r="N2179" s="1131">
        <f t="shared" si="217"/>
        <v>0</v>
      </c>
      <c r="O2179" s="880"/>
      <c r="P2179" s="36" t="str">
        <f>IF(N2177&gt;0,"xx",IF(N2177&gt;0,"xy",""))</f>
        <v/>
      </c>
      <c r="Q2179" s="317" t="str">
        <f t="shared" si="218"/>
        <v/>
      </c>
      <c r="R2179" s="317" t="str">
        <f t="shared" ref="R2179:R2226" si="219">IF(P2179="X","x",IF(P2179="y","x",IF(P2179="xx","x",IF(N2179&gt;0,"x",""))))</f>
        <v/>
      </c>
      <c r="S2179" s="317" t="str">
        <f t="shared" ref="S2179:S2226" si="220">IF(P2179="X","x",IF(N2179&gt;0,"x",""))</f>
        <v/>
      </c>
      <c r="T2179" s="317" t="str">
        <f>'REF. DE PREÇOS n editavel'!S2179</f>
        <v/>
      </c>
      <c r="W2179" s="577">
        <v>0</v>
      </c>
      <c r="X2179" s="575"/>
      <c r="Y2179" s="578">
        <f>IF('REF. DE PREÇOS n editavel'!W2179=0,0,IF('REF. DE PREÇOS n editavel'!W2179&gt;0,"c","b"))</f>
        <v>0</v>
      </c>
    </row>
    <row r="2180" spans="1:25" ht="15" customHeight="1">
      <c r="A2180" s="317" t="s">
        <v>147</v>
      </c>
      <c r="B2180" s="870" t="s">
        <v>147</v>
      </c>
      <c r="C2180" s="871"/>
      <c r="D2180" s="881" t="s">
        <v>233</v>
      </c>
      <c r="E2180" s="882">
        <f>'REF. DE PREÇOS n editavel'!E2180</f>
        <v>43.1</v>
      </c>
      <c r="F2180" s="883">
        <f>'REF. DE PREÇOS n editavel'!F2180</f>
        <v>0.38805600000000001</v>
      </c>
      <c r="G2180" s="923">
        <f>'REF. DE PREÇOS n editavel'!G2180</f>
        <v>18.935968632000002</v>
      </c>
      <c r="H2180" s="876">
        <f>'REF. DE PREÇOS n editavel'!H2180</f>
        <v>0</v>
      </c>
      <c r="I2180" s="876">
        <f>'REF. DE PREÇOS n editavel'!I2180</f>
        <v>0</v>
      </c>
      <c r="J2180" s="877">
        <f>'REF. DE PREÇOS n editavel'!J2180</f>
        <v>0</v>
      </c>
      <c r="K2180" s="878"/>
      <c r="L2180" s="1132"/>
      <c r="M2180" s="1093">
        <f t="shared" si="213"/>
        <v>0</v>
      </c>
      <c r="N2180" s="1131">
        <f t="shared" si="217"/>
        <v>0</v>
      </c>
      <c r="O2180" s="880"/>
      <c r="P2180" s="36" t="str">
        <f>IF(N2177&gt;0,"xx",IF(N2177&gt;0,"xy",""))</f>
        <v/>
      </c>
      <c r="Q2180" s="317" t="str">
        <f t="shared" si="218"/>
        <v/>
      </c>
      <c r="R2180" s="317" t="str">
        <f t="shared" si="219"/>
        <v/>
      </c>
      <c r="S2180" s="317" t="str">
        <f t="shared" si="220"/>
        <v/>
      </c>
      <c r="T2180" s="317" t="str">
        <f>'REF. DE PREÇOS n editavel'!S2180</f>
        <v/>
      </c>
      <c r="W2180" s="577">
        <v>0</v>
      </c>
      <c r="X2180" s="575"/>
      <c r="Y2180" s="578">
        <f>IF('REF. DE PREÇOS n editavel'!W2180=0,0,IF('REF. DE PREÇOS n editavel'!W2180&gt;0,"c","b"))</f>
        <v>0</v>
      </c>
    </row>
    <row r="2181" spans="1:25" ht="15" customHeight="1">
      <c r="A2181" s="317" t="s">
        <v>147</v>
      </c>
      <c r="B2181" s="870" t="s">
        <v>147</v>
      </c>
      <c r="C2181" s="871"/>
      <c r="D2181" s="881" t="s">
        <v>365</v>
      </c>
      <c r="E2181" s="882">
        <f>'REF. DE PREÇOS n editavel'!E2181</f>
        <v>28</v>
      </c>
      <c r="F2181" s="883">
        <f>'REF. DE PREÇOS n editavel'!F2181</f>
        <v>3.4880579999999992</v>
      </c>
      <c r="G2181" s="923">
        <f>'REF. DE PREÇOS n editavel'!G2181</f>
        <v>113.85021311999998</v>
      </c>
      <c r="H2181" s="876">
        <f>'REF. DE PREÇOS n editavel'!H2181</f>
        <v>0</v>
      </c>
      <c r="I2181" s="876">
        <f>'REF. DE PREÇOS n editavel'!I2181</f>
        <v>0</v>
      </c>
      <c r="J2181" s="877">
        <f>'REF. DE PREÇOS n editavel'!J2181</f>
        <v>0</v>
      </c>
      <c r="K2181" s="878"/>
      <c r="L2181" s="1132"/>
      <c r="M2181" s="1093">
        <f t="shared" si="213"/>
        <v>0</v>
      </c>
      <c r="N2181" s="1131">
        <f t="shared" si="217"/>
        <v>0</v>
      </c>
      <c r="O2181" s="880"/>
      <c r="P2181" s="36" t="str">
        <f>IF(N2177&gt;0,"xx",IF(N2177&gt;0,"xy",""))</f>
        <v/>
      </c>
      <c r="Q2181" s="317" t="str">
        <f t="shared" si="218"/>
        <v/>
      </c>
      <c r="R2181" s="317" t="str">
        <f t="shared" si="219"/>
        <v/>
      </c>
      <c r="S2181" s="317" t="str">
        <f t="shared" si="220"/>
        <v/>
      </c>
      <c r="T2181" s="317" t="str">
        <f>'REF. DE PREÇOS n editavel'!S2181</f>
        <v/>
      </c>
      <c r="W2181" s="577">
        <v>0</v>
      </c>
      <c r="X2181" s="575"/>
      <c r="Y2181" s="578">
        <f>IF('REF. DE PREÇOS n editavel'!W2181=0,0,IF('REF. DE PREÇOS n editavel'!W2181&gt;0,"c","b"))</f>
        <v>0</v>
      </c>
    </row>
    <row r="2182" spans="1:25" ht="15" customHeight="1">
      <c r="A2182" s="317" t="s">
        <v>147</v>
      </c>
      <c r="B2182" s="870" t="s">
        <v>147</v>
      </c>
      <c r="C2182" s="871"/>
      <c r="D2182" s="881" t="s">
        <v>366</v>
      </c>
      <c r="E2182" s="882">
        <f>'REF. DE PREÇOS n editavel'!E2182</f>
        <v>440</v>
      </c>
      <c r="F2182" s="883">
        <f>'REF. DE PREÇOS n editavel'!F2182</f>
        <v>0.11626859999999997</v>
      </c>
      <c r="G2182" s="884">
        <f>'REF. DE PREÇOS n editavel'!G2182</f>
        <v>40.812603971999998</v>
      </c>
      <c r="H2182" s="876">
        <f>'REF. DE PREÇOS n editavel'!H2182</f>
        <v>0</v>
      </c>
      <c r="I2182" s="876">
        <f>'REF. DE PREÇOS n editavel'!I2182</f>
        <v>0</v>
      </c>
      <c r="J2182" s="877">
        <f>'REF. DE PREÇOS n editavel'!J2182</f>
        <v>0</v>
      </c>
      <c r="K2182" s="878"/>
      <c r="L2182" s="1132"/>
      <c r="M2182" s="1093">
        <f t="shared" ref="M2182:M2245" si="221">IF(L2182=0,0,ROUND(J2182,2))</f>
        <v>0</v>
      </c>
      <c r="N2182" s="1131">
        <f t="shared" si="217"/>
        <v>0</v>
      </c>
      <c r="O2182" s="880"/>
      <c r="P2182" s="36" t="str">
        <f>IF(N2177&gt;0,"xx",IF(N2177&gt;0,"xy",""))</f>
        <v/>
      </c>
      <c r="Q2182" s="317" t="str">
        <f t="shared" si="218"/>
        <v/>
      </c>
      <c r="R2182" s="317" t="str">
        <f t="shared" si="219"/>
        <v/>
      </c>
      <c r="S2182" s="317" t="str">
        <f t="shared" si="220"/>
        <v/>
      </c>
      <c r="T2182" s="317" t="str">
        <f>'REF. DE PREÇOS n editavel'!S2182</f>
        <v/>
      </c>
      <c r="W2182" s="577">
        <v>0</v>
      </c>
      <c r="X2182" s="575"/>
      <c r="Y2182" s="578">
        <f>IF('REF. DE PREÇOS n editavel'!W2182=0,0,IF('REF. DE PREÇOS n editavel'!W2182&gt;0,"c","b"))</f>
        <v>0</v>
      </c>
    </row>
    <row r="2183" spans="1:25" ht="15" customHeight="1">
      <c r="A2183" s="317" t="s">
        <v>101</v>
      </c>
      <c r="B2183" s="870" t="s">
        <v>101</v>
      </c>
      <c r="C2183" s="871" t="s">
        <v>184</v>
      </c>
      <c r="D2183" s="881" t="s">
        <v>371</v>
      </c>
      <c r="E2183" s="882">
        <f>'REF. DE PREÇOS n editavel'!E2183</f>
        <v>0</v>
      </c>
      <c r="F2183" s="883">
        <f>'REF. DE PREÇOS n editavel'!F2183</f>
        <v>0</v>
      </c>
      <c r="G2183" s="887">
        <f>'REF. DE PREÇOS n editavel'!G2183</f>
        <v>1187.1336388460002</v>
      </c>
      <c r="H2183" s="876">
        <f>'REF. DE PREÇOS n editavel'!H2183</f>
        <v>2212.59</v>
      </c>
      <c r="I2183" s="876">
        <f>'REF. DE PREÇOS n editavel'!I2183</f>
        <v>3399.7236388460005</v>
      </c>
      <c r="J2183" s="877">
        <f>'REF. DE PREÇOS n editavel'!J2183</f>
        <v>4155.1400000000003</v>
      </c>
      <c r="K2183" s="878" t="s">
        <v>15</v>
      </c>
      <c r="L2183" s="1092"/>
      <c r="M2183" s="1093">
        <f t="shared" si="221"/>
        <v>0</v>
      </c>
      <c r="N2183" s="1131">
        <f t="shared" si="217"/>
        <v>0</v>
      </c>
      <c r="O2183" s="880"/>
      <c r="Q2183" s="317" t="str">
        <f t="shared" si="218"/>
        <v/>
      </c>
      <c r="R2183" s="317" t="str">
        <f t="shared" si="219"/>
        <v/>
      </c>
      <c r="S2183" s="317" t="str">
        <f t="shared" si="220"/>
        <v/>
      </c>
      <c r="T2183" s="317" t="str">
        <f>'REF. DE PREÇOS n editavel'!S2183</f>
        <v/>
      </c>
      <c r="W2183" s="577">
        <v>0</v>
      </c>
      <c r="X2183" s="575"/>
      <c r="Y2183" s="578">
        <f>IF('REF. DE PREÇOS n editavel'!W2183=0,0,IF('REF. DE PREÇOS n editavel'!W2183&gt;0,"c","b"))</f>
        <v>0</v>
      </c>
    </row>
    <row r="2184" spans="1:25" ht="15" customHeight="1">
      <c r="A2184" s="317" t="s">
        <v>147</v>
      </c>
      <c r="B2184" s="870" t="s">
        <v>147</v>
      </c>
      <c r="C2184" s="871"/>
      <c r="D2184" s="881" t="s">
        <v>190</v>
      </c>
      <c r="E2184" s="882">
        <f>'REF. DE PREÇOS n editavel'!E2184</f>
        <v>445</v>
      </c>
      <c r="F2184" s="883">
        <f>'REF. DE PREÇOS n editavel'!F2184</f>
        <v>0.82205400000000006</v>
      </c>
      <c r="G2184" s="884">
        <f>'REF. DE PREÇOS n editavel'!G2184</f>
        <v>291.76340568000006</v>
      </c>
      <c r="H2184" s="876">
        <f>'REF. DE PREÇOS n editavel'!H2184</f>
        <v>0</v>
      </c>
      <c r="I2184" s="876">
        <f>'REF. DE PREÇOS n editavel'!I2184</f>
        <v>0</v>
      </c>
      <c r="J2184" s="877">
        <f>'REF. DE PREÇOS n editavel'!J2184</f>
        <v>0</v>
      </c>
      <c r="K2184" s="878"/>
      <c r="L2184" s="1132"/>
      <c r="M2184" s="1093">
        <f t="shared" si="221"/>
        <v>0</v>
      </c>
      <c r="N2184" s="1131">
        <f t="shared" si="217"/>
        <v>0</v>
      </c>
      <c r="O2184" s="880"/>
      <c r="P2184" s="36" t="str">
        <f>IF(N2183&gt;0,"xx",IF(N2183&gt;0,"xy",""))</f>
        <v/>
      </c>
      <c r="Q2184" s="317" t="str">
        <f t="shared" si="218"/>
        <v/>
      </c>
      <c r="R2184" s="317" t="str">
        <f t="shared" si="219"/>
        <v/>
      </c>
      <c r="S2184" s="317" t="str">
        <f t="shared" si="220"/>
        <v/>
      </c>
      <c r="T2184" s="317" t="str">
        <f>'REF. DE PREÇOS n editavel'!S2184</f>
        <v/>
      </c>
      <c r="W2184" s="577">
        <v>0</v>
      </c>
      <c r="X2184" s="575"/>
      <c r="Y2184" s="578">
        <f>IF('REF. DE PREÇOS n editavel'!W2184=0,0,IF('REF. DE PREÇOS n editavel'!W2184&gt;0,"c","b"))</f>
        <v>0</v>
      </c>
    </row>
    <row r="2185" spans="1:25" ht="15" customHeight="1">
      <c r="A2185" s="317" t="s">
        <v>147</v>
      </c>
      <c r="B2185" s="870" t="s">
        <v>147</v>
      </c>
      <c r="C2185" s="871"/>
      <c r="D2185" s="881" t="s">
        <v>229</v>
      </c>
      <c r="E2185" s="882">
        <f>'REF. DE PREÇOS n editavel'!E2185</f>
        <v>290</v>
      </c>
      <c r="F2185" s="883">
        <f>'REF. DE PREÇOS n editavel'!F2185</f>
        <v>2.4129430000000003</v>
      </c>
      <c r="G2185" s="923">
        <f>'REF. DE PREÇOS n editavel'!G2185</f>
        <v>755.20290014000011</v>
      </c>
      <c r="H2185" s="876">
        <f>'REF. DE PREÇOS n editavel'!H2185</f>
        <v>0</v>
      </c>
      <c r="I2185" s="876">
        <f>'REF. DE PREÇOS n editavel'!I2185</f>
        <v>0</v>
      </c>
      <c r="J2185" s="877">
        <f>'REF. DE PREÇOS n editavel'!J2185</f>
        <v>0</v>
      </c>
      <c r="K2185" s="878"/>
      <c r="L2185" s="1132"/>
      <c r="M2185" s="1093">
        <f t="shared" si="221"/>
        <v>0</v>
      </c>
      <c r="N2185" s="1131">
        <f t="shared" si="217"/>
        <v>0</v>
      </c>
      <c r="O2185" s="880"/>
      <c r="P2185" s="36" t="str">
        <f>IF(N2183&gt;0,"xx",IF(N2183&gt;0,"xy",""))</f>
        <v/>
      </c>
      <c r="Q2185" s="317" t="str">
        <f t="shared" si="218"/>
        <v/>
      </c>
      <c r="R2185" s="317" t="str">
        <f t="shared" si="219"/>
        <v/>
      </c>
      <c r="S2185" s="317" t="str">
        <f t="shared" si="220"/>
        <v/>
      </c>
      <c r="T2185" s="317" t="str">
        <f>'REF. DE PREÇOS n editavel'!S2185</f>
        <v/>
      </c>
      <c r="W2185" s="577">
        <v>0</v>
      </c>
      <c r="X2185" s="575"/>
      <c r="Y2185" s="578">
        <f>IF('REF. DE PREÇOS n editavel'!W2185=0,0,IF('REF. DE PREÇOS n editavel'!W2185&gt;0,"c","b"))</f>
        <v>0</v>
      </c>
    </row>
    <row r="2186" spans="1:25" ht="15" customHeight="1">
      <c r="A2186" s="317" t="s">
        <v>147</v>
      </c>
      <c r="B2186" s="870" t="s">
        <v>147</v>
      </c>
      <c r="C2186" s="871"/>
      <c r="D2186" s="881" t="s">
        <v>233</v>
      </c>
      <c r="E2186" s="882">
        <f>'REF. DE PREÇOS n editavel'!E2186</f>
        <v>43.1</v>
      </c>
      <c r="F2186" s="883">
        <f>'REF. DE PREÇOS n editavel'!F2186</f>
        <v>2.8724580000000004</v>
      </c>
      <c r="G2186" s="923">
        <f>'REF. DE PREÇOS n editavel'!G2186</f>
        <v>140.16733302600002</v>
      </c>
      <c r="H2186" s="876">
        <f>'REF. DE PREÇOS n editavel'!H2186</f>
        <v>0</v>
      </c>
      <c r="I2186" s="876">
        <f>'REF. DE PREÇOS n editavel'!I2186</f>
        <v>0</v>
      </c>
      <c r="J2186" s="877">
        <f>'REF. DE PREÇOS n editavel'!J2186</f>
        <v>0</v>
      </c>
      <c r="K2186" s="878"/>
      <c r="L2186" s="1132"/>
      <c r="M2186" s="1093">
        <f t="shared" si="221"/>
        <v>0</v>
      </c>
      <c r="N2186" s="1131">
        <f t="shared" si="217"/>
        <v>0</v>
      </c>
      <c r="O2186" s="880"/>
      <c r="P2186" s="36" t="str">
        <f>IF(N2183&gt;0,"xx",IF(N2183&gt;0,"xy",""))</f>
        <v/>
      </c>
      <c r="Q2186" s="317" t="str">
        <f t="shared" si="218"/>
        <v/>
      </c>
      <c r="R2186" s="317" t="str">
        <f t="shared" si="219"/>
        <v/>
      </c>
      <c r="S2186" s="317" t="str">
        <f t="shared" si="220"/>
        <v/>
      </c>
      <c r="T2186" s="317" t="str">
        <f>'REF. DE PREÇOS n editavel'!S2186</f>
        <v/>
      </c>
      <c r="W2186" s="577">
        <v>0</v>
      </c>
      <c r="X2186" s="575"/>
      <c r="Y2186" s="578">
        <f>IF('REF. DE PREÇOS n editavel'!W2186=0,0,IF('REF. DE PREÇOS n editavel'!W2186&gt;0,"c","b"))</f>
        <v>0</v>
      </c>
    </row>
    <row r="2187" spans="1:25" ht="15" customHeight="1">
      <c r="A2187" s="317" t="s">
        <v>102</v>
      </c>
      <c r="B2187" s="870" t="s">
        <v>102</v>
      </c>
      <c r="C2187" s="871" t="s">
        <v>184</v>
      </c>
      <c r="D2187" s="881" t="s">
        <v>372</v>
      </c>
      <c r="E2187" s="882">
        <f>'REF. DE PREÇOS n editavel'!E2187</f>
        <v>0</v>
      </c>
      <c r="F2187" s="883">
        <f>'REF. DE PREÇOS n editavel'!F2187</f>
        <v>0</v>
      </c>
      <c r="G2187" s="887">
        <f>'REF. DE PREÇOS n editavel'!G2187</f>
        <v>1475.2670057960001</v>
      </c>
      <c r="H2187" s="876">
        <f>'REF. DE PREÇOS n editavel'!H2187</f>
        <v>2568.52</v>
      </c>
      <c r="I2187" s="876">
        <f>'REF. DE PREÇOS n editavel'!I2187</f>
        <v>4043.7870057959999</v>
      </c>
      <c r="J2187" s="877">
        <f>'REF. DE PREÇOS n editavel'!J2187</f>
        <v>4942.32</v>
      </c>
      <c r="K2187" s="878" t="s">
        <v>15</v>
      </c>
      <c r="L2187" s="1092"/>
      <c r="M2187" s="1093">
        <f t="shared" si="221"/>
        <v>0</v>
      </c>
      <c r="N2187" s="1131">
        <f t="shared" si="217"/>
        <v>0</v>
      </c>
      <c r="O2187" s="880"/>
      <c r="Q2187" s="317" t="str">
        <f t="shared" si="218"/>
        <v/>
      </c>
      <c r="R2187" s="317" t="str">
        <f t="shared" si="219"/>
        <v/>
      </c>
      <c r="S2187" s="317" t="str">
        <f t="shared" si="220"/>
        <v/>
      </c>
      <c r="T2187" s="317" t="str">
        <f>'REF. DE PREÇOS n editavel'!S2187</f>
        <v/>
      </c>
      <c r="W2187" s="577">
        <v>0</v>
      </c>
      <c r="X2187" s="575"/>
      <c r="Y2187" s="578">
        <f>IF('REF. DE PREÇOS n editavel'!W2187=0,0,IF('REF. DE PREÇOS n editavel'!W2187&gt;0,"c","b"))</f>
        <v>0</v>
      </c>
    </row>
    <row r="2188" spans="1:25" ht="15" customHeight="1">
      <c r="A2188" s="317" t="s">
        <v>147</v>
      </c>
      <c r="B2188" s="870" t="s">
        <v>147</v>
      </c>
      <c r="C2188" s="871"/>
      <c r="D2188" s="881" t="s">
        <v>190</v>
      </c>
      <c r="E2188" s="882">
        <f>'REF. DE PREÇOS n editavel'!E2188</f>
        <v>445</v>
      </c>
      <c r="F2188" s="883">
        <f>'REF. DE PREÇOS n editavel'!F2188</f>
        <v>1.028964</v>
      </c>
      <c r="G2188" s="884">
        <f>'REF. DE PREÇOS n editavel'!G2188</f>
        <v>365.19990288000002</v>
      </c>
      <c r="H2188" s="876">
        <f>'REF. DE PREÇOS n editavel'!H2188</f>
        <v>0</v>
      </c>
      <c r="I2188" s="876">
        <f>'REF. DE PREÇOS n editavel'!I2188</f>
        <v>0</v>
      </c>
      <c r="J2188" s="877">
        <f>'REF. DE PREÇOS n editavel'!J2188</f>
        <v>0</v>
      </c>
      <c r="K2188" s="878"/>
      <c r="L2188" s="1132"/>
      <c r="M2188" s="1093">
        <f t="shared" si="221"/>
        <v>0</v>
      </c>
      <c r="N2188" s="1131">
        <f t="shared" si="217"/>
        <v>0</v>
      </c>
      <c r="O2188" s="880"/>
      <c r="P2188" s="36" t="str">
        <f>IF(N2187&gt;0,"xx",IF(N2187&gt;0,"xy",""))</f>
        <v/>
      </c>
      <c r="Q2188" s="317" t="str">
        <f t="shared" si="218"/>
        <v/>
      </c>
      <c r="R2188" s="317" t="str">
        <f t="shared" si="219"/>
        <v/>
      </c>
      <c r="S2188" s="317" t="str">
        <f t="shared" si="220"/>
        <v/>
      </c>
      <c r="T2188" s="317" t="str">
        <f>'REF. DE PREÇOS n editavel'!S2188</f>
        <v/>
      </c>
      <c r="W2188" s="577">
        <v>0</v>
      </c>
      <c r="X2188" s="575"/>
      <c r="Y2188" s="578">
        <f>IF('REF. DE PREÇOS n editavel'!W2188=0,0,IF('REF. DE PREÇOS n editavel'!W2188&gt;0,"c","b"))</f>
        <v>0</v>
      </c>
    </row>
    <row r="2189" spans="1:25" ht="15" customHeight="1">
      <c r="A2189" s="317" t="s">
        <v>147</v>
      </c>
      <c r="B2189" s="870" t="s">
        <v>147</v>
      </c>
      <c r="C2189" s="871"/>
      <c r="D2189" s="881" t="s">
        <v>229</v>
      </c>
      <c r="E2189" s="882">
        <f>'REF. DE PREÇOS n editavel'!E2189</f>
        <v>290</v>
      </c>
      <c r="F2189" s="883">
        <f>'REF. DE PREÇOS n editavel'!F2189</f>
        <v>2.9904099999999998</v>
      </c>
      <c r="G2189" s="923">
        <f>'REF. DE PREÇOS n editavel'!G2189</f>
        <v>935.93852179999999</v>
      </c>
      <c r="H2189" s="876">
        <f>'REF. DE PREÇOS n editavel'!H2189</f>
        <v>0</v>
      </c>
      <c r="I2189" s="876">
        <f>'REF. DE PREÇOS n editavel'!I2189</f>
        <v>0</v>
      </c>
      <c r="J2189" s="877">
        <f>'REF. DE PREÇOS n editavel'!J2189</f>
        <v>0</v>
      </c>
      <c r="K2189" s="878"/>
      <c r="L2189" s="1132"/>
      <c r="M2189" s="1093">
        <f t="shared" si="221"/>
        <v>0</v>
      </c>
      <c r="N2189" s="1131">
        <f t="shared" si="217"/>
        <v>0</v>
      </c>
      <c r="O2189" s="880"/>
      <c r="P2189" s="36" t="str">
        <f>IF(N2187&gt;0,"xx",IF(N2187&gt;0,"xy",""))</f>
        <v/>
      </c>
      <c r="Q2189" s="317" t="str">
        <f t="shared" si="218"/>
        <v/>
      </c>
      <c r="R2189" s="317" t="str">
        <f t="shared" si="219"/>
        <v/>
      </c>
      <c r="S2189" s="317" t="str">
        <f t="shared" si="220"/>
        <v/>
      </c>
      <c r="T2189" s="317" t="str">
        <f>'REF. DE PREÇOS n editavel'!S2189</f>
        <v/>
      </c>
      <c r="W2189" s="577">
        <v>0</v>
      </c>
      <c r="X2189" s="575"/>
      <c r="Y2189" s="578">
        <f>IF('REF. DE PREÇOS n editavel'!W2189=0,0,IF('REF. DE PREÇOS n editavel'!W2189&gt;0,"c","b"))</f>
        <v>0</v>
      </c>
    </row>
    <row r="2190" spans="1:25" ht="15" customHeight="1">
      <c r="A2190" s="317" t="s">
        <v>147</v>
      </c>
      <c r="B2190" s="870" t="s">
        <v>147</v>
      </c>
      <c r="C2190" s="871"/>
      <c r="D2190" s="881" t="s">
        <v>233</v>
      </c>
      <c r="E2190" s="882">
        <f>'REF. DE PREÇOS n editavel'!E2190</f>
        <v>43.1</v>
      </c>
      <c r="F2190" s="883">
        <f>'REF. DE PREÇOS n editavel'!F2190</f>
        <v>3.5684279999999999</v>
      </c>
      <c r="G2190" s="923">
        <f>'REF. DE PREÇOS n editavel'!G2190</f>
        <v>174.12858111600002</v>
      </c>
      <c r="H2190" s="876">
        <f>'REF. DE PREÇOS n editavel'!H2190</f>
        <v>0</v>
      </c>
      <c r="I2190" s="876">
        <f>'REF. DE PREÇOS n editavel'!I2190</f>
        <v>0</v>
      </c>
      <c r="J2190" s="877">
        <f>'REF. DE PREÇOS n editavel'!J2190</f>
        <v>0</v>
      </c>
      <c r="K2190" s="878"/>
      <c r="L2190" s="1132"/>
      <c r="M2190" s="1093">
        <f t="shared" si="221"/>
        <v>0</v>
      </c>
      <c r="N2190" s="1131">
        <f t="shared" si="217"/>
        <v>0</v>
      </c>
      <c r="O2190" s="880"/>
      <c r="P2190" s="36" t="str">
        <f>IF(N2187&gt;0,"xx",IF(N2187&gt;0,"xy",""))</f>
        <v/>
      </c>
      <c r="Q2190" s="317" t="str">
        <f t="shared" si="218"/>
        <v/>
      </c>
      <c r="R2190" s="317" t="str">
        <f t="shared" si="219"/>
        <v/>
      </c>
      <c r="S2190" s="317" t="str">
        <f t="shared" si="220"/>
        <v/>
      </c>
      <c r="T2190" s="317" t="str">
        <f>'REF. DE PREÇOS n editavel'!S2190</f>
        <v/>
      </c>
      <c r="W2190" s="577">
        <v>0</v>
      </c>
      <c r="X2190" s="575"/>
      <c r="Y2190" s="578">
        <f>IF('REF. DE PREÇOS n editavel'!W2190=0,0,IF('REF. DE PREÇOS n editavel'!W2190&gt;0,"c","b"))</f>
        <v>0</v>
      </c>
    </row>
    <row r="2191" spans="1:25" ht="15" customHeight="1">
      <c r="A2191" s="317" t="s">
        <v>103</v>
      </c>
      <c r="B2191" s="870" t="s">
        <v>103</v>
      </c>
      <c r="C2191" s="871" t="s">
        <v>184</v>
      </c>
      <c r="D2191" s="881" t="s">
        <v>373</v>
      </c>
      <c r="E2191" s="882">
        <f>'REF. DE PREÇOS n editavel'!E2191</f>
        <v>0</v>
      </c>
      <c r="F2191" s="883">
        <f>'REF. DE PREÇOS n editavel'!F2191</f>
        <v>0</v>
      </c>
      <c r="G2191" s="887">
        <f>'REF. DE PREÇOS n editavel'!G2191</f>
        <v>1946.7579698960001</v>
      </c>
      <c r="H2191" s="876">
        <f>'REF. DE PREÇOS n editavel'!H2191</f>
        <v>3151.98</v>
      </c>
      <c r="I2191" s="876">
        <f>'REF. DE PREÇOS n editavel'!I2191</f>
        <v>5098.7379698960003</v>
      </c>
      <c r="J2191" s="877">
        <f>'REF. DE PREÇOS n editavel'!J2191</f>
        <v>6231.68</v>
      </c>
      <c r="K2191" s="878" t="s">
        <v>15</v>
      </c>
      <c r="L2191" s="1092"/>
      <c r="M2191" s="1093">
        <f t="shared" si="221"/>
        <v>0</v>
      </c>
      <c r="N2191" s="1131">
        <f t="shared" si="217"/>
        <v>0</v>
      </c>
      <c r="O2191" s="880"/>
      <c r="Q2191" s="317" t="str">
        <f t="shared" si="218"/>
        <v/>
      </c>
      <c r="R2191" s="317" t="str">
        <f t="shared" si="219"/>
        <v/>
      </c>
      <c r="S2191" s="317" t="str">
        <f t="shared" si="220"/>
        <v/>
      </c>
      <c r="T2191" s="317" t="str">
        <f>'REF. DE PREÇOS n editavel'!S2191</f>
        <v/>
      </c>
      <c r="W2191" s="577">
        <v>0</v>
      </c>
      <c r="X2191" s="575"/>
      <c r="Y2191" s="578">
        <f>IF('REF. DE PREÇOS n editavel'!W2191=0,0,IF('REF. DE PREÇOS n editavel'!W2191&gt;0,"c","b"))</f>
        <v>0</v>
      </c>
    </row>
    <row r="2192" spans="1:25" ht="15" customHeight="1">
      <c r="A2192" s="317" t="s">
        <v>147</v>
      </c>
      <c r="B2192" s="870" t="s">
        <v>147</v>
      </c>
      <c r="C2192" s="871"/>
      <c r="D2192" s="881" t="s">
        <v>190</v>
      </c>
      <c r="E2192" s="882">
        <f>'REF. DE PREÇOS n editavel'!E2192</f>
        <v>445</v>
      </c>
      <c r="F2192" s="883">
        <f>'REF. DE PREÇOS n editavel'!F2192</f>
        <v>1.3675439999999999</v>
      </c>
      <c r="G2192" s="884">
        <f>'REF. DE PREÇOS n editavel'!G2192</f>
        <v>485.36871647999999</v>
      </c>
      <c r="H2192" s="876">
        <f>'REF. DE PREÇOS n editavel'!H2192</f>
        <v>0</v>
      </c>
      <c r="I2192" s="876">
        <f>'REF. DE PREÇOS n editavel'!I2192</f>
        <v>0</v>
      </c>
      <c r="J2192" s="877">
        <f>'REF. DE PREÇOS n editavel'!J2192</f>
        <v>0</v>
      </c>
      <c r="K2192" s="878"/>
      <c r="L2192" s="1132"/>
      <c r="M2192" s="1093">
        <f t="shared" si="221"/>
        <v>0</v>
      </c>
      <c r="N2192" s="1131">
        <f t="shared" si="217"/>
        <v>0</v>
      </c>
      <c r="O2192" s="880"/>
      <c r="P2192" s="36" t="str">
        <f>IF(N2191&gt;0,"xx",IF(N2191&gt;0,"xy",""))</f>
        <v/>
      </c>
      <c r="Q2192" s="317" t="str">
        <f t="shared" si="218"/>
        <v/>
      </c>
      <c r="R2192" s="317" t="str">
        <f t="shared" si="219"/>
        <v/>
      </c>
      <c r="S2192" s="317" t="str">
        <f t="shared" si="220"/>
        <v/>
      </c>
      <c r="T2192" s="317" t="str">
        <f>'REF. DE PREÇOS n editavel'!S2192</f>
        <v/>
      </c>
      <c r="W2192" s="577">
        <v>0</v>
      </c>
      <c r="X2192" s="575"/>
      <c r="Y2192" s="578">
        <f>IF('REF. DE PREÇOS n editavel'!W2192=0,0,IF('REF. DE PREÇOS n editavel'!W2192&gt;0,"c","b"))</f>
        <v>0</v>
      </c>
    </row>
    <row r="2193" spans="1:25" ht="15" customHeight="1">
      <c r="A2193" s="317" t="s">
        <v>147</v>
      </c>
      <c r="B2193" s="870" t="s">
        <v>147</v>
      </c>
      <c r="C2193" s="871"/>
      <c r="D2193" s="881" t="s">
        <v>229</v>
      </c>
      <c r="E2193" s="882">
        <f>'REF. DE PREÇOS n editavel'!E2193</f>
        <v>290</v>
      </c>
      <c r="F2193" s="883">
        <f>'REF. DE PREÇOS n editavel'!F2193</f>
        <v>3.9353559999999996</v>
      </c>
      <c r="G2193" s="923">
        <f>'REF. DE PREÇOS n editavel'!G2193</f>
        <v>1231.6877208799999</v>
      </c>
      <c r="H2193" s="876">
        <f>'REF. DE PREÇOS n editavel'!H2193</f>
        <v>0</v>
      </c>
      <c r="I2193" s="876">
        <f>'REF. DE PREÇOS n editavel'!I2193</f>
        <v>0</v>
      </c>
      <c r="J2193" s="877">
        <f>'REF. DE PREÇOS n editavel'!J2193</f>
        <v>0</v>
      </c>
      <c r="K2193" s="878"/>
      <c r="L2193" s="1132"/>
      <c r="M2193" s="1093">
        <f t="shared" si="221"/>
        <v>0</v>
      </c>
      <c r="N2193" s="1131">
        <f t="shared" si="217"/>
        <v>0</v>
      </c>
      <c r="O2193" s="880"/>
      <c r="P2193" s="36" t="str">
        <f>IF(N2191&gt;0,"xx",IF(N2191&gt;0,"xy",""))</f>
        <v/>
      </c>
      <c r="Q2193" s="317" t="str">
        <f t="shared" si="218"/>
        <v/>
      </c>
      <c r="R2193" s="317" t="str">
        <f t="shared" si="219"/>
        <v/>
      </c>
      <c r="S2193" s="317" t="str">
        <f t="shared" si="220"/>
        <v/>
      </c>
      <c r="T2193" s="317" t="str">
        <f>'REF. DE PREÇOS n editavel'!S2193</f>
        <v/>
      </c>
      <c r="W2193" s="577">
        <v>0</v>
      </c>
      <c r="X2193" s="575"/>
      <c r="Y2193" s="578">
        <f>IF('REF. DE PREÇOS n editavel'!W2193=0,0,IF('REF. DE PREÇOS n editavel'!W2193&gt;0,"c","b"))</f>
        <v>0</v>
      </c>
    </row>
    <row r="2194" spans="1:25" ht="15" customHeight="1">
      <c r="A2194" s="317" t="s">
        <v>147</v>
      </c>
      <c r="B2194" s="870" t="s">
        <v>147</v>
      </c>
      <c r="C2194" s="871"/>
      <c r="D2194" s="881" t="s">
        <v>233</v>
      </c>
      <c r="E2194" s="882">
        <f>'REF. DE PREÇOS n editavel'!E2194</f>
        <v>43.1</v>
      </c>
      <c r="F2194" s="883">
        <f>'REF. DE PREÇOS n editavel'!F2194</f>
        <v>4.7072880000000001</v>
      </c>
      <c r="G2194" s="923">
        <f>'REF. DE PREÇOS n editavel'!G2194</f>
        <v>229.70153253600003</v>
      </c>
      <c r="H2194" s="876">
        <f>'REF. DE PREÇOS n editavel'!H2194</f>
        <v>0</v>
      </c>
      <c r="I2194" s="876">
        <f>'REF. DE PREÇOS n editavel'!I2194</f>
        <v>0</v>
      </c>
      <c r="J2194" s="877">
        <f>'REF. DE PREÇOS n editavel'!J2194</f>
        <v>0</v>
      </c>
      <c r="K2194" s="878"/>
      <c r="L2194" s="1132"/>
      <c r="M2194" s="1093">
        <f t="shared" si="221"/>
        <v>0</v>
      </c>
      <c r="N2194" s="1131">
        <f t="shared" si="217"/>
        <v>0</v>
      </c>
      <c r="O2194" s="880"/>
      <c r="P2194" s="36" t="str">
        <f>IF(N2191&gt;0,"xx",IF(N2191&gt;0,"xy",""))</f>
        <v/>
      </c>
      <c r="Q2194" s="317" t="str">
        <f t="shared" si="218"/>
        <v/>
      </c>
      <c r="R2194" s="317" t="str">
        <f t="shared" si="219"/>
        <v/>
      </c>
      <c r="S2194" s="317" t="str">
        <f t="shared" si="220"/>
        <v/>
      </c>
      <c r="T2194" s="317" t="str">
        <f>'REF. DE PREÇOS n editavel'!S2194</f>
        <v/>
      </c>
      <c r="W2194" s="577">
        <v>0</v>
      </c>
      <c r="X2194" s="575"/>
      <c r="Y2194" s="578">
        <f>IF('REF. DE PREÇOS n editavel'!W2194=0,0,IF('REF. DE PREÇOS n editavel'!W2194&gt;0,"c","b"))</f>
        <v>0</v>
      </c>
    </row>
    <row r="2195" spans="1:25" ht="15" customHeight="1">
      <c r="A2195" s="317" t="s">
        <v>104</v>
      </c>
      <c r="B2195" s="870" t="s">
        <v>104</v>
      </c>
      <c r="C2195" s="871" t="s">
        <v>184</v>
      </c>
      <c r="D2195" s="881" t="s">
        <v>374</v>
      </c>
      <c r="E2195" s="882">
        <f>'REF. DE PREÇOS n editavel'!E2195</f>
        <v>0</v>
      </c>
      <c r="F2195" s="883">
        <f>'REF. DE PREÇOS n editavel'!F2195</f>
        <v>0</v>
      </c>
      <c r="G2195" s="887">
        <f>'REF. DE PREÇOS n editavel'!G2195</f>
        <v>2426.9802481460001</v>
      </c>
      <c r="H2195" s="876">
        <f>'REF. DE PREÇOS n editavel'!H2195</f>
        <v>3745</v>
      </c>
      <c r="I2195" s="876">
        <f>'REF. DE PREÇOS n editavel'!I2195</f>
        <v>6171.9802481460001</v>
      </c>
      <c r="J2195" s="877">
        <f>'REF. DE PREÇOS n editavel'!J2195</f>
        <v>7543.39</v>
      </c>
      <c r="K2195" s="878" t="s">
        <v>15</v>
      </c>
      <c r="L2195" s="1092"/>
      <c r="M2195" s="1093">
        <f t="shared" si="221"/>
        <v>0</v>
      </c>
      <c r="N2195" s="1131">
        <f t="shared" si="217"/>
        <v>0</v>
      </c>
      <c r="O2195" s="880"/>
      <c r="Q2195" s="317" t="str">
        <f t="shared" si="218"/>
        <v/>
      </c>
      <c r="R2195" s="317" t="str">
        <f t="shared" si="219"/>
        <v/>
      </c>
      <c r="S2195" s="317" t="str">
        <f t="shared" si="220"/>
        <v/>
      </c>
      <c r="T2195" s="317" t="str">
        <f>'REF. DE PREÇOS n editavel'!S2195</f>
        <v/>
      </c>
      <c r="W2195" s="577">
        <v>0</v>
      </c>
      <c r="X2195" s="575"/>
      <c r="Y2195" s="578">
        <f>IF('REF. DE PREÇOS n editavel'!W2195=0,0,IF('REF. DE PREÇOS n editavel'!W2195&gt;0,"c","b"))</f>
        <v>0</v>
      </c>
    </row>
    <row r="2196" spans="1:25" ht="15" customHeight="1">
      <c r="A2196" s="317" t="s">
        <v>147</v>
      </c>
      <c r="B2196" s="870" t="s">
        <v>147</v>
      </c>
      <c r="C2196" s="871"/>
      <c r="D2196" s="881" t="s">
        <v>190</v>
      </c>
      <c r="E2196" s="882">
        <f>'REF. DE PREÇOS n editavel'!E2196</f>
        <v>445</v>
      </c>
      <c r="F2196" s="883">
        <f>'REF. DE PREÇOS n editavel'!F2196</f>
        <v>1.7123939999999997</v>
      </c>
      <c r="G2196" s="884">
        <f>'REF. DE PREÇOS n editavel'!G2196</f>
        <v>607.76287847999993</v>
      </c>
      <c r="H2196" s="876">
        <f>'REF. DE PREÇOS n editavel'!H2196</f>
        <v>0</v>
      </c>
      <c r="I2196" s="876">
        <f>'REF. DE PREÇOS n editavel'!I2196</f>
        <v>0</v>
      </c>
      <c r="J2196" s="877">
        <f>'REF. DE PREÇOS n editavel'!J2196</f>
        <v>0</v>
      </c>
      <c r="K2196" s="878"/>
      <c r="L2196" s="1132"/>
      <c r="M2196" s="1093">
        <f t="shared" si="221"/>
        <v>0</v>
      </c>
      <c r="N2196" s="1131">
        <f t="shared" si="217"/>
        <v>0</v>
      </c>
      <c r="O2196" s="880"/>
      <c r="P2196" s="36" t="str">
        <f>IF(N2195&gt;0,"xx",IF(N2195&gt;0,"xy",""))</f>
        <v/>
      </c>
      <c r="Q2196" s="317" t="str">
        <f t="shared" si="218"/>
        <v/>
      </c>
      <c r="R2196" s="317" t="str">
        <f t="shared" si="219"/>
        <v/>
      </c>
      <c r="S2196" s="317" t="str">
        <f t="shared" si="220"/>
        <v/>
      </c>
      <c r="T2196" s="317" t="str">
        <f>'REF. DE PREÇOS n editavel'!S2196</f>
        <v/>
      </c>
      <c r="W2196" s="577">
        <v>0</v>
      </c>
      <c r="X2196" s="575"/>
      <c r="Y2196" s="578">
        <f>IF('REF. DE PREÇOS n editavel'!W2196=0,0,IF('REF. DE PREÇOS n editavel'!W2196&gt;0,"c","b"))</f>
        <v>0</v>
      </c>
    </row>
    <row r="2197" spans="1:25" ht="15" customHeight="1">
      <c r="A2197" s="317" t="s">
        <v>147</v>
      </c>
      <c r="B2197" s="870" t="s">
        <v>147</v>
      </c>
      <c r="C2197" s="871"/>
      <c r="D2197" s="881" t="s">
        <v>229</v>
      </c>
      <c r="E2197" s="882">
        <f>'REF. DE PREÇOS n editavel'!E2197</f>
        <v>290</v>
      </c>
      <c r="F2197" s="883">
        <f>'REF. DE PREÇOS n editavel'!F2197</f>
        <v>4.8978009999999994</v>
      </c>
      <c r="G2197" s="923">
        <f>'REF. DE PREÇOS n editavel'!G2197</f>
        <v>1532.91375698</v>
      </c>
      <c r="H2197" s="876">
        <f>'REF. DE PREÇOS n editavel'!H2197</f>
        <v>0</v>
      </c>
      <c r="I2197" s="876">
        <f>'REF. DE PREÇOS n editavel'!I2197</f>
        <v>0</v>
      </c>
      <c r="J2197" s="877">
        <f>'REF. DE PREÇOS n editavel'!J2197</f>
        <v>0</v>
      </c>
      <c r="K2197" s="878"/>
      <c r="L2197" s="1132"/>
      <c r="M2197" s="1093">
        <f t="shared" si="221"/>
        <v>0</v>
      </c>
      <c r="N2197" s="1131">
        <f t="shared" si="217"/>
        <v>0</v>
      </c>
      <c r="O2197" s="880"/>
      <c r="P2197" s="36" t="str">
        <f>IF(N2195&gt;0,"xx",IF(N2195&gt;0,"xy",""))</f>
        <v/>
      </c>
      <c r="Q2197" s="317" t="str">
        <f t="shared" si="218"/>
        <v/>
      </c>
      <c r="R2197" s="317" t="str">
        <f t="shared" si="219"/>
        <v/>
      </c>
      <c r="S2197" s="317" t="str">
        <f t="shared" si="220"/>
        <v/>
      </c>
      <c r="T2197" s="317" t="str">
        <f>'REF. DE PREÇOS n editavel'!S2197</f>
        <v/>
      </c>
      <c r="W2197" s="577">
        <v>0</v>
      </c>
      <c r="X2197" s="575"/>
      <c r="Y2197" s="578">
        <f>IF('REF. DE PREÇOS n editavel'!W2197=0,0,IF('REF. DE PREÇOS n editavel'!W2197&gt;0,"c","b"))</f>
        <v>0</v>
      </c>
    </row>
    <row r="2198" spans="1:25" ht="15" customHeight="1">
      <c r="A2198" s="317" t="s">
        <v>147</v>
      </c>
      <c r="B2198" s="870" t="s">
        <v>147</v>
      </c>
      <c r="C2198" s="871"/>
      <c r="D2198" s="881" t="s">
        <v>233</v>
      </c>
      <c r="E2198" s="882">
        <f>'REF. DE PREÇOS n editavel'!E2198</f>
        <v>43.1</v>
      </c>
      <c r="F2198" s="883">
        <f>'REF. DE PREÇOS n editavel'!F2198</f>
        <v>5.8672380000000004</v>
      </c>
      <c r="G2198" s="923">
        <f>'REF. DE PREÇOS n editavel'!G2198</f>
        <v>286.30361268600006</v>
      </c>
      <c r="H2198" s="876">
        <f>'REF. DE PREÇOS n editavel'!H2198</f>
        <v>0</v>
      </c>
      <c r="I2198" s="876">
        <f>'REF. DE PREÇOS n editavel'!I2198</f>
        <v>0</v>
      </c>
      <c r="J2198" s="877">
        <f>'REF. DE PREÇOS n editavel'!J2198</f>
        <v>0</v>
      </c>
      <c r="K2198" s="878"/>
      <c r="L2198" s="1132"/>
      <c r="M2198" s="1093">
        <f t="shared" si="221"/>
        <v>0</v>
      </c>
      <c r="N2198" s="1131">
        <f t="shared" si="217"/>
        <v>0</v>
      </c>
      <c r="O2198" s="880"/>
      <c r="P2198" s="36" t="str">
        <f>IF(N2195&gt;0,"xx",IF(N2195&gt;0,"xy",""))</f>
        <v/>
      </c>
      <c r="Q2198" s="317" t="str">
        <f t="shared" si="218"/>
        <v/>
      </c>
      <c r="R2198" s="317" t="str">
        <f t="shared" si="219"/>
        <v/>
      </c>
      <c r="S2198" s="317" t="str">
        <f t="shared" si="220"/>
        <v/>
      </c>
      <c r="T2198" s="317" t="str">
        <f>'REF. DE PREÇOS n editavel'!S2198</f>
        <v/>
      </c>
      <c r="W2198" s="577">
        <v>0</v>
      </c>
      <c r="X2198" s="575"/>
      <c r="Y2198" s="578">
        <f>IF('REF. DE PREÇOS n editavel'!W2198=0,0,IF('REF. DE PREÇOS n editavel'!W2198&gt;0,"c","b"))</f>
        <v>0</v>
      </c>
    </row>
    <row r="2199" spans="1:25" ht="15" customHeight="1">
      <c r="A2199" s="317" t="s">
        <v>27</v>
      </c>
      <c r="B2199" s="870" t="s">
        <v>27</v>
      </c>
      <c r="C2199" s="871" t="s">
        <v>184</v>
      </c>
      <c r="D2199" s="881" t="s">
        <v>94</v>
      </c>
      <c r="E2199" s="882">
        <f>'REF. DE PREÇOS n editavel'!E2199</f>
        <v>0</v>
      </c>
      <c r="F2199" s="883">
        <f>'REF. DE PREÇOS n editavel'!F2199</f>
        <v>0</v>
      </c>
      <c r="G2199" s="887">
        <f>'REF. DE PREÇOS n editavel'!G2199</f>
        <v>563.00721989800002</v>
      </c>
      <c r="H2199" s="876">
        <f>'REF. DE PREÇOS n editavel'!H2199</f>
        <v>3736.16</v>
      </c>
      <c r="I2199" s="876">
        <f>'REF. DE PREÇOS n editavel'!I2199</f>
        <v>4299.1672198979995</v>
      </c>
      <c r="J2199" s="877">
        <f>'REF. DE PREÇOS n editavel'!J2199</f>
        <v>5254.44</v>
      </c>
      <c r="K2199" s="878" t="s">
        <v>15</v>
      </c>
      <c r="L2199" s="1092"/>
      <c r="M2199" s="1093">
        <f t="shared" si="221"/>
        <v>0</v>
      </c>
      <c r="N2199" s="1131">
        <f t="shared" ref="N2199:N2262" si="222">IF(ISBLANK(L2199),0,IF(W2199=0,ROUND(L2199*M2199,2),IF(W2199="b",ROUNDDOWN(L2199*M2199,2),ROUNDUP(L2199*M2199,2))))</f>
        <v>0</v>
      </c>
      <c r="O2199" s="880"/>
      <c r="Q2199" s="317" t="str">
        <f t="shared" si="218"/>
        <v/>
      </c>
      <c r="R2199" s="317" t="str">
        <f t="shared" si="219"/>
        <v/>
      </c>
      <c r="S2199" s="317" t="str">
        <f t="shared" si="220"/>
        <v/>
      </c>
      <c r="T2199" s="317" t="str">
        <f>'REF. DE PREÇOS n editavel'!S2199</f>
        <v/>
      </c>
      <c r="W2199" s="577">
        <v>0</v>
      </c>
      <c r="X2199" s="575"/>
      <c r="Y2199" s="578">
        <f>IF('REF. DE PREÇOS n editavel'!W2199=0,0,IF('REF. DE PREÇOS n editavel'!W2199&gt;0,"c","b"))</f>
        <v>0</v>
      </c>
    </row>
    <row r="2200" spans="1:25" ht="15" customHeight="1">
      <c r="A2200" s="317" t="s">
        <v>147</v>
      </c>
      <c r="B2200" s="870" t="s">
        <v>147</v>
      </c>
      <c r="C2200" s="871"/>
      <c r="D2200" s="881" t="s">
        <v>190</v>
      </c>
      <c r="E2200" s="882">
        <f>'REF. DE PREÇOS n editavel'!E2200</f>
        <v>445</v>
      </c>
      <c r="F2200" s="883">
        <f>'REF. DE PREÇOS n editavel'!F2200</f>
        <v>0.38908200000000004</v>
      </c>
      <c r="G2200" s="884">
        <f>'REF. DE PREÇOS n editavel'!G2200</f>
        <v>138.09298344000001</v>
      </c>
      <c r="H2200" s="876">
        <f>'REF. DE PREÇOS n editavel'!H2200</f>
        <v>0</v>
      </c>
      <c r="I2200" s="876">
        <f>'REF. DE PREÇOS n editavel'!I2200</f>
        <v>0</v>
      </c>
      <c r="J2200" s="877">
        <f>'REF. DE PREÇOS n editavel'!J2200</f>
        <v>0</v>
      </c>
      <c r="K2200" s="878"/>
      <c r="L2200" s="1132"/>
      <c r="M2200" s="1093">
        <f t="shared" si="221"/>
        <v>0</v>
      </c>
      <c r="N2200" s="1131">
        <f t="shared" si="222"/>
        <v>0</v>
      </c>
      <c r="O2200" s="880"/>
      <c r="P2200" s="36" t="str">
        <f>IF(N2199&gt;0,"xx",IF(N2199&gt;0,"xy",""))</f>
        <v/>
      </c>
      <c r="Q2200" s="317" t="str">
        <f t="shared" si="218"/>
        <v/>
      </c>
      <c r="R2200" s="317" t="str">
        <f t="shared" si="219"/>
        <v/>
      </c>
      <c r="S2200" s="317" t="str">
        <f t="shared" si="220"/>
        <v/>
      </c>
      <c r="T2200" s="317" t="str">
        <f>'REF. DE PREÇOS n editavel'!S2200</f>
        <v/>
      </c>
      <c r="W2200" s="577">
        <v>0</v>
      </c>
      <c r="X2200" s="575"/>
      <c r="Y2200" s="578">
        <f>IF('REF. DE PREÇOS n editavel'!W2200=0,0,IF('REF. DE PREÇOS n editavel'!W2200&gt;0,"c","b"))</f>
        <v>0</v>
      </c>
    </row>
    <row r="2201" spans="1:25" ht="15" customHeight="1">
      <c r="A2201" s="317" t="s">
        <v>147</v>
      </c>
      <c r="B2201" s="870" t="s">
        <v>147</v>
      </c>
      <c r="C2201" s="871"/>
      <c r="D2201" s="881" t="s">
        <v>229</v>
      </c>
      <c r="E2201" s="882">
        <f>'REF. DE PREÇOS n editavel'!E2201</f>
        <v>290</v>
      </c>
      <c r="F2201" s="883">
        <f>'REF. DE PREÇOS n editavel'!F2201</f>
        <v>1.1452249999999999</v>
      </c>
      <c r="G2201" s="923">
        <f>'REF. DE PREÇOS n editavel'!G2201</f>
        <v>358.43252050000001</v>
      </c>
      <c r="H2201" s="876">
        <f>'REF. DE PREÇOS n editavel'!H2201</f>
        <v>0</v>
      </c>
      <c r="I2201" s="876">
        <f>'REF. DE PREÇOS n editavel'!I2201</f>
        <v>0</v>
      </c>
      <c r="J2201" s="877">
        <f>'REF. DE PREÇOS n editavel'!J2201</f>
        <v>0</v>
      </c>
      <c r="K2201" s="878"/>
      <c r="L2201" s="1132"/>
      <c r="M2201" s="1093">
        <f t="shared" si="221"/>
        <v>0</v>
      </c>
      <c r="N2201" s="1131">
        <f t="shared" si="222"/>
        <v>0</v>
      </c>
      <c r="O2201" s="880"/>
      <c r="P2201" s="36" t="str">
        <f>IF(N2199&gt;0,"xx",IF(N2199&gt;0,"xy",""))</f>
        <v/>
      </c>
      <c r="Q2201" s="317" t="str">
        <f t="shared" si="218"/>
        <v/>
      </c>
      <c r="R2201" s="317" t="str">
        <f t="shared" si="219"/>
        <v/>
      </c>
      <c r="S2201" s="317" t="str">
        <f t="shared" si="220"/>
        <v/>
      </c>
      <c r="T2201" s="317" t="str">
        <f>'REF. DE PREÇOS n editavel'!S2201</f>
        <v/>
      </c>
      <c r="W2201" s="577">
        <v>0</v>
      </c>
      <c r="X2201" s="575"/>
      <c r="Y2201" s="578">
        <f>IF('REF. DE PREÇOS n editavel'!W2201=0,0,IF('REF. DE PREÇOS n editavel'!W2201&gt;0,"c","b"))</f>
        <v>0</v>
      </c>
    </row>
    <row r="2202" spans="1:25" ht="15" customHeight="1">
      <c r="A2202" s="317" t="s">
        <v>147</v>
      </c>
      <c r="B2202" s="870" t="s">
        <v>147</v>
      </c>
      <c r="C2202" s="871"/>
      <c r="D2202" s="881" t="s">
        <v>233</v>
      </c>
      <c r="E2202" s="882">
        <f>'REF. DE PREÇOS n editavel'!E2202</f>
        <v>43.1</v>
      </c>
      <c r="F2202" s="883">
        <f>'REF. DE PREÇOS n editavel'!F2202</f>
        <v>1.362414</v>
      </c>
      <c r="G2202" s="923">
        <f>'REF. DE PREÇOS n editavel'!G2202</f>
        <v>66.481715958000009</v>
      </c>
      <c r="H2202" s="876">
        <f>'REF. DE PREÇOS n editavel'!H2202</f>
        <v>0</v>
      </c>
      <c r="I2202" s="876">
        <f>'REF. DE PREÇOS n editavel'!I2202</f>
        <v>0</v>
      </c>
      <c r="J2202" s="877">
        <f>'REF. DE PREÇOS n editavel'!J2202</f>
        <v>0</v>
      </c>
      <c r="K2202" s="878"/>
      <c r="L2202" s="1132"/>
      <c r="M2202" s="1093">
        <f t="shared" si="221"/>
        <v>0</v>
      </c>
      <c r="N2202" s="1131">
        <f t="shared" si="222"/>
        <v>0</v>
      </c>
      <c r="O2202" s="880"/>
      <c r="P2202" s="36" t="str">
        <f>IF(N2199&gt;0,"xx",IF(N2199&gt;0,"xy",""))</f>
        <v/>
      </c>
      <c r="Q2202" s="317" t="str">
        <f t="shared" si="218"/>
        <v/>
      </c>
      <c r="R2202" s="317" t="str">
        <f t="shared" si="219"/>
        <v/>
      </c>
      <c r="S2202" s="317" t="str">
        <f t="shared" si="220"/>
        <v/>
      </c>
      <c r="T2202" s="317" t="str">
        <f>'REF. DE PREÇOS n editavel'!S2202</f>
        <v/>
      </c>
      <c r="W2202" s="577">
        <v>0</v>
      </c>
      <c r="X2202" s="575"/>
      <c r="Y2202" s="578">
        <f>IF('REF. DE PREÇOS n editavel'!W2202=0,0,IF('REF. DE PREÇOS n editavel'!W2202&gt;0,"c","b"))</f>
        <v>0</v>
      </c>
    </row>
    <row r="2203" spans="1:25" ht="15" customHeight="1">
      <c r="A2203" s="317" t="s">
        <v>28</v>
      </c>
      <c r="B2203" s="870" t="s">
        <v>28</v>
      </c>
      <c r="C2203" s="871" t="s">
        <v>184</v>
      </c>
      <c r="D2203" s="881" t="s">
        <v>91</v>
      </c>
      <c r="E2203" s="882">
        <f>'REF. DE PREÇOS n editavel'!E2203</f>
        <v>0</v>
      </c>
      <c r="F2203" s="883">
        <f>'REF. DE PREÇOS n editavel'!F2203</f>
        <v>0</v>
      </c>
      <c r="G2203" s="887">
        <f>'REF. DE PREÇOS n editavel'!G2203</f>
        <v>702.70824629800006</v>
      </c>
      <c r="H2203" s="876">
        <f>'REF. DE PREÇOS n editavel'!H2203</f>
        <v>4503.8999999999996</v>
      </c>
      <c r="I2203" s="876">
        <f>'REF. DE PREÇOS n editavel'!I2203</f>
        <v>5206.6082462979994</v>
      </c>
      <c r="J2203" s="877">
        <f>'REF. DE PREÇOS n editavel'!J2203</f>
        <v>6363.52</v>
      </c>
      <c r="K2203" s="878" t="s">
        <v>15</v>
      </c>
      <c r="L2203" s="1092"/>
      <c r="M2203" s="1093">
        <f t="shared" si="221"/>
        <v>0</v>
      </c>
      <c r="N2203" s="1131">
        <f t="shared" si="222"/>
        <v>0</v>
      </c>
      <c r="O2203" s="880"/>
      <c r="Q2203" s="317" t="str">
        <f t="shared" si="218"/>
        <v/>
      </c>
      <c r="R2203" s="317" t="str">
        <f t="shared" si="219"/>
        <v/>
      </c>
      <c r="S2203" s="317" t="str">
        <f t="shared" si="220"/>
        <v/>
      </c>
      <c r="T2203" s="317" t="str">
        <f>'REF. DE PREÇOS n editavel'!S2203</f>
        <v/>
      </c>
      <c r="W2203" s="577">
        <v>0</v>
      </c>
      <c r="X2203" s="575"/>
      <c r="Y2203" s="578">
        <f>IF('REF. DE PREÇOS n editavel'!W2203=0,0,IF('REF. DE PREÇOS n editavel'!W2203&gt;0,"c","b"))</f>
        <v>0</v>
      </c>
    </row>
    <row r="2204" spans="1:25" ht="15" customHeight="1">
      <c r="A2204" s="317" t="s">
        <v>147</v>
      </c>
      <c r="B2204" s="870" t="s">
        <v>147</v>
      </c>
      <c r="C2204" s="871"/>
      <c r="D2204" s="881" t="s">
        <v>190</v>
      </c>
      <c r="E2204" s="882">
        <f>'REF. DE PREÇOS n editavel'!E2204</f>
        <v>445</v>
      </c>
      <c r="F2204" s="883">
        <f>'REF. DE PREÇOS n editavel'!F2204</f>
        <v>0.48940199999999995</v>
      </c>
      <c r="G2204" s="884">
        <f>'REF. DE PREÇOS n editavel'!G2204</f>
        <v>173.69855783999998</v>
      </c>
      <c r="H2204" s="876">
        <f>'REF. DE PREÇOS n editavel'!H2204</f>
        <v>0</v>
      </c>
      <c r="I2204" s="876">
        <f>'REF. DE PREÇOS n editavel'!I2204</f>
        <v>0</v>
      </c>
      <c r="J2204" s="877">
        <f>'REF. DE PREÇOS n editavel'!J2204</f>
        <v>0</v>
      </c>
      <c r="K2204" s="878"/>
      <c r="L2204" s="1132"/>
      <c r="M2204" s="1093">
        <f t="shared" si="221"/>
        <v>0</v>
      </c>
      <c r="N2204" s="1131">
        <f t="shared" si="222"/>
        <v>0</v>
      </c>
      <c r="O2204" s="880"/>
      <c r="P2204" s="36" t="str">
        <f>IF(N2203&gt;0,"xx",IF(N2203&gt;0,"xy",""))</f>
        <v/>
      </c>
      <c r="Q2204" s="317" t="str">
        <f t="shared" si="218"/>
        <v/>
      </c>
      <c r="R2204" s="317" t="str">
        <f t="shared" si="219"/>
        <v/>
      </c>
      <c r="S2204" s="317" t="str">
        <f t="shared" si="220"/>
        <v/>
      </c>
      <c r="T2204" s="317" t="str">
        <f>'REF. DE PREÇOS n editavel'!S2204</f>
        <v/>
      </c>
      <c r="W2204" s="577">
        <v>0</v>
      </c>
      <c r="X2204" s="575"/>
      <c r="Y2204" s="578">
        <f>IF('REF. DE PREÇOS n editavel'!W2204=0,0,IF('REF. DE PREÇOS n editavel'!W2204&gt;0,"c","b"))</f>
        <v>0</v>
      </c>
    </row>
    <row r="2205" spans="1:25" ht="15" customHeight="1">
      <c r="A2205" s="317" t="s">
        <v>147</v>
      </c>
      <c r="B2205" s="870" t="s">
        <v>147</v>
      </c>
      <c r="C2205" s="871"/>
      <c r="D2205" s="881" t="s">
        <v>229</v>
      </c>
      <c r="E2205" s="882">
        <f>'REF. DE PREÇOS n editavel'!E2205</f>
        <v>290</v>
      </c>
      <c r="F2205" s="883">
        <f>'REF. DE PREÇOS n editavel'!F2205</f>
        <v>1.4252089999999999</v>
      </c>
      <c r="G2205" s="923">
        <f>'REF. DE PREÇOS n editavel'!G2205</f>
        <v>446.06191282000003</v>
      </c>
      <c r="H2205" s="876">
        <f>'REF. DE PREÇOS n editavel'!H2205</f>
        <v>0</v>
      </c>
      <c r="I2205" s="876">
        <f>'REF. DE PREÇOS n editavel'!I2205</f>
        <v>0</v>
      </c>
      <c r="J2205" s="877">
        <f>'REF. DE PREÇOS n editavel'!J2205</f>
        <v>0</v>
      </c>
      <c r="K2205" s="878"/>
      <c r="L2205" s="1132"/>
      <c r="M2205" s="1093">
        <f t="shared" si="221"/>
        <v>0</v>
      </c>
      <c r="N2205" s="1131">
        <f t="shared" si="222"/>
        <v>0</v>
      </c>
      <c r="O2205" s="880"/>
      <c r="P2205" s="36" t="str">
        <f>IF(N2203&gt;0,"xx",IF(N2203&gt;0,"xy",""))</f>
        <v/>
      </c>
      <c r="Q2205" s="317" t="str">
        <f t="shared" si="218"/>
        <v/>
      </c>
      <c r="R2205" s="317" t="str">
        <f t="shared" si="219"/>
        <v/>
      </c>
      <c r="S2205" s="317" t="str">
        <f t="shared" si="220"/>
        <v/>
      </c>
      <c r="T2205" s="317" t="str">
        <f>'REF. DE PREÇOS n editavel'!S2205</f>
        <v/>
      </c>
      <c r="W2205" s="577">
        <v>0</v>
      </c>
      <c r="X2205" s="575"/>
      <c r="Y2205" s="578">
        <f>IF('REF. DE PREÇOS n editavel'!W2205=0,0,IF('REF. DE PREÇOS n editavel'!W2205&gt;0,"c","b"))</f>
        <v>0</v>
      </c>
    </row>
    <row r="2206" spans="1:25" ht="15" customHeight="1">
      <c r="A2206" s="317" t="s">
        <v>147</v>
      </c>
      <c r="B2206" s="870" t="s">
        <v>147</v>
      </c>
      <c r="C2206" s="871"/>
      <c r="D2206" s="881" t="s">
        <v>233</v>
      </c>
      <c r="E2206" s="882">
        <f>'REF. DE PREÇOS n editavel'!E2206</f>
        <v>43.1</v>
      </c>
      <c r="F2206" s="883">
        <f>'REF. DE PREÇOS n editavel'!F2206</f>
        <v>1.699854</v>
      </c>
      <c r="G2206" s="923">
        <f>'REF. DE PREÇOS n editavel'!G2206</f>
        <v>82.94777563800001</v>
      </c>
      <c r="H2206" s="876">
        <f>'REF. DE PREÇOS n editavel'!H2206</f>
        <v>0</v>
      </c>
      <c r="I2206" s="876">
        <f>'REF. DE PREÇOS n editavel'!I2206</f>
        <v>0</v>
      </c>
      <c r="J2206" s="877">
        <f>'REF. DE PREÇOS n editavel'!J2206</f>
        <v>0</v>
      </c>
      <c r="K2206" s="878"/>
      <c r="L2206" s="1132"/>
      <c r="M2206" s="1093">
        <f t="shared" si="221"/>
        <v>0</v>
      </c>
      <c r="N2206" s="1131">
        <f t="shared" si="222"/>
        <v>0</v>
      </c>
      <c r="O2206" s="880"/>
      <c r="P2206" s="36" t="str">
        <f>IF(N2203&gt;0,"xx",IF(N2203&gt;0,"xy",""))</f>
        <v/>
      </c>
      <c r="Q2206" s="317" t="str">
        <f t="shared" si="218"/>
        <v/>
      </c>
      <c r="R2206" s="317" t="str">
        <f t="shared" si="219"/>
        <v/>
      </c>
      <c r="S2206" s="317" t="str">
        <f t="shared" si="220"/>
        <v/>
      </c>
      <c r="T2206" s="317" t="str">
        <f>'REF. DE PREÇOS n editavel'!S2206</f>
        <v/>
      </c>
      <c r="W2206" s="577">
        <v>0</v>
      </c>
      <c r="X2206" s="575"/>
      <c r="Y2206" s="578">
        <f>IF('REF. DE PREÇOS n editavel'!W2206=0,0,IF('REF. DE PREÇOS n editavel'!W2206&gt;0,"c","b"))</f>
        <v>0</v>
      </c>
    </row>
    <row r="2207" spans="1:25" ht="15" customHeight="1">
      <c r="A2207" s="317" t="s">
        <v>105</v>
      </c>
      <c r="B2207" s="870" t="s">
        <v>105</v>
      </c>
      <c r="C2207" s="871" t="s">
        <v>184</v>
      </c>
      <c r="D2207" s="881" t="s">
        <v>92</v>
      </c>
      <c r="E2207" s="882">
        <f>'REF. DE PREÇOS n editavel'!E2207</f>
        <v>0</v>
      </c>
      <c r="F2207" s="883">
        <f>'REF. DE PREÇOS n editavel'!F2207</f>
        <v>0</v>
      </c>
      <c r="G2207" s="887">
        <f>'REF. DE PREÇOS n editavel'!G2207</f>
        <v>929.72241419800002</v>
      </c>
      <c r="H2207" s="876">
        <f>'REF. DE PREÇOS n editavel'!H2207</f>
        <v>4886.76</v>
      </c>
      <c r="I2207" s="876">
        <f>'REF. DE PREÇOS n editavel'!I2207</f>
        <v>5816.4824141980007</v>
      </c>
      <c r="J2207" s="877">
        <f>'REF. DE PREÇOS n editavel'!J2207</f>
        <v>7108.9</v>
      </c>
      <c r="K2207" s="878" t="s">
        <v>15</v>
      </c>
      <c r="L2207" s="1092"/>
      <c r="M2207" s="1093">
        <f t="shared" si="221"/>
        <v>0</v>
      </c>
      <c r="N2207" s="1131">
        <f t="shared" si="222"/>
        <v>0</v>
      </c>
      <c r="O2207" s="880"/>
      <c r="Q2207" s="317" t="str">
        <f t="shared" si="218"/>
        <v/>
      </c>
      <c r="R2207" s="317" t="str">
        <f t="shared" si="219"/>
        <v/>
      </c>
      <c r="S2207" s="317" t="str">
        <f t="shared" si="220"/>
        <v/>
      </c>
      <c r="T2207" s="317" t="str">
        <f>'REF. DE PREÇOS n editavel'!S2207</f>
        <v/>
      </c>
      <c r="W2207" s="577">
        <v>0</v>
      </c>
      <c r="X2207" s="575"/>
      <c r="Y2207" s="578">
        <f>IF('REF. DE PREÇOS n editavel'!W2207=0,0,IF('REF. DE PREÇOS n editavel'!W2207&gt;0,"c","b"))</f>
        <v>0</v>
      </c>
    </row>
    <row r="2208" spans="1:25" ht="15" customHeight="1">
      <c r="A2208" s="317" t="s">
        <v>147</v>
      </c>
      <c r="B2208" s="870" t="s">
        <v>147</v>
      </c>
      <c r="C2208" s="871"/>
      <c r="D2208" s="881" t="s">
        <v>190</v>
      </c>
      <c r="E2208" s="882">
        <f>'REF. DE PREÇOS n editavel'!E2208</f>
        <v>445</v>
      </c>
      <c r="F2208" s="883">
        <f>'REF. DE PREÇOS n editavel'!F2208</f>
        <v>0.65242199999999995</v>
      </c>
      <c r="G2208" s="884">
        <f>'REF. DE PREÇOS n editavel'!G2208</f>
        <v>231.55761623999999</v>
      </c>
      <c r="H2208" s="876">
        <f>'REF. DE PREÇOS n editavel'!H2208</f>
        <v>0</v>
      </c>
      <c r="I2208" s="876">
        <f>'REF. DE PREÇOS n editavel'!I2208</f>
        <v>0</v>
      </c>
      <c r="J2208" s="877">
        <f>'REF. DE PREÇOS n editavel'!J2208</f>
        <v>0</v>
      </c>
      <c r="K2208" s="878"/>
      <c r="L2208" s="1132"/>
      <c r="M2208" s="1093">
        <f t="shared" si="221"/>
        <v>0</v>
      </c>
      <c r="N2208" s="1131">
        <f t="shared" si="222"/>
        <v>0</v>
      </c>
      <c r="O2208" s="880"/>
      <c r="P2208" s="36" t="str">
        <f>IF(N2207&gt;0,"xx",IF(N2207&gt;0,"xy",""))</f>
        <v/>
      </c>
      <c r="Q2208" s="317" t="str">
        <f t="shared" si="218"/>
        <v/>
      </c>
      <c r="R2208" s="317" t="str">
        <f t="shared" si="219"/>
        <v/>
      </c>
      <c r="S2208" s="317" t="str">
        <f t="shared" si="220"/>
        <v/>
      </c>
      <c r="T2208" s="317" t="str">
        <f>'REF. DE PREÇOS n editavel'!S2208</f>
        <v/>
      </c>
      <c r="W2208" s="577">
        <v>0</v>
      </c>
      <c r="X2208" s="575"/>
      <c r="Y2208" s="578">
        <f>IF('REF. DE PREÇOS n editavel'!W2208=0,0,IF('REF. DE PREÇOS n editavel'!W2208&gt;0,"c","b"))</f>
        <v>0</v>
      </c>
    </row>
    <row r="2209" spans="1:25" ht="15" customHeight="1">
      <c r="A2209" s="317" t="s">
        <v>147</v>
      </c>
      <c r="B2209" s="870" t="s">
        <v>147</v>
      </c>
      <c r="C2209" s="871"/>
      <c r="D2209" s="881" t="s">
        <v>229</v>
      </c>
      <c r="E2209" s="882">
        <f>'REF. DE PREÇOS n editavel'!E2209</f>
        <v>290</v>
      </c>
      <c r="F2209" s="883">
        <f>'REF. DE PREÇOS n editavel'!F2209</f>
        <v>1.8801829999999999</v>
      </c>
      <c r="G2209" s="923">
        <f>'REF. DE PREÇOS n editavel'!G2209</f>
        <v>588.45967533999999</v>
      </c>
      <c r="H2209" s="876">
        <f>'REF. DE PREÇOS n editavel'!H2209</f>
        <v>0</v>
      </c>
      <c r="I2209" s="876">
        <f>'REF. DE PREÇOS n editavel'!I2209</f>
        <v>0</v>
      </c>
      <c r="J2209" s="877">
        <f>'REF. DE PREÇOS n editavel'!J2209</f>
        <v>0</v>
      </c>
      <c r="K2209" s="878"/>
      <c r="L2209" s="1132"/>
      <c r="M2209" s="1093">
        <f t="shared" si="221"/>
        <v>0</v>
      </c>
      <c r="N2209" s="1131">
        <f t="shared" si="222"/>
        <v>0</v>
      </c>
      <c r="O2209" s="880"/>
      <c r="P2209" s="36" t="str">
        <f>IF(N2207&gt;0,"xx",IF(N2207&gt;0,"xy",""))</f>
        <v/>
      </c>
      <c r="Q2209" s="317" t="str">
        <f t="shared" si="218"/>
        <v/>
      </c>
      <c r="R2209" s="317" t="str">
        <f t="shared" si="219"/>
        <v/>
      </c>
      <c r="S2209" s="317" t="str">
        <f t="shared" si="220"/>
        <v/>
      </c>
      <c r="T2209" s="317" t="str">
        <f>'REF. DE PREÇOS n editavel'!S2209</f>
        <v/>
      </c>
      <c r="W2209" s="577">
        <v>0</v>
      </c>
      <c r="X2209" s="575"/>
      <c r="Y2209" s="578">
        <f>IF('REF. DE PREÇOS n editavel'!W2209=0,0,IF('REF. DE PREÇOS n editavel'!W2209&gt;0,"c","b"))</f>
        <v>0</v>
      </c>
    </row>
    <row r="2210" spans="1:25" ht="15" customHeight="1">
      <c r="A2210" s="317" t="s">
        <v>147</v>
      </c>
      <c r="B2210" s="870" t="s">
        <v>147</v>
      </c>
      <c r="C2210" s="871"/>
      <c r="D2210" s="881" t="s">
        <v>233</v>
      </c>
      <c r="E2210" s="882">
        <f>'REF. DE PREÇOS n editavel'!E2210</f>
        <v>43.1</v>
      </c>
      <c r="F2210" s="883">
        <f>'REF. DE PREÇOS n editavel'!F2210</f>
        <v>2.2481940000000002</v>
      </c>
      <c r="G2210" s="923">
        <f>'REF. DE PREÇOS n editavel'!G2210</f>
        <v>109.70512261800002</v>
      </c>
      <c r="H2210" s="876">
        <f>'REF. DE PREÇOS n editavel'!H2210</f>
        <v>0</v>
      </c>
      <c r="I2210" s="876">
        <f>'REF. DE PREÇOS n editavel'!I2210</f>
        <v>0</v>
      </c>
      <c r="J2210" s="877">
        <f>'REF. DE PREÇOS n editavel'!J2210</f>
        <v>0</v>
      </c>
      <c r="K2210" s="878"/>
      <c r="L2210" s="1132"/>
      <c r="M2210" s="1093">
        <f t="shared" si="221"/>
        <v>0</v>
      </c>
      <c r="N2210" s="1131">
        <f t="shared" si="222"/>
        <v>0</v>
      </c>
      <c r="O2210" s="880"/>
      <c r="P2210" s="36" t="str">
        <f>IF(N2207&gt;0,"xx",IF(N2207&gt;0,"xy",""))</f>
        <v/>
      </c>
      <c r="Q2210" s="317" t="str">
        <f t="shared" si="218"/>
        <v/>
      </c>
      <c r="R2210" s="317" t="str">
        <f t="shared" si="219"/>
        <v/>
      </c>
      <c r="S2210" s="317" t="str">
        <f t="shared" si="220"/>
        <v/>
      </c>
      <c r="T2210" s="317" t="str">
        <f>'REF. DE PREÇOS n editavel'!S2210</f>
        <v/>
      </c>
      <c r="W2210" s="577">
        <v>0</v>
      </c>
      <c r="X2210" s="575"/>
      <c r="Y2210" s="578">
        <f>IF('REF. DE PREÇOS n editavel'!W2210=0,0,IF('REF. DE PREÇOS n editavel'!W2210&gt;0,"c","b"))</f>
        <v>0</v>
      </c>
    </row>
    <row r="2211" spans="1:25" ht="15" customHeight="1">
      <c r="A2211" s="317" t="s">
        <v>106</v>
      </c>
      <c r="B2211" s="870" t="s">
        <v>106</v>
      </c>
      <c r="C2211" s="871" t="s">
        <v>184</v>
      </c>
      <c r="D2211" s="881" t="s">
        <v>93</v>
      </c>
      <c r="E2211" s="882">
        <f>'REF. DE PREÇOS n editavel'!E2211</f>
        <v>0</v>
      </c>
      <c r="F2211" s="883">
        <f>'REF. DE PREÇOS n editavel'!F2211</f>
        <v>0</v>
      </c>
      <c r="G2211" s="887">
        <f>'REF. DE PREÇOS n editavel'!G2211</f>
        <v>1156.7365820980001</v>
      </c>
      <c r="H2211" s="876">
        <f>'REF. DE PREÇOS n editavel'!H2211</f>
        <v>5931.1</v>
      </c>
      <c r="I2211" s="876">
        <f>'REF. DE PREÇOS n editavel'!I2211</f>
        <v>7087.8365820980007</v>
      </c>
      <c r="J2211" s="877">
        <f>'REF. DE PREÇOS n editavel'!J2211</f>
        <v>8662.75</v>
      </c>
      <c r="K2211" s="878" t="s">
        <v>15</v>
      </c>
      <c r="L2211" s="1092"/>
      <c r="M2211" s="1093">
        <f t="shared" si="221"/>
        <v>0</v>
      </c>
      <c r="N2211" s="1131">
        <f t="shared" si="222"/>
        <v>0</v>
      </c>
      <c r="O2211" s="880"/>
      <c r="Q2211" s="317" t="str">
        <f t="shared" si="218"/>
        <v/>
      </c>
      <c r="R2211" s="317" t="str">
        <f t="shared" si="219"/>
        <v/>
      </c>
      <c r="S2211" s="317" t="str">
        <f t="shared" si="220"/>
        <v/>
      </c>
      <c r="T2211" s="317" t="str">
        <f>'REF. DE PREÇOS n editavel'!S2211</f>
        <v/>
      </c>
      <c r="W2211" s="577">
        <v>0</v>
      </c>
      <c r="X2211" s="575"/>
      <c r="Y2211" s="578">
        <f>IF('REF. DE PREÇOS n editavel'!W2211=0,0,IF('REF. DE PREÇOS n editavel'!W2211&gt;0,"c","b"))</f>
        <v>0</v>
      </c>
    </row>
    <row r="2212" spans="1:25" ht="15" customHeight="1">
      <c r="A2212" s="317" t="s">
        <v>147</v>
      </c>
      <c r="B2212" s="870" t="s">
        <v>147</v>
      </c>
      <c r="C2212" s="871"/>
      <c r="D2212" s="881" t="s">
        <v>190</v>
      </c>
      <c r="E2212" s="882">
        <f>'REF. DE PREÇOS n editavel'!E2212</f>
        <v>445</v>
      </c>
      <c r="F2212" s="883">
        <f>'REF. DE PREÇOS n editavel'!F2212</f>
        <v>0.81544199999999989</v>
      </c>
      <c r="G2212" s="884">
        <f>'REF. DE PREÇOS n editavel'!G2212</f>
        <v>289.41667464</v>
      </c>
      <c r="H2212" s="876">
        <f>'REF. DE PREÇOS n editavel'!H2212</f>
        <v>0</v>
      </c>
      <c r="I2212" s="876">
        <f>'REF. DE PREÇOS n editavel'!I2212</f>
        <v>0</v>
      </c>
      <c r="J2212" s="877">
        <f>'REF. DE PREÇOS n editavel'!J2212</f>
        <v>0</v>
      </c>
      <c r="K2212" s="878"/>
      <c r="L2212" s="1132"/>
      <c r="M2212" s="1093">
        <f t="shared" si="221"/>
        <v>0</v>
      </c>
      <c r="N2212" s="1131">
        <f t="shared" si="222"/>
        <v>0</v>
      </c>
      <c r="O2212" s="880"/>
      <c r="P2212" s="36" t="str">
        <f>IF(N2211&gt;0,"xx",IF(N2211&gt;0,"xy",""))</f>
        <v/>
      </c>
      <c r="Q2212" s="317" t="str">
        <f t="shared" si="218"/>
        <v/>
      </c>
      <c r="R2212" s="317" t="str">
        <f t="shared" si="219"/>
        <v/>
      </c>
      <c r="S2212" s="317" t="str">
        <f t="shared" si="220"/>
        <v/>
      </c>
      <c r="T2212" s="317" t="str">
        <f>'REF. DE PREÇOS n editavel'!S2212</f>
        <v/>
      </c>
      <c r="W2212" s="577">
        <v>0</v>
      </c>
      <c r="X2212" s="575"/>
      <c r="Y2212" s="578">
        <f>IF('REF. DE PREÇOS n editavel'!W2212=0,0,IF('REF. DE PREÇOS n editavel'!W2212&gt;0,"c","b"))</f>
        <v>0</v>
      </c>
    </row>
    <row r="2213" spans="1:25" ht="15" customHeight="1">
      <c r="A2213" s="317" t="s">
        <v>147</v>
      </c>
      <c r="B2213" s="870" t="s">
        <v>147</v>
      </c>
      <c r="C2213" s="871"/>
      <c r="D2213" s="881" t="s">
        <v>229</v>
      </c>
      <c r="E2213" s="882">
        <f>'REF. DE PREÇOS n editavel'!E2213</f>
        <v>290</v>
      </c>
      <c r="F2213" s="883">
        <f>'REF. DE PREÇOS n editavel'!F2213</f>
        <v>2.3351569999999997</v>
      </c>
      <c r="G2213" s="923">
        <f>'REF. DE PREÇOS n editavel'!G2213</f>
        <v>730.85743786</v>
      </c>
      <c r="H2213" s="876">
        <f>'REF. DE PREÇOS n editavel'!H2213</f>
        <v>0</v>
      </c>
      <c r="I2213" s="876">
        <f>'REF. DE PREÇOS n editavel'!I2213</f>
        <v>0</v>
      </c>
      <c r="J2213" s="877">
        <f>'REF. DE PREÇOS n editavel'!J2213</f>
        <v>0</v>
      </c>
      <c r="K2213" s="878"/>
      <c r="L2213" s="1132"/>
      <c r="M2213" s="1093">
        <f t="shared" si="221"/>
        <v>0</v>
      </c>
      <c r="N2213" s="1131">
        <f t="shared" si="222"/>
        <v>0</v>
      </c>
      <c r="O2213" s="880"/>
      <c r="P2213" s="36" t="str">
        <f>IF(N2211&gt;0,"xx",IF(N2211&gt;0,"xy",""))</f>
        <v/>
      </c>
      <c r="Q2213" s="317" t="str">
        <f t="shared" si="218"/>
        <v/>
      </c>
      <c r="R2213" s="317" t="str">
        <f t="shared" si="219"/>
        <v/>
      </c>
      <c r="S2213" s="317" t="str">
        <f t="shared" si="220"/>
        <v/>
      </c>
      <c r="T2213" s="317" t="str">
        <f>'REF. DE PREÇOS n editavel'!S2213</f>
        <v/>
      </c>
      <c r="W2213" s="577">
        <v>0</v>
      </c>
      <c r="X2213" s="575"/>
      <c r="Y2213" s="578">
        <f>IF('REF. DE PREÇOS n editavel'!W2213=0,0,IF('REF. DE PREÇOS n editavel'!W2213&gt;0,"c","b"))</f>
        <v>0</v>
      </c>
    </row>
    <row r="2214" spans="1:25" ht="15" customHeight="1">
      <c r="A2214" s="317" t="s">
        <v>147</v>
      </c>
      <c r="B2214" s="870" t="s">
        <v>147</v>
      </c>
      <c r="C2214" s="871"/>
      <c r="D2214" s="881" t="s">
        <v>233</v>
      </c>
      <c r="E2214" s="882">
        <f>'REF. DE PREÇOS n editavel'!E2214</f>
        <v>43.1</v>
      </c>
      <c r="F2214" s="883">
        <f>'REF. DE PREÇOS n editavel'!F2214</f>
        <v>2.7965340000000003</v>
      </c>
      <c r="G2214" s="923">
        <f>'REF. DE PREÇOS n editavel'!G2214</f>
        <v>136.46246959800001</v>
      </c>
      <c r="H2214" s="876">
        <f>'REF. DE PREÇOS n editavel'!H2214</f>
        <v>0</v>
      </c>
      <c r="I2214" s="876">
        <f>'REF. DE PREÇOS n editavel'!I2214</f>
        <v>0</v>
      </c>
      <c r="J2214" s="877">
        <f>'REF. DE PREÇOS n editavel'!J2214</f>
        <v>0</v>
      </c>
      <c r="K2214" s="878"/>
      <c r="L2214" s="1132"/>
      <c r="M2214" s="1093">
        <f t="shared" si="221"/>
        <v>0</v>
      </c>
      <c r="N2214" s="1131">
        <f t="shared" si="222"/>
        <v>0</v>
      </c>
      <c r="O2214" s="880"/>
      <c r="P2214" s="36" t="str">
        <f>IF(N2211&gt;0,"xx",IF(N2211&gt;0,"xy",""))</f>
        <v/>
      </c>
      <c r="Q2214" s="317" t="str">
        <f t="shared" si="218"/>
        <v/>
      </c>
      <c r="R2214" s="317" t="str">
        <f t="shared" si="219"/>
        <v/>
      </c>
      <c r="S2214" s="317" t="str">
        <f t="shared" si="220"/>
        <v/>
      </c>
      <c r="T2214" s="317" t="str">
        <f>'REF. DE PREÇOS n editavel'!S2214</f>
        <v/>
      </c>
      <c r="W2214" s="577">
        <v>0</v>
      </c>
      <c r="X2214" s="575"/>
      <c r="Y2214" s="578">
        <f>IF('REF. DE PREÇOS n editavel'!W2214=0,0,IF('REF. DE PREÇOS n editavel'!W2214&gt;0,"c","b"))</f>
        <v>0</v>
      </c>
    </row>
    <row r="2215" spans="1:25" ht="15" customHeight="1">
      <c r="A2215" s="317" t="s">
        <v>107</v>
      </c>
      <c r="B2215" s="870" t="s">
        <v>107</v>
      </c>
      <c r="C2215" s="871" t="s">
        <v>184</v>
      </c>
      <c r="D2215" s="881" t="s">
        <v>81</v>
      </c>
      <c r="E2215" s="882">
        <f>'REF. DE PREÇOS n editavel'!E2215</f>
        <v>0</v>
      </c>
      <c r="F2215" s="883">
        <f>'REF. DE PREÇOS n editavel'!F2215</f>
        <v>0</v>
      </c>
      <c r="G2215" s="887">
        <f>'REF. DE PREÇOS n editavel'!G2215</f>
        <v>171.16960782688002</v>
      </c>
      <c r="H2215" s="876">
        <f>'REF. DE PREÇOS n editavel'!H2215</f>
        <v>460.93</v>
      </c>
      <c r="I2215" s="876">
        <f>'REF. DE PREÇOS n editavel'!I2215</f>
        <v>632.09960782688006</v>
      </c>
      <c r="J2215" s="877">
        <f>'REF. DE PREÇOS n editavel'!J2215</f>
        <v>772.55</v>
      </c>
      <c r="K2215" s="878" t="s">
        <v>15</v>
      </c>
      <c r="L2215" s="1092"/>
      <c r="M2215" s="1093">
        <f t="shared" si="221"/>
        <v>0</v>
      </c>
      <c r="N2215" s="1131">
        <f t="shared" si="222"/>
        <v>0</v>
      </c>
      <c r="O2215" s="880"/>
      <c r="Q2215" s="317" t="str">
        <f t="shared" si="218"/>
        <v/>
      </c>
      <c r="R2215" s="317" t="str">
        <f t="shared" si="219"/>
        <v/>
      </c>
      <c r="S2215" s="317" t="str">
        <f t="shared" si="220"/>
        <v/>
      </c>
      <c r="T2215" s="317" t="str">
        <f>'REF. DE PREÇOS n editavel'!S2215</f>
        <v/>
      </c>
      <c r="W2215" s="577">
        <v>0</v>
      </c>
      <c r="X2215" s="575"/>
      <c r="Y2215" s="578">
        <f>IF('REF. DE PREÇOS n editavel'!W2215=0,0,IF('REF. DE PREÇOS n editavel'!W2215&gt;0,"c","b"))</f>
        <v>0</v>
      </c>
    </row>
    <row r="2216" spans="1:25" ht="15" customHeight="1">
      <c r="A2216" s="317" t="s">
        <v>147</v>
      </c>
      <c r="B2216" s="870" t="s">
        <v>147</v>
      </c>
      <c r="C2216" s="871"/>
      <c r="D2216" s="881" t="s">
        <v>190</v>
      </c>
      <c r="E2216" s="882">
        <f>'REF. DE PREÇOS n editavel'!E2216</f>
        <v>445</v>
      </c>
      <c r="F2216" s="883">
        <f>'REF. DE PREÇOS n editavel'!F2216</f>
        <v>9.9453823999999996E-2</v>
      </c>
      <c r="G2216" s="884">
        <f>'REF. DE PREÇOS n editavel'!G2216</f>
        <v>35.298151214080001</v>
      </c>
      <c r="H2216" s="876">
        <f>'REF. DE PREÇOS n editavel'!H2216</f>
        <v>0</v>
      </c>
      <c r="I2216" s="876">
        <f>'REF. DE PREÇOS n editavel'!I2216</f>
        <v>0</v>
      </c>
      <c r="J2216" s="877">
        <f>'REF. DE PREÇOS n editavel'!J2216</f>
        <v>0</v>
      </c>
      <c r="K2216" s="878"/>
      <c r="L2216" s="1132"/>
      <c r="M2216" s="1093">
        <f t="shared" si="221"/>
        <v>0</v>
      </c>
      <c r="N2216" s="1131">
        <f t="shared" si="222"/>
        <v>0</v>
      </c>
      <c r="O2216" s="880"/>
      <c r="P2216" s="36" t="str">
        <f>IF(N2215&gt;0,"xx",IF(N2215&gt;0,"xy",""))</f>
        <v/>
      </c>
      <c r="Q2216" s="317" t="str">
        <f t="shared" si="218"/>
        <v/>
      </c>
      <c r="R2216" s="317" t="str">
        <f t="shared" si="219"/>
        <v/>
      </c>
      <c r="S2216" s="317" t="str">
        <f t="shared" si="220"/>
        <v/>
      </c>
      <c r="T2216" s="317" t="str">
        <f>'REF. DE PREÇOS n editavel'!S2216</f>
        <v/>
      </c>
      <c r="W2216" s="577">
        <v>0</v>
      </c>
      <c r="X2216" s="575"/>
      <c r="Y2216" s="578">
        <f>IF('REF. DE PREÇOS n editavel'!W2216=0,0,IF('REF. DE PREÇOS n editavel'!W2216&gt;0,"c","b"))</f>
        <v>0</v>
      </c>
    </row>
    <row r="2217" spans="1:25" ht="15" customHeight="1">
      <c r="A2217" s="317" t="s">
        <v>147</v>
      </c>
      <c r="B2217" s="870" t="s">
        <v>147</v>
      </c>
      <c r="C2217" s="871"/>
      <c r="D2217" s="881" t="s">
        <v>229</v>
      </c>
      <c r="E2217" s="882">
        <f>'REF. DE PREÇOS n editavel'!E2217</f>
        <v>290</v>
      </c>
      <c r="F2217" s="883">
        <f>'REF. DE PREÇOS n editavel'!F2217</f>
        <v>0.3618486528</v>
      </c>
      <c r="G2217" s="923">
        <f>'REF. DE PREÇOS n editavel'!G2217</f>
        <v>113.251391353344</v>
      </c>
      <c r="H2217" s="876">
        <f>'REF. DE PREÇOS n editavel'!H2217</f>
        <v>0</v>
      </c>
      <c r="I2217" s="876">
        <f>'REF. DE PREÇOS n editavel'!I2217</f>
        <v>0</v>
      </c>
      <c r="J2217" s="877">
        <f>'REF. DE PREÇOS n editavel'!J2217</f>
        <v>0</v>
      </c>
      <c r="K2217" s="878"/>
      <c r="L2217" s="1132"/>
      <c r="M2217" s="1093">
        <f t="shared" si="221"/>
        <v>0</v>
      </c>
      <c r="N2217" s="1131">
        <f t="shared" si="222"/>
        <v>0</v>
      </c>
      <c r="O2217" s="880"/>
      <c r="P2217" s="36" t="str">
        <f>IF(N2215&gt;0,"xx",IF(N2215&gt;0,"xy",""))</f>
        <v/>
      </c>
      <c r="Q2217" s="317" t="str">
        <f t="shared" si="218"/>
        <v/>
      </c>
      <c r="R2217" s="317" t="str">
        <f t="shared" si="219"/>
        <v/>
      </c>
      <c r="S2217" s="317" t="str">
        <f t="shared" si="220"/>
        <v/>
      </c>
      <c r="T2217" s="317" t="str">
        <f>'REF. DE PREÇOS n editavel'!S2217</f>
        <v/>
      </c>
      <c r="W2217" s="577">
        <v>0</v>
      </c>
      <c r="X2217" s="575"/>
      <c r="Y2217" s="578">
        <f>IF('REF. DE PREÇOS n editavel'!W2217=0,0,IF('REF. DE PREÇOS n editavel'!W2217&gt;0,"c","b"))</f>
        <v>0</v>
      </c>
    </row>
    <row r="2218" spans="1:25" ht="15" customHeight="1">
      <c r="A2218" s="317" t="s">
        <v>147</v>
      </c>
      <c r="B2218" s="870" t="s">
        <v>147</v>
      </c>
      <c r="C2218" s="871"/>
      <c r="D2218" s="881" t="s">
        <v>233</v>
      </c>
      <c r="E2218" s="882">
        <f>'REF. DE PREÇOS n editavel'!E2218</f>
        <v>43.1</v>
      </c>
      <c r="F2218" s="883">
        <f>'REF. DE PREÇOS n editavel'!F2218</f>
        <v>0.308576448</v>
      </c>
      <c r="G2218" s="923">
        <f>'REF. DE PREÇOS n editavel'!G2218</f>
        <v>15.057604933056002</v>
      </c>
      <c r="H2218" s="876">
        <f>'REF. DE PREÇOS n editavel'!H2218</f>
        <v>0</v>
      </c>
      <c r="I2218" s="876">
        <f>'REF. DE PREÇOS n editavel'!I2218</f>
        <v>0</v>
      </c>
      <c r="J2218" s="877">
        <f>'REF. DE PREÇOS n editavel'!J2218</f>
        <v>0</v>
      </c>
      <c r="K2218" s="878"/>
      <c r="L2218" s="1132"/>
      <c r="M2218" s="1093">
        <f t="shared" si="221"/>
        <v>0</v>
      </c>
      <c r="N2218" s="1131">
        <f t="shared" si="222"/>
        <v>0</v>
      </c>
      <c r="O2218" s="880"/>
      <c r="P2218" s="36" t="str">
        <f>IF(N2215&gt;0,"xx",IF(N2215&gt;0,"xy",""))</f>
        <v/>
      </c>
      <c r="Q2218" s="317" t="str">
        <f t="shared" si="218"/>
        <v/>
      </c>
      <c r="R2218" s="317" t="str">
        <f t="shared" si="219"/>
        <v/>
      </c>
      <c r="S2218" s="317" t="str">
        <f t="shared" si="220"/>
        <v/>
      </c>
      <c r="T2218" s="317" t="str">
        <f>'REF. DE PREÇOS n editavel'!S2218</f>
        <v/>
      </c>
      <c r="W2218" s="577">
        <v>0</v>
      </c>
      <c r="X2218" s="575"/>
      <c r="Y2218" s="578">
        <f>IF('REF. DE PREÇOS n editavel'!W2218=0,0,IF('REF. DE PREÇOS n editavel'!W2218&gt;0,"c","b"))</f>
        <v>0</v>
      </c>
    </row>
    <row r="2219" spans="1:25" ht="15" customHeight="1">
      <c r="A2219" s="317" t="s">
        <v>147</v>
      </c>
      <c r="B2219" s="870" t="s">
        <v>147</v>
      </c>
      <c r="C2219" s="871"/>
      <c r="D2219" s="881" t="s">
        <v>365</v>
      </c>
      <c r="E2219" s="882">
        <f>'REF. DE PREÇOS n editavel'!E2219</f>
        <v>28</v>
      </c>
      <c r="F2219" s="883">
        <f>'REF. DE PREÇOS n editavel'!F2219</f>
        <v>0.17055359999999997</v>
      </c>
      <c r="G2219" s="923">
        <f>'REF. DE PREÇOS n editavel'!G2219</f>
        <v>5.5668695039999996</v>
      </c>
      <c r="H2219" s="876">
        <f>'REF. DE PREÇOS n editavel'!H2219</f>
        <v>0</v>
      </c>
      <c r="I2219" s="876">
        <f>'REF. DE PREÇOS n editavel'!I2219</f>
        <v>0</v>
      </c>
      <c r="J2219" s="877">
        <f>'REF. DE PREÇOS n editavel'!J2219</f>
        <v>0</v>
      </c>
      <c r="K2219" s="878"/>
      <c r="L2219" s="1132"/>
      <c r="M2219" s="1093">
        <f t="shared" si="221"/>
        <v>0</v>
      </c>
      <c r="N2219" s="1131">
        <f t="shared" si="222"/>
        <v>0</v>
      </c>
      <c r="O2219" s="880"/>
      <c r="P2219" s="36" t="str">
        <f>IF(N2215&gt;0,"xx",IF(N2215&gt;0,"xy",""))</f>
        <v/>
      </c>
      <c r="Q2219" s="317" t="str">
        <f t="shared" si="218"/>
        <v/>
      </c>
      <c r="R2219" s="317" t="str">
        <f t="shared" si="219"/>
        <v/>
      </c>
      <c r="S2219" s="317" t="str">
        <f t="shared" si="220"/>
        <v/>
      </c>
      <c r="T2219" s="317" t="str">
        <f>'REF. DE PREÇOS n editavel'!S2219</f>
        <v/>
      </c>
      <c r="W2219" s="577">
        <v>0</v>
      </c>
      <c r="X2219" s="575"/>
      <c r="Y2219" s="578">
        <f>IF('REF. DE PREÇOS n editavel'!W2219=0,0,IF('REF. DE PREÇOS n editavel'!W2219&gt;0,"c","b"))</f>
        <v>0</v>
      </c>
    </row>
    <row r="2220" spans="1:25" ht="15" customHeight="1">
      <c r="A2220" s="317" t="s">
        <v>147</v>
      </c>
      <c r="B2220" s="870" t="s">
        <v>147</v>
      </c>
      <c r="C2220" s="871"/>
      <c r="D2220" s="881" t="s">
        <v>366</v>
      </c>
      <c r="E2220" s="882">
        <f>'REF. DE PREÇOS n editavel'!E2220</f>
        <v>440</v>
      </c>
      <c r="F2220" s="883">
        <f>'REF. DE PREÇOS n editavel'!F2220</f>
        <v>5.6851199999999992E-3</v>
      </c>
      <c r="G2220" s="884">
        <f>'REF. DE PREÇOS n editavel'!G2220</f>
        <v>1.9955908223999999</v>
      </c>
      <c r="H2220" s="876">
        <f>'REF. DE PREÇOS n editavel'!H2220</f>
        <v>0</v>
      </c>
      <c r="I2220" s="876">
        <f>'REF. DE PREÇOS n editavel'!I2220</f>
        <v>0</v>
      </c>
      <c r="J2220" s="877">
        <f>'REF. DE PREÇOS n editavel'!J2220</f>
        <v>0</v>
      </c>
      <c r="K2220" s="878"/>
      <c r="L2220" s="1132"/>
      <c r="M2220" s="1093">
        <f t="shared" si="221"/>
        <v>0</v>
      </c>
      <c r="N2220" s="1131">
        <f t="shared" si="222"/>
        <v>0</v>
      </c>
      <c r="O2220" s="880"/>
      <c r="P2220" s="36" t="str">
        <f>IF(N2215&gt;0,"xx",IF(N2215&gt;0,"xy",""))</f>
        <v/>
      </c>
      <c r="Q2220" s="317" t="str">
        <f t="shared" si="218"/>
        <v/>
      </c>
      <c r="R2220" s="317" t="str">
        <f t="shared" si="219"/>
        <v/>
      </c>
      <c r="S2220" s="317" t="str">
        <f t="shared" si="220"/>
        <v/>
      </c>
      <c r="T2220" s="317" t="str">
        <f>'REF. DE PREÇOS n editavel'!S2220</f>
        <v/>
      </c>
      <c r="W2220" s="577">
        <v>0</v>
      </c>
      <c r="X2220" s="575"/>
      <c r="Y2220" s="578">
        <f>IF('REF. DE PREÇOS n editavel'!W2220=0,0,IF('REF. DE PREÇOS n editavel'!W2220&gt;0,"c","b"))</f>
        <v>0</v>
      </c>
    </row>
    <row r="2221" spans="1:25" ht="15" customHeight="1">
      <c r="A2221" s="317" t="s">
        <v>29</v>
      </c>
      <c r="B2221" s="870" t="s">
        <v>29</v>
      </c>
      <c r="C2221" s="871" t="s">
        <v>184</v>
      </c>
      <c r="D2221" s="881" t="s">
        <v>82</v>
      </c>
      <c r="E2221" s="882">
        <f>'REF. DE PREÇOS n editavel'!E2221</f>
        <v>0</v>
      </c>
      <c r="F2221" s="883">
        <f>'REF. DE PREÇOS n editavel'!F2221</f>
        <v>0</v>
      </c>
      <c r="G2221" s="887">
        <f>'REF. DE PREÇOS n editavel'!G2221</f>
        <v>251.19169822960004</v>
      </c>
      <c r="H2221" s="876">
        <f>'REF. DE PREÇOS n editavel'!H2221</f>
        <v>702.1</v>
      </c>
      <c r="I2221" s="876">
        <f>'REF. DE PREÇOS n editavel'!I2221</f>
        <v>953.29169822960012</v>
      </c>
      <c r="J2221" s="877">
        <f>'REF. DE PREÇOS n editavel'!J2221</f>
        <v>1165.1099999999999</v>
      </c>
      <c r="K2221" s="878" t="s">
        <v>15</v>
      </c>
      <c r="L2221" s="1092"/>
      <c r="M2221" s="1093">
        <f t="shared" si="221"/>
        <v>0</v>
      </c>
      <c r="N2221" s="1131">
        <f t="shared" si="222"/>
        <v>0</v>
      </c>
      <c r="O2221" s="880"/>
      <c r="Q2221" s="317" t="str">
        <f t="shared" si="218"/>
        <v/>
      </c>
      <c r="R2221" s="317" t="str">
        <f t="shared" si="219"/>
        <v/>
      </c>
      <c r="S2221" s="317" t="str">
        <f t="shared" si="220"/>
        <v/>
      </c>
      <c r="T2221" s="317" t="str">
        <f>'REF. DE PREÇOS n editavel'!S2221</f>
        <v/>
      </c>
      <c r="W2221" s="577">
        <v>0</v>
      </c>
      <c r="X2221" s="575"/>
      <c r="Y2221" s="578">
        <f>IF('REF. DE PREÇOS n editavel'!W2221=0,0,IF('REF. DE PREÇOS n editavel'!W2221&gt;0,"c","b"))</f>
        <v>0</v>
      </c>
    </row>
    <row r="2222" spans="1:25" ht="15" customHeight="1">
      <c r="A2222" s="317" t="s">
        <v>147</v>
      </c>
      <c r="B2222" s="870" t="s">
        <v>147</v>
      </c>
      <c r="C2222" s="871"/>
      <c r="D2222" s="881" t="s">
        <v>190</v>
      </c>
      <c r="E2222" s="882">
        <f>'REF. DE PREÇOS n editavel'!E2222</f>
        <v>445</v>
      </c>
      <c r="F2222" s="883">
        <f>'REF. DE PREÇOS n editavel'!F2222</f>
        <v>0.14735024000000002</v>
      </c>
      <c r="G2222" s="884">
        <f>'REF. DE PREÇOS n editavel'!G2222</f>
        <v>52.297547180800009</v>
      </c>
      <c r="H2222" s="876">
        <f>'REF. DE PREÇOS n editavel'!H2222</f>
        <v>0</v>
      </c>
      <c r="I2222" s="876">
        <f>'REF. DE PREÇOS n editavel'!I2222</f>
        <v>0</v>
      </c>
      <c r="J2222" s="877">
        <f>'REF. DE PREÇOS n editavel'!J2222</f>
        <v>0</v>
      </c>
      <c r="K2222" s="878"/>
      <c r="L2222" s="1132"/>
      <c r="M2222" s="1093">
        <f t="shared" si="221"/>
        <v>0</v>
      </c>
      <c r="N2222" s="1131">
        <f t="shared" si="222"/>
        <v>0</v>
      </c>
      <c r="O2222" s="880"/>
      <c r="P2222" s="36" t="str">
        <f>IF(N2221&gt;0,"xx",IF(N2221&gt;0,"xy",""))</f>
        <v/>
      </c>
      <c r="Q2222" s="317" t="str">
        <f t="shared" si="218"/>
        <v/>
      </c>
      <c r="R2222" s="317" t="str">
        <f t="shared" si="219"/>
        <v/>
      </c>
      <c r="S2222" s="317" t="str">
        <f t="shared" si="220"/>
        <v/>
      </c>
      <c r="T2222" s="317" t="str">
        <f>'REF. DE PREÇOS n editavel'!S2222</f>
        <v/>
      </c>
      <c r="W2222" s="577">
        <v>0</v>
      </c>
      <c r="X2222" s="575"/>
      <c r="Y2222" s="578">
        <f>IF('REF. DE PREÇOS n editavel'!W2222=0,0,IF('REF. DE PREÇOS n editavel'!W2222&gt;0,"c","b"))</f>
        <v>0</v>
      </c>
    </row>
    <row r="2223" spans="1:25" ht="15" customHeight="1">
      <c r="A2223" s="317" t="s">
        <v>147</v>
      </c>
      <c r="B2223" s="870" t="s">
        <v>147</v>
      </c>
      <c r="C2223" s="871"/>
      <c r="D2223" s="881" t="s">
        <v>229</v>
      </c>
      <c r="E2223" s="882">
        <f>'REF. DE PREÇOS n editavel'!E2223</f>
        <v>290</v>
      </c>
      <c r="F2223" s="883">
        <f>'REF. DE PREÇOS n editavel'!F2223</f>
        <v>0.52819569600000005</v>
      </c>
      <c r="G2223" s="923">
        <f>'REF. DE PREÇOS n editavel'!G2223</f>
        <v>165.31468893408004</v>
      </c>
      <c r="H2223" s="876">
        <f>'REF. DE PREÇOS n editavel'!H2223</f>
        <v>0</v>
      </c>
      <c r="I2223" s="876">
        <f>'REF. DE PREÇOS n editavel'!I2223</f>
        <v>0</v>
      </c>
      <c r="J2223" s="877">
        <f>'REF. DE PREÇOS n editavel'!J2223</f>
        <v>0</v>
      </c>
      <c r="K2223" s="878"/>
      <c r="L2223" s="1132"/>
      <c r="M2223" s="1093">
        <f t="shared" si="221"/>
        <v>0</v>
      </c>
      <c r="N2223" s="1131">
        <f t="shared" si="222"/>
        <v>0</v>
      </c>
      <c r="O2223" s="880"/>
      <c r="P2223" s="36" t="str">
        <f>IF(N2221&gt;0,"xx",IF(N2221&gt;0,"xy",""))</f>
        <v/>
      </c>
      <c r="Q2223" s="317" t="str">
        <f t="shared" si="218"/>
        <v/>
      </c>
      <c r="R2223" s="317" t="str">
        <f t="shared" si="219"/>
        <v/>
      </c>
      <c r="S2223" s="317" t="str">
        <f t="shared" si="220"/>
        <v/>
      </c>
      <c r="T2223" s="317" t="str">
        <f>'REF. DE PREÇOS n editavel'!S2223</f>
        <v/>
      </c>
      <c r="W2223" s="577">
        <v>0</v>
      </c>
      <c r="X2223" s="575"/>
      <c r="Y2223" s="578">
        <f>IF('REF. DE PREÇOS n editavel'!W2223=0,0,IF('REF. DE PREÇOS n editavel'!W2223&gt;0,"c","b"))</f>
        <v>0</v>
      </c>
    </row>
    <row r="2224" spans="1:25" ht="15" customHeight="1">
      <c r="A2224" s="317" t="s">
        <v>147</v>
      </c>
      <c r="B2224" s="870" t="s">
        <v>147</v>
      </c>
      <c r="C2224" s="871"/>
      <c r="D2224" s="881" t="s">
        <v>233</v>
      </c>
      <c r="E2224" s="882">
        <f>'REF. DE PREÇOS n editavel'!E2224</f>
        <v>43.1</v>
      </c>
      <c r="F2224" s="883">
        <f>'REF. DE PREÇOS n editavel'!F2224</f>
        <v>0.43353936000000004</v>
      </c>
      <c r="G2224" s="923">
        <f>'REF. DE PREÇOS n editavel'!G2224</f>
        <v>21.155420149920005</v>
      </c>
      <c r="H2224" s="876">
        <f>'REF. DE PREÇOS n editavel'!H2224</f>
        <v>0</v>
      </c>
      <c r="I2224" s="876">
        <f>'REF. DE PREÇOS n editavel'!I2224</f>
        <v>0</v>
      </c>
      <c r="J2224" s="877">
        <f>'REF. DE PREÇOS n editavel'!J2224</f>
        <v>0</v>
      </c>
      <c r="K2224" s="878"/>
      <c r="L2224" s="1132"/>
      <c r="M2224" s="1093">
        <f t="shared" si="221"/>
        <v>0</v>
      </c>
      <c r="N2224" s="1131">
        <f t="shared" si="222"/>
        <v>0</v>
      </c>
      <c r="O2224" s="880"/>
      <c r="P2224" s="36" t="str">
        <f>IF(N2221&gt;0,"xx",IF(N2221&gt;0,"xy",""))</f>
        <v/>
      </c>
      <c r="Q2224" s="317" t="str">
        <f t="shared" si="218"/>
        <v/>
      </c>
      <c r="R2224" s="317" t="str">
        <f t="shared" si="219"/>
        <v/>
      </c>
      <c r="S2224" s="317" t="str">
        <f t="shared" si="220"/>
        <v/>
      </c>
      <c r="T2224" s="317" t="str">
        <f>'REF. DE PREÇOS n editavel'!S2224</f>
        <v/>
      </c>
      <c r="W2224" s="577">
        <v>0</v>
      </c>
      <c r="X2224" s="575"/>
      <c r="Y2224" s="578">
        <f>IF('REF. DE PREÇOS n editavel'!W2224=0,0,IF('REF. DE PREÇOS n editavel'!W2224&gt;0,"c","b"))</f>
        <v>0</v>
      </c>
    </row>
    <row r="2225" spans="1:25" ht="15" customHeight="1">
      <c r="A2225" s="317" t="s">
        <v>147</v>
      </c>
      <c r="B2225" s="870" t="s">
        <v>147</v>
      </c>
      <c r="C2225" s="871"/>
      <c r="D2225" s="881" t="s">
        <v>365</v>
      </c>
      <c r="E2225" s="882">
        <f>'REF. DE PREÇOS n editavel'!E2225</f>
        <v>28</v>
      </c>
      <c r="F2225" s="883">
        <f>'REF. DE PREÇOS n editavel'!F2225</f>
        <v>0.28019519999999998</v>
      </c>
      <c r="G2225" s="923">
        <f>'REF. DE PREÇOS n editavel'!G2225</f>
        <v>9.1455713279999991</v>
      </c>
      <c r="H2225" s="876">
        <f>'REF. DE PREÇOS n editavel'!H2225</f>
        <v>0</v>
      </c>
      <c r="I2225" s="876">
        <f>'REF. DE PREÇOS n editavel'!I2225</f>
        <v>0</v>
      </c>
      <c r="J2225" s="877">
        <f>'REF. DE PREÇOS n editavel'!J2225</f>
        <v>0</v>
      </c>
      <c r="K2225" s="878"/>
      <c r="L2225" s="1132"/>
      <c r="M2225" s="1093">
        <f t="shared" si="221"/>
        <v>0</v>
      </c>
      <c r="N2225" s="1131">
        <f t="shared" si="222"/>
        <v>0</v>
      </c>
      <c r="O2225" s="880"/>
      <c r="P2225" s="36" t="str">
        <f>IF(N2221&gt;0,"xx",IF(N2221&gt;0,"xy",""))</f>
        <v/>
      </c>
      <c r="Q2225" s="317" t="str">
        <f t="shared" ref="Q2225:Q2274" si="223">IF(P2225="X","x",IF(P2225="xx","x",IF(P2225="xy","x",IF(P2225="y","x",IF(OR(N2225&gt;0,N2225&gt;0),"x","")))))</f>
        <v/>
      </c>
      <c r="R2225" s="317" t="str">
        <f t="shared" si="219"/>
        <v/>
      </c>
      <c r="S2225" s="317" t="str">
        <f t="shared" si="220"/>
        <v/>
      </c>
      <c r="T2225" s="317" t="str">
        <f>'REF. DE PREÇOS n editavel'!S2225</f>
        <v/>
      </c>
      <c r="W2225" s="577">
        <v>0</v>
      </c>
      <c r="X2225" s="575"/>
      <c r="Y2225" s="578">
        <f>IF('REF. DE PREÇOS n editavel'!W2225=0,0,IF('REF. DE PREÇOS n editavel'!W2225&gt;0,"c","b"))</f>
        <v>0</v>
      </c>
    </row>
    <row r="2226" spans="1:25" ht="15" customHeight="1">
      <c r="A2226" s="317" t="s">
        <v>147</v>
      </c>
      <c r="B2226" s="870" t="s">
        <v>147</v>
      </c>
      <c r="C2226" s="871"/>
      <c r="D2226" s="881" t="s">
        <v>366</v>
      </c>
      <c r="E2226" s="882">
        <f>'REF. DE PREÇOS n editavel'!E2226</f>
        <v>440</v>
      </c>
      <c r="F2226" s="883">
        <f>'REF. DE PREÇOS n editavel'!F2226</f>
        <v>9.3398400000000003E-3</v>
      </c>
      <c r="G2226" s="884">
        <f>'REF. DE PREÇOS n editavel'!G2226</f>
        <v>3.2784706368000003</v>
      </c>
      <c r="H2226" s="876">
        <f>'REF. DE PREÇOS n editavel'!H2226</f>
        <v>0</v>
      </c>
      <c r="I2226" s="876">
        <f>'REF. DE PREÇOS n editavel'!I2226</f>
        <v>0</v>
      </c>
      <c r="J2226" s="877">
        <f>'REF. DE PREÇOS n editavel'!J2226</f>
        <v>0</v>
      </c>
      <c r="K2226" s="878"/>
      <c r="L2226" s="1132"/>
      <c r="M2226" s="1093">
        <f t="shared" si="221"/>
        <v>0</v>
      </c>
      <c r="N2226" s="1131">
        <f t="shared" si="222"/>
        <v>0</v>
      </c>
      <c r="O2226" s="880"/>
      <c r="P2226" s="36" t="str">
        <f>IF(N2221&gt;0,"xx",IF(N2221&gt;0,"xy",""))</f>
        <v/>
      </c>
      <c r="Q2226" s="317" t="str">
        <f t="shared" si="223"/>
        <v/>
      </c>
      <c r="R2226" s="317" t="str">
        <f t="shared" si="219"/>
        <v/>
      </c>
      <c r="S2226" s="317" t="str">
        <f t="shared" si="220"/>
        <v/>
      </c>
      <c r="T2226" s="317" t="str">
        <f>'REF. DE PREÇOS n editavel'!S2226</f>
        <v/>
      </c>
      <c r="W2226" s="577">
        <v>0</v>
      </c>
      <c r="X2226" s="575"/>
      <c r="Y2226" s="578">
        <f>IF('REF. DE PREÇOS n editavel'!W2226=0,0,IF('REF. DE PREÇOS n editavel'!W2226&gt;0,"c","b"))</f>
        <v>0</v>
      </c>
    </row>
    <row r="2227" spans="1:25" ht="15" customHeight="1">
      <c r="A2227" s="317" t="s">
        <v>30</v>
      </c>
      <c r="B2227" s="870" t="s">
        <v>30</v>
      </c>
      <c r="C2227" s="871" t="s">
        <v>184</v>
      </c>
      <c r="D2227" s="881" t="s">
        <v>58</v>
      </c>
      <c r="E2227" s="882">
        <f>'REF. DE PREÇOS n editavel'!E2227</f>
        <v>0</v>
      </c>
      <c r="F2227" s="883">
        <f>'REF. DE PREÇOS n editavel'!F2227</f>
        <v>0</v>
      </c>
      <c r="G2227" s="887">
        <f>'REF. DE PREÇOS n editavel'!G2227</f>
        <v>454.83891789760003</v>
      </c>
      <c r="H2227" s="876">
        <f>'REF. DE PREÇOS n editavel'!H2227</f>
        <v>1305.72</v>
      </c>
      <c r="I2227" s="876">
        <f>'REF. DE PREÇOS n editavel'!I2227</f>
        <v>1760.5589178976002</v>
      </c>
      <c r="J2227" s="877">
        <f>'REF. DE PREÇOS n editavel'!J2227</f>
        <v>2151.7600000000002</v>
      </c>
      <c r="K2227" s="878" t="s">
        <v>15</v>
      </c>
      <c r="L2227" s="1092"/>
      <c r="M2227" s="1093">
        <f t="shared" si="221"/>
        <v>0</v>
      </c>
      <c r="N2227" s="1131">
        <f t="shared" si="222"/>
        <v>0</v>
      </c>
      <c r="O2227" s="880"/>
      <c r="Q2227" s="317" t="str">
        <f t="shared" si="223"/>
        <v/>
      </c>
      <c r="R2227" s="317" t="str">
        <f t="shared" ref="R2227:R2276" si="224">IF(P2227="X","x",IF(P2227="y","x",IF(P2227="xx","x",IF(N2227&gt;0,"x",""))))</f>
        <v/>
      </c>
      <c r="S2227" s="317" t="str">
        <f t="shared" ref="S2227:S2276" si="225">IF(P2227="X","x",IF(N2227&gt;0,"x",""))</f>
        <v/>
      </c>
      <c r="T2227" s="317" t="str">
        <f>'REF. DE PREÇOS n editavel'!S2227</f>
        <v/>
      </c>
      <c r="W2227" s="577">
        <v>0</v>
      </c>
      <c r="X2227" s="575"/>
      <c r="Y2227" s="578">
        <f>IF('REF. DE PREÇOS n editavel'!W2227=0,0,IF('REF. DE PREÇOS n editavel'!W2227&gt;0,"c","b"))</f>
        <v>0</v>
      </c>
    </row>
    <row r="2228" spans="1:25" ht="15" customHeight="1">
      <c r="A2228" s="317" t="s">
        <v>147</v>
      </c>
      <c r="B2228" s="870" t="s">
        <v>147</v>
      </c>
      <c r="C2228" s="871"/>
      <c r="D2228" s="881" t="s">
        <v>190</v>
      </c>
      <c r="E2228" s="882">
        <f>'REF. DE PREÇOS n editavel'!E2228</f>
        <v>445</v>
      </c>
      <c r="F2228" s="883">
        <f>'REF. DE PREÇOS n editavel'!F2228</f>
        <v>0.25613760000000002</v>
      </c>
      <c r="G2228" s="884">
        <f>'REF. DE PREÇOS n editavel'!G2228</f>
        <v>90.908356992000009</v>
      </c>
      <c r="H2228" s="876">
        <f>'REF. DE PREÇOS n editavel'!H2228</f>
        <v>0</v>
      </c>
      <c r="I2228" s="876">
        <f>'REF. DE PREÇOS n editavel'!I2228</f>
        <v>0</v>
      </c>
      <c r="J2228" s="877">
        <f>'REF. DE PREÇOS n editavel'!J2228</f>
        <v>0</v>
      </c>
      <c r="K2228" s="878"/>
      <c r="L2228" s="1132"/>
      <c r="M2228" s="1093">
        <f t="shared" si="221"/>
        <v>0</v>
      </c>
      <c r="N2228" s="1131">
        <f t="shared" si="222"/>
        <v>0</v>
      </c>
      <c r="O2228" s="880"/>
      <c r="P2228" s="36" t="str">
        <f>IF(N2227&gt;0,"xx",IF(N2227&gt;0,"xy",""))</f>
        <v/>
      </c>
      <c r="Q2228" s="317" t="str">
        <f t="shared" si="223"/>
        <v/>
      </c>
      <c r="R2228" s="317" t="str">
        <f t="shared" si="224"/>
        <v/>
      </c>
      <c r="S2228" s="317" t="str">
        <f t="shared" si="225"/>
        <v/>
      </c>
      <c r="T2228" s="317" t="str">
        <f>'REF. DE PREÇOS n editavel'!S2228</f>
        <v/>
      </c>
      <c r="W2228" s="577">
        <v>0</v>
      </c>
      <c r="X2228" s="575"/>
      <c r="Y2228" s="578">
        <f>IF('REF. DE PREÇOS n editavel'!W2228=0,0,IF('REF. DE PREÇOS n editavel'!W2228&gt;0,"c","b"))</f>
        <v>0</v>
      </c>
    </row>
    <row r="2229" spans="1:25" ht="15" customHeight="1">
      <c r="A2229" s="317" t="s">
        <v>147</v>
      </c>
      <c r="B2229" s="870" t="s">
        <v>147</v>
      </c>
      <c r="C2229" s="871"/>
      <c r="D2229" s="881" t="s">
        <v>229</v>
      </c>
      <c r="E2229" s="882">
        <f>'REF. DE PREÇOS n editavel'!E2229</f>
        <v>290</v>
      </c>
      <c r="F2229" s="883">
        <f>'REF. DE PREÇOS n editavel'!F2229</f>
        <v>0.95694329600000005</v>
      </c>
      <c r="G2229" s="923">
        <f>'REF. DE PREÇOS n editavel'!G2229</f>
        <v>299.50411278208003</v>
      </c>
      <c r="H2229" s="876">
        <f>'REF. DE PREÇOS n editavel'!H2229</f>
        <v>0</v>
      </c>
      <c r="I2229" s="876">
        <f>'REF. DE PREÇOS n editavel'!I2229</f>
        <v>0</v>
      </c>
      <c r="J2229" s="877">
        <f>'REF. DE PREÇOS n editavel'!J2229</f>
        <v>0</v>
      </c>
      <c r="K2229" s="878"/>
      <c r="L2229" s="1132"/>
      <c r="M2229" s="1093">
        <f t="shared" si="221"/>
        <v>0</v>
      </c>
      <c r="N2229" s="1131">
        <f t="shared" si="222"/>
        <v>0</v>
      </c>
      <c r="O2229" s="880"/>
      <c r="P2229" s="36" t="str">
        <f>IF(N2227&gt;0,"xx",IF(N2227&gt;0,"xy",""))</f>
        <v/>
      </c>
      <c r="Q2229" s="317" t="str">
        <f t="shared" si="223"/>
        <v/>
      </c>
      <c r="R2229" s="317" t="str">
        <f t="shared" si="224"/>
        <v/>
      </c>
      <c r="S2229" s="317" t="str">
        <f t="shared" si="225"/>
        <v/>
      </c>
      <c r="T2229" s="317" t="str">
        <f>'REF. DE PREÇOS n editavel'!S2229</f>
        <v/>
      </c>
      <c r="W2229" s="577">
        <v>0</v>
      </c>
      <c r="X2229" s="575"/>
      <c r="Y2229" s="578">
        <f>IF('REF. DE PREÇOS n editavel'!W2229=0,0,IF('REF. DE PREÇOS n editavel'!W2229&gt;0,"c","b"))</f>
        <v>0</v>
      </c>
    </row>
    <row r="2230" spans="1:25" ht="15" customHeight="1">
      <c r="A2230" s="317" t="s">
        <v>147</v>
      </c>
      <c r="B2230" s="870" t="s">
        <v>147</v>
      </c>
      <c r="C2230" s="871"/>
      <c r="D2230" s="881" t="s">
        <v>233</v>
      </c>
      <c r="E2230" s="882">
        <f>'REF. DE PREÇOS n editavel'!E2230</f>
        <v>43.1</v>
      </c>
      <c r="F2230" s="883">
        <f>'REF. DE PREÇOS n editavel'!F2230</f>
        <v>0.70038336000000012</v>
      </c>
      <c r="G2230" s="923">
        <f>'REF. DE PREÇOS n editavel'!G2230</f>
        <v>34.17660681792001</v>
      </c>
      <c r="H2230" s="876">
        <f>'REF. DE PREÇOS n editavel'!H2230</f>
        <v>0</v>
      </c>
      <c r="I2230" s="876">
        <f>'REF. DE PREÇOS n editavel'!I2230</f>
        <v>0</v>
      </c>
      <c r="J2230" s="877">
        <f>'REF. DE PREÇOS n editavel'!J2230</f>
        <v>0</v>
      </c>
      <c r="K2230" s="878"/>
      <c r="L2230" s="1132"/>
      <c r="M2230" s="1093">
        <f t="shared" si="221"/>
        <v>0</v>
      </c>
      <c r="N2230" s="1131">
        <f t="shared" si="222"/>
        <v>0</v>
      </c>
      <c r="O2230" s="880"/>
      <c r="P2230" s="36" t="str">
        <f>IF(N2227&gt;0,"xx",IF(N2227&gt;0,"xy",""))</f>
        <v/>
      </c>
      <c r="Q2230" s="317" t="str">
        <f t="shared" si="223"/>
        <v/>
      </c>
      <c r="R2230" s="317" t="str">
        <f t="shared" si="224"/>
        <v/>
      </c>
      <c r="S2230" s="317" t="str">
        <f t="shared" si="225"/>
        <v/>
      </c>
      <c r="T2230" s="317" t="str">
        <f>'REF. DE PREÇOS n editavel'!S2230</f>
        <v/>
      </c>
      <c r="W2230" s="577">
        <v>0</v>
      </c>
      <c r="X2230" s="575"/>
      <c r="Y2230" s="578">
        <f>IF('REF. DE PREÇOS n editavel'!W2230=0,0,IF('REF. DE PREÇOS n editavel'!W2230&gt;0,"c","b"))</f>
        <v>0</v>
      </c>
    </row>
    <row r="2231" spans="1:25" ht="15" customHeight="1">
      <c r="A2231" s="317" t="s">
        <v>147</v>
      </c>
      <c r="B2231" s="870" t="s">
        <v>147</v>
      </c>
      <c r="C2231" s="871"/>
      <c r="D2231" s="881" t="s">
        <v>365</v>
      </c>
      <c r="E2231" s="882">
        <f>'REF. DE PREÇOS n editavel'!E2231</f>
        <v>28</v>
      </c>
      <c r="F2231" s="883">
        <f>'REF. DE PREÇOS n editavel'!F2231</f>
        <v>0.6822144</v>
      </c>
      <c r="G2231" s="923">
        <f>'REF. DE PREÇOS n editavel'!G2231</f>
        <v>22.267478016000002</v>
      </c>
      <c r="H2231" s="876">
        <f>'REF. DE PREÇOS n editavel'!H2231</f>
        <v>0</v>
      </c>
      <c r="I2231" s="876">
        <f>'REF. DE PREÇOS n editavel'!I2231</f>
        <v>0</v>
      </c>
      <c r="J2231" s="877">
        <f>'REF. DE PREÇOS n editavel'!J2231</f>
        <v>0</v>
      </c>
      <c r="K2231" s="878"/>
      <c r="L2231" s="1132"/>
      <c r="M2231" s="1093">
        <f t="shared" si="221"/>
        <v>0</v>
      </c>
      <c r="N2231" s="1131">
        <f t="shared" si="222"/>
        <v>0</v>
      </c>
      <c r="O2231" s="880"/>
      <c r="P2231" s="36" t="str">
        <f>IF(N2227&gt;0,"xx",IF(N2227&gt;0,"xy",""))</f>
        <v/>
      </c>
      <c r="Q2231" s="317" t="str">
        <f t="shared" si="223"/>
        <v/>
      </c>
      <c r="R2231" s="317" t="str">
        <f t="shared" si="224"/>
        <v/>
      </c>
      <c r="S2231" s="317" t="str">
        <f t="shared" si="225"/>
        <v/>
      </c>
      <c r="T2231" s="317" t="str">
        <f>'REF. DE PREÇOS n editavel'!S2231</f>
        <v/>
      </c>
      <c r="W2231" s="577">
        <v>0</v>
      </c>
      <c r="X2231" s="575"/>
      <c r="Y2231" s="578">
        <f>IF('REF. DE PREÇOS n editavel'!W2231=0,0,IF('REF. DE PREÇOS n editavel'!W2231&gt;0,"c","b"))</f>
        <v>0</v>
      </c>
    </row>
    <row r="2232" spans="1:25" ht="15" customHeight="1">
      <c r="A2232" s="317" t="s">
        <v>147</v>
      </c>
      <c r="B2232" s="870" t="s">
        <v>147</v>
      </c>
      <c r="C2232" s="871"/>
      <c r="D2232" s="881" t="s">
        <v>366</v>
      </c>
      <c r="E2232" s="882">
        <f>'REF. DE PREÇOS n editavel'!E2232</f>
        <v>440</v>
      </c>
      <c r="F2232" s="883">
        <f>'REF. DE PREÇOS n editavel'!F2232</f>
        <v>2.274048E-2</v>
      </c>
      <c r="G2232" s="884">
        <f>'REF. DE PREÇOS n editavel'!G2232</f>
        <v>7.9823632896000012</v>
      </c>
      <c r="H2232" s="876">
        <f>'REF. DE PREÇOS n editavel'!H2232</f>
        <v>0</v>
      </c>
      <c r="I2232" s="876">
        <f>'REF. DE PREÇOS n editavel'!I2232</f>
        <v>0</v>
      </c>
      <c r="J2232" s="877">
        <f>'REF. DE PREÇOS n editavel'!J2232</f>
        <v>0</v>
      </c>
      <c r="K2232" s="878"/>
      <c r="L2232" s="1132"/>
      <c r="M2232" s="1093">
        <f t="shared" si="221"/>
        <v>0</v>
      </c>
      <c r="N2232" s="1131">
        <f t="shared" si="222"/>
        <v>0</v>
      </c>
      <c r="O2232" s="880"/>
      <c r="P2232" s="36" t="str">
        <f>IF(N2227&gt;0,"xx",IF(N2227&gt;0,"xy",""))</f>
        <v/>
      </c>
      <c r="Q2232" s="317" t="str">
        <f t="shared" si="223"/>
        <v/>
      </c>
      <c r="R2232" s="317" t="str">
        <f t="shared" si="224"/>
        <v/>
      </c>
      <c r="S2232" s="317" t="str">
        <f t="shared" si="225"/>
        <v/>
      </c>
      <c r="T2232" s="317" t="str">
        <f>'REF. DE PREÇOS n editavel'!S2232</f>
        <v/>
      </c>
      <c r="W2232" s="577">
        <v>0</v>
      </c>
      <c r="X2232" s="575"/>
      <c r="Y2232" s="578">
        <f>IF('REF. DE PREÇOS n editavel'!W2232=0,0,IF('REF. DE PREÇOS n editavel'!W2232&gt;0,"c","b"))</f>
        <v>0</v>
      </c>
    </row>
    <row r="2233" spans="1:25" ht="15" customHeight="1">
      <c r="A2233" s="317" t="s">
        <v>31</v>
      </c>
      <c r="B2233" s="870" t="s">
        <v>31</v>
      </c>
      <c r="C2233" s="871" t="s">
        <v>184</v>
      </c>
      <c r="D2233" s="881" t="s">
        <v>59</v>
      </c>
      <c r="E2233" s="882">
        <f>'REF. DE PREÇOS n editavel'!E2233</f>
        <v>0</v>
      </c>
      <c r="F2233" s="883">
        <f>'REF. DE PREÇOS n editavel'!F2233</f>
        <v>0</v>
      </c>
      <c r="G2233" s="887">
        <f>'REF. DE PREÇOS n editavel'!G2233</f>
        <v>594.88678791120003</v>
      </c>
      <c r="H2233" s="876">
        <f>'REF. DE PREÇOS n editavel'!H2233</f>
        <v>1702.01</v>
      </c>
      <c r="I2233" s="876">
        <f>'REF. DE PREÇOS n editavel'!I2233</f>
        <v>2296.8967879112001</v>
      </c>
      <c r="J2233" s="877">
        <f>'REF. DE PREÇOS n editavel'!J2233</f>
        <v>2807.27</v>
      </c>
      <c r="K2233" s="878" t="s">
        <v>15</v>
      </c>
      <c r="L2233" s="1092"/>
      <c r="M2233" s="1093">
        <f t="shared" si="221"/>
        <v>0</v>
      </c>
      <c r="N2233" s="1131">
        <f t="shared" si="222"/>
        <v>0</v>
      </c>
      <c r="O2233" s="880"/>
      <c r="Q2233" s="317" t="str">
        <f t="shared" si="223"/>
        <v/>
      </c>
      <c r="R2233" s="317" t="str">
        <f t="shared" si="224"/>
        <v/>
      </c>
      <c r="S2233" s="317" t="str">
        <f t="shared" si="225"/>
        <v/>
      </c>
      <c r="T2233" s="317" t="str">
        <f>'REF. DE PREÇOS n editavel'!S2233</f>
        <v/>
      </c>
      <c r="W2233" s="577">
        <v>0</v>
      </c>
      <c r="X2233" s="575"/>
      <c r="Y2233" s="578">
        <f>IF('REF. DE PREÇOS n editavel'!W2233=0,0,IF('REF. DE PREÇOS n editavel'!W2233&gt;0,"c","b"))</f>
        <v>0</v>
      </c>
    </row>
    <row r="2234" spans="1:25" ht="15" customHeight="1">
      <c r="A2234" s="317" t="s">
        <v>147</v>
      </c>
      <c r="B2234" s="870" t="s">
        <v>147</v>
      </c>
      <c r="C2234" s="871"/>
      <c r="D2234" s="881" t="s">
        <v>190</v>
      </c>
      <c r="E2234" s="882">
        <f>'REF. DE PREÇOS n editavel'!E2234</f>
        <v>445</v>
      </c>
      <c r="F2234" s="883">
        <f>'REF. DE PREÇOS n editavel'!F2234</f>
        <v>0.33109503999999995</v>
      </c>
      <c r="G2234" s="884">
        <f>'REF. DE PREÇOS n editavel'!G2234</f>
        <v>117.51225159679998</v>
      </c>
      <c r="H2234" s="876">
        <f>'REF. DE PREÇOS n editavel'!H2234</f>
        <v>0</v>
      </c>
      <c r="I2234" s="876">
        <f>'REF. DE PREÇOS n editavel'!I2234</f>
        <v>0</v>
      </c>
      <c r="J2234" s="877">
        <f>'REF. DE PREÇOS n editavel'!J2234</f>
        <v>0</v>
      </c>
      <c r="K2234" s="878"/>
      <c r="L2234" s="1132"/>
      <c r="M2234" s="1093">
        <f t="shared" si="221"/>
        <v>0</v>
      </c>
      <c r="N2234" s="1131">
        <f t="shared" si="222"/>
        <v>0</v>
      </c>
      <c r="O2234" s="880"/>
      <c r="P2234" s="36" t="str">
        <f>IF(N2233&gt;0,"xx",IF(N2233&gt;0,"xy",""))</f>
        <v/>
      </c>
      <c r="Q2234" s="317" t="str">
        <f t="shared" si="223"/>
        <v/>
      </c>
      <c r="R2234" s="317" t="str">
        <f t="shared" si="224"/>
        <v/>
      </c>
      <c r="S2234" s="317" t="str">
        <f t="shared" si="225"/>
        <v/>
      </c>
      <c r="T2234" s="317" t="str">
        <f>'REF. DE PREÇOS n editavel'!S2234</f>
        <v/>
      </c>
      <c r="W2234" s="577">
        <v>0</v>
      </c>
      <c r="X2234" s="575"/>
      <c r="Y2234" s="578">
        <f>IF('REF. DE PREÇOS n editavel'!W2234=0,0,IF('REF. DE PREÇOS n editavel'!W2234&gt;0,"c","b"))</f>
        <v>0</v>
      </c>
    </row>
    <row r="2235" spans="1:25" ht="15" customHeight="1">
      <c r="A2235" s="317" t="s">
        <v>147</v>
      </c>
      <c r="B2235" s="870" t="s">
        <v>147</v>
      </c>
      <c r="C2235" s="871"/>
      <c r="D2235" s="881" t="s">
        <v>229</v>
      </c>
      <c r="E2235" s="882">
        <f>'REF. DE PREÇOS n editavel'!E2235</f>
        <v>290</v>
      </c>
      <c r="F2235" s="883">
        <f>'REF. DE PREÇOS n editavel'!F2235</f>
        <v>1.2541824319999999</v>
      </c>
      <c r="G2235" s="923">
        <f>'REF. DE PREÇOS n editavel'!G2235</f>
        <v>392.53401756735997</v>
      </c>
      <c r="H2235" s="876">
        <f>'REF. DE PREÇOS n editavel'!H2235</f>
        <v>0</v>
      </c>
      <c r="I2235" s="876">
        <f>'REF. DE PREÇOS n editavel'!I2235</f>
        <v>0</v>
      </c>
      <c r="J2235" s="877">
        <f>'REF. DE PREÇOS n editavel'!J2235</f>
        <v>0</v>
      </c>
      <c r="K2235" s="878"/>
      <c r="L2235" s="1132"/>
      <c r="M2235" s="1093">
        <f t="shared" si="221"/>
        <v>0</v>
      </c>
      <c r="N2235" s="1131">
        <f t="shared" si="222"/>
        <v>0</v>
      </c>
      <c r="O2235" s="880"/>
      <c r="P2235" s="36" t="str">
        <f>IF(N2233&gt;0,"xx",IF(N2233&gt;0,"xy",""))</f>
        <v/>
      </c>
      <c r="Q2235" s="317" t="str">
        <f t="shared" si="223"/>
        <v/>
      </c>
      <c r="R2235" s="317" t="str">
        <f t="shared" si="224"/>
        <v/>
      </c>
      <c r="S2235" s="317" t="str">
        <f t="shared" si="225"/>
        <v/>
      </c>
      <c r="T2235" s="317" t="str">
        <f>'REF. DE PREÇOS n editavel'!S2235</f>
        <v/>
      </c>
      <c r="W2235" s="577">
        <v>0</v>
      </c>
      <c r="X2235" s="575"/>
      <c r="Y2235" s="578">
        <f>IF('REF. DE PREÇOS n editavel'!W2235=0,0,IF('REF. DE PREÇOS n editavel'!W2235&gt;0,"c","b"))</f>
        <v>0</v>
      </c>
    </row>
    <row r="2236" spans="1:25" ht="15" customHeight="1">
      <c r="A2236" s="317" t="s">
        <v>147</v>
      </c>
      <c r="B2236" s="870" t="s">
        <v>147</v>
      </c>
      <c r="C2236" s="871"/>
      <c r="D2236" s="881" t="s">
        <v>233</v>
      </c>
      <c r="E2236" s="882">
        <f>'REF. DE PREÇOS n editavel'!E2236</f>
        <v>43.1</v>
      </c>
      <c r="F2236" s="883">
        <f>'REF. DE PREÇOS n editavel'!F2236</f>
        <v>0.89487311999999997</v>
      </c>
      <c r="G2236" s="923">
        <f>'REF. DE PREÇOS n editavel'!G2236</f>
        <v>43.66712363664</v>
      </c>
      <c r="H2236" s="876">
        <f>'REF. DE PREÇOS n editavel'!H2236</f>
        <v>0</v>
      </c>
      <c r="I2236" s="876">
        <f>'REF. DE PREÇOS n editavel'!I2236</f>
        <v>0</v>
      </c>
      <c r="J2236" s="877">
        <f>'REF. DE PREÇOS n editavel'!J2236</f>
        <v>0</v>
      </c>
      <c r="K2236" s="878"/>
      <c r="L2236" s="1132"/>
      <c r="M2236" s="1093">
        <f t="shared" si="221"/>
        <v>0</v>
      </c>
      <c r="N2236" s="1131">
        <f t="shared" si="222"/>
        <v>0</v>
      </c>
      <c r="O2236" s="880"/>
      <c r="P2236" s="36" t="str">
        <f>IF(N2233&gt;0,"xx",IF(N2233&gt;0,"xy",""))</f>
        <v/>
      </c>
      <c r="Q2236" s="317" t="str">
        <f t="shared" si="223"/>
        <v/>
      </c>
      <c r="R2236" s="317" t="str">
        <f t="shared" si="224"/>
        <v/>
      </c>
      <c r="S2236" s="317" t="str">
        <f t="shared" si="225"/>
        <v/>
      </c>
      <c r="T2236" s="317" t="str">
        <f>'REF. DE PREÇOS n editavel'!S2236</f>
        <v/>
      </c>
      <c r="W2236" s="577">
        <v>0</v>
      </c>
      <c r="X2236" s="575"/>
      <c r="Y2236" s="578">
        <f>IF('REF. DE PREÇOS n editavel'!W2236=0,0,IF('REF. DE PREÇOS n editavel'!W2236&gt;0,"c","b"))</f>
        <v>0</v>
      </c>
    </row>
    <row r="2237" spans="1:25" ht="15" customHeight="1">
      <c r="A2237" s="317" t="s">
        <v>147</v>
      </c>
      <c r="B2237" s="870" t="s">
        <v>147</v>
      </c>
      <c r="C2237" s="871"/>
      <c r="D2237" s="881" t="s">
        <v>365</v>
      </c>
      <c r="E2237" s="882">
        <f>'REF. DE PREÇOS n editavel'!E2237</f>
        <v>28</v>
      </c>
      <c r="F2237" s="883">
        <f>'REF. DE PREÇOS n editavel'!F2237</f>
        <v>0.92856959999999988</v>
      </c>
      <c r="G2237" s="923">
        <f>'REF. DE PREÇOS n editavel'!G2237</f>
        <v>30.308511743999997</v>
      </c>
      <c r="H2237" s="876">
        <f>'REF. DE PREÇOS n editavel'!H2237</f>
        <v>0</v>
      </c>
      <c r="I2237" s="876">
        <f>'REF. DE PREÇOS n editavel'!I2237</f>
        <v>0</v>
      </c>
      <c r="J2237" s="877">
        <f>'REF. DE PREÇOS n editavel'!J2237</f>
        <v>0</v>
      </c>
      <c r="K2237" s="878"/>
      <c r="L2237" s="1132"/>
      <c r="M2237" s="1093">
        <f t="shared" si="221"/>
        <v>0</v>
      </c>
      <c r="N2237" s="1131">
        <f t="shared" si="222"/>
        <v>0</v>
      </c>
      <c r="O2237" s="880"/>
      <c r="P2237" s="36" t="str">
        <f>IF(N2233&gt;0,"xx",IF(N2233&gt;0,"xy",""))</f>
        <v/>
      </c>
      <c r="Q2237" s="317" t="str">
        <f t="shared" si="223"/>
        <v/>
      </c>
      <c r="R2237" s="317" t="str">
        <f t="shared" si="224"/>
        <v/>
      </c>
      <c r="S2237" s="317" t="str">
        <f t="shared" si="225"/>
        <v/>
      </c>
      <c r="T2237" s="317" t="str">
        <f>'REF. DE PREÇOS n editavel'!S2237</f>
        <v/>
      </c>
      <c r="W2237" s="577">
        <v>0</v>
      </c>
      <c r="X2237" s="575"/>
      <c r="Y2237" s="578">
        <f>IF('REF. DE PREÇOS n editavel'!W2237=0,0,IF('REF. DE PREÇOS n editavel'!W2237&gt;0,"c","b"))</f>
        <v>0</v>
      </c>
    </row>
    <row r="2238" spans="1:25" ht="15" customHeight="1">
      <c r="A2238" s="317" t="s">
        <v>147</v>
      </c>
      <c r="B2238" s="870" t="s">
        <v>147</v>
      </c>
      <c r="C2238" s="871"/>
      <c r="D2238" s="881" t="s">
        <v>366</v>
      </c>
      <c r="E2238" s="882">
        <f>'REF. DE PREÇOS n editavel'!E2238</f>
        <v>440</v>
      </c>
      <c r="F2238" s="883">
        <f>'REF. DE PREÇOS n editavel'!F2238</f>
        <v>3.0952319999999998E-2</v>
      </c>
      <c r="G2238" s="884">
        <f>'REF. DE PREÇOS n editavel'!G2238</f>
        <v>10.864883366400001</v>
      </c>
      <c r="H2238" s="876">
        <f>'REF. DE PREÇOS n editavel'!H2238</f>
        <v>0</v>
      </c>
      <c r="I2238" s="876">
        <f>'REF. DE PREÇOS n editavel'!I2238</f>
        <v>0</v>
      </c>
      <c r="J2238" s="877">
        <f>'REF. DE PREÇOS n editavel'!J2238</f>
        <v>0</v>
      </c>
      <c r="K2238" s="878"/>
      <c r="L2238" s="1132"/>
      <c r="M2238" s="1093">
        <f t="shared" si="221"/>
        <v>0</v>
      </c>
      <c r="N2238" s="1131">
        <f t="shared" si="222"/>
        <v>0</v>
      </c>
      <c r="O2238" s="880"/>
      <c r="P2238" s="36" t="str">
        <f>IF(N2233&gt;0,"xx",IF(N2233&gt;0,"xy",""))</f>
        <v/>
      </c>
      <c r="Q2238" s="317" t="str">
        <f t="shared" si="223"/>
        <v/>
      </c>
      <c r="R2238" s="317" t="str">
        <f t="shared" si="224"/>
        <v/>
      </c>
      <c r="S2238" s="317" t="str">
        <f t="shared" si="225"/>
        <v/>
      </c>
      <c r="T2238" s="317" t="str">
        <f>'REF. DE PREÇOS n editavel'!S2238</f>
        <v/>
      </c>
      <c r="W2238" s="577">
        <v>0</v>
      </c>
      <c r="X2238" s="575"/>
      <c r="Y2238" s="578">
        <f>IF('REF. DE PREÇOS n editavel'!W2238=0,0,IF('REF. DE PREÇOS n editavel'!W2238&gt;0,"c","b"))</f>
        <v>0</v>
      </c>
    </row>
    <row r="2239" spans="1:25" ht="15" customHeight="1">
      <c r="A2239" s="317" t="s">
        <v>32</v>
      </c>
      <c r="B2239" s="870" t="s">
        <v>32</v>
      </c>
      <c r="C2239" s="871" t="s">
        <v>184</v>
      </c>
      <c r="D2239" s="881" t="s">
        <v>60</v>
      </c>
      <c r="E2239" s="882">
        <f>'REF. DE PREÇOS n editavel'!E2239</f>
        <v>0</v>
      </c>
      <c r="F2239" s="883">
        <f>'REF. DE PREÇOS n editavel'!F2239</f>
        <v>0</v>
      </c>
      <c r="G2239" s="887">
        <f>'REF. DE PREÇOS n editavel'!G2239</f>
        <v>820.9041568680002</v>
      </c>
      <c r="H2239" s="876">
        <f>'REF. DE PREÇOS n editavel'!H2239</f>
        <v>2343.36</v>
      </c>
      <c r="I2239" s="876">
        <f>'REF. DE PREÇOS n editavel'!I2239</f>
        <v>3164.2641568680001</v>
      </c>
      <c r="J2239" s="877">
        <f>'REF. DE PREÇOS n editavel'!J2239</f>
        <v>3867.36</v>
      </c>
      <c r="K2239" s="878" t="s">
        <v>15</v>
      </c>
      <c r="L2239" s="1092"/>
      <c r="M2239" s="1093">
        <f t="shared" si="221"/>
        <v>0</v>
      </c>
      <c r="N2239" s="1131">
        <f t="shared" si="222"/>
        <v>0</v>
      </c>
      <c r="O2239" s="880"/>
      <c r="Q2239" s="317" t="str">
        <f t="shared" si="223"/>
        <v/>
      </c>
      <c r="R2239" s="317" t="str">
        <f t="shared" si="224"/>
        <v/>
      </c>
      <c r="S2239" s="317" t="str">
        <f t="shared" si="225"/>
        <v/>
      </c>
      <c r="T2239" s="317" t="str">
        <f>'REF. DE PREÇOS n editavel'!S2239</f>
        <v/>
      </c>
      <c r="W2239" s="577">
        <v>0</v>
      </c>
      <c r="X2239" s="575"/>
      <c r="Y2239" s="578">
        <f>IF('REF. DE PREÇOS n editavel'!W2239=0,0,IF('REF. DE PREÇOS n editavel'!W2239&gt;0,"c","b"))</f>
        <v>0</v>
      </c>
    </row>
    <row r="2240" spans="1:25" ht="15" customHeight="1">
      <c r="A2240" s="317" t="s">
        <v>147</v>
      </c>
      <c r="B2240" s="870" t="s">
        <v>147</v>
      </c>
      <c r="C2240" s="871"/>
      <c r="D2240" s="881" t="s">
        <v>190</v>
      </c>
      <c r="E2240" s="882">
        <f>'REF. DE PREÇOS n editavel'!E2240</f>
        <v>445</v>
      </c>
      <c r="F2240" s="883">
        <f>'REF. DE PREÇOS n editavel'!F2240</f>
        <v>0.45250179200000007</v>
      </c>
      <c r="G2240" s="884">
        <f>'REF. DE PREÇOS n editavel'!G2240</f>
        <v>160.60193601664002</v>
      </c>
      <c r="H2240" s="876">
        <f>'REF. DE PREÇOS n editavel'!H2240</f>
        <v>0</v>
      </c>
      <c r="I2240" s="876">
        <f>'REF. DE PREÇOS n editavel'!I2240</f>
        <v>0</v>
      </c>
      <c r="J2240" s="877">
        <f>'REF. DE PREÇOS n editavel'!J2240</f>
        <v>0</v>
      </c>
      <c r="K2240" s="878"/>
      <c r="L2240" s="1132"/>
      <c r="M2240" s="1093">
        <f t="shared" si="221"/>
        <v>0</v>
      </c>
      <c r="N2240" s="1131">
        <f t="shared" si="222"/>
        <v>0</v>
      </c>
      <c r="O2240" s="880"/>
      <c r="P2240" s="36" t="str">
        <f>IF(N2239&gt;0,"xx",IF(N2239&gt;0,"xy",""))</f>
        <v/>
      </c>
      <c r="Q2240" s="317" t="str">
        <f t="shared" si="223"/>
        <v/>
      </c>
      <c r="R2240" s="317" t="str">
        <f t="shared" si="224"/>
        <v/>
      </c>
      <c r="S2240" s="317" t="str">
        <f t="shared" si="225"/>
        <v/>
      </c>
      <c r="T2240" s="317" t="str">
        <f>'REF. DE PREÇOS n editavel'!S2240</f>
        <v/>
      </c>
      <c r="W2240" s="577">
        <v>0</v>
      </c>
      <c r="X2240" s="575"/>
      <c r="Y2240" s="578">
        <f>IF('REF. DE PREÇOS n editavel'!W2240=0,0,IF('REF. DE PREÇOS n editavel'!W2240&gt;0,"c","b"))</f>
        <v>0</v>
      </c>
    </row>
    <row r="2241" spans="1:25" ht="15" customHeight="1">
      <c r="A2241" s="317" t="s">
        <v>147</v>
      </c>
      <c r="B2241" s="870" t="s">
        <v>147</v>
      </c>
      <c r="C2241" s="871"/>
      <c r="D2241" s="881" t="s">
        <v>229</v>
      </c>
      <c r="E2241" s="882">
        <f>'REF. DE PREÇOS n editavel'!E2241</f>
        <v>290</v>
      </c>
      <c r="F2241" s="883">
        <f>'REF. DE PREÇOS n editavel'!F2241</f>
        <v>1.7334338080000002</v>
      </c>
      <c r="G2241" s="923">
        <f>'REF. DE PREÇOS n editavel'!G2241</f>
        <v>542.53011322784016</v>
      </c>
      <c r="H2241" s="876">
        <f>'REF. DE PREÇOS n editavel'!H2241</f>
        <v>0</v>
      </c>
      <c r="I2241" s="876">
        <f>'REF. DE PREÇOS n editavel'!I2241</f>
        <v>0</v>
      </c>
      <c r="J2241" s="877">
        <f>'REF. DE PREÇOS n editavel'!J2241</f>
        <v>0</v>
      </c>
      <c r="K2241" s="878"/>
      <c r="L2241" s="1132"/>
      <c r="M2241" s="1093">
        <f t="shared" si="221"/>
        <v>0</v>
      </c>
      <c r="N2241" s="1131">
        <f t="shared" si="222"/>
        <v>0</v>
      </c>
      <c r="O2241" s="880"/>
      <c r="P2241" s="36" t="str">
        <f>IF(N2239&gt;0,"xx",IF(N2239&gt;0,"xy",""))</f>
        <v/>
      </c>
      <c r="Q2241" s="317" t="str">
        <f t="shared" si="223"/>
        <v/>
      </c>
      <c r="R2241" s="317" t="str">
        <f t="shared" si="224"/>
        <v/>
      </c>
      <c r="S2241" s="317" t="str">
        <f t="shared" si="225"/>
        <v/>
      </c>
      <c r="T2241" s="317" t="str">
        <f>'REF. DE PREÇOS n editavel'!S2241</f>
        <v/>
      </c>
      <c r="W2241" s="577">
        <v>0</v>
      </c>
      <c r="X2241" s="575"/>
      <c r="Y2241" s="578">
        <f>IF('REF. DE PREÇOS n editavel'!W2241=0,0,IF('REF. DE PREÇOS n editavel'!W2241&gt;0,"c","b"))</f>
        <v>0</v>
      </c>
    </row>
    <row r="2242" spans="1:25" ht="15" customHeight="1">
      <c r="A2242" s="317" t="s">
        <v>147</v>
      </c>
      <c r="B2242" s="870" t="s">
        <v>147</v>
      </c>
      <c r="C2242" s="871"/>
      <c r="D2242" s="881" t="s">
        <v>233</v>
      </c>
      <c r="E2242" s="882">
        <f>'REF. DE PREÇOS n editavel'!E2242</f>
        <v>43.1</v>
      </c>
      <c r="F2242" s="883">
        <f>'REF. DE PREÇOS n editavel'!F2242</f>
        <v>1.2150148800000002</v>
      </c>
      <c r="G2242" s="923">
        <f>'REF. DE PREÇOS n editavel'!G2242</f>
        <v>59.289081099360018</v>
      </c>
      <c r="H2242" s="876">
        <f>'REF. DE PREÇOS n editavel'!H2242</f>
        <v>0</v>
      </c>
      <c r="I2242" s="876">
        <f>'REF. DE PREÇOS n editavel'!I2242</f>
        <v>0</v>
      </c>
      <c r="J2242" s="877">
        <f>'REF. DE PREÇOS n editavel'!J2242</f>
        <v>0</v>
      </c>
      <c r="K2242" s="878"/>
      <c r="L2242" s="1132"/>
      <c r="M2242" s="1093">
        <f t="shared" si="221"/>
        <v>0</v>
      </c>
      <c r="N2242" s="1131">
        <f t="shared" si="222"/>
        <v>0</v>
      </c>
      <c r="O2242" s="880"/>
      <c r="P2242" s="36" t="str">
        <f>IF(N2239&gt;0,"xx",IF(N2239&gt;0,"xy",""))</f>
        <v/>
      </c>
      <c r="Q2242" s="317" t="str">
        <f t="shared" si="223"/>
        <v/>
      </c>
      <c r="R2242" s="317" t="str">
        <f t="shared" si="224"/>
        <v/>
      </c>
      <c r="S2242" s="317" t="str">
        <f t="shared" si="225"/>
        <v/>
      </c>
      <c r="T2242" s="317" t="str">
        <f>'REF. DE PREÇOS n editavel'!S2242</f>
        <v/>
      </c>
      <c r="W2242" s="577">
        <v>0</v>
      </c>
      <c r="X2242" s="575"/>
      <c r="Y2242" s="578">
        <f>IF('REF. DE PREÇOS n editavel'!W2242=0,0,IF('REF. DE PREÇOS n editavel'!W2242&gt;0,"c","b"))</f>
        <v>0</v>
      </c>
    </row>
    <row r="2243" spans="1:25" ht="15" customHeight="1">
      <c r="A2243" s="317" t="s">
        <v>147</v>
      </c>
      <c r="B2243" s="870" t="s">
        <v>147</v>
      </c>
      <c r="C2243" s="871"/>
      <c r="D2243" s="881" t="s">
        <v>365</v>
      </c>
      <c r="E2243" s="882">
        <f>'REF. DE PREÇOS n editavel'!E2243</f>
        <v>28</v>
      </c>
      <c r="F2243" s="883">
        <f>'REF. DE PREÇOS n editavel'!F2243</f>
        <v>1.3189478400000001</v>
      </c>
      <c r="G2243" s="923">
        <f>'REF. DE PREÇOS n editavel'!G2243</f>
        <v>43.050457497600007</v>
      </c>
      <c r="H2243" s="876">
        <f>'REF. DE PREÇOS n editavel'!H2243</f>
        <v>0</v>
      </c>
      <c r="I2243" s="876">
        <f>'REF. DE PREÇOS n editavel'!I2243</f>
        <v>0</v>
      </c>
      <c r="J2243" s="877">
        <f>'REF. DE PREÇOS n editavel'!J2243</f>
        <v>0</v>
      </c>
      <c r="K2243" s="878"/>
      <c r="L2243" s="1132"/>
      <c r="M2243" s="1093">
        <f t="shared" si="221"/>
        <v>0</v>
      </c>
      <c r="N2243" s="1131">
        <f t="shared" si="222"/>
        <v>0</v>
      </c>
      <c r="O2243" s="880"/>
      <c r="P2243" s="36" t="str">
        <f>IF(N2239&gt;0,"xx",IF(N2239&gt;0,"xy",""))</f>
        <v/>
      </c>
      <c r="Q2243" s="317" t="str">
        <f t="shared" si="223"/>
        <v/>
      </c>
      <c r="R2243" s="317" t="str">
        <f t="shared" si="224"/>
        <v/>
      </c>
      <c r="S2243" s="317" t="str">
        <f t="shared" si="225"/>
        <v/>
      </c>
      <c r="T2243" s="317" t="str">
        <f>'REF. DE PREÇOS n editavel'!S2243</f>
        <v/>
      </c>
      <c r="W2243" s="577">
        <v>0</v>
      </c>
      <c r="X2243" s="575"/>
      <c r="Y2243" s="578">
        <f>IF('REF. DE PREÇOS n editavel'!W2243=0,0,IF('REF. DE PREÇOS n editavel'!W2243&gt;0,"c","b"))</f>
        <v>0</v>
      </c>
    </row>
    <row r="2244" spans="1:25" ht="15" customHeight="1">
      <c r="A2244" s="317" t="s">
        <v>147</v>
      </c>
      <c r="B2244" s="870" t="s">
        <v>147</v>
      </c>
      <c r="C2244" s="871"/>
      <c r="D2244" s="881" t="s">
        <v>366</v>
      </c>
      <c r="E2244" s="882">
        <f>'REF. DE PREÇOS n editavel'!E2244</f>
        <v>440</v>
      </c>
      <c r="F2244" s="883">
        <f>'REF. DE PREÇOS n editavel'!F2244</f>
        <v>4.3964928000000007E-2</v>
      </c>
      <c r="G2244" s="884">
        <f>'REF. DE PREÇOS n editavel'!G2244</f>
        <v>15.432569026560005</v>
      </c>
      <c r="H2244" s="876">
        <f>'REF. DE PREÇOS n editavel'!H2244</f>
        <v>0</v>
      </c>
      <c r="I2244" s="876">
        <f>'REF. DE PREÇOS n editavel'!I2244</f>
        <v>0</v>
      </c>
      <c r="J2244" s="877">
        <f>'REF. DE PREÇOS n editavel'!J2244</f>
        <v>0</v>
      </c>
      <c r="K2244" s="878"/>
      <c r="L2244" s="1132"/>
      <c r="M2244" s="1093">
        <f t="shared" si="221"/>
        <v>0</v>
      </c>
      <c r="N2244" s="1131">
        <f t="shared" si="222"/>
        <v>0</v>
      </c>
      <c r="O2244" s="880"/>
      <c r="P2244" s="36" t="str">
        <f>IF(N2239&gt;0,"xx",IF(N2239&gt;0,"xy",""))</f>
        <v/>
      </c>
      <c r="Q2244" s="317" t="str">
        <f t="shared" si="223"/>
        <v/>
      </c>
      <c r="R2244" s="317" t="str">
        <f t="shared" si="224"/>
        <v/>
      </c>
      <c r="S2244" s="317" t="str">
        <f t="shared" si="225"/>
        <v/>
      </c>
      <c r="T2244" s="317" t="str">
        <f>'REF. DE PREÇOS n editavel'!S2244</f>
        <v/>
      </c>
      <c r="W2244" s="577">
        <v>0</v>
      </c>
      <c r="X2244" s="575"/>
      <c r="Y2244" s="578">
        <f>IF('REF. DE PREÇOS n editavel'!W2244=0,0,IF('REF. DE PREÇOS n editavel'!W2244&gt;0,"c","b"))</f>
        <v>0</v>
      </c>
    </row>
    <row r="2245" spans="1:25" ht="15" customHeight="1">
      <c r="A2245" s="317" t="s">
        <v>108</v>
      </c>
      <c r="B2245" s="870" t="s">
        <v>108</v>
      </c>
      <c r="C2245" s="871" t="s">
        <v>184</v>
      </c>
      <c r="D2245" s="881" t="s">
        <v>375</v>
      </c>
      <c r="E2245" s="882">
        <f>'REF. DE PREÇOS n editavel'!E2245</f>
        <v>0</v>
      </c>
      <c r="F2245" s="883">
        <f>'REF. DE PREÇOS n editavel'!F2245</f>
        <v>0</v>
      </c>
      <c r="G2245" s="887">
        <f>'REF. DE PREÇOS n editavel'!G2245</f>
        <v>195.80620557600002</v>
      </c>
      <c r="H2245" s="876">
        <f>'REF. DE PREÇOS n editavel'!H2245</f>
        <v>452.08</v>
      </c>
      <c r="I2245" s="876">
        <f>'REF. DE PREÇOS n editavel'!I2245</f>
        <v>647.88620557600007</v>
      </c>
      <c r="J2245" s="877">
        <f>'REF. DE PREÇOS n editavel'!J2245</f>
        <v>791.85</v>
      </c>
      <c r="K2245" s="878" t="s">
        <v>15</v>
      </c>
      <c r="L2245" s="1092"/>
      <c r="M2245" s="1093">
        <f t="shared" si="221"/>
        <v>0</v>
      </c>
      <c r="N2245" s="1131">
        <f t="shared" si="222"/>
        <v>0</v>
      </c>
      <c r="O2245" s="880"/>
      <c r="Q2245" s="317" t="str">
        <f t="shared" si="223"/>
        <v/>
      </c>
      <c r="R2245" s="317" t="str">
        <f t="shared" si="224"/>
        <v/>
      </c>
      <c r="S2245" s="317" t="str">
        <f t="shared" si="225"/>
        <v/>
      </c>
      <c r="T2245" s="317" t="str">
        <f>'REF. DE PREÇOS n editavel'!S2245</f>
        <v/>
      </c>
      <c r="W2245" s="577">
        <v>0</v>
      </c>
      <c r="X2245" s="575"/>
      <c r="Y2245" s="578">
        <f>IF('REF. DE PREÇOS n editavel'!W2245=0,0,IF('REF. DE PREÇOS n editavel'!W2245&gt;0,"c","b"))</f>
        <v>0</v>
      </c>
    </row>
    <row r="2246" spans="1:25" ht="15" customHeight="1">
      <c r="A2246" s="317" t="s">
        <v>147</v>
      </c>
      <c r="B2246" s="870" t="s">
        <v>147</v>
      </c>
      <c r="C2246" s="871"/>
      <c r="D2246" s="881" t="s">
        <v>190</v>
      </c>
      <c r="E2246" s="882">
        <f>'REF. DE PREÇOS n editavel'!E2246</f>
        <v>445</v>
      </c>
      <c r="F2246" s="883">
        <f>'REF. DE PREÇOS n editavel'!F2246</f>
        <v>0.1320288</v>
      </c>
      <c r="G2246" s="884">
        <f>'REF. DE PREÇOS n editavel'!G2246</f>
        <v>46.859661696000003</v>
      </c>
      <c r="H2246" s="876">
        <f>'REF. DE PREÇOS n editavel'!H2246</f>
        <v>0</v>
      </c>
      <c r="I2246" s="876">
        <f>'REF. DE PREÇOS n editavel'!I2246</f>
        <v>0</v>
      </c>
      <c r="J2246" s="877">
        <f>'REF. DE PREÇOS n editavel'!J2246</f>
        <v>0</v>
      </c>
      <c r="K2246" s="878"/>
      <c r="L2246" s="1132"/>
      <c r="M2246" s="1093">
        <f t="shared" ref="M2246:M2309" si="226">IF(L2246=0,0,ROUND(J2246,2))</f>
        <v>0</v>
      </c>
      <c r="N2246" s="1131">
        <f t="shared" si="222"/>
        <v>0</v>
      </c>
      <c r="O2246" s="880"/>
      <c r="P2246" s="36" t="str">
        <f>IF(N2245&gt;0,"xx",IF(N2245&gt;0,"xy",""))</f>
        <v/>
      </c>
      <c r="Q2246" s="317" t="str">
        <f t="shared" si="223"/>
        <v/>
      </c>
      <c r="R2246" s="317" t="str">
        <f t="shared" si="224"/>
        <v/>
      </c>
      <c r="S2246" s="317" t="str">
        <f t="shared" si="225"/>
        <v/>
      </c>
      <c r="T2246" s="317" t="str">
        <f>'REF. DE PREÇOS n editavel'!S2246</f>
        <v/>
      </c>
      <c r="W2246" s="577">
        <v>0</v>
      </c>
      <c r="X2246" s="575"/>
      <c r="Y2246" s="578">
        <f>IF('REF. DE PREÇOS n editavel'!W2246=0,0,IF('REF. DE PREÇOS n editavel'!W2246&gt;0,"c","b"))</f>
        <v>0</v>
      </c>
    </row>
    <row r="2247" spans="1:25" ht="15" customHeight="1">
      <c r="A2247" s="317" t="s">
        <v>147</v>
      </c>
      <c r="B2247" s="870" t="s">
        <v>147</v>
      </c>
      <c r="C2247" s="871"/>
      <c r="D2247" s="881" t="s">
        <v>229</v>
      </c>
      <c r="E2247" s="882">
        <f>'REF. DE PREÇOS n editavel'!E2247</f>
        <v>290</v>
      </c>
      <c r="F2247" s="883">
        <f>'REF. DE PREÇOS n editavel'!F2247</f>
        <v>0.40193856</v>
      </c>
      <c r="G2247" s="923">
        <f>'REF. DE PREÇOS n editavel'!G2247</f>
        <v>125.79873050880001</v>
      </c>
      <c r="H2247" s="876">
        <f>'REF. DE PREÇOS n editavel'!H2247</f>
        <v>0</v>
      </c>
      <c r="I2247" s="876">
        <f>'REF. DE PREÇOS n editavel'!I2247</f>
        <v>0</v>
      </c>
      <c r="J2247" s="877">
        <f>'REF. DE PREÇOS n editavel'!J2247</f>
        <v>0</v>
      </c>
      <c r="K2247" s="878"/>
      <c r="L2247" s="1132"/>
      <c r="M2247" s="1093">
        <f t="shared" si="226"/>
        <v>0</v>
      </c>
      <c r="N2247" s="1131">
        <f t="shared" si="222"/>
        <v>0</v>
      </c>
      <c r="O2247" s="880"/>
      <c r="P2247" s="36" t="str">
        <f>IF(N2245&gt;0,"xx",IF(N2245&gt;0,"xy",""))</f>
        <v/>
      </c>
      <c r="Q2247" s="317" t="str">
        <f t="shared" si="223"/>
        <v/>
      </c>
      <c r="R2247" s="317" t="str">
        <f t="shared" si="224"/>
        <v/>
      </c>
      <c r="S2247" s="317" t="str">
        <f t="shared" si="225"/>
        <v/>
      </c>
      <c r="T2247" s="317" t="str">
        <f>'REF. DE PREÇOS n editavel'!S2247</f>
        <v/>
      </c>
      <c r="W2247" s="577">
        <v>0</v>
      </c>
      <c r="X2247" s="575"/>
      <c r="Y2247" s="578">
        <f>IF('REF. DE PREÇOS n editavel'!W2247=0,0,IF('REF. DE PREÇOS n editavel'!W2247&gt;0,"c","b"))</f>
        <v>0</v>
      </c>
    </row>
    <row r="2248" spans="1:25" ht="15" customHeight="1">
      <c r="A2248" s="317" t="s">
        <v>147</v>
      </c>
      <c r="B2248" s="870" t="s">
        <v>147</v>
      </c>
      <c r="C2248" s="871"/>
      <c r="D2248" s="881" t="s">
        <v>233</v>
      </c>
      <c r="E2248" s="882">
        <f>'REF. DE PREÇOS n editavel'!E2248</f>
        <v>43.1</v>
      </c>
      <c r="F2248" s="883">
        <f>'REF. DE PREÇOS n editavel'!F2248</f>
        <v>0.47436960000000006</v>
      </c>
      <c r="G2248" s="923">
        <f>'REF. DE PREÇOS n editavel'!G2248</f>
        <v>23.147813371200005</v>
      </c>
      <c r="H2248" s="876">
        <f>'REF. DE PREÇOS n editavel'!H2248</f>
        <v>0</v>
      </c>
      <c r="I2248" s="876">
        <f>'REF. DE PREÇOS n editavel'!I2248</f>
        <v>0</v>
      </c>
      <c r="J2248" s="877">
        <f>'REF. DE PREÇOS n editavel'!J2248</f>
        <v>0</v>
      </c>
      <c r="K2248" s="878"/>
      <c r="L2248" s="1132"/>
      <c r="M2248" s="1093">
        <f t="shared" si="226"/>
        <v>0</v>
      </c>
      <c r="N2248" s="1131">
        <f t="shared" si="222"/>
        <v>0</v>
      </c>
      <c r="O2248" s="880"/>
      <c r="P2248" s="36" t="str">
        <f>IF(N2245&gt;0,"xx",IF(N2245&gt;0,"xy",""))</f>
        <v/>
      </c>
      <c r="Q2248" s="317" t="str">
        <f t="shared" si="223"/>
        <v/>
      </c>
      <c r="R2248" s="317" t="str">
        <f t="shared" si="224"/>
        <v/>
      </c>
      <c r="S2248" s="317" t="str">
        <f t="shared" si="225"/>
        <v/>
      </c>
      <c r="T2248" s="317" t="str">
        <f>'REF. DE PREÇOS n editavel'!S2248</f>
        <v/>
      </c>
      <c r="W2248" s="577">
        <v>0</v>
      </c>
      <c r="X2248" s="575"/>
      <c r="Y2248" s="578">
        <f>IF('REF. DE PREÇOS n editavel'!W2248=0,0,IF('REF. DE PREÇOS n editavel'!W2248&gt;0,"c","b"))</f>
        <v>0</v>
      </c>
    </row>
    <row r="2249" spans="1:25" ht="15" customHeight="1">
      <c r="A2249" s="317" t="s">
        <v>109</v>
      </c>
      <c r="B2249" s="870" t="s">
        <v>109</v>
      </c>
      <c r="C2249" s="871" t="s">
        <v>184</v>
      </c>
      <c r="D2249" s="881" t="s">
        <v>376</v>
      </c>
      <c r="E2249" s="882">
        <f>'REF. DE PREÇOS n editavel'!E2249</f>
        <v>0</v>
      </c>
      <c r="F2249" s="883">
        <f>'REF. DE PREÇOS n editavel'!F2249</f>
        <v>0</v>
      </c>
      <c r="G2249" s="887">
        <f>'REF. DE PREÇOS n editavel'!G2249</f>
        <v>296.65288400850011</v>
      </c>
      <c r="H2249" s="876">
        <f>'REF. DE PREÇOS n editavel'!H2249</f>
        <v>692.16</v>
      </c>
      <c r="I2249" s="876">
        <f>'REF. DE PREÇOS n editavel'!I2249</f>
        <v>988.81288400850008</v>
      </c>
      <c r="J2249" s="877">
        <f>'REF. DE PREÇOS n editavel'!J2249</f>
        <v>1208.53</v>
      </c>
      <c r="K2249" s="878" t="s">
        <v>15</v>
      </c>
      <c r="L2249" s="1092"/>
      <c r="M2249" s="1093">
        <f t="shared" si="226"/>
        <v>0</v>
      </c>
      <c r="N2249" s="1131">
        <f t="shared" si="222"/>
        <v>0</v>
      </c>
      <c r="O2249" s="880"/>
      <c r="Q2249" s="317" t="str">
        <f t="shared" si="223"/>
        <v/>
      </c>
      <c r="R2249" s="317" t="str">
        <f t="shared" si="224"/>
        <v/>
      </c>
      <c r="S2249" s="317" t="str">
        <f t="shared" si="225"/>
        <v/>
      </c>
      <c r="T2249" s="317" t="str">
        <f>'REF. DE PREÇOS n editavel'!S2249</f>
        <v/>
      </c>
      <c r="W2249" s="577">
        <v>0</v>
      </c>
      <c r="X2249" s="575"/>
      <c r="Y2249" s="578">
        <f>IF('REF. DE PREÇOS n editavel'!W2249=0,0,IF('REF. DE PREÇOS n editavel'!W2249&gt;0,"c","b"))</f>
        <v>0</v>
      </c>
    </row>
    <row r="2250" spans="1:25" ht="15" customHeight="1">
      <c r="A2250" s="317" t="s">
        <v>147</v>
      </c>
      <c r="B2250" s="870" t="s">
        <v>147</v>
      </c>
      <c r="C2250" s="871"/>
      <c r="D2250" s="881" t="s">
        <v>190</v>
      </c>
      <c r="E2250" s="882">
        <f>'REF. DE PREÇOS n editavel'!E2250</f>
        <v>445</v>
      </c>
      <c r="F2250" s="883">
        <f>'REF. DE PREÇOS n editavel'!F2250</f>
        <v>0.20444730000000003</v>
      </c>
      <c r="G2250" s="884">
        <f>'REF. DE PREÇOS n editavel'!G2250</f>
        <v>72.56243571600001</v>
      </c>
      <c r="H2250" s="876">
        <f>'REF. DE PREÇOS n editavel'!H2250</f>
        <v>0</v>
      </c>
      <c r="I2250" s="876">
        <f>'REF. DE PREÇOS n editavel'!I2250</f>
        <v>0</v>
      </c>
      <c r="J2250" s="877">
        <f>'REF. DE PREÇOS n editavel'!J2250</f>
        <v>0</v>
      </c>
      <c r="K2250" s="878"/>
      <c r="L2250" s="1132"/>
      <c r="M2250" s="1093">
        <f t="shared" si="226"/>
        <v>0</v>
      </c>
      <c r="N2250" s="1131">
        <f t="shared" si="222"/>
        <v>0</v>
      </c>
      <c r="O2250" s="880"/>
      <c r="P2250" s="36" t="str">
        <f>IF(N2249&gt;0,"xx",IF(N2249&gt;0,"xy",""))</f>
        <v/>
      </c>
      <c r="Q2250" s="317" t="str">
        <f t="shared" si="223"/>
        <v/>
      </c>
      <c r="R2250" s="317" t="str">
        <f t="shared" si="224"/>
        <v/>
      </c>
      <c r="S2250" s="317" t="str">
        <f t="shared" si="225"/>
        <v/>
      </c>
      <c r="T2250" s="317" t="str">
        <f>'REF. DE PREÇOS n editavel'!S2250</f>
        <v/>
      </c>
      <c r="W2250" s="577">
        <v>0</v>
      </c>
      <c r="X2250" s="575"/>
      <c r="Y2250" s="578">
        <f>IF('REF. DE PREÇOS n editavel'!W2250=0,0,IF('REF. DE PREÇOS n editavel'!W2250&gt;0,"c","b"))</f>
        <v>0</v>
      </c>
    </row>
    <row r="2251" spans="1:25" ht="15" customHeight="1">
      <c r="A2251" s="317" t="s">
        <v>147</v>
      </c>
      <c r="B2251" s="870" t="s">
        <v>147</v>
      </c>
      <c r="C2251" s="871"/>
      <c r="D2251" s="881" t="s">
        <v>229</v>
      </c>
      <c r="E2251" s="882">
        <f>'REF. DE PREÇOS n editavel'!E2251</f>
        <v>290</v>
      </c>
      <c r="F2251" s="883">
        <f>'REF. DE PREÇOS n editavel'!F2251</f>
        <v>0.60405201000000008</v>
      </c>
      <c r="G2251" s="923">
        <f>'REF. DE PREÇOS n editavel'!G2251</f>
        <v>189.05619808980003</v>
      </c>
      <c r="H2251" s="876">
        <f>'REF. DE PREÇOS n editavel'!H2251</f>
        <v>0</v>
      </c>
      <c r="I2251" s="876">
        <f>'REF. DE PREÇOS n editavel'!I2251</f>
        <v>0</v>
      </c>
      <c r="J2251" s="877">
        <f>'REF. DE PREÇOS n editavel'!J2251</f>
        <v>0</v>
      </c>
      <c r="K2251" s="878"/>
      <c r="L2251" s="1132"/>
      <c r="M2251" s="1093">
        <f t="shared" si="226"/>
        <v>0</v>
      </c>
      <c r="N2251" s="1131">
        <f t="shared" si="222"/>
        <v>0</v>
      </c>
      <c r="O2251" s="880"/>
      <c r="P2251" s="36" t="str">
        <f>IF(N2249&gt;0,"xx",IF(N2249&gt;0,"xy",""))</f>
        <v/>
      </c>
      <c r="Q2251" s="317" t="str">
        <f t="shared" si="223"/>
        <v/>
      </c>
      <c r="R2251" s="317" t="str">
        <f t="shared" si="224"/>
        <v/>
      </c>
      <c r="S2251" s="317" t="str">
        <f t="shared" si="225"/>
        <v/>
      </c>
      <c r="T2251" s="317" t="str">
        <f>'REF. DE PREÇOS n editavel'!S2251</f>
        <v/>
      </c>
      <c r="W2251" s="577">
        <v>0</v>
      </c>
      <c r="X2251" s="575"/>
      <c r="Y2251" s="578">
        <f>IF('REF. DE PREÇOS n editavel'!W2251=0,0,IF('REF. DE PREÇOS n editavel'!W2251&gt;0,"c","b"))</f>
        <v>0</v>
      </c>
    </row>
    <row r="2252" spans="1:25" ht="15" customHeight="1">
      <c r="A2252" s="317" t="s">
        <v>147</v>
      </c>
      <c r="B2252" s="870" t="s">
        <v>147</v>
      </c>
      <c r="C2252" s="871"/>
      <c r="D2252" s="881" t="s">
        <v>233</v>
      </c>
      <c r="E2252" s="882">
        <f>'REF. DE PREÇOS n editavel'!E2252</f>
        <v>43.1</v>
      </c>
      <c r="F2252" s="883">
        <f>'REF. DE PREÇOS n editavel'!F2252</f>
        <v>0.71795910000000007</v>
      </c>
      <c r="G2252" s="923">
        <f>'REF. DE PREÇOS n editavel'!G2252</f>
        <v>35.034250202700008</v>
      </c>
      <c r="H2252" s="876">
        <f>'REF. DE PREÇOS n editavel'!H2252</f>
        <v>0</v>
      </c>
      <c r="I2252" s="876">
        <f>'REF. DE PREÇOS n editavel'!I2252</f>
        <v>0</v>
      </c>
      <c r="J2252" s="877">
        <f>'REF. DE PREÇOS n editavel'!J2252</f>
        <v>0</v>
      </c>
      <c r="K2252" s="878"/>
      <c r="L2252" s="1132"/>
      <c r="M2252" s="1093">
        <f t="shared" si="226"/>
        <v>0</v>
      </c>
      <c r="N2252" s="1131">
        <f t="shared" si="222"/>
        <v>0</v>
      </c>
      <c r="O2252" s="880"/>
      <c r="P2252" s="36" t="str">
        <f>IF(N2249&gt;0,"xx",IF(N2249&gt;0,"xy",""))</f>
        <v/>
      </c>
      <c r="Q2252" s="317" t="str">
        <f t="shared" si="223"/>
        <v/>
      </c>
      <c r="R2252" s="317" t="str">
        <f t="shared" si="224"/>
        <v/>
      </c>
      <c r="S2252" s="317" t="str">
        <f t="shared" si="225"/>
        <v/>
      </c>
      <c r="T2252" s="317" t="str">
        <f>'REF. DE PREÇOS n editavel'!S2252</f>
        <v/>
      </c>
      <c r="W2252" s="577">
        <v>0</v>
      </c>
      <c r="X2252" s="575"/>
      <c r="Y2252" s="578">
        <f>IF('REF. DE PREÇOS n editavel'!W2252=0,0,IF('REF. DE PREÇOS n editavel'!W2252&gt;0,"c","b"))</f>
        <v>0</v>
      </c>
    </row>
    <row r="2253" spans="1:25" ht="15" customHeight="1">
      <c r="A2253" s="317" t="s">
        <v>110</v>
      </c>
      <c r="B2253" s="870" t="s">
        <v>110</v>
      </c>
      <c r="C2253" s="871" t="s">
        <v>184</v>
      </c>
      <c r="D2253" s="881" t="s">
        <v>377</v>
      </c>
      <c r="E2253" s="882">
        <f>'REF. DE PREÇOS n editavel'!E2253</f>
        <v>0</v>
      </c>
      <c r="F2253" s="883">
        <f>'REF. DE PREÇOS n editavel'!F2253</f>
        <v>0</v>
      </c>
      <c r="G2253" s="887">
        <f>'REF. DE PREÇOS n editavel'!G2253</f>
        <v>549.66861647275005</v>
      </c>
      <c r="H2253" s="876">
        <f>'REF. DE PREÇOS n editavel'!H2253</f>
        <v>1210.17</v>
      </c>
      <c r="I2253" s="876">
        <f>'REF. DE PREÇOS n editavel'!I2253</f>
        <v>1759.8386164727501</v>
      </c>
      <c r="J2253" s="877">
        <f>'REF. DE PREÇOS n editavel'!J2253</f>
        <v>2150.87</v>
      </c>
      <c r="K2253" s="878" t="s">
        <v>15</v>
      </c>
      <c r="L2253" s="1092"/>
      <c r="M2253" s="1093">
        <f t="shared" si="226"/>
        <v>0</v>
      </c>
      <c r="N2253" s="1131">
        <f t="shared" si="222"/>
        <v>0</v>
      </c>
      <c r="O2253" s="880"/>
      <c r="Q2253" s="317" t="str">
        <f t="shared" si="223"/>
        <v/>
      </c>
      <c r="R2253" s="317" t="str">
        <f t="shared" si="224"/>
        <v/>
      </c>
      <c r="S2253" s="317" t="str">
        <f t="shared" si="225"/>
        <v/>
      </c>
      <c r="T2253" s="317" t="str">
        <f>'REF. DE PREÇOS n editavel'!S2253</f>
        <v/>
      </c>
      <c r="W2253" s="577">
        <v>0</v>
      </c>
      <c r="X2253" s="575"/>
      <c r="Y2253" s="578">
        <f>IF('REF. DE PREÇOS n editavel'!W2253=0,0,IF('REF. DE PREÇOS n editavel'!W2253&gt;0,"c","b"))</f>
        <v>0</v>
      </c>
    </row>
    <row r="2254" spans="1:25" ht="15" customHeight="1">
      <c r="A2254" s="317" t="s">
        <v>147</v>
      </c>
      <c r="B2254" s="870" t="s">
        <v>147</v>
      </c>
      <c r="C2254" s="871"/>
      <c r="D2254" s="881" t="s">
        <v>190</v>
      </c>
      <c r="E2254" s="882">
        <f>'REF. DE PREÇOS n editavel'!E2254</f>
        <v>445</v>
      </c>
      <c r="F2254" s="883">
        <f>'REF. DE PREÇOS n editavel'!F2254</f>
        <v>0.38327894999999995</v>
      </c>
      <c r="G2254" s="884">
        <f>'REF. DE PREÇOS n editavel'!G2254</f>
        <v>136.03336493399999</v>
      </c>
      <c r="H2254" s="876">
        <f>'REF. DE PREÇOS n editavel'!H2254</f>
        <v>0</v>
      </c>
      <c r="I2254" s="876">
        <f>'REF. DE PREÇOS n editavel'!I2254</f>
        <v>0</v>
      </c>
      <c r="J2254" s="877">
        <f>'REF. DE PREÇOS n editavel'!J2254</f>
        <v>0</v>
      </c>
      <c r="K2254" s="878"/>
      <c r="L2254" s="1132"/>
      <c r="M2254" s="1093">
        <f t="shared" si="226"/>
        <v>0</v>
      </c>
      <c r="N2254" s="1131">
        <f t="shared" si="222"/>
        <v>0</v>
      </c>
      <c r="O2254" s="880"/>
      <c r="P2254" s="36" t="str">
        <f>IF(N2253&gt;0,"xx",IF(N2253&gt;0,"xy",""))</f>
        <v/>
      </c>
      <c r="Q2254" s="317" t="str">
        <f t="shared" si="223"/>
        <v/>
      </c>
      <c r="R2254" s="317" t="str">
        <f t="shared" si="224"/>
        <v/>
      </c>
      <c r="S2254" s="317" t="str">
        <f t="shared" si="225"/>
        <v/>
      </c>
      <c r="T2254" s="317" t="str">
        <f>'REF. DE PREÇOS n editavel'!S2254</f>
        <v/>
      </c>
      <c r="W2254" s="577">
        <v>0</v>
      </c>
      <c r="X2254" s="575"/>
      <c r="Y2254" s="578">
        <f>IF('REF. DE PREÇOS n editavel'!W2254=0,0,IF('REF. DE PREÇOS n editavel'!W2254&gt;0,"c","b"))</f>
        <v>0</v>
      </c>
    </row>
    <row r="2255" spans="1:25" ht="15" customHeight="1">
      <c r="A2255" s="317" t="s">
        <v>147</v>
      </c>
      <c r="B2255" s="870" t="s">
        <v>147</v>
      </c>
      <c r="C2255" s="871"/>
      <c r="D2255" s="881" t="s">
        <v>229</v>
      </c>
      <c r="E2255" s="882">
        <f>'REF. DE PREÇOS n editavel'!E2255</f>
        <v>290</v>
      </c>
      <c r="F2255" s="883">
        <f>'REF. DE PREÇOS n editavel'!F2255</f>
        <v>1.1143076149999998</v>
      </c>
      <c r="G2255" s="923">
        <f>'REF. DE PREÇOS n editavel'!G2255</f>
        <v>348.75599734269997</v>
      </c>
      <c r="H2255" s="876">
        <f>'REF. DE PREÇOS n editavel'!H2255</f>
        <v>0</v>
      </c>
      <c r="I2255" s="876">
        <f>'REF. DE PREÇOS n editavel'!I2255</f>
        <v>0</v>
      </c>
      <c r="J2255" s="877">
        <f>'REF. DE PREÇOS n editavel'!J2255</f>
        <v>0</v>
      </c>
      <c r="K2255" s="878"/>
      <c r="L2255" s="1132"/>
      <c r="M2255" s="1093">
        <f t="shared" si="226"/>
        <v>0</v>
      </c>
      <c r="N2255" s="1131">
        <f t="shared" si="222"/>
        <v>0</v>
      </c>
      <c r="O2255" s="880"/>
      <c r="P2255" s="36" t="str">
        <f>IF(N2253&gt;0,"xx",IF(N2253&gt;0,"xy",""))</f>
        <v/>
      </c>
      <c r="Q2255" s="317" t="str">
        <f t="shared" si="223"/>
        <v/>
      </c>
      <c r="R2255" s="317" t="str">
        <f t="shared" si="224"/>
        <v/>
      </c>
      <c r="S2255" s="317" t="str">
        <f t="shared" si="225"/>
        <v/>
      </c>
      <c r="T2255" s="317" t="str">
        <f>'REF. DE PREÇOS n editavel'!S2255</f>
        <v/>
      </c>
      <c r="W2255" s="577">
        <v>0</v>
      </c>
      <c r="X2255" s="575"/>
      <c r="Y2255" s="578">
        <f>IF('REF. DE PREÇOS n editavel'!W2255=0,0,IF('REF. DE PREÇOS n editavel'!W2255&gt;0,"c","b"))</f>
        <v>0</v>
      </c>
    </row>
    <row r="2256" spans="1:25" ht="15" customHeight="1">
      <c r="A2256" s="317" t="s">
        <v>147</v>
      </c>
      <c r="B2256" s="870" t="s">
        <v>147</v>
      </c>
      <c r="C2256" s="871"/>
      <c r="D2256" s="881" t="s">
        <v>233</v>
      </c>
      <c r="E2256" s="882">
        <f>'REF. DE PREÇOS n editavel'!E2256</f>
        <v>43.1</v>
      </c>
      <c r="F2256" s="883">
        <f>'REF. DE PREÇOS n editavel'!F2256</f>
        <v>1.3295746499999999</v>
      </c>
      <c r="G2256" s="923">
        <f>'REF. DE PREÇOS n editavel'!G2256</f>
        <v>64.879254196049999</v>
      </c>
      <c r="H2256" s="876">
        <f>'REF. DE PREÇOS n editavel'!H2256</f>
        <v>0</v>
      </c>
      <c r="I2256" s="876">
        <f>'REF. DE PREÇOS n editavel'!I2256</f>
        <v>0</v>
      </c>
      <c r="J2256" s="877">
        <f>'REF. DE PREÇOS n editavel'!J2256</f>
        <v>0</v>
      </c>
      <c r="K2256" s="878"/>
      <c r="L2256" s="1132"/>
      <c r="M2256" s="1093">
        <f t="shared" si="226"/>
        <v>0</v>
      </c>
      <c r="N2256" s="1131">
        <f t="shared" si="222"/>
        <v>0</v>
      </c>
      <c r="O2256" s="880"/>
      <c r="P2256" s="36" t="str">
        <f>IF(N2253&gt;0,"xx",IF(N2253&gt;0,"xy",""))</f>
        <v/>
      </c>
      <c r="Q2256" s="317" t="str">
        <f t="shared" si="223"/>
        <v/>
      </c>
      <c r="R2256" s="317" t="str">
        <f t="shared" si="224"/>
        <v/>
      </c>
      <c r="S2256" s="317" t="str">
        <f t="shared" si="225"/>
        <v/>
      </c>
      <c r="T2256" s="317" t="str">
        <f>'REF. DE PREÇOS n editavel'!S2256</f>
        <v/>
      </c>
      <c r="W2256" s="577">
        <v>0</v>
      </c>
      <c r="X2256" s="575"/>
      <c r="Y2256" s="578">
        <f>IF('REF. DE PREÇOS n editavel'!W2256=0,0,IF('REF. DE PREÇOS n editavel'!W2256&gt;0,"c","b"))</f>
        <v>0</v>
      </c>
    </row>
    <row r="2257" spans="1:25" ht="15" customHeight="1">
      <c r="A2257" s="317" t="s">
        <v>111</v>
      </c>
      <c r="B2257" s="870" t="s">
        <v>111</v>
      </c>
      <c r="C2257" s="871" t="s">
        <v>184</v>
      </c>
      <c r="D2257" s="881" t="s">
        <v>378</v>
      </c>
      <c r="E2257" s="882">
        <f>'REF. DE PREÇOS n editavel'!E2257</f>
        <v>0</v>
      </c>
      <c r="F2257" s="883">
        <f>'REF. DE PREÇOS n editavel'!F2257</f>
        <v>0</v>
      </c>
      <c r="G2257" s="887">
        <f>'REF. DE PREÇOS n editavel'!G2257</f>
        <v>807.42140191900012</v>
      </c>
      <c r="H2257" s="876">
        <f>'REF. DE PREÇOS n editavel'!H2257</f>
        <v>1663.57</v>
      </c>
      <c r="I2257" s="876">
        <f>'REF. DE PREÇOS n editavel'!I2257</f>
        <v>2470.9914019190001</v>
      </c>
      <c r="J2257" s="877">
        <f>'REF. DE PREÇOS n editavel'!J2257</f>
        <v>3020.05</v>
      </c>
      <c r="K2257" s="878" t="s">
        <v>15</v>
      </c>
      <c r="L2257" s="1092"/>
      <c r="M2257" s="1093">
        <f t="shared" si="226"/>
        <v>0</v>
      </c>
      <c r="N2257" s="1131">
        <f t="shared" si="222"/>
        <v>0</v>
      </c>
      <c r="O2257" s="880"/>
      <c r="Q2257" s="317" t="str">
        <f t="shared" si="223"/>
        <v/>
      </c>
      <c r="R2257" s="317" t="str">
        <f t="shared" si="224"/>
        <v/>
      </c>
      <c r="S2257" s="317" t="str">
        <f t="shared" si="225"/>
        <v/>
      </c>
      <c r="T2257" s="317" t="str">
        <f>'REF. DE PREÇOS n editavel'!S2257</f>
        <v/>
      </c>
      <c r="W2257" s="577">
        <v>0</v>
      </c>
      <c r="X2257" s="575"/>
      <c r="Y2257" s="578">
        <f>IF('REF. DE PREÇOS n editavel'!W2257=0,0,IF('REF. DE PREÇOS n editavel'!W2257&gt;0,"c","b"))</f>
        <v>0</v>
      </c>
    </row>
    <row r="2258" spans="1:25" ht="15" customHeight="1">
      <c r="A2258" s="317" t="s">
        <v>147</v>
      </c>
      <c r="B2258" s="870" t="s">
        <v>147</v>
      </c>
      <c r="C2258" s="871"/>
      <c r="D2258" s="881" t="s">
        <v>190</v>
      </c>
      <c r="E2258" s="882">
        <f>'REF. DE PREÇOS n editavel'!E2258</f>
        <v>445</v>
      </c>
      <c r="F2258" s="883">
        <f>'REF. DE PREÇOS n editavel'!F2258</f>
        <v>0.56408220000000009</v>
      </c>
      <c r="G2258" s="884">
        <f>'REF. DE PREÇOS n editavel'!G2258</f>
        <v>200.20405442400005</v>
      </c>
      <c r="H2258" s="876">
        <f>'REF. DE PREÇOS n editavel'!H2258</f>
        <v>0</v>
      </c>
      <c r="I2258" s="876">
        <f>'REF. DE PREÇOS n editavel'!I2258</f>
        <v>0</v>
      </c>
      <c r="J2258" s="877">
        <f>'REF. DE PREÇOS n editavel'!J2258</f>
        <v>0</v>
      </c>
      <c r="K2258" s="878"/>
      <c r="L2258" s="1132"/>
      <c r="M2258" s="1093">
        <f t="shared" si="226"/>
        <v>0</v>
      </c>
      <c r="N2258" s="1131">
        <f t="shared" si="222"/>
        <v>0</v>
      </c>
      <c r="O2258" s="880"/>
      <c r="P2258" s="36" t="str">
        <f>IF(N2257&gt;0,"xx",IF(N2257&gt;0,"xy",""))</f>
        <v/>
      </c>
      <c r="Q2258" s="317" t="str">
        <f t="shared" si="223"/>
        <v/>
      </c>
      <c r="R2258" s="317" t="str">
        <f t="shared" si="224"/>
        <v/>
      </c>
      <c r="S2258" s="317" t="str">
        <f t="shared" si="225"/>
        <v/>
      </c>
      <c r="T2258" s="317" t="str">
        <f>'REF. DE PREÇOS n editavel'!S2258</f>
        <v/>
      </c>
      <c r="W2258" s="577">
        <v>0</v>
      </c>
      <c r="X2258" s="575"/>
      <c r="Y2258" s="578">
        <f>IF('REF. DE PREÇOS n editavel'!W2258=0,0,IF('REF. DE PREÇOS n editavel'!W2258&gt;0,"c","b"))</f>
        <v>0</v>
      </c>
    </row>
    <row r="2259" spans="1:25" ht="15" customHeight="1">
      <c r="A2259" s="317" t="s">
        <v>147</v>
      </c>
      <c r="B2259" s="870" t="s">
        <v>147</v>
      </c>
      <c r="C2259" s="871"/>
      <c r="D2259" s="881" t="s">
        <v>229</v>
      </c>
      <c r="E2259" s="882">
        <f>'REF. DE PREÇOS n editavel'!E2259</f>
        <v>290</v>
      </c>
      <c r="F2259" s="883">
        <f>'REF. DE PREÇOS n editavel'!F2259</f>
        <v>1.6356421400000001</v>
      </c>
      <c r="G2259" s="923">
        <f>'REF. DE PREÇOS n editavel'!G2259</f>
        <v>511.92327697720003</v>
      </c>
      <c r="H2259" s="876">
        <f>'REF. DE PREÇOS n editavel'!H2259</f>
        <v>0</v>
      </c>
      <c r="I2259" s="876">
        <f>'REF. DE PREÇOS n editavel'!I2259</f>
        <v>0</v>
      </c>
      <c r="J2259" s="877">
        <f>'REF. DE PREÇOS n editavel'!J2259</f>
        <v>0</v>
      </c>
      <c r="K2259" s="878"/>
      <c r="L2259" s="1132"/>
      <c r="M2259" s="1093">
        <f t="shared" si="226"/>
        <v>0</v>
      </c>
      <c r="N2259" s="1131">
        <f t="shared" si="222"/>
        <v>0</v>
      </c>
      <c r="O2259" s="880"/>
      <c r="P2259" s="36" t="str">
        <f>IF(N2257&gt;0,"xx",IF(N2257&gt;0,"xy",""))</f>
        <v/>
      </c>
      <c r="Q2259" s="317" t="str">
        <f t="shared" si="223"/>
        <v/>
      </c>
      <c r="R2259" s="317" t="str">
        <f t="shared" si="224"/>
        <v/>
      </c>
      <c r="S2259" s="317" t="str">
        <f t="shared" si="225"/>
        <v/>
      </c>
      <c r="T2259" s="317" t="str">
        <f>'REF. DE PREÇOS n editavel'!S2259</f>
        <v/>
      </c>
      <c r="W2259" s="577">
        <v>0</v>
      </c>
      <c r="X2259" s="575"/>
      <c r="Y2259" s="578">
        <f>IF('REF. DE PREÇOS n editavel'!W2259=0,0,IF('REF. DE PREÇOS n editavel'!W2259&gt;0,"c","b"))</f>
        <v>0</v>
      </c>
    </row>
    <row r="2260" spans="1:25" ht="15" customHeight="1">
      <c r="A2260" s="317" t="s">
        <v>147</v>
      </c>
      <c r="B2260" s="870" t="s">
        <v>147</v>
      </c>
      <c r="C2260" s="871"/>
      <c r="D2260" s="881" t="s">
        <v>233</v>
      </c>
      <c r="E2260" s="882">
        <f>'REF. DE PREÇOS n editavel'!E2260</f>
        <v>43.1</v>
      </c>
      <c r="F2260" s="883">
        <f>'REF. DE PREÇOS n editavel'!F2260</f>
        <v>1.9528674000000004</v>
      </c>
      <c r="G2260" s="923">
        <f>'REF. DE PREÇOS n editavel'!G2260</f>
        <v>95.294070517800023</v>
      </c>
      <c r="H2260" s="876">
        <f>'REF. DE PREÇOS n editavel'!H2260</f>
        <v>0</v>
      </c>
      <c r="I2260" s="876">
        <f>'REF. DE PREÇOS n editavel'!I2260</f>
        <v>0</v>
      </c>
      <c r="J2260" s="877">
        <f>'REF. DE PREÇOS n editavel'!J2260</f>
        <v>0</v>
      </c>
      <c r="K2260" s="878"/>
      <c r="L2260" s="1132"/>
      <c r="M2260" s="1093">
        <f t="shared" si="226"/>
        <v>0</v>
      </c>
      <c r="N2260" s="1131">
        <f t="shared" si="222"/>
        <v>0</v>
      </c>
      <c r="O2260" s="880"/>
      <c r="P2260" s="36" t="str">
        <f>IF(N2257&gt;0,"xx",IF(N2257&gt;0,"xy",""))</f>
        <v/>
      </c>
      <c r="Q2260" s="317" t="str">
        <f t="shared" si="223"/>
        <v/>
      </c>
      <c r="R2260" s="317" t="str">
        <f t="shared" si="224"/>
        <v/>
      </c>
      <c r="S2260" s="317" t="str">
        <f t="shared" si="225"/>
        <v/>
      </c>
      <c r="T2260" s="317" t="str">
        <f>'REF. DE PREÇOS n editavel'!S2260</f>
        <v/>
      </c>
      <c r="W2260" s="577">
        <v>0</v>
      </c>
      <c r="X2260" s="575"/>
      <c r="Y2260" s="578">
        <f>IF('REF. DE PREÇOS n editavel'!W2260=0,0,IF('REF. DE PREÇOS n editavel'!W2260&gt;0,"c","b"))</f>
        <v>0</v>
      </c>
    </row>
    <row r="2261" spans="1:25" ht="15" customHeight="1">
      <c r="A2261" s="317" t="s">
        <v>112</v>
      </c>
      <c r="B2261" s="870" t="s">
        <v>112</v>
      </c>
      <c r="C2261" s="871" t="s">
        <v>184</v>
      </c>
      <c r="D2261" s="881" t="s">
        <v>379</v>
      </c>
      <c r="E2261" s="882">
        <f>'REF. DE PREÇOS n editavel'!E2261</f>
        <v>0</v>
      </c>
      <c r="F2261" s="883">
        <f>'REF. DE PREÇOS n editavel'!F2261</f>
        <v>0</v>
      </c>
      <c r="G2261" s="887">
        <f>'REF. DE PREÇOS n editavel'!G2261</f>
        <v>1117.0801823840002</v>
      </c>
      <c r="H2261" s="876">
        <f>'REF. DE PREÇOS n editavel'!H2261</f>
        <v>2274.9899999999998</v>
      </c>
      <c r="I2261" s="876">
        <f>'REF. DE PREÇOS n editavel'!I2261</f>
        <v>3392.070182384</v>
      </c>
      <c r="J2261" s="877">
        <f>'REF. DE PREÇOS n editavel'!J2261</f>
        <v>4145.79</v>
      </c>
      <c r="K2261" s="878" t="s">
        <v>15</v>
      </c>
      <c r="L2261" s="1092"/>
      <c r="M2261" s="1093">
        <f t="shared" si="226"/>
        <v>0</v>
      </c>
      <c r="N2261" s="1131">
        <f t="shared" si="222"/>
        <v>0</v>
      </c>
      <c r="O2261" s="880"/>
      <c r="Q2261" s="317" t="str">
        <f t="shared" si="223"/>
        <v/>
      </c>
      <c r="R2261" s="317" t="str">
        <f t="shared" si="224"/>
        <v/>
      </c>
      <c r="S2261" s="317" t="str">
        <f t="shared" si="225"/>
        <v/>
      </c>
      <c r="T2261" s="317" t="str">
        <f>'REF. DE PREÇOS n editavel'!S2261</f>
        <v/>
      </c>
      <c r="W2261" s="577">
        <v>0</v>
      </c>
      <c r="X2261" s="575"/>
      <c r="Y2261" s="578">
        <f>IF('REF. DE PREÇOS n editavel'!W2261=0,0,IF('REF. DE PREÇOS n editavel'!W2261&gt;0,"c","b"))</f>
        <v>0</v>
      </c>
    </row>
    <row r="2262" spans="1:25" ht="15" customHeight="1">
      <c r="A2262" s="317" t="s">
        <v>147</v>
      </c>
      <c r="B2262" s="870" t="s">
        <v>147</v>
      </c>
      <c r="C2262" s="871"/>
      <c r="D2262" s="881" t="s">
        <v>190</v>
      </c>
      <c r="E2262" s="882">
        <f>'REF. DE PREÇOS n editavel'!E2262</f>
        <v>445</v>
      </c>
      <c r="F2262" s="883">
        <f>'REF. DE PREÇOS n editavel'!F2262</f>
        <v>0.77929919999999997</v>
      </c>
      <c r="G2262" s="884">
        <f>'REF. DE PREÇOS n editavel'!G2262</f>
        <v>276.58887206399999</v>
      </c>
      <c r="H2262" s="876">
        <f>'REF. DE PREÇOS n editavel'!H2262</f>
        <v>0</v>
      </c>
      <c r="I2262" s="876">
        <f>'REF. DE PREÇOS n editavel'!I2262</f>
        <v>0</v>
      </c>
      <c r="J2262" s="877">
        <f>'REF. DE PREÇOS n editavel'!J2262</f>
        <v>0</v>
      </c>
      <c r="K2262" s="878"/>
      <c r="L2262" s="1132"/>
      <c r="M2262" s="1093">
        <f t="shared" si="226"/>
        <v>0</v>
      </c>
      <c r="N2262" s="1131">
        <f t="shared" si="222"/>
        <v>0</v>
      </c>
      <c r="O2262" s="880"/>
      <c r="P2262" s="36" t="str">
        <f>IF(N2261&gt;0,"xx",IF(N2261&gt;0,"xy",""))</f>
        <v/>
      </c>
      <c r="Q2262" s="317" t="str">
        <f t="shared" si="223"/>
        <v/>
      </c>
      <c r="R2262" s="317" t="str">
        <f t="shared" si="224"/>
        <v/>
      </c>
      <c r="S2262" s="317" t="str">
        <f t="shared" si="225"/>
        <v/>
      </c>
      <c r="T2262" s="317" t="str">
        <f>'REF. DE PREÇOS n editavel'!S2262</f>
        <v/>
      </c>
      <c r="W2262" s="577">
        <v>0</v>
      </c>
      <c r="X2262" s="575"/>
      <c r="Y2262" s="578">
        <f>IF('REF. DE PREÇOS n editavel'!W2262=0,0,IF('REF. DE PREÇOS n editavel'!W2262&gt;0,"c","b"))</f>
        <v>0</v>
      </c>
    </row>
    <row r="2263" spans="1:25" ht="15" customHeight="1">
      <c r="A2263" s="317" t="s">
        <v>147</v>
      </c>
      <c r="B2263" s="870" t="s">
        <v>147</v>
      </c>
      <c r="C2263" s="871"/>
      <c r="D2263" s="881" t="s">
        <v>229</v>
      </c>
      <c r="E2263" s="882">
        <f>'REF. DE PREÇOS n editavel'!E2263</f>
        <v>290</v>
      </c>
      <c r="F2263" s="883">
        <f>'REF. DE PREÇOS n editavel'!F2263</f>
        <v>2.26417504</v>
      </c>
      <c r="G2263" s="923">
        <f>'REF. DE PREÇOS n editavel'!G2263</f>
        <v>708.64150401920006</v>
      </c>
      <c r="H2263" s="876">
        <f>'REF. DE PREÇOS n editavel'!H2263</f>
        <v>0</v>
      </c>
      <c r="I2263" s="876">
        <f>'REF. DE PREÇOS n editavel'!I2263</f>
        <v>0</v>
      </c>
      <c r="J2263" s="877">
        <f>'REF. DE PREÇOS n editavel'!J2263</f>
        <v>0</v>
      </c>
      <c r="K2263" s="878"/>
      <c r="L2263" s="1132"/>
      <c r="M2263" s="1093">
        <f t="shared" si="226"/>
        <v>0</v>
      </c>
      <c r="N2263" s="1131">
        <f t="shared" ref="N2263:N2326" si="227">IF(ISBLANK(L2263),0,IF(W2263=0,ROUND(L2263*M2263,2),IF(W2263="b",ROUNDDOWN(L2263*M2263,2),ROUNDUP(L2263*M2263,2))))</f>
        <v>0</v>
      </c>
      <c r="O2263" s="880"/>
      <c r="P2263" s="36" t="str">
        <f>IF(N2261&gt;0,"xx",IF(N2261&gt;0,"xy",""))</f>
        <v/>
      </c>
      <c r="Q2263" s="317" t="str">
        <f t="shared" si="223"/>
        <v/>
      </c>
      <c r="R2263" s="317" t="str">
        <f t="shared" si="224"/>
        <v/>
      </c>
      <c r="S2263" s="317" t="str">
        <f t="shared" si="225"/>
        <v/>
      </c>
      <c r="T2263" s="317" t="str">
        <f>'REF. DE PREÇOS n editavel'!S2263</f>
        <v/>
      </c>
      <c r="W2263" s="577">
        <v>0</v>
      </c>
      <c r="X2263" s="575"/>
      <c r="Y2263" s="578">
        <f>IF('REF. DE PREÇOS n editavel'!W2263=0,0,IF('REF. DE PREÇOS n editavel'!W2263&gt;0,"c","b"))</f>
        <v>0</v>
      </c>
    </row>
    <row r="2264" spans="1:25" ht="15" customHeight="1">
      <c r="A2264" s="317" t="s">
        <v>147</v>
      </c>
      <c r="B2264" s="870" t="s">
        <v>147</v>
      </c>
      <c r="C2264" s="871"/>
      <c r="D2264" s="881" t="s">
        <v>233</v>
      </c>
      <c r="E2264" s="882">
        <f>'REF. DE PREÇOS n editavel'!E2264</f>
        <v>43.1</v>
      </c>
      <c r="F2264" s="883">
        <f>'REF. DE PREÇOS n editavel'!F2264</f>
        <v>2.7020064000000001</v>
      </c>
      <c r="G2264" s="923">
        <f>'REF. DE PREÇOS n editavel'!G2264</f>
        <v>131.84980630080003</v>
      </c>
      <c r="H2264" s="876">
        <f>'REF. DE PREÇOS n editavel'!H2264</f>
        <v>0</v>
      </c>
      <c r="I2264" s="876">
        <f>'REF. DE PREÇOS n editavel'!I2264</f>
        <v>0</v>
      </c>
      <c r="J2264" s="877">
        <f>'REF. DE PREÇOS n editavel'!J2264</f>
        <v>0</v>
      </c>
      <c r="K2264" s="878"/>
      <c r="L2264" s="1132"/>
      <c r="M2264" s="1093">
        <f t="shared" si="226"/>
        <v>0</v>
      </c>
      <c r="N2264" s="1131">
        <f t="shared" si="227"/>
        <v>0</v>
      </c>
      <c r="O2264" s="880"/>
      <c r="P2264" s="36" t="str">
        <f>IF(N2261&gt;0,"xx",IF(N2261&gt;0,"xy",""))</f>
        <v/>
      </c>
      <c r="Q2264" s="317" t="str">
        <f t="shared" si="223"/>
        <v/>
      </c>
      <c r="R2264" s="317" t="str">
        <f t="shared" si="224"/>
        <v/>
      </c>
      <c r="S2264" s="317" t="str">
        <f t="shared" si="225"/>
        <v/>
      </c>
      <c r="T2264" s="317" t="str">
        <f>'REF. DE PREÇOS n editavel'!S2264</f>
        <v/>
      </c>
      <c r="W2264" s="577">
        <v>0</v>
      </c>
      <c r="X2264" s="575"/>
      <c r="Y2264" s="578">
        <f>IF('REF. DE PREÇOS n editavel'!W2264=0,0,IF('REF. DE PREÇOS n editavel'!W2264&gt;0,"c","b"))</f>
        <v>0</v>
      </c>
    </row>
    <row r="2265" spans="1:25" ht="15" customHeight="1">
      <c r="A2265" s="317" t="s">
        <v>113</v>
      </c>
      <c r="B2265" s="870" t="s">
        <v>113</v>
      </c>
      <c r="C2265" s="871" t="s">
        <v>184</v>
      </c>
      <c r="D2265" s="881" t="s">
        <v>380</v>
      </c>
      <c r="E2265" s="882">
        <f>'REF. DE PREÇOS n editavel'!E2265</f>
        <v>0</v>
      </c>
      <c r="F2265" s="883">
        <f>'REF. DE PREÇOS n editavel'!F2265</f>
        <v>0</v>
      </c>
      <c r="G2265" s="887">
        <f>'REF. DE PREÇOS n editavel'!G2265</f>
        <v>201.68835405600004</v>
      </c>
      <c r="H2265" s="876">
        <f>'REF. DE PREÇOS n editavel'!H2265</f>
        <v>931.7</v>
      </c>
      <c r="I2265" s="876">
        <f>'REF. DE PREÇOS n editavel'!I2265</f>
        <v>1133.388354056</v>
      </c>
      <c r="J2265" s="877">
        <f>'REF. DE PREÇOS n editavel'!J2265</f>
        <v>1385.23</v>
      </c>
      <c r="K2265" s="878" t="s">
        <v>15</v>
      </c>
      <c r="L2265" s="1092"/>
      <c r="M2265" s="1093">
        <f t="shared" si="226"/>
        <v>0</v>
      </c>
      <c r="N2265" s="1131">
        <f t="shared" si="227"/>
        <v>0</v>
      </c>
      <c r="O2265" s="880"/>
      <c r="Q2265" s="317" t="str">
        <f t="shared" si="223"/>
        <v/>
      </c>
      <c r="R2265" s="317" t="str">
        <f t="shared" si="224"/>
        <v/>
      </c>
      <c r="S2265" s="317" t="str">
        <f t="shared" si="225"/>
        <v/>
      </c>
      <c r="T2265" s="317" t="str">
        <f>'REF. DE PREÇOS n editavel'!S2265</f>
        <v/>
      </c>
      <c r="W2265" s="577">
        <v>0</v>
      </c>
      <c r="X2265" s="575"/>
      <c r="Y2265" s="578">
        <f>IF('REF. DE PREÇOS n editavel'!W2265=0,0,IF('REF. DE PREÇOS n editavel'!W2265&gt;0,"c","b"))</f>
        <v>0</v>
      </c>
    </row>
    <row r="2266" spans="1:25" ht="15" customHeight="1">
      <c r="A2266" s="317" t="s">
        <v>147</v>
      </c>
      <c r="B2266" s="870" t="s">
        <v>147</v>
      </c>
      <c r="C2266" s="871"/>
      <c r="D2266" s="881" t="s">
        <v>190</v>
      </c>
      <c r="E2266" s="882">
        <f>'REF. DE PREÇOS n editavel'!E2266</f>
        <v>445</v>
      </c>
      <c r="F2266" s="883">
        <f>'REF. DE PREÇOS n editavel'!F2266</f>
        <v>0.13625280000000003</v>
      </c>
      <c r="G2266" s="884">
        <f>'REF. DE PREÇOS n editavel'!G2266</f>
        <v>48.358843776000015</v>
      </c>
      <c r="H2266" s="876">
        <f>'REF. DE PREÇOS n editavel'!H2266</f>
        <v>0</v>
      </c>
      <c r="I2266" s="876">
        <f>'REF. DE PREÇOS n editavel'!I2266</f>
        <v>0</v>
      </c>
      <c r="J2266" s="877">
        <f>'REF. DE PREÇOS n editavel'!J2266</f>
        <v>0</v>
      </c>
      <c r="K2266" s="878"/>
      <c r="L2266" s="1132"/>
      <c r="M2266" s="1093">
        <f t="shared" si="226"/>
        <v>0</v>
      </c>
      <c r="N2266" s="1131">
        <f t="shared" si="227"/>
        <v>0</v>
      </c>
      <c r="O2266" s="880"/>
      <c r="P2266" s="36" t="str">
        <f>IF(N2265&gt;0,"xx",IF(N2265&gt;0,"xy",""))</f>
        <v/>
      </c>
      <c r="Q2266" s="317" t="str">
        <f t="shared" si="223"/>
        <v/>
      </c>
      <c r="R2266" s="317" t="str">
        <f t="shared" si="224"/>
        <v/>
      </c>
      <c r="S2266" s="317" t="str">
        <f t="shared" si="225"/>
        <v/>
      </c>
      <c r="T2266" s="317" t="str">
        <f>'REF. DE PREÇOS n editavel'!S2266</f>
        <v/>
      </c>
      <c r="W2266" s="577">
        <v>0</v>
      </c>
      <c r="X2266" s="575"/>
      <c r="Y2266" s="578">
        <f>IF('REF. DE PREÇOS n editavel'!W2266=0,0,IF('REF. DE PREÇOS n editavel'!W2266&gt;0,"c","b"))</f>
        <v>0</v>
      </c>
    </row>
    <row r="2267" spans="1:25" ht="15" customHeight="1">
      <c r="A2267" s="317" t="s">
        <v>147</v>
      </c>
      <c r="B2267" s="870" t="s">
        <v>147</v>
      </c>
      <c r="C2267" s="871"/>
      <c r="D2267" s="881" t="s">
        <v>229</v>
      </c>
      <c r="E2267" s="882">
        <f>'REF. DE PREÇOS n editavel'!E2267</f>
        <v>290</v>
      </c>
      <c r="F2267" s="883">
        <f>'REF. DE PREÇOS n editavel'!F2267</f>
        <v>0.41372736000000004</v>
      </c>
      <c r="G2267" s="923">
        <f>'REF. DE PREÇOS n editavel'!G2267</f>
        <v>129.48838913280002</v>
      </c>
      <c r="H2267" s="876">
        <f>'REF. DE PREÇOS n editavel'!H2267</f>
        <v>0</v>
      </c>
      <c r="I2267" s="876">
        <f>'REF. DE PREÇOS n editavel'!I2267</f>
        <v>0</v>
      </c>
      <c r="J2267" s="877">
        <f>'REF. DE PREÇOS n editavel'!J2267</f>
        <v>0</v>
      </c>
      <c r="K2267" s="878"/>
      <c r="L2267" s="1132"/>
      <c r="M2267" s="1093">
        <f t="shared" si="226"/>
        <v>0</v>
      </c>
      <c r="N2267" s="1131">
        <f t="shared" si="227"/>
        <v>0</v>
      </c>
      <c r="O2267" s="880"/>
      <c r="P2267" s="36" t="str">
        <f>IF(N2265&gt;0,"xx",IF(N2265&gt;0,"xy",""))</f>
        <v/>
      </c>
      <c r="Q2267" s="317" t="str">
        <f t="shared" si="223"/>
        <v/>
      </c>
      <c r="R2267" s="317" t="str">
        <f t="shared" si="224"/>
        <v/>
      </c>
      <c r="S2267" s="317" t="str">
        <f t="shared" si="225"/>
        <v/>
      </c>
      <c r="T2267" s="317" t="str">
        <f>'REF. DE PREÇOS n editavel'!S2267</f>
        <v/>
      </c>
      <c r="W2267" s="577">
        <v>0</v>
      </c>
      <c r="X2267" s="575"/>
      <c r="Y2267" s="578">
        <f>IF('REF. DE PREÇOS n editavel'!W2267=0,0,IF('REF. DE PREÇOS n editavel'!W2267&gt;0,"c","b"))</f>
        <v>0</v>
      </c>
    </row>
    <row r="2268" spans="1:25" ht="15" customHeight="1">
      <c r="A2268" s="317" t="s">
        <v>147</v>
      </c>
      <c r="B2268" s="870" t="s">
        <v>147</v>
      </c>
      <c r="C2268" s="871"/>
      <c r="D2268" s="881" t="s">
        <v>233</v>
      </c>
      <c r="E2268" s="882">
        <f>'REF. DE PREÇOS n editavel'!E2268</f>
        <v>43.1</v>
      </c>
      <c r="F2268" s="883">
        <f>'REF. DE PREÇOS n editavel'!F2268</f>
        <v>0.48857760000000011</v>
      </c>
      <c r="G2268" s="923">
        <f>'REF. DE PREÇOS n editavel'!G2268</f>
        <v>23.841121147200006</v>
      </c>
      <c r="H2268" s="876">
        <f>'REF. DE PREÇOS n editavel'!H2268</f>
        <v>0</v>
      </c>
      <c r="I2268" s="876">
        <f>'REF. DE PREÇOS n editavel'!I2268</f>
        <v>0</v>
      </c>
      <c r="J2268" s="877">
        <f>'REF. DE PREÇOS n editavel'!J2268</f>
        <v>0</v>
      </c>
      <c r="K2268" s="878"/>
      <c r="L2268" s="1132"/>
      <c r="M2268" s="1093">
        <f t="shared" si="226"/>
        <v>0</v>
      </c>
      <c r="N2268" s="1131">
        <f t="shared" si="227"/>
        <v>0</v>
      </c>
      <c r="O2268" s="880"/>
      <c r="P2268" s="36" t="str">
        <f>IF(N2265&gt;0,"xx",IF(N2265&gt;0,"xy",""))</f>
        <v/>
      </c>
      <c r="Q2268" s="317" t="str">
        <f t="shared" si="223"/>
        <v/>
      </c>
      <c r="R2268" s="317" t="str">
        <f t="shared" si="224"/>
        <v/>
      </c>
      <c r="S2268" s="317" t="str">
        <f t="shared" si="225"/>
        <v/>
      </c>
      <c r="T2268" s="317" t="str">
        <f>'REF. DE PREÇOS n editavel'!S2268</f>
        <v/>
      </c>
      <c r="W2268" s="577">
        <v>0</v>
      </c>
      <c r="X2268" s="575"/>
      <c r="Y2268" s="578">
        <f>IF('REF. DE PREÇOS n editavel'!W2268=0,0,IF('REF. DE PREÇOS n editavel'!W2268&gt;0,"c","b"))</f>
        <v>0</v>
      </c>
    </row>
    <row r="2269" spans="1:25" ht="15" customHeight="1">
      <c r="A2269" s="317" t="s">
        <v>33</v>
      </c>
      <c r="B2269" s="870" t="s">
        <v>33</v>
      </c>
      <c r="C2269" s="871" t="s">
        <v>184</v>
      </c>
      <c r="D2269" s="881" t="s">
        <v>381</v>
      </c>
      <c r="E2269" s="882">
        <f>'REF. DE PREÇOS n editavel'!E2269</f>
        <v>0</v>
      </c>
      <c r="F2269" s="883">
        <f>'REF. DE PREÇOS n editavel'!F2269</f>
        <v>0</v>
      </c>
      <c r="G2269" s="887">
        <f>'REF. DE PREÇOS n editavel'!G2269</f>
        <v>306.02847723419995</v>
      </c>
      <c r="H2269" s="876">
        <f>'REF. DE PREÇOS n editavel'!H2269</f>
        <v>1473.01</v>
      </c>
      <c r="I2269" s="876">
        <f>'REF. DE PREÇOS n editavel'!I2269</f>
        <v>1779.0384772341999</v>
      </c>
      <c r="J2269" s="877">
        <f>'REF. DE PREÇOS n editavel'!J2269</f>
        <v>2174.34</v>
      </c>
      <c r="K2269" s="878" t="s">
        <v>15</v>
      </c>
      <c r="L2269" s="1092"/>
      <c r="M2269" s="1093">
        <f t="shared" si="226"/>
        <v>0</v>
      </c>
      <c r="N2269" s="1131">
        <f t="shared" si="227"/>
        <v>0</v>
      </c>
      <c r="O2269" s="880"/>
      <c r="Q2269" s="317" t="str">
        <f t="shared" si="223"/>
        <v/>
      </c>
      <c r="R2269" s="317" t="str">
        <f t="shared" si="224"/>
        <v/>
      </c>
      <c r="S2269" s="317" t="str">
        <f t="shared" si="225"/>
        <v/>
      </c>
      <c r="T2269" s="317" t="str">
        <f>'REF. DE PREÇOS n editavel'!S2269</f>
        <v/>
      </c>
      <c r="W2269" s="577">
        <v>0</v>
      </c>
      <c r="X2269" s="575"/>
      <c r="Y2269" s="578">
        <f>IF('REF. DE PREÇOS n editavel'!W2269=0,0,IF('REF. DE PREÇOS n editavel'!W2269&gt;0,"c","b"))</f>
        <v>0</v>
      </c>
    </row>
    <row r="2270" spans="1:25" ht="15" customHeight="1">
      <c r="A2270" s="317" t="s">
        <v>147</v>
      </c>
      <c r="B2270" s="870" t="s">
        <v>147</v>
      </c>
      <c r="C2270" s="871"/>
      <c r="D2270" s="881" t="s">
        <v>190</v>
      </c>
      <c r="E2270" s="882">
        <f>'REF. DE PREÇOS n editavel'!E2270</f>
        <v>445</v>
      </c>
      <c r="F2270" s="883">
        <f>'REF. DE PREÇOS n editavel'!F2270</f>
        <v>0.21117996</v>
      </c>
      <c r="G2270" s="884">
        <f>'REF. DE PREÇOS n editavel'!G2270</f>
        <v>74.951991403199997</v>
      </c>
      <c r="H2270" s="876">
        <f>'REF. DE PREÇOS n editavel'!H2270</f>
        <v>0</v>
      </c>
      <c r="I2270" s="876">
        <f>'REF. DE PREÇOS n editavel'!I2270</f>
        <v>0</v>
      </c>
      <c r="J2270" s="877">
        <f>'REF. DE PREÇOS n editavel'!J2270</f>
        <v>0</v>
      </c>
      <c r="K2270" s="878"/>
      <c r="L2270" s="1132"/>
      <c r="M2270" s="1093">
        <f t="shared" si="226"/>
        <v>0</v>
      </c>
      <c r="N2270" s="1131">
        <f t="shared" si="227"/>
        <v>0</v>
      </c>
      <c r="O2270" s="880"/>
      <c r="P2270" s="36" t="str">
        <f>IF(N2269&gt;0,"xx",IF(N2269&gt;0,"xy",""))</f>
        <v/>
      </c>
      <c r="Q2270" s="317" t="str">
        <f t="shared" si="223"/>
        <v/>
      </c>
      <c r="R2270" s="317" t="str">
        <f t="shared" si="224"/>
        <v/>
      </c>
      <c r="S2270" s="317" t="str">
        <f t="shared" si="225"/>
        <v/>
      </c>
      <c r="T2270" s="317" t="str">
        <f>'REF. DE PREÇOS n editavel'!S2270</f>
        <v/>
      </c>
      <c r="W2270" s="577">
        <v>0</v>
      </c>
      <c r="X2270" s="575"/>
      <c r="Y2270" s="578">
        <f>IF('REF. DE PREÇOS n editavel'!W2270=0,0,IF('REF. DE PREÇOS n editavel'!W2270&gt;0,"c","b"))</f>
        <v>0</v>
      </c>
    </row>
    <row r="2271" spans="1:25" ht="15" customHeight="1">
      <c r="A2271" s="317" t="s">
        <v>147</v>
      </c>
      <c r="B2271" s="870" t="s">
        <v>147</v>
      </c>
      <c r="C2271" s="871"/>
      <c r="D2271" s="881" t="s">
        <v>229</v>
      </c>
      <c r="E2271" s="882">
        <f>'REF. DE PREÇOS n editavel'!E2271</f>
        <v>290</v>
      </c>
      <c r="F2271" s="883">
        <f>'REF. DE PREÇOS n editavel'!F2271</f>
        <v>0.62284225199999999</v>
      </c>
      <c r="G2271" s="923">
        <f>'REF. DE PREÇOS n editavel'!G2271</f>
        <v>194.93716803096001</v>
      </c>
      <c r="H2271" s="876">
        <f>'REF. DE PREÇOS n editavel'!H2271</f>
        <v>0</v>
      </c>
      <c r="I2271" s="876">
        <f>'REF. DE PREÇOS n editavel'!I2271</f>
        <v>0</v>
      </c>
      <c r="J2271" s="877">
        <f>'REF. DE PREÇOS n editavel'!J2271</f>
        <v>0</v>
      </c>
      <c r="K2271" s="878"/>
      <c r="L2271" s="1132"/>
      <c r="M2271" s="1093">
        <f t="shared" si="226"/>
        <v>0</v>
      </c>
      <c r="N2271" s="1131">
        <f t="shared" si="227"/>
        <v>0</v>
      </c>
      <c r="O2271" s="880"/>
      <c r="P2271" s="36" t="str">
        <f>IF(N2269&gt;0,"xx",IF(N2269&gt;0,"xy",""))</f>
        <v/>
      </c>
      <c r="Q2271" s="317" t="str">
        <f t="shared" si="223"/>
        <v/>
      </c>
      <c r="R2271" s="317" t="str">
        <f t="shared" si="224"/>
        <v/>
      </c>
      <c r="S2271" s="317" t="str">
        <f t="shared" si="225"/>
        <v/>
      </c>
      <c r="T2271" s="317" t="str">
        <f>'REF. DE PREÇOS n editavel'!S2271</f>
        <v/>
      </c>
      <c r="W2271" s="577">
        <v>0</v>
      </c>
      <c r="X2271" s="575"/>
      <c r="Y2271" s="578">
        <f>IF('REF. DE PREÇOS n editavel'!W2271=0,0,IF('REF. DE PREÇOS n editavel'!W2271&gt;0,"c","b"))</f>
        <v>0</v>
      </c>
    </row>
    <row r="2272" spans="1:25" ht="15" customHeight="1">
      <c r="A2272" s="317" t="s">
        <v>147</v>
      </c>
      <c r="B2272" s="870" t="s">
        <v>147</v>
      </c>
      <c r="C2272" s="871"/>
      <c r="D2272" s="881" t="s">
        <v>233</v>
      </c>
      <c r="E2272" s="882">
        <f>'REF. DE PREÇOS n editavel'!E2272</f>
        <v>43.1</v>
      </c>
      <c r="F2272" s="883">
        <f>'REF. DE PREÇOS n editavel'!F2272</f>
        <v>0.74060532000000001</v>
      </c>
      <c r="G2272" s="923">
        <f>'REF. DE PREÇOS n editavel'!G2272</f>
        <v>36.139317800040004</v>
      </c>
      <c r="H2272" s="876">
        <f>'REF. DE PREÇOS n editavel'!H2272</f>
        <v>0</v>
      </c>
      <c r="I2272" s="876">
        <f>'REF. DE PREÇOS n editavel'!I2272</f>
        <v>0</v>
      </c>
      <c r="J2272" s="877">
        <f>'REF. DE PREÇOS n editavel'!J2272</f>
        <v>0</v>
      </c>
      <c r="K2272" s="878"/>
      <c r="L2272" s="1132"/>
      <c r="M2272" s="1093">
        <f t="shared" si="226"/>
        <v>0</v>
      </c>
      <c r="N2272" s="1131">
        <f t="shared" si="227"/>
        <v>0</v>
      </c>
      <c r="O2272" s="880"/>
      <c r="P2272" s="36" t="str">
        <f>IF(N2269&gt;0,"xx",IF(N2269&gt;0,"xy",""))</f>
        <v/>
      </c>
      <c r="Q2272" s="317" t="str">
        <f t="shared" si="223"/>
        <v/>
      </c>
      <c r="R2272" s="317" t="str">
        <f t="shared" si="224"/>
        <v/>
      </c>
      <c r="S2272" s="317" t="str">
        <f t="shared" si="225"/>
        <v/>
      </c>
      <c r="T2272" s="317" t="str">
        <f>'REF. DE PREÇOS n editavel'!S2272</f>
        <v/>
      </c>
      <c r="W2272" s="577">
        <v>0</v>
      </c>
      <c r="X2272" s="575"/>
      <c r="Y2272" s="578">
        <f>IF('REF. DE PREÇOS n editavel'!W2272=0,0,IF('REF. DE PREÇOS n editavel'!W2272&gt;0,"c","b"))</f>
        <v>0</v>
      </c>
    </row>
    <row r="2273" spans="1:25" ht="15" customHeight="1">
      <c r="A2273" s="317" t="s">
        <v>34</v>
      </c>
      <c r="B2273" s="870" t="s">
        <v>34</v>
      </c>
      <c r="C2273" s="871" t="s">
        <v>184</v>
      </c>
      <c r="D2273" s="881" t="s">
        <v>382</v>
      </c>
      <c r="E2273" s="882">
        <f>'REF. DE PREÇOS n editavel'!E2273</f>
        <v>0</v>
      </c>
      <c r="F2273" s="883">
        <f>'REF. DE PREÇOS n editavel'!F2273</f>
        <v>0</v>
      </c>
      <c r="G2273" s="887">
        <f>'REF. DE PREÇOS n editavel'!G2273</f>
        <v>549.66861647275005</v>
      </c>
      <c r="H2273" s="876">
        <f>'REF. DE PREÇOS n editavel'!H2273</f>
        <v>2538.3200000000002</v>
      </c>
      <c r="I2273" s="876">
        <f>'REF. DE PREÇOS n editavel'!I2273</f>
        <v>3087.9886164727504</v>
      </c>
      <c r="J2273" s="877">
        <f>'REF. DE PREÇOS n editavel'!J2273</f>
        <v>3774.14</v>
      </c>
      <c r="K2273" s="878" t="s">
        <v>15</v>
      </c>
      <c r="L2273" s="1092"/>
      <c r="M2273" s="1093">
        <f t="shared" si="226"/>
        <v>0</v>
      </c>
      <c r="N2273" s="1131">
        <f t="shared" si="227"/>
        <v>0</v>
      </c>
      <c r="O2273" s="880"/>
      <c r="Q2273" s="317" t="str">
        <f t="shared" si="223"/>
        <v/>
      </c>
      <c r="R2273" s="317" t="str">
        <f t="shared" si="224"/>
        <v/>
      </c>
      <c r="S2273" s="317" t="str">
        <f t="shared" si="225"/>
        <v/>
      </c>
      <c r="T2273" s="317" t="str">
        <f>'REF. DE PREÇOS n editavel'!S2273</f>
        <v/>
      </c>
      <c r="W2273" s="577">
        <v>0</v>
      </c>
      <c r="X2273" s="575"/>
      <c r="Y2273" s="578">
        <f>IF('REF. DE PREÇOS n editavel'!W2273=0,0,IF('REF. DE PREÇOS n editavel'!W2273&gt;0,"c","b"))</f>
        <v>0</v>
      </c>
    </row>
    <row r="2274" spans="1:25" ht="15" customHeight="1">
      <c r="A2274" s="317" t="s">
        <v>147</v>
      </c>
      <c r="B2274" s="870" t="s">
        <v>147</v>
      </c>
      <c r="C2274" s="871"/>
      <c r="D2274" s="881" t="s">
        <v>190</v>
      </c>
      <c r="E2274" s="882">
        <f>'REF. DE PREÇOS n editavel'!E2274</f>
        <v>445</v>
      </c>
      <c r="F2274" s="883">
        <f>'REF. DE PREÇOS n editavel'!F2274</f>
        <v>0.38327894999999995</v>
      </c>
      <c r="G2274" s="884">
        <f>'REF. DE PREÇOS n editavel'!G2274</f>
        <v>136.03336493399999</v>
      </c>
      <c r="H2274" s="876">
        <f>'REF. DE PREÇOS n editavel'!H2274</f>
        <v>0</v>
      </c>
      <c r="I2274" s="876">
        <f>'REF. DE PREÇOS n editavel'!I2274</f>
        <v>0</v>
      </c>
      <c r="J2274" s="877">
        <f>'REF. DE PREÇOS n editavel'!J2274</f>
        <v>0</v>
      </c>
      <c r="K2274" s="878"/>
      <c r="L2274" s="1132"/>
      <c r="M2274" s="1093">
        <f t="shared" si="226"/>
        <v>0</v>
      </c>
      <c r="N2274" s="1131">
        <f t="shared" si="227"/>
        <v>0</v>
      </c>
      <c r="O2274" s="880"/>
      <c r="P2274" s="36" t="str">
        <f>IF(N2273&gt;0,"xx",IF(N2273&gt;0,"xy",""))</f>
        <v/>
      </c>
      <c r="Q2274" s="317" t="str">
        <f t="shared" si="223"/>
        <v/>
      </c>
      <c r="R2274" s="317" t="str">
        <f t="shared" si="224"/>
        <v/>
      </c>
      <c r="S2274" s="317" t="str">
        <f t="shared" si="225"/>
        <v/>
      </c>
      <c r="T2274" s="317" t="str">
        <f>'REF. DE PREÇOS n editavel'!S2274</f>
        <v/>
      </c>
      <c r="W2274" s="577">
        <v>0</v>
      </c>
      <c r="X2274" s="575"/>
      <c r="Y2274" s="578">
        <f>IF('REF. DE PREÇOS n editavel'!W2274=0,0,IF('REF. DE PREÇOS n editavel'!W2274&gt;0,"c","b"))</f>
        <v>0</v>
      </c>
    </row>
    <row r="2275" spans="1:25" ht="15" customHeight="1">
      <c r="A2275" s="317" t="s">
        <v>147</v>
      </c>
      <c r="B2275" s="870" t="s">
        <v>147</v>
      </c>
      <c r="C2275" s="871"/>
      <c r="D2275" s="881" t="s">
        <v>229</v>
      </c>
      <c r="E2275" s="882">
        <f>'REF. DE PREÇOS n editavel'!E2275</f>
        <v>290</v>
      </c>
      <c r="F2275" s="883">
        <f>'REF. DE PREÇOS n editavel'!F2275</f>
        <v>1.1143076149999998</v>
      </c>
      <c r="G2275" s="923">
        <f>'REF. DE PREÇOS n editavel'!G2275</f>
        <v>348.75599734269997</v>
      </c>
      <c r="H2275" s="876">
        <f>'REF. DE PREÇOS n editavel'!H2275</f>
        <v>0</v>
      </c>
      <c r="I2275" s="876">
        <f>'REF. DE PREÇOS n editavel'!I2275</f>
        <v>0</v>
      </c>
      <c r="J2275" s="877">
        <f>'REF. DE PREÇOS n editavel'!J2275</f>
        <v>0</v>
      </c>
      <c r="K2275" s="878"/>
      <c r="L2275" s="1132"/>
      <c r="M2275" s="1093">
        <f t="shared" si="226"/>
        <v>0</v>
      </c>
      <c r="N2275" s="1131">
        <f t="shared" si="227"/>
        <v>0</v>
      </c>
      <c r="O2275" s="880"/>
      <c r="P2275" s="36" t="str">
        <f>IF(N2273&gt;0,"xx",IF(N2273&gt;0,"xy",""))</f>
        <v/>
      </c>
      <c r="Q2275" s="317" t="str">
        <f t="shared" ref="Q2275:Q2326" si="228">IF(P2275="X","x",IF(P2275="xx","x",IF(P2275="xy","x",IF(P2275="y","x",IF(OR(N2275&gt;0,N2275&gt;0),"x","")))))</f>
        <v/>
      </c>
      <c r="R2275" s="317" t="str">
        <f t="shared" si="224"/>
        <v/>
      </c>
      <c r="S2275" s="317" t="str">
        <f t="shared" si="225"/>
        <v/>
      </c>
      <c r="T2275" s="317" t="str">
        <f>'REF. DE PREÇOS n editavel'!S2275</f>
        <v/>
      </c>
      <c r="W2275" s="577">
        <v>0</v>
      </c>
      <c r="X2275" s="575"/>
      <c r="Y2275" s="578">
        <f>IF('REF. DE PREÇOS n editavel'!W2275=0,0,IF('REF. DE PREÇOS n editavel'!W2275&gt;0,"c","b"))</f>
        <v>0</v>
      </c>
    </row>
    <row r="2276" spans="1:25" ht="15" customHeight="1">
      <c r="A2276" s="317" t="s">
        <v>147</v>
      </c>
      <c r="B2276" s="870" t="s">
        <v>147</v>
      </c>
      <c r="C2276" s="871"/>
      <c r="D2276" s="881" t="s">
        <v>233</v>
      </c>
      <c r="E2276" s="882">
        <f>'REF. DE PREÇOS n editavel'!E2276</f>
        <v>43.1</v>
      </c>
      <c r="F2276" s="883">
        <f>'REF. DE PREÇOS n editavel'!F2276</f>
        <v>1.3295746499999999</v>
      </c>
      <c r="G2276" s="923">
        <f>'REF. DE PREÇOS n editavel'!G2276</f>
        <v>64.879254196049999</v>
      </c>
      <c r="H2276" s="876">
        <f>'REF. DE PREÇOS n editavel'!H2276</f>
        <v>0</v>
      </c>
      <c r="I2276" s="876">
        <f>'REF. DE PREÇOS n editavel'!I2276</f>
        <v>0</v>
      </c>
      <c r="J2276" s="877">
        <f>'REF. DE PREÇOS n editavel'!J2276</f>
        <v>0</v>
      </c>
      <c r="K2276" s="878"/>
      <c r="L2276" s="1132"/>
      <c r="M2276" s="1093">
        <f t="shared" si="226"/>
        <v>0</v>
      </c>
      <c r="N2276" s="1131">
        <f t="shared" si="227"/>
        <v>0</v>
      </c>
      <c r="O2276" s="880"/>
      <c r="P2276" s="36" t="str">
        <f>IF(N2273&gt;0,"xx",IF(N2273&gt;0,"xy",""))</f>
        <v/>
      </c>
      <c r="Q2276" s="317" t="str">
        <f t="shared" si="228"/>
        <v/>
      </c>
      <c r="R2276" s="317" t="str">
        <f t="shared" si="224"/>
        <v/>
      </c>
      <c r="S2276" s="317" t="str">
        <f t="shared" si="225"/>
        <v/>
      </c>
      <c r="T2276" s="317" t="str">
        <f>'REF. DE PREÇOS n editavel'!S2276</f>
        <v/>
      </c>
      <c r="W2276" s="577">
        <v>0</v>
      </c>
      <c r="X2276" s="575"/>
      <c r="Y2276" s="578">
        <f>IF('REF. DE PREÇOS n editavel'!W2276=0,0,IF('REF. DE PREÇOS n editavel'!W2276&gt;0,"c","b"))</f>
        <v>0</v>
      </c>
    </row>
    <row r="2277" spans="1:25" ht="15" customHeight="1">
      <c r="A2277" s="317" t="s">
        <v>35</v>
      </c>
      <c r="B2277" s="870" t="s">
        <v>35</v>
      </c>
      <c r="C2277" s="871" t="s">
        <v>184</v>
      </c>
      <c r="D2277" s="881" t="s">
        <v>383</v>
      </c>
      <c r="E2277" s="882">
        <f>'REF. DE PREÇOS n editavel'!E2277</f>
        <v>0</v>
      </c>
      <c r="F2277" s="883">
        <f>'REF. DE PREÇOS n editavel'!F2277</f>
        <v>0</v>
      </c>
      <c r="G2277" s="887">
        <f>'REF. DE PREÇOS n editavel'!G2277</f>
        <v>807.42140191900012</v>
      </c>
      <c r="H2277" s="876">
        <f>'REF. DE PREÇOS n editavel'!H2277</f>
        <v>3699.81</v>
      </c>
      <c r="I2277" s="876">
        <f>'REF. DE PREÇOS n editavel'!I2277</f>
        <v>4507.2314019189998</v>
      </c>
      <c r="J2277" s="877">
        <f>'REF. DE PREÇOS n editavel'!J2277</f>
        <v>5508.74</v>
      </c>
      <c r="K2277" s="878" t="s">
        <v>15</v>
      </c>
      <c r="L2277" s="1092"/>
      <c r="M2277" s="1093">
        <f t="shared" si="226"/>
        <v>0</v>
      </c>
      <c r="N2277" s="1131">
        <f t="shared" si="227"/>
        <v>0</v>
      </c>
      <c r="O2277" s="880"/>
      <c r="Q2277" s="317" t="str">
        <f t="shared" si="228"/>
        <v/>
      </c>
      <c r="R2277" s="317" t="str">
        <f t="shared" ref="R2277:R2328" si="229">IF(P2277="X","x",IF(P2277="y","x",IF(P2277="xx","x",IF(N2277&gt;0,"x",""))))</f>
        <v/>
      </c>
      <c r="S2277" s="317" t="str">
        <f t="shared" ref="S2277:S2328" si="230">IF(P2277="X","x",IF(N2277&gt;0,"x",""))</f>
        <v/>
      </c>
      <c r="T2277" s="317" t="str">
        <f>'REF. DE PREÇOS n editavel'!S2277</f>
        <v/>
      </c>
      <c r="W2277" s="577">
        <v>0</v>
      </c>
      <c r="X2277" s="575"/>
      <c r="Y2277" s="578">
        <f>IF('REF. DE PREÇOS n editavel'!W2277=0,0,IF('REF. DE PREÇOS n editavel'!W2277&gt;0,"c","b"))</f>
        <v>0</v>
      </c>
    </row>
    <row r="2278" spans="1:25" ht="15" customHeight="1">
      <c r="A2278" s="317" t="s">
        <v>147</v>
      </c>
      <c r="B2278" s="870" t="s">
        <v>147</v>
      </c>
      <c r="C2278" s="871"/>
      <c r="D2278" s="881" t="s">
        <v>190</v>
      </c>
      <c r="E2278" s="882">
        <f>'REF. DE PREÇOS n editavel'!E2278</f>
        <v>445</v>
      </c>
      <c r="F2278" s="883">
        <f>'REF. DE PREÇOS n editavel'!F2278</f>
        <v>0.56408220000000009</v>
      </c>
      <c r="G2278" s="884">
        <f>'REF. DE PREÇOS n editavel'!G2278</f>
        <v>200.20405442400005</v>
      </c>
      <c r="H2278" s="876">
        <f>'REF. DE PREÇOS n editavel'!H2278</f>
        <v>0</v>
      </c>
      <c r="I2278" s="876">
        <f>'REF. DE PREÇOS n editavel'!I2278</f>
        <v>0</v>
      </c>
      <c r="J2278" s="877">
        <f>'REF. DE PREÇOS n editavel'!J2278</f>
        <v>0</v>
      </c>
      <c r="K2278" s="878"/>
      <c r="L2278" s="1132"/>
      <c r="M2278" s="1093">
        <f t="shared" si="226"/>
        <v>0</v>
      </c>
      <c r="N2278" s="1131">
        <f t="shared" si="227"/>
        <v>0</v>
      </c>
      <c r="O2278" s="880"/>
      <c r="P2278" s="36" t="str">
        <f>IF(N2277&gt;0,"xx",IF(N2277&gt;0,"xy",""))</f>
        <v/>
      </c>
      <c r="Q2278" s="317" t="str">
        <f t="shared" si="228"/>
        <v/>
      </c>
      <c r="R2278" s="317" t="str">
        <f t="shared" si="229"/>
        <v/>
      </c>
      <c r="S2278" s="317" t="str">
        <f t="shared" si="230"/>
        <v/>
      </c>
      <c r="T2278" s="317" t="str">
        <f>'REF. DE PREÇOS n editavel'!S2278</f>
        <v/>
      </c>
      <c r="W2278" s="577">
        <v>0</v>
      </c>
      <c r="X2278" s="575"/>
      <c r="Y2278" s="578">
        <f>IF('REF. DE PREÇOS n editavel'!W2278=0,0,IF('REF. DE PREÇOS n editavel'!W2278&gt;0,"c","b"))</f>
        <v>0</v>
      </c>
    </row>
    <row r="2279" spans="1:25" ht="15" customHeight="1">
      <c r="A2279" s="317" t="s">
        <v>147</v>
      </c>
      <c r="B2279" s="870" t="s">
        <v>147</v>
      </c>
      <c r="C2279" s="871"/>
      <c r="D2279" s="881" t="s">
        <v>229</v>
      </c>
      <c r="E2279" s="882">
        <f>'REF. DE PREÇOS n editavel'!E2279</f>
        <v>290</v>
      </c>
      <c r="F2279" s="883">
        <f>'REF. DE PREÇOS n editavel'!F2279</f>
        <v>1.6356421400000001</v>
      </c>
      <c r="G2279" s="923">
        <f>'REF. DE PREÇOS n editavel'!G2279</f>
        <v>511.92327697720003</v>
      </c>
      <c r="H2279" s="876">
        <f>'REF. DE PREÇOS n editavel'!H2279</f>
        <v>0</v>
      </c>
      <c r="I2279" s="876">
        <f>'REF. DE PREÇOS n editavel'!I2279</f>
        <v>0</v>
      </c>
      <c r="J2279" s="877">
        <f>'REF. DE PREÇOS n editavel'!J2279</f>
        <v>0</v>
      </c>
      <c r="K2279" s="878"/>
      <c r="L2279" s="1132"/>
      <c r="M2279" s="1093">
        <f t="shared" si="226"/>
        <v>0</v>
      </c>
      <c r="N2279" s="1131">
        <f t="shared" si="227"/>
        <v>0</v>
      </c>
      <c r="O2279" s="880"/>
      <c r="P2279" s="36" t="str">
        <f>IF(N2277&gt;0,"xx",IF(N2277&gt;0,"xy",""))</f>
        <v/>
      </c>
      <c r="Q2279" s="317" t="str">
        <f t="shared" si="228"/>
        <v/>
      </c>
      <c r="R2279" s="317" t="str">
        <f t="shared" si="229"/>
        <v/>
      </c>
      <c r="S2279" s="317" t="str">
        <f t="shared" si="230"/>
        <v/>
      </c>
      <c r="T2279" s="317" t="str">
        <f>'REF. DE PREÇOS n editavel'!S2279</f>
        <v/>
      </c>
      <c r="W2279" s="577">
        <v>0</v>
      </c>
      <c r="X2279" s="575"/>
      <c r="Y2279" s="578">
        <f>IF('REF. DE PREÇOS n editavel'!W2279=0,0,IF('REF. DE PREÇOS n editavel'!W2279&gt;0,"c","b"))</f>
        <v>0</v>
      </c>
    </row>
    <row r="2280" spans="1:25" ht="15" customHeight="1">
      <c r="A2280" s="317" t="s">
        <v>147</v>
      </c>
      <c r="B2280" s="870" t="s">
        <v>147</v>
      </c>
      <c r="C2280" s="871"/>
      <c r="D2280" s="881" t="s">
        <v>233</v>
      </c>
      <c r="E2280" s="882">
        <f>'REF. DE PREÇOS n editavel'!E2280</f>
        <v>43.1</v>
      </c>
      <c r="F2280" s="883">
        <f>'REF. DE PREÇOS n editavel'!F2280</f>
        <v>1.9528674000000004</v>
      </c>
      <c r="G2280" s="923">
        <f>'REF. DE PREÇOS n editavel'!G2280</f>
        <v>95.294070517800023</v>
      </c>
      <c r="H2280" s="876">
        <f>'REF. DE PREÇOS n editavel'!H2280</f>
        <v>0</v>
      </c>
      <c r="I2280" s="876">
        <f>'REF. DE PREÇOS n editavel'!I2280</f>
        <v>0</v>
      </c>
      <c r="J2280" s="877">
        <f>'REF. DE PREÇOS n editavel'!J2280</f>
        <v>0</v>
      </c>
      <c r="K2280" s="878"/>
      <c r="L2280" s="1132"/>
      <c r="M2280" s="1093">
        <f t="shared" si="226"/>
        <v>0</v>
      </c>
      <c r="N2280" s="1131">
        <f t="shared" si="227"/>
        <v>0</v>
      </c>
      <c r="O2280" s="880"/>
      <c r="P2280" s="36" t="str">
        <f>IF(N2277&gt;0,"xx",IF(N2277&gt;0,"xy",""))</f>
        <v/>
      </c>
      <c r="Q2280" s="317" t="str">
        <f t="shared" si="228"/>
        <v/>
      </c>
      <c r="R2280" s="317" t="str">
        <f t="shared" si="229"/>
        <v/>
      </c>
      <c r="S2280" s="317" t="str">
        <f t="shared" si="230"/>
        <v/>
      </c>
      <c r="T2280" s="317" t="str">
        <f>'REF. DE PREÇOS n editavel'!S2280</f>
        <v/>
      </c>
      <c r="W2280" s="577">
        <v>0</v>
      </c>
      <c r="X2280" s="575"/>
      <c r="Y2280" s="578">
        <f>IF('REF. DE PREÇOS n editavel'!W2280=0,0,IF('REF. DE PREÇOS n editavel'!W2280&gt;0,"c","b"))</f>
        <v>0</v>
      </c>
    </row>
    <row r="2281" spans="1:25" ht="15" customHeight="1">
      <c r="A2281" s="317" t="s">
        <v>36</v>
      </c>
      <c r="B2281" s="870" t="s">
        <v>36</v>
      </c>
      <c r="C2281" s="871" t="s">
        <v>184</v>
      </c>
      <c r="D2281" s="881" t="s">
        <v>384</v>
      </c>
      <c r="E2281" s="882">
        <f>'REF. DE PREÇOS n editavel'!E2281</f>
        <v>0</v>
      </c>
      <c r="F2281" s="883">
        <f>'REF. DE PREÇOS n editavel'!F2281</f>
        <v>0</v>
      </c>
      <c r="G2281" s="887">
        <f>'REF. DE PREÇOS n editavel'!G2281</f>
        <v>1117.0801823840002</v>
      </c>
      <c r="H2281" s="876">
        <f>'REF. DE PREÇOS n editavel'!H2281</f>
        <v>5102.8900000000003</v>
      </c>
      <c r="I2281" s="876">
        <f>'REF. DE PREÇOS n editavel'!I2281</f>
        <v>6219.9701823840005</v>
      </c>
      <c r="J2281" s="877">
        <f>'REF. DE PREÇOS n editavel'!J2281</f>
        <v>7602.05</v>
      </c>
      <c r="K2281" s="878" t="s">
        <v>15</v>
      </c>
      <c r="L2281" s="1092"/>
      <c r="M2281" s="1093">
        <f t="shared" si="226"/>
        <v>0</v>
      </c>
      <c r="N2281" s="1131">
        <f t="shared" si="227"/>
        <v>0</v>
      </c>
      <c r="O2281" s="880"/>
      <c r="Q2281" s="317" t="str">
        <f t="shared" si="228"/>
        <v/>
      </c>
      <c r="R2281" s="317" t="str">
        <f t="shared" si="229"/>
        <v/>
      </c>
      <c r="S2281" s="317" t="str">
        <f t="shared" si="230"/>
        <v/>
      </c>
      <c r="T2281" s="317" t="str">
        <f>'REF. DE PREÇOS n editavel'!S2281</f>
        <v/>
      </c>
      <c r="W2281" s="577">
        <v>0</v>
      </c>
      <c r="X2281" s="575"/>
      <c r="Y2281" s="578">
        <f>IF('REF. DE PREÇOS n editavel'!W2281=0,0,IF('REF. DE PREÇOS n editavel'!W2281&gt;0,"c","b"))</f>
        <v>0</v>
      </c>
    </row>
    <row r="2282" spans="1:25" ht="15" customHeight="1">
      <c r="A2282" s="317" t="s">
        <v>147</v>
      </c>
      <c r="B2282" s="870" t="s">
        <v>147</v>
      </c>
      <c r="C2282" s="871"/>
      <c r="D2282" s="881" t="s">
        <v>190</v>
      </c>
      <c r="E2282" s="882">
        <f>'REF. DE PREÇOS n editavel'!E2282</f>
        <v>445</v>
      </c>
      <c r="F2282" s="883">
        <f>'REF. DE PREÇOS n editavel'!F2282</f>
        <v>0.77929919999999997</v>
      </c>
      <c r="G2282" s="884">
        <f>'REF. DE PREÇOS n editavel'!G2282</f>
        <v>276.58887206399999</v>
      </c>
      <c r="H2282" s="876">
        <f>'REF. DE PREÇOS n editavel'!H2282</f>
        <v>0</v>
      </c>
      <c r="I2282" s="876">
        <f>'REF. DE PREÇOS n editavel'!I2282</f>
        <v>0</v>
      </c>
      <c r="J2282" s="877">
        <f>'REF. DE PREÇOS n editavel'!J2282</f>
        <v>0</v>
      </c>
      <c r="K2282" s="878"/>
      <c r="L2282" s="1132"/>
      <c r="M2282" s="1093">
        <f t="shared" si="226"/>
        <v>0</v>
      </c>
      <c r="N2282" s="1131">
        <f t="shared" si="227"/>
        <v>0</v>
      </c>
      <c r="O2282" s="880"/>
      <c r="P2282" s="36" t="str">
        <f>IF(N2281&gt;0,"xx",IF(N2281&gt;0,"xy",""))</f>
        <v/>
      </c>
      <c r="Q2282" s="317" t="str">
        <f t="shared" si="228"/>
        <v/>
      </c>
      <c r="R2282" s="317" t="str">
        <f t="shared" si="229"/>
        <v/>
      </c>
      <c r="S2282" s="317" t="str">
        <f t="shared" si="230"/>
        <v/>
      </c>
      <c r="T2282" s="317" t="str">
        <f>'REF. DE PREÇOS n editavel'!S2282</f>
        <v/>
      </c>
      <c r="W2282" s="577">
        <v>0</v>
      </c>
      <c r="X2282" s="575"/>
      <c r="Y2282" s="578">
        <f>IF('REF. DE PREÇOS n editavel'!W2282=0,0,IF('REF. DE PREÇOS n editavel'!W2282&gt;0,"c","b"))</f>
        <v>0</v>
      </c>
    </row>
    <row r="2283" spans="1:25" ht="15" customHeight="1">
      <c r="A2283" s="317" t="s">
        <v>147</v>
      </c>
      <c r="B2283" s="870" t="s">
        <v>147</v>
      </c>
      <c r="C2283" s="871"/>
      <c r="D2283" s="881" t="s">
        <v>229</v>
      </c>
      <c r="E2283" s="882">
        <f>'REF. DE PREÇOS n editavel'!E2283</f>
        <v>290</v>
      </c>
      <c r="F2283" s="883">
        <f>'REF. DE PREÇOS n editavel'!F2283</f>
        <v>2.26417504</v>
      </c>
      <c r="G2283" s="923">
        <f>'REF. DE PREÇOS n editavel'!G2283</f>
        <v>708.64150401920006</v>
      </c>
      <c r="H2283" s="876">
        <f>'REF. DE PREÇOS n editavel'!H2283</f>
        <v>0</v>
      </c>
      <c r="I2283" s="876">
        <f>'REF. DE PREÇOS n editavel'!I2283</f>
        <v>0</v>
      </c>
      <c r="J2283" s="877">
        <f>'REF. DE PREÇOS n editavel'!J2283</f>
        <v>0</v>
      </c>
      <c r="K2283" s="878"/>
      <c r="L2283" s="1132"/>
      <c r="M2283" s="1093">
        <f t="shared" si="226"/>
        <v>0</v>
      </c>
      <c r="N2283" s="1131">
        <f t="shared" si="227"/>
        <v>0</v>
      </c>
      <c r="O2283" s="880"/>
      <c r="P2283" s="36" t="str">
        <f>IF(N2281&gt;0,"xx",IF(N2281&gt;0,"xy",""))</f>
        <v/>
      </c>
      <c r="Q2283" s="317" t="str">
        <f t="shared" si="228"/>
        <v/>
      </c>
      <c r="R2283" s="317" t="str">
        <f t="shared" si="229"/>
        <v/>
      </c>
      <c r="S2283" s="317" t="str">
        <f t="shared" si="230"/>
        <v/>
      </c>
      <c r="T2283" s="317" t="str">
        <f>'REF. DE PREÇOS n editavel'!S2283</f>
        <v/>
      </c>
      <c r="W2283" s="577">
        <v>0</v>
      </c>
      <c r="X2283" s="575"/>
      <c r="Y2283" s="578">
        <f>IF('REF. DE PREÇOS n editavel'!W2283=0,0,IF('REF. DE PREÇOS n editavel'!W2283&gt;0,"c","b"))</f>
        <v>0</v>
      </c>
    </row>
    <row r="2284" spans="1:25" ht="15" customHeight="1">
      <c r="A2284" s="317" t="s">
        <v>147</v>
      </c>
      <c r="B2284" s="870" t="s">
        <v>147</v>
      </c>
      <c r="C2284" s="871"/>
      <c r="D2284" s="881" t="s">
        <v>233</v>
      </c>
      <c r="E2284" s="882">
        <f>'REF. DE PREÇOS n editavel'!E2284</f>
        <v>43.1</v>
      </c>
      <c r="F2284" s="883">
        <f>'REF. DE PREÇOS n editavel'!F2284</f>
        <v>2.7020064000000001</v>
      </c>
      <c r="G2284" s="923">
        <f>'REF. DE PREÇOS n editavel'!G2284</f>
        <v>131.84980630080003</v>
      </c>
      <c r="H2284" s="876">
        <f>'REF. DE PREÇOS n editavel'!H2284</f>
        <v>0</v>
      </c>
      <c r="I2284" s="876">
        <f>'REF. DE PREÇOS n editavel'!I2284</f>
        <v>0</v>
      </c>
      <c r="J2284" s="877">
        <f>'REF. DE PREÇOS n editavel'!J2284</f>
        <v>0</v>
      </c>
      <c r="K2284" s="878"/>
      <c r="L2284" s="1132"/>
      <c r="M2284" s="1093">
        <f t="shared" si="226"/>
        <v>0</v>
      </c>
      <c r="N2284" s="1131">
        <f t="shared" si="227"/>
        <v>0</v>
      </c>
      <c r="O2284" s="880"/>
      <c r="P2284" s="36" t="str">
        <f>IF(N2281&gt;0,"xx",IF(N2281&gt;0,"xy",""))</f>
        <v/>
      </c>
      <c r="Q2284" s="317" t="str">
        <f t="shared" si="228"/>
        <v/>
      </c>
      <c r="R2284" s="317" t="str">
        <f t="shared" si="229"/>
        <v/>
      </c>
      <c r="S2284" s="317" t="str">
        <f t="shared" si="230"/>
        <v/>
      </c>
      <c r="T2284" s="317" t="str">
        <f>'REF. DE PREÇOS n editavel'!S2284</f>
        <v/>
      </c>
      <c r="W2284" s="577">
        <v>0</v>
      </c>
      <c r="X2284" s="575"/>
      <c r="Y2284" s="578">
        <f>IF('REF. DE PREÇOS n editavel'!W2284=0,0,IF('REF. DE PREÇOS n editavel'!W2284&gt;0,"c","b"))</f>
        <v>0</v>
      </c>
    </row>
    <row r="2285" spans="1:25" ht="15" customHeight="1">
      <c r="A2285" s="317" t="s">
        <v>37</v>
      </c>
      <c r="B2285" s="870" t="s">
        <v>37</v>
      </c>
      <c r="C2285" s="871" t="s">
        <v>184</v>
      </c>
      <c r="D2285" s="881" t="s">
        <v>385</v>
      </c>
      <c r="E2285" s="882">
        <f>'REF. DE PREÇOS n editavel'!E2285</f>
        <v>0</v>
      </c>
      <c r="F2285" s="883">
        <f>'REF. DE PREÇOS n editavel'!F2285</f>
        <v>0</v>
      </c>
      <c r="G2285" s="887">
        <f>'REF. DE PREÇOS n editavel'!G2285</f>
        <v>1732.2612275527499</v>
      </c>
      <c r="H2285" s="876">
        <f>'REF. DE PREÇOS n editavel'!H2285</f>
        <v>7709.16</v>
      </c>
      <c r="I2285" s="876">
        <f>'REF. DE PREÇOS n editavel'!I2285</f>
        <v>9441.4212275527498</v>
      </c>
      <c r="J2285" s="877">
        <f>'REF. DE PREÇOS n editavel'!J2285</f>
        <v>11539.31</v>
      </c>
      <c r="K2285" s="878" t="s">
        <v>15</v>
      </c>
      <c r="L2285" s="1092"/>
      <c r="M2285" s="1093">
        <f t="shared" si="226"/>
        <v>0</v>
      </c>
      <c r="N2285" s="1131">
        <f t="shared" si="227"/>
        <v>0</v>
      </c>
      <c r="O2285" s="880"/>
      <c r="Q2285" s="317" t="str">
        <f t="shared" si="228"/>
        <v/>
      </c>
      <c r="R2285" s="317" t="str">
        <f t="shared" si="229"/>
        <v/>
      </c>
      <c r="S2285" s="317" t="str">
        <f t="shared" si="230"/>
        <v/>
      </c>
      <c r="T2285" s="317" t="str">
        <f>'REF. DE PREÇOS n editavel'!S2285</f>
        <v/>
      </c>
      <c r="W2285" s="577">
        <v>0</v>
      </c>
      <c r="X2285" s="575"/>
      <c r="Y2285" s="578">
        <f>IF('REF. DE PREÇOS n editavel'!W2285=0,0,IF('REF. DE PREÇOS n editavel'!W2285&gt;0,"c","b"))</f>
        <v>0</v>
      </c>
    </row>
    <row r="2286" spans="1:25" ht="15" customHeight="1">
      <c r="A2286" s="317" t="s">
        <v>147</v>
      </c>
      <c r="B2286" s="870" t="s">
        <v>147</v>
      </c>
      <c r="C2286" s="871"/>
      <c r="D2286" s="881" t="s">
        <v>190</v>
      </c>
      <c r="E2286" s="882">
        <f>'REF. DE PREÇOS n editavel'!E2286</f>
        <v>445</v>
      </c>
      <c r="F2286" s="883">
        <f>'REF. DE PREÇOS n editavel'!F2286</f>
        <v>1.2096229499999998</v>
      </c>
      <c r="G2286" s="884">
        <f>'REF. DE PREÇOS n editavel'!G2286</f>
        <v>429.31937741399992</v>
      </c>
      <c r="H2286" s="876">
        <f>'REF. DE PREÇOS n editavel'!H2286</f>
        <v>0</v>
      </c>
      <c r="I2286" s="876">
        <f>'REF. DE PREÇOS n editavel'!I2286</f>
        <v>0</v>
      </c>
      <c r="J2286" s="877">
        <f>'REF. DE PREÇOS n editavel'!J2286</f>
        <v>0</v>
      </c>
      <c r="K2286" s="878"/>
      <c r="L2286" s="1132"/>
      <c r="M2286" s="1093">
        <f t="shared" si="226"/>
        <v>0</v>
      </c>
      <c r="N2286" s="1131">
        <f t="shared" si="227"/>
        <v>0</v>
      </c>
      <c r="O2286" s="880"/>
      <c r="P2286" s="36" t="str">
        <f>IF(N2285&gt;0,"xx",IF(N2285&gt;0,"xy",""))</f>
        <v/>
      </c>
      <c r="Q2286" s="317" t="str">
        <f t="shared" si="228"/>
        <v/>
      </c>
      <c r="R2286" s="317" t="str">
        <f t="shared" si="229"/>
        <v/>
      </c>
      <c r="S2286" s="317" t="str">
        <f t="shared" si="230"/>
        <v/>
      </c>
      <c r="T2286" s="317" t="str">
        <f>'REF. DE PREÇOS n editavel'!S2286</f>
        <v/>
      </c>
      <c r="W2286" s="577">
        <v>0</v>
      </c>
      <c r="X2286" s="575"/>
      <c r="Y2286" s="578">
        <f>IF('REF. DE PREÇOS n editavel'!W2286=0,0,IF('REF. DE PREÇOS n editavel'!W2286&gt;0,"c","b"))</f>
        <v>0</v>
      </c>
    </row>
    <row r="2287" spans="1:25" ht="15" customHeight="1">
      <c r="A2287" s="317" t="s">
        <v>147</v>
      </c>
      <c r="B2287" s="870" t="s">
        <v>147</v>
      </c>
      <c r="C2287" s="871"/>
      <c r="D2287" s="881" t="s">
        <v>229</v>
      </c>
      <c r="E2287" s="882">
        <f>'REF. DE PREÇOS n editavel'!E2287</f>
        <v>290</v>
      </c>
      <c r="F2287" s="883">
        <f>'REF. DE PREÇOS n editavel'!F2287</f>
        <v>3.5097804149999998</v>
      </c>
      <c r="G2287" s="923">
        <f>'REF. DE PREÇOS n editavel'!G2287</f>
        <v>1098.4910742867</v>
      </c>
      <c r="H2287" s="876">
        <f>'REF. DE PREÇOS n editavel'!H2287</f>
        <v>0</v>
      </c>
      <c r="I2287" s="876">
        <f>'REF. DE PREÇOS n editavel'!I2287</f>
        <v>0</v>
      </c>
      <c r="J2287" s="877">
        <f>'REF. DE PREÇOS n editavel'!J2287</f>
        <v>0</v>
      </c>
      <c r="K2287" s="878"/>
      <c r="L2287" s="1132"/>
      <c r="M2287" s="1093">
        <f t="shared" si="226"/>
        <v>0</v>
      </c>
      <c r="N2287" s="1131">
        <f t="shared" si="227"/>
        <v>0</v>
      </c>
      <c r="O2287" s="880"/>
      <c r="P2287" s="36" t="str">
        <f>IF(N2285&gt;0,"xx",IF(N2285&gt;0,"xy",""))</f>
        <v/>
      </c>
      <c r="Q2287" s="317" t="str">
        <f t="shared" si="228"/>
        <v/>
      </c>
      <c r="R2287" s="317" t="str">
        <f t="shared" si="229"/>
        <v/>
      </c>
      <c r="S2287" s="317" t="str">
        <f t="shared" si="230"/>
        <v/>
      </c>
      <c r="T2287" s="317" t="str">
        <f>'REF. DE PREÇOS n editavel'!S2287</f>
        <v/>
      </c>
      <c r="W2287" s="577">
        <v>0</v>
      </c>
      <c r="X2287" s="575"/>
      <c r="Y2287" s="578">
        <f>IF('REF. DE PREÇOS n editavel'!W2287=0,0,IF('REF. DE PREÇOS n editavel'!W2287&gt;0,"c","b"))</f>
        <v>0</v>
      </c>
    </row>
    <row r="2288" spans="1:25" ht="15" customHeight="1">
      <c r="A2288" s="317" t="s">
        <v>147</v>
      </c>
      <c r="B2288" s="870" t="s">
        <v>147</v>
      </c>
      <c r="C2288" s="871"/>
      <c r="D2288" s="881" t="s">
        <v>233</v>
      </c>
      <c r="E2288" s="882">
        <f>'REF. DE PREÇOS n editavel'!E2288</f>
        <v>43.1</v>
      </c>
      <c r="F2288" s="883">
        <f>'REF. DE PREÇOS n editavel'!F2288</f>
        <v>4.18982265</v>
      </c>
      <c r="G2288" s="923">
        <f>'REF. DE PREÇOS n editavel'!G2288</f>
        <v>204.45077585205001</v>
      </c>
      <c r="H2288" s="876">
        <f>'REF. DE PREÇOS n editavel'!H2288</f>
        <v>0</v>
      </c>
      <c r="I2288" s="876">
        <f>'REF. DE PREÇOS n editavel'!I2288</f>
        <v>0</v>
      </c>
      <c r="J2288" s="877">
        <f>'REF. DE PREÇOS n editavel'!J2288</f>
        <v>0</v>
      </c>
      <c r="K2288" s="878"/>
      <c r="L2288" s="1132"/>
      <c r="M2288" s="1093">
        <f t="shared" si="226"/>
        <v>0</v>
      </c>
      <c r="N2288" s="1131">
        <f t="shared" si="227"/>
        <v>0</v>
      </c>
      <c r="O2288" s="880"/>
      <c r="P2288" s="36" t="str">
        <f>IF(N2285&gt;0,"xx",IF(N2285&gt;0,"xy",""))</f>
        <v/>
      </c>
      <c r="Q2288" s="317" t="str">
        <f t="shared" si="228"/>
        <v/>
      </c>
      <c r="R2288" s="317" t="str">
        <f t="shared" si="229"/>
        <v/>
      </c>
      <c r="S2288" s="317" t="str">
        <f t="shared" si="230"/>
        <v/>
      </c>
      <c r="T2288" s="317" t="str">
        <f>'REF. DE PREÇOS n editavel'!S2288</f>
        <v/>
      </c>
      <c r="W2288" s="577">
        <v>0</v>
      </c>
      <c r="X2288" s="575"/>
      <c r="Y2288" s="578">
        <f>IF('REF. DE PREÇOS n editavel'!W2288=0,0,IF('REF. DE PREÇOS n editavel'!W2288&gt;0,"c","b"))</f>
        <v>0</v>
      </c>
    </row>
    <row r="2289" spans="1:25" ht="15" customHeight="1">
      <c r="A2289" s="317" t="s">
        <v>38</v>
      </c>
      <c r="B2289" s="870" t="s">
        <v>38</v>
      </c>
      <c r="C2289" s="871" t="s">
        <v>184</v>
      </c>
      <c r="D2289" s="881" t="s">
        <v>386</v>
      </c>
      <c r="E2289" s="882">
        <f>'REF. DE PREÇOS n editavel'!E2289</f>
        <v>0</v>
      </c>
      <c r="F2289" s="883">
        <f>'REF. DE PREÇOS n editavel'!F2289</f>
        <v>0</v>
      </c>
      <c r="G2289" s="887">
        <f>'REF. DE PREÇOS n editavel'!G2289</f>
        <v>2729.7716955727501</v>
      </c>
      <c r="H2289" s="876">
        <f>'REF. DE PREÇOS n editavel'!H2289</f>
        <v>12178.23</v>
      </c>
      <c r="I2289" s="876">
        <f>'REF. DE PREÇOS n editavel'!I2289</f>
        <v>14908.00169557275</v>
      </c>
      <c r="J2289" s="877">
        <f>'REF. DE PREÇOS n editavel'!J2289</f>
        <v>18220.560000000001</v>
      </c>
      <c r="K2289" s="878" t="s">
        <v>15</v>
      </c>
      <c r="L2289" s="1092"/>
      <c r="M2289" s="1093">
        <f t="shared" si="226"/>
        <v>0</v>
      </c>
      <c r="N2289" s="1131">
        <f t="shared" si="227"/>
        <v>0</v>
      </c>
      <c r="O2289" s="880"/>
      <c r="Q2289" s="317" t="str">
        <f t="shared" si="228"/>
        <v/>
      </c>
      <c r="R2289" s="317" t="str">
        <f t="shared" si="229"/>
        <v/>
      </c>
      <c r="S2289" s="317" t="str">
        <f t="shared" si="230"/>
        <v/>
      </c>
      <c r="T2289" s="317" t="str">
        <f>'REF. DE PREÇOS n editavel'!S2289</f>
        <v/>
      </c>
      <c r="W2289" s="577">
        <v>0</v>
      </c>
      <c r="X2289" s="575"/>
      <c r="Y2289" s="578">
        <f>IF('REF. DE PREÇOS n editavel'!W2289=0,0,IF('REF. DE PREÇOS n editavel'!W2289&gt;0,"c","b"))</f>
        <v>0</v>
      </c>
    </row>
    <row r="2290" spans="1:25" ht="15" customHeight="1">
      <c r="A2290" s="317" t="s">
        <v>147</v>
      </c>
      <c r="B2290" s="870" t="s">
        <v>147</v>
      </c>
      <c r="C2290" s="871"/>
      <c r="D2290" s="881" t="s">
        <v>190</v>
      </c>
      <c r="E2290" s="882">
        <f>'REF. DE PREÇOS n editavel'!E2290</f>
        <v>445</v>
      </c>
      <c r="F2290" s="883">
        <f>'REF. DE PREÇOS n editavel'!F2290</f>
        <v>1.9087789500000001</v>
      </c>
      <c r="G2290" s="884">
        <f>'REF. DE PREÇOS n editavel'!G2290</f>
        <v>677.46382493400006</v>
      </c>
      <c r="H2290" s="876">
        <f>'REF. DE PREÇOS n editavel'!H2290</f>
        <v>0</v>
      </c>
      <c r="I2290" s="876">
        <f>'REF. DE PREÇOS n editavel'!I2290</f>
        <v>0</v>
      </c>
      <c r="J2290" s="877">
        <f>'REF. DE PREÇOS n editavel'!J2290</f>
        <v>0</v>
      </c>
      <c r="K2290" s="878"/>
      <c r="L2290" s="1132"/>
      <c r="M2290" s="1093">
        <f t="shared" si="226"/>
        <v>0</v>
      </c>
      <c r="N2290" s="1131">
        <f t="shared" si="227"/>
        <v>0</v>
      </c>
      <c r="O2290" s="880"/>
      <c r="P2290" s="36" t="str">
        <f>IF(N2289&gt;0,"xx",IF(N2289&gt;0,"xy",""))</f>
        <v/>
      </c>
      <c r="Q2290" s="317" t="str">
        <f t="shared" si="228"/>
        <v/>
      </c>
      <c r="R2290" s="317" t="str">
        <f t="shared" si="229"/>
        <v/>
      </c>
      <c r="S2290" s="317" t="str">
        <f t="shared" si="230"/>
        <v/>
      </c>
      <c r="T2290" s="317" t="str">
        <f>'REF. DE PREÇOS n editavel'!S2290</f>
        <v/>
      </c>
      <c r="W2290" s="577">
        <v>0</v>
      </c>
      <c r="X2290" s="575"/>
      <c r="Y2290" s="578">
        <f>IF('REF. DE PREÇOS n editavel'!W2290=0,0,IF('REF. DE PREÇOS n editavel'!W2290&gt;0,"c","b"))</f>
        <v>0</v>
      </c>
    </row>
    <row r="2291" spans="1:25" ht="15" customHeight="1">
      <c r="A2291" s="317" t="s">
        <v>147</v>
      </c>
      <c r="B2291" s="870" t="s">
        <v>147</v>
      </c>
      <c r="C2291" s="871"/>
      <c r="D2291" s="881" t="s">
        <v>229</v>
      </c>
      <c r="E2291" s="882">
        <f>'REF. DE PREÇOS n editavel'!E2291</f>
        <v>290</v>
      </c>
      <c r="F2291" s="883">
        <f>'REF. DE PREÇOS n editavel'!F2291</f>
        <v>5.5279776150000002</v>
      </c>
      <c r="G2291" s="923">
        <f>'REF. DE PREÇOS n editavel'!G2291</f>
        <v>1730.1464339427002</v>
      </c>
      <c r="H2291" s="876">
        <f>'REF. DE PREÇOS n editavel'!H2291</f>
        <v>0</v>
      </c>
      <c r="I2291" s="876">
        <f>'REF. DE PREÇOS n editavel'!I2291</f>
        <v>0</v>
      </c>
      <c r="J2291" s="877">
        <f>'REF. DE PREÇOS n editavel'!J2291</f>
        <v>0</v>
      </c>
      <c r="K2291" s="878"/>
      <c r="L2291" s="1132"/>
      <c r="M2291" s="1093">
        <f t="shared" si="226"/>
        <v>0</v>
      </c>
      <c r="N2291" s="1131">
        <f t="shared" si="227"/>
        <v>0</v>
      </c>
      <c r="O2291" s="880"/>
      <c r="P2291" s="36" t="str">
        <f>IF(N2289&gt;0,"xx",IF(N2289&gt;0,"xy",""))</f>
        <v/>
      </c>
      <c r="Q2291" s="317" t="str">
        <f t="shared" si="228"/>
        <v/>
      </c>
      <c r="R2291" s="317" t="str">
        <f t="shared" si="229"/>
        <v/>
      </c>
      <c r="S2291" s="317" t="str">
        <f t="shared" si="230"/>
        <v/>
      </c>
      <c r="T2291" s="317" t="str">
        <f>'REF. DE PREÇOS n editavel'!S2291</f>
        <v/>
      </c>
      <c r="W2291" s="577">
        <v>0</v>
      </c>
      <c r="X2291" s="575"/>
      <c r="Y2291" s="578">
        <f>IF('REF. DE PREÇOS n editavel'!W2291=0,0,IF('REF. DE PREÇOS n editavel'!W2291&gt;0,"c","b"))</f>
        <v>0</v>
      </c>
    </row>
    <row r="2292" spans="1:25" ht="15" customHeight="1">
      <c r="A2292" s="317" t="s">
        <v>147</v>
      </c>
      <c r="B2292" s="870" t="s">
        <v>147</v>
      </c>
      <c r="C2292" s="871"/>
      <c r="D2292" s="881" t="s">
        <v>233</v>
      </c>
      <c r="E2292" s="882">
        <f>'REF. DE PREÇOS n editavel'!E2292</f>
        <v>43.1</v>
      </c>
      <c r="F2292" s="883">
        <f>'REF. DE PREÇOS n editavel'!F2292</f>
        <v>6.6020746500000005</v>
      </c>
      <c r="G2292" s="923">
        <f>'REF. DE PREÇOS n editavel'!G2292</f>
        <v>322.16143669605003</v>
      </c>
      <c r="H2292" s="876">
        <f>'REF. DE PREÇOS n editavel'!H2292</f>
        <v>0</v>
      </c>
      <c r="I2292" s="876">
        <f>'REF. DE PREÇOS n editavel'!I2292</f>
        <v>0</v>
      </c>
      <c r="J2292" s="877">
        <f>'REF. DE PREÇOS n editavel'!J2292</f>
        <v>0</v>
      </c>
      <c r="K2292" s="878"/>
      <c r="L2292" s="1132"/>
      <c r="M2292" s="1093">
        <f t="shared" si="226"/>
        <v>0</v>
      </c>
      <c r="N2292" s="1131">
        <f t="shared" si="227"/>
        <v>0</v>
      </c>
      <c r="O2292" s="880"/>
      <c r="P2292" s="36" t="str">
        <f>IF(N2289&gt;0,"xx",IF(N2289&gt;0,"xy",""))</f>
        <v/>
      </c>
      <c r="Q2292" s="317" t="str">
        <f t="shared" si="228"/>
        <v/>
      </c>
      <c r="R2292" s="317" t="str">
        <f t="shared" si="229"/>
        <v/>
      </c>
      <c r="S2292" s="317" t="str">
        <f t="shared" si="230"/>
        <v/>
      </c>
      <c r="T2292" s="317" t="str">
        <f>'REF. DE PREÇOS n editavel'!S2292</f>
        <v/>
      </c>
      <c r="W2292" s="577">
        <v>0</v>
      </c>
      <c r="X2292" s="575"/>
      <c r="Y2292" s="578">
        <f>IF('REF. DE PREÇOS n editavel'!W2292=0,0,IF('REF. DE PREÇOS n editavel'!W2292&gt;0,"c","b"))</f>
        <v>0</v>
      </c>
    </row>
    <row r="2293" spans="1:25" ht="15" customHeight="1">
      <c r="A2293" s="317" t="s">
        <v>115</v>
      </c>
      <c r="B2293" s="870" t="s">
        <v>115</v>
      </c>
      <c r="C2293" s="871" t="s">
        <v>184</v>
      </c>
      <c r="D2293" s="881" t="s">
        <v>127</v>
      </c>
      <c r="E2293" s="882">
        <f>'REF. DE PREÇOS n editavel'!E2293</f>
        <v>0</v>
      </c>
      <c r="F2293" s="883">
        <f>'REF. DE PREÇOS n editavel'!F2293</f>
        <v>0</v>
      </c>
      <c r="G2293" s="887">
        <f>'REF. DE PREÇOS n editavel'!G2293</f>
        <v>575.44937683400019</v>
      </c>
      <c r="H2293" s="876">
        <f>'REF. DE PREÇOS n editavel'!H2293</f>
        <v>2203.7800000000002</v>
      </c>
      <c r="I2293" s="876">
        <f>'REF. DE PREÇOS n editavel'!I2293</f>
        <v>2779.2293768340005</v>
      </c>
      <c r="J2293" s="877">
        <f>'REF. DE PREÇOS n editavel'!J2293</f>
        <v>3396.77</v>
      </c>
      <c r="K2293" s="878" t="s">
        <v>15</v>
      </c>
      <c r="L2293" s="1092"/>
      <c r="M2293" s="1093">
        <f t="shared" si="226"/>
        <v>0</v>
      </c>
      <c r="N2293" s="1131">
        <f t="shared" si="227"/>
        <v>0</v>
      </c>
      <c r="O2293" s="880"/>
      <c r="Q2293" s="317" t="str">
        <f t="shared" si="228"/>
        <v/>
      </c>
      <c r="R2293" s="317" t="str">
        <f t="shared" si="229"/>
        <v/>
      </c>
      <c r="S2293" s="317" t="str">
        <f t="shared" si="230"/>
        <v/>
      </c>
      <c r="T2293" s="317" t="str">
        <f>'REF. DE PREÇOS n editavel'!S2293</f>
        <v/>
      </c>
      <c r="W2293" s="577">
        <v>0</v>
      </c>
      <c r="X2293" s="575"/>
      <c r="Y2293" s="578">
        <f>IF('REF. DE PREÇOS n editavel'!W2293=0,0,IF('REF. DE PREÇOS n editavel'!W2293&gt;0,"c","b"))</f>
        <v>0</v>
      </c>
    </row>
    <row r="2294" spans="1:25" ht="15" customHeight="1">
      <c r="A2294" s="317" t="s">
        <v>147</v>
      </c>
      <c r="B2294" s="870" t="s">
        <v>147</v>
      </c>
      <c r="C2294" s="871"/>
      <c r="D2294" s="881" t="s">
        <v>190</v>
      </c>
      <c r="E2294" s="882">
        <f>'REF. DE PREÇOS n editavel'!E2294</f>
        <v>445</v>
      </c>
      <c r="F2294" s="883">
        <f>'REF. DE PREÇOS n editavel'!F2294</f>
        <v>0.35276220000000008</v>
      </c>
      <c r="G2294" s="884">
        <f>'REF. DE PREÇOS n editavel'!G2294</f>
        <v>125.20236002400003</v>
      </c>
      <c r="H2294" s="876">
        <f>'REF. DE PREÇOS n editavel'!H2294</f>
        <v>0</v>
      </c>
      <c r="I2294" s="876">
        <f>'REF. DE PREÇOS n editavel'!I2294</f>
        <v>0</v>
      </c>
      <c r="J2294" s="877">
        <f>'REF. DE PREÇOS n editavel'!J2294</f>
        <v>0</v>
      </c>
      <c r="K2294" s="878"/>
      <c r="L2294" s="1132"/>
      <c r="M2294" s="1093">
        <f t="shared" si="226"/>
        <v>0</v>
      </c>
      <c r="N2294" s="1131">
        <f t="shared" si="227"/>
        <v>0</v>
      </c>
      <c r="O2294" s="880"/>
      <c r="P2294" s="36" t="str">
        <f>IF(N2293&gt;0,"xx",IF(N2293&gt;0,"xy",""))</f>
        <v/>
      </c>
      <c r="Q2294" s="317" t="str">
        <f t="shared" si="228"/>
        <v/>
      </c>
      <c r="R2294" s="317" t="str">
        <f t="shared" si="229"/>
        <v/>
      </c>
      <c r="S2294" s="317" t="str">
        <f t="shared" si="230"/>
        <v/>
      </c>
      <c r="T2294" s="317" t="str">
        <f>'REF. DE PREÇOS n editavel'!S2294</f>
        <v/>
      </c>
      <c r="W2294" s="577">
        <v>0</v>
      </c>
      <c r="X2294" s="575"/>
      <c r="Y2294" s="578">
        <f>IF('REF. DE PREÇOS n editavel'!W2294=0,0,IF('REF. DE PREÇOS n editavel'!W2294&gt;0,"c","b"))</f>
        <v>0</v>
      </c>
    </row>
    <row r="2295" spans="1:25" ht="15" customHeight="1">
      <c r="A2295" s="317" t="s">
        <v>147</v>
      </c>
      <c r="B2295" s="870" t="s">
        <v>147</v>
      </c>
      <c r="C2295" s="871"/>
      <c r="D2295" s="881" t="s">
        <v>229</v>
      </c>
      <c r="E2295" s="882">
        <f>'REF. DE PREÇOS n editavel'!E2295</f>
        <v>290</v>
      </c>
      <c r="F2295" s="883">
        <f>'REF. DE PREÇOS n editavel'!F2295</f>
        <v>1.1888125000000003</v>
      </c>
      <c r="G2295" s="923">
        <f>'REF. DE PREÇOS n editavel'!G2295</f>
        <v>372.07453625000011</v>
      </c>
      <c r="H2295" s="876">
        <f>'REF. DE PREÇOS n editavel'!H2295</f>
        <v>0</v>
      </c>
      <c r="I2295" s="876">
        <f>'REF. DE PREÇOS n editavel'!I2295</f>
        <v>0</v>
      </c>
      <c r="J2295" s="877">
        <f>'REF. DE PREÇOS n editavel'!J2295</f>
        <v>0</v>
      </c>
      <c r="K2295" s="878"/>
      <c r="L2295" s="1132"/>
      <c r="M2295" s="1093">
        <f t="shared" si="226"/>
        <v>0</v>
      </c>
      <c r="N2295" s="1131">
        <f t="shared" si="227"/>
        <v>0</v>
      </c>
      <c r="O2295" s="880"/>
      <c r="P2295" s="36" t="str">
        <f>IF(N2293&gt;0,"xx",IF(N2293&gt;0,"xy",""))</f>
        <v/>
      </c>
      <c r="Q2295" s="317" t="str">
        <f t="shared" si="228"/>
        <v/>
      </c>
      <c r="R2295" s="317" t="str">
        <f t="shared" si="229"/>
        <v/>
      </c>
      <c r="S2295" s="317" t="str">
        <f t="shared" si="230"/>
        <v/>
      </c>
      <c r="T2295" s="317" t="str">
        <f>'REF. DE PREÇOS n editavel'!S2295</f>
        <v/>
      </c>
      <c r="W2295" s="577">
        <v>0</v>
      </c>
      <c r="X2295" s="575"/>
      <c r="Y2295" s="578">
        <f>IF('REF. DE PREÇOS n editavel'!W2295=0,0,IF('REF. DE PREÇOS n editavel'!W2295&gt;0,"c","b"))</f>
        <v>0</v>
      </c>
    </row>
    <row r="2296" spans="1:25" ht="15" customHeight="1">
      <c r="A2296" s="317" t="s">
        <v>147</v>
      </c>
      <c r="B2296" s="870" t="s">
        <v>147</v>
      </c>
      <c r="C2296" s="871"/>
      <c r="D2296" s="881" t="s">
        <v>233</v>
      </c>
      <c r="E2296" s="882">
        <f>'REF. DE PREÇOS n editavel'!E2296</f>
        <v>43.1</v>
      </c>
      <c r="F2296" s="883">
        <f>'REF. DE PREÇOS n editavel'!F2296</f>
        <v>1.1100000000000001</v>
      </c>
      <c r="G2296" s="923">
        <f>'REF. DE PREÇOS n editavel'!G2296</f>
        <v>54.164670000000008</v>
      </c>
      <c r="H2296" s="876">
        <f>'REF. DE PREÇOS n editavel'!H2296</f>
        <v>0</v>
      </c>
      <c r="I2296" s="876">
        <f>'REF. DE PREÇOS n editavel'!I2296</f>
        <v>0</v>
      </c>
      <c r="J2296" s="877">
        <f>'REF. DE PREÇOS n editavel'!J2296</f>
        <v>0</v>
      </c>
      <c r="K2296" s="878"/>
      <c r="L2296" s="1132"/>
      <c r="M2296" s="1093">
        <f t="shared" si="226"/>
        <v>0</v>
      </c>
      <c r="N2296" s="1131">
        <f t="shared" si="227"/>
        <v>0</v>
      </c>
      <c r="O2296" s="880"/>
      <c r="P2296" s="36" t="str">
        <f>IF(N2293&gt;0,"xx",IF(N2293&gt;0,"xy",""))</f>
        <v/>
      </c>
      <c r="Q2296" s="317" t="str">
        <f t="shared" si="228"/>
        <v/>
      </c>
      <c r="R2296" s="317" t="str">
        <f t="shared" si="229"/>
        <v/>
      </c>
      <c r="S2296" s="317" t="str">
        <f t="shared" si="230"/>
        <v/>
      </c>
      <c r="T2296" s="317" t="str">
        <f>'REF. DE PREÇOS n editavel'!S2296</f>
        <v/>
      </c>
      <c r="W2296" s="577">
        <v>0</v>
      </c>
      <c r="X2296" s="575"/>
      <c r="Y2296" s="578">
        <f>IF('REF. DE PREÇOS n editavel'!W2296=0,0,IF('REF. DE PREÇOS n editavel'!W2296&gt;0,"c","b"))</f>
        <v>0</v>
      </c>
    </row>
    <row r="2297" spans="1:25" ht="15" customHeight="1">
      <c r="A2297" s="317" t="s">
        <v>147</v>
      </c>
      <c r="B2297" s="870" t="s">
        <v>147</v>
      </c>
      <c r="C2297" s="871"/>
      <c r="D2297" s="881" t="s">
        <v>365</v>
      </c>
      <c r="E2297" s="882">
        <f>'REF. DE PREÇOS n editavel'!E2297</f>
        <v>28</v>
      </c>
      <c r="F2297" s="883">
        <f>'REF. DE PREÇOS n editavel'!F2297</f>
        <v>0.54144000000000003</v>
      </c>
      <c r="G2297" s="923">
        <f>'REF. DE PREÇOS n editavel'!G2297</f>
        <v>17.6726016</v>
      </c>
      <c r="H2297" s="876">
        <f>'REF. DE PREÇOS n editavel'!H2297</f>
        <v>0</v>
      </c>
      <c r="I2297" s="876">
        <f>'REF. DE PREÇOS n editavel'!I2297</f>
        <v>0</v>
      </c>
      <c r="J2297" s="877">
        <f>'REF. DE PREÇOS n editavel'!J2297</f>
        <v>0</v>
      </c>
      <c r="K2297" s="878"/>
      <c r="L2297" s="1132"/>
      <c r="M2297" s="1093">
        <f t="shared" si="226"/>
        <v>0</v>
      </c>
      <c r="N2297" s="1131">
        <f t="shared" si="227"/>
        <v>0</v>
      </c>
      <c r="O2297" s="880"/>
      <c r="P2297" s="36" t="str">
        <f>IF(N2293&gt;0,"xx",IF(N2293&gt;0,"xy",""))</f>
        <v/>
      </c>
      <c r="Q2297" s="317" t="str">
        <f t="shared" si="228"/>
        <v/>
      </c>
      <c r="R2297" s="317" t="str">
        <f t="shared" si="229"/>
        <v/>
      </c>
      <c r="S2297" s="317" t="str">
        <f t="shared" si="230"/>
        <v/>
      </c>
      <c r="T2297" s="317" t="str">
        <f>'REF. DE PREÇOS n editavel'!S2297</f>
        <v/>
      </c>
      <c r="W2297" s="577">
        <v>0</v>
      </c>
      <c r="X2297" s="575"/>
      <c r="Y2297" s="578">
        <f>IF('REF. DE PREÇOS n editavel'!W2297=0,0,IF('REF. DE PREÇOS n editavel'!W2297&gt;0,"c","b"))</f>
        <v>0</v>
      </c>
    </row>
    <row r="2298" spans="1:25" ht="15" customHeight="1">
      <c r="A2298" s="317" t="s">
        <v>147</v>
      </c>
      <c r="B2298" s="870" t="s">
        <v>147</v>
      </c>
      <c r="C2298" s="871"/>
      <c r="D2298" s="881" t="s">
        <v>366</v>
      </c>
      <c r="E2298" s="882">
        <f>'REF. DE PREÇOS n editavel'!E2298</f>
        <v>440</v>
      </c>
      <c r="F2298" s="883">
        <f>'REF. DE PREÇOS n editavel'!F2298</f>
        <v>1.8048000000000002E-2</v>
      </c>
      <c r="G2298" s="884">
        <f>'REF. DE PREÇOS n editavel'!G2298</f>
        <v>6.335208960000001</v>
      </c>
      <c r="H2298" s="876">
        <f>'REF. DE PREÇOS n editavel'!H2298</f>
        <v>0</v>
      </c>
      <c r="I2298" s="876">
        <f>'REF. DE PREÇOS n editavel'!I2298</f>
        <v>0</v>
      </c>
      <c r="J2298" s="877">
        <f>'REF. DE PREÇOS n editavel'!J2298</f>
        <v>0</v>
      </c>
      <c r="K2298" s="878"/>
      <c r="L2298" s="1132"/>
      <c r="M2298" s="1093">
        <f t="shared" si="226"/>
        <v>0</v>
      </c>
      <c r="N2298" s="1131">
        <f t="shared" si="227"/>
        <v>0</v>
      </c>
      <c r="O2298" s="880"/>
      <c r="P2298" s="36" t="str">
        <f>IF(N2293&gt;0,"xx",IF(N2293&gt;0,"xy",""))</f>
        <v/>
      </c>
      <c r="Q2298" s="317" t="str">
        <f t="shared" si="228"/>
        <v/>
      </c>
      <c r="R2298" s="317" t="str">
        <f t="shared" si="229"/>
        <v/>
      </c>
      <c r="S2298" s="317" t="str">
        <f t="shared" si="230"/>
        <v/>
      </c>
      <c r="T2298" s="317" t="str">
        <f>'REF. DE PREÇOS n editavel'!S2298</f>
        <v/>
      </c>
      <c r="W2298" s="577">
        <v>0</v>
      </c>
      <c r="X2298" s="575"/>
      <c r="Y2298" s="578">
        <f>IF('REF. DE PREÇOS n editavel'!W2298=0,0,IF('REF. DE PREÇOS n editavel'!W2298&gt;0,"c","b"))</f>
        <v>0</v>
      </c>
    </row>
    <row r="2299" spans="1:25" ht="15" customHeight="1">
      <c r="A2299" s="317" t="s">
        <v>116</v>
      </c>
      <c r="B2299" s="870" t="s">
        <v>116</v>
      </c>
      <c r="C2299" s="871" t="s">
        <v>184</v>
      </c>
      <c r="D2299" s="881" t="s">
        <v>128</v>
      </c>
      <c r="E2299" s="882">
        <f>'REF. DE PREÇOS n editavel'!E2299</f>
        <v>0</v>
      </c>
      <c r="F2299" s="883">
        <f>'REF. DE PREÇOS n editavel'!F2299</f>
        <v>0</v>
      </c>
      <c r="G2299" s="887">
        <f>'REF. DE PREÇOS n editavel'!G2299</f>
        <v>650.29558091199988</v>
      </c>
      <c r="H2299" s="876">
        <f>'REF. DE PREÇOS n editavel'!H2299</f>
        <v>2425.58</v>
      </c>
      <c r="I2299" s="876">
        <f>'REF. DE PREÇOS n editavel'!I2299</f>
        <v>3075.8755809119998</v>
      </c>
      <c r="J2299" s="877">
        <f>'REF. DE PREÇOS n editavel'!J2299</f>
        <v>3759.34</v>
      </c>
      <c r="K2299" s="878" t="s">
        <v>15</v>
      </c>
      <c r="L2299" s="1092"/>
      <c r="M2299" s="1093">
        <f t="shared" si="226"/>
        <v>0</v>
      </c>
      <c r="N2299" s="1131">
        <f t="shared" si="227"/>
        <v>0</v>
      </c>
      <c r="O2299" s="880"/>
      <c r="Q2299" s="317" t="str">
        <f t="shared" si="228"/>
        <v/>
      </c>
      <c r="R2299" s="317" t="str">
        <f t="shared" si="229"/>
        <v/>
      </c>
      <c r="S2299" s="317" t="str">
        <f t="shared" si="230"/>
        <v/>
      </c>
      <c r="T2299" s="317" t="str">
        <f>'REF. DE PREÇOS n editavel'!S2299</f>
        <v/>
      </c>
      <c r="W2299" s="577">
        <v>0</v>
      </c>
      <c r="X2299" s="575"/>
      <c r="Y2299" s="578">
        <f>IF('REF. DE PREÇOS n editavel'!W2299=0,0,IF('REF. DE PREÇOS n editavel'!W2299&gt;0,"c","b"))</f>
        <v>0</v>
      </c>
    </row>
    <row r="2300" spans="1:25" ht="15" customHeight="1">
      <c r="A2300" s="317" t="s">
        <v>147</v>
      </c>
      <c r="B2300" s="870" t="s">
        <v>147</v>
      </c>
      <c r="C2300" s="871"/>
      <c r="D2300" s="881" t="s">
        <v>190</v>
      </c>
      <c r="E2300" s="882">
        <f>'REF. DE PREÇOS n editavel'!E2300</f>
        <v>445</v>
      </c>
      <c r="F2300" s="883">
        <f>'REF. DE PREÇOS n editavel'!F2300</f>
        <v>0.38489359999999995</v>
      </c>
      <c r="G2300" s="884">
        <f>'REF. DE PREÇOS n editavel'!G2300</f>
        <v>136.60643651199999</v>
      </c>
      <c r="H2300" s="876">
        <f>'REF. DE PREÇOS n editavel'!H2300</f>
        <v>0</v>
      </c>
      <c r="I2300" s="876">
        <f>'REF. DE PREÇOS n editavel'!I2300</f>
        <v>0</v>
      </c>
      <c r="J2300" s="877">
        <f>'REF. DE PREÇOS n editavel'!J2300</f>
        <v>0</v>
      </c>
      <c r="K2300" s="878"/>
      <c r="L2300" s="1132"/>
      <c r="M2300" s="1093">
        <f t="shared" si="226"/>
        <v>0</v>
      </c>
      <c r="N2300" s="1131">
        <f t="shared" si="227"/>
        <v>0</v>
      </c>
      <c r="O2300" s="880"/>
      <c r="P2300" s="36" t="str">
        <f>IF(N2299&gt;0,"xx",IF(N2299&gt;0,"xy",""))</f>
        <v/>
      </c>
      <c r="Q2300" s="317" t="str">
        <f t="shared" si="228"/>
        <v/>
      </c>
      <c r="R2300" s="317" t="str">
        <f t="shared" si="229"/>
        <v/>
      </c>
      <c r="S2300" s="317" t="str">
        <f t="shared" si="230"/>
        <v/>
      </c>
      <c r="T2300" s="317" t="str">
        <f>'REF. DE PREÇOS n editavel'!S2300</f>
        <v/>
      </c>
      <c r="W2300" s="577">
        <v>0</v>
      </c>
      <c r="X2300" s="575"/>
      <c r="Y2300" s="578">
        <f>IF('REF. DE PREÇOS n editavel'!W2300=0,0,IF('REF. DE PREÇOS n editavel'!W2300&gt;0,"c","b"))</f>
        <v>0</v>
      </c>
    </row>
    <row r="2301" spans="1:25" ht="15" customHeight="1">
      <c r="A2301" s="317" t="s">
        <v>147</v>
      </c>
      <c r="B2301" s="870" t="s">
        <v>147</v>
      </c>
      <c r="C2301" s="871"/>
      <c r="D2301" s="881" t="s">
        <v>229</v>
      </c>
      <c r="E2301" s="882">
        <f>'REF. DE PREÇOS n editavel'!E2301</f>
        <v>290</v>
      </c>
      <c r="F2301" s="883">
        <f>'REF. DE PREÇOS n editavel'!F2301</f>
        <v>1.3499699999999999</v>
      </c>
      <c r="G2301" s="923">
        <f>'REF. DE PREÇOS n editavel'!G2301</f>
        <v>422.51361059999999</v>
      </c>
      <c r="H2301" s="876">
        <f>'REF. DE PREÇOS n editavel'!H2301</f>
        <v>0</v>
      </c>
      <c r="I2301" s="876">
        <f>'REF. DE PREÇOS n editavel'!I2301</f>
        <v>0</v>
      </c>
      <c r="J2301" s="877">
        <f>'REF. DE PREÇOS n editavel'!J2301</f>
        <v>0</v>
      </c>
      <c r="K2301" s="878"/>
      <c r="L2301" s="1132"/>
      <c r="M2301" s="1093">
        <f t="shared" si="226"/>
        <v>0</v>
      </c>
      <c r="N2301" s="1131">
        <f t="shared" si="227"/>
        <v>0</v>
      </c>
      <c r="O2301" s="880"/>
      <c r="P2301" s="36" t="str">
        <f>IF(N2299&gt;0,"xx",IF(N2299&gt;0,"xy",""))</f>
        <v/>
      </c>
      <c r="Q2301" s="317" t="str">
        <f t="shared" si="228"/>
        <v/>
      </c>
      <c r="R2301" s="317" t="str">
        <f t="shared" si="229"/>
        <v/>
      </c>
      <c r="S2301" s="317" t="str">
        <f t="shared" si="230"/>
        <v/>
      </c>
      <c r="T2301" s="317" t="str">
        <f>'REF. DE PREÇOS n editavel'!S2301</f>
        <v/>
      </c>
      <c r="W2301" s="577">
        <v>0</v>
      </c>
      <c r="X2301" s="575"/>
      <c r="Y2301" s="578">
        <f>IF('REF. DE PREÇOS n editavel'!W2301=0,0,IF('REF. DE PREÇOS n editavel'!W2301&gt;0,"c","b"))</f>
        <v>0</v>
      </c>
    </row>
    <row r="2302" spans="1:25" ht="15" customHeight="1">
      <c r="A2302" s="317" t="s">
        <v>147</v>
      </c>
      <c r="B2302" s="870" t="s">
        <v>147</v>
      </c>
      <c r="C2302" s="871"/>
      <c r="D2302" s="881" t="s">
        <v>233</v>
      </c>
      <c r="E2302" s="882">
        <f>'REF. DE PREÇOS n editavel'!E2302</f>
        <v>43.1</v>
      </c>
      <c r="F2302" s="883">
        <f>'REF. DE PREÇOS n editavel'!F2302</f>
        <v>1.1766000000000001</v>
      </c>
      <c r="G2302" s="923">
        <f>'REF. DE PREÇOS n editavel'!G2302</f>
        <v>57.414550200000008</v>
      </c>
      <c r="H2302" s="876">
        <f>'REF. DE PREÇOS n editavel'!H2302</f>
        <v>0</v>
      </c>
      <c r="I2302" s="876">
        <f>'REF. DE PREÇOS n editavel'!I2302</f>
        <v>0</v>
      </c>
      <c r="J2302" s="877">
        <f>'REF. DE PREÇOS n editavel'!J2302</f>
        <v>0</v>
      </c>
      <c r="K2302" s="878"/>
      <c r="L2302" s="1132"/>
      <c r="M2302" s="1093">
        <f t="shared" si="226"/>
        <v>0</v>
      </c>
      <c r="N2302" s="1131">
        <f t="shared" si="227"/>
        <v>0</v>
      </c>
      <c r="O2302" s="880"/>
      <c r="P2302" s="36" t="str">
        <f>IF(N2299&gt;0,"xx",IF(N2299&gt;0,"xy",""))</f>
        <v/>
      </c>
      <c r="Q2302" s="317" t="str">
        <f t="shared" si="228"/>
        <v/>
      </c>
      <c r="R2302" s="317" t="str">
        <f t="shared" si="229"/>
        <v/>
      </c>
      <c r="S2302" s="317" t="str">
        <f t="shared" si="230"/>
        <v/>
      </c>
      <c r="T2302" s="317" t="str">
        <f>'REF. DE PREÇOS n editavel'!S2302</f>
        <v/>
      </c>
      <c r="W2302" s="577">
        <v>0</v>
      </c>
      <c r="X2302" s="575"/>
      <c r="Y2302" s="578">
        <f>IF('REF. DE PREÇOS n editavel'!W2302=0,0,IF('REF. DE PREÇOS n editavel'!W2302&gt;0,"c","b"))</f>
        <v>0</v>
      </c>
    </row>
    <row r="2303" spans="1:25" ht="15" customHeight="1">
      <c r="A2303" s="317" t="s">
        <v>147</v>
      </c>
      <c r="B2303" s="870" t="s">
        <v>147</v>
      </c>
      <c r="C2303" s="871"/>
      <c r="D2303" s="881" t="s">
        <v>365</v>
      </c>
      <c r="E2303" s="882">
        <f>'REF. DE PREÇOS n editavel'!E2303</f>
        <v>28</v>
      </c>
      <c r="F2303" s="883">
        <f>'REF. DE PREÇOS n editavel'!F2303</f>
        <v>0.76139999999999997</v>
      </c>
      <c r="G2303" s="923">
        <f>'REF. DE PREÇOS n editavel'!G2303</f>
        <v>24.852096</v>
      </c>
      <c r="H2303" s="876">
        <f>'REF. DE PREÇOS n editavel'!H2303</f>
        <v>0</v>
      </c>
      <c r="I2303" s="876">
        <f>'REF. DE PREÇOS n editavel'!I2303</f>
        <v>0</v>
      </c>
      <c r="J2303" s="877">
        <f>'REF. DE PREÇOS n editavel'!J2303</f>
        <v>0</v>
      </c>
      <c r="K2303" s="878"/>
      <c r="L2303" s="1132"/>
      <c r="M2303" s="1093">
        <f t="shared" si="226"/>
        <v>0</v>
      </c>
      <c r="N2303" s="1131">
        <f t="shared" si="227"/>
        <v>0</v>
      </c>
      <c r="O2303" s="880"/>
      <c r="P2303" s="36" t="str">
        <f>IF(N2299&gt;0,"xx",IF(N2299&gt;0,"xy",""))</f>
        <v/>
      </c>
      <c r="Q2303" s="317" t="str">
        <f t="shared" si="228"/>
        <v/>
      </c>
      <c r="R2303" s="317" t="str">
        <f t="shared" si="229"/>
        <v/>
      </c>
      <c r="S2303" s="317" t="str">
        <f t="shared" si="230"/>
        <v/>
      </c>
      <c r="T2303" s="317" t="str">
        <f>'REF. DE PREÇOS n editavel'!S2303</f>
        <v/>
      </c>
      <c r="W2303" s="577">
        <v>0</v>
      </c>
      <c r="X2303" s="575"/>
      <c r="Y2303" s="578">
        <f>IF('REF. DE PREÇOS n editavel'!W2303=0,0,IF('REF. DE PREÇOS n editavel'!W2303&gt;0,"c","b"))</f>
        <v>0</v>
      </c>
    </row>
    <row r="2304" spans="1:25" ht="15" customHeight="1">
      <c r="A2304" s="317" t="s">
        <v>147</v>
      </c>
      <c r="B2304" s="870" t="s">
        <v>147</v>
      </c>
      <c r="C2304" s="871"/>
      <c r="D2304" s="881" t="s">
        <v>366</v>
      </c>
      <c r="E2304" s="882">
        <f>'REF. DE PREÇOS n editavel'!E2304</f>
        <v>440</v>
      </c>
      <c r="F2304" s="883">
        <f>'REF. DE PREÇOS n editavel'!F2304</f>
        <v>2.538E-2</v>
      </c>
      <c r="G2304" s="884">
        <f>'REF. DE PREÇOS n editavel'!G2304</f>
        <v>8.9088876000000017</v>
      </c>
      <c r="H2304" s="876">
        <f>'REF. DE PREÇOS n editavel'!H2304</f>
        <v>0</v>
      </c>
      <c r="I2304" s="876">
        <f>'REF. DE PREÇOS n editavel'!I2304</f>
        <v>0</v>
      </c>
      <c r="J2304" s="877">
        <f>'REF. DE PREÇOS n editavel'!J2304</f>
        <v>0</v>
      </c>
      <c r="K2304" s="878"/>
      <c r="L2304" s="1132"/>
      <c r="M2304" s="1093">
        <f t="shared" si="226"/>
        <v>0</v>
      </c>
      <c r="N2304" s="1131">
        <f t="shared" si="227"/>
        <v>0</v>
      </c>
      <c r="O2304" s="880"/>
      <c r="P2304" s="36" t="str">
        <f>IF(N2299&gt;0,"xx",IF(N2299&gt;0,"xy",""))</f>
        <v/>
      </c>
      <c r="Q2304" s="317" t="str">
        <f t="shared" si="228"/>
        <v/>
      </c>
      <c r="R2304" s="317" t="str">
        <f t="shared" si="229"/>
        <v/>
      </c>
      <c r="S2304" s="317" t="str">
        <f t="shared" si="230"/>
        <v/>
      </c>
      <c r="T2304" s="317" t="str">
        <f>'REF. DE PREÇOS n editavel'!S2304</f>
        <v/>
      </c>
      <c r="W2304" s="577">
        <v>0</v>
      </c>
      <c r="X2304" s="575"/>
      <c r="Y2304" s="578">
        <f>IF('REF. DE PREÇOS n editavel'!W2304=0,0,IF('REF. DE PREÇOS n editavel'!W2304&gt;0,"c","b"))</f>
        <v>0</v>
      </c>
    </row>
    <row r="2305" spans="1:25" ht="15" customHeight="1">
      <c r="A2305" s="317" t="s">
        <v>117</v>
      </c>
      <c r="B2305" s="870" t="s">
        <v>117</v>
      </c>
      <c r="C2305" s="871" t="s">
        <v>184</v>
      </c>
      <c r="D2305" s="881" t="s">
        <v>129</v>
      </c>
      <c r="E2305" s="882">
        <f>'REF. DE PREÇOS n editavel'!E2305</f>
        <v>0</v>
      </c>
      <c r="F2305" s="883">
        <f>'REF. DE PREÇOS n editavel'!F2305</f>
        <v>0</v>
      </c>
      <c r="G2305" s="887">
        <f>'REF. DE PREÇOS n editavel'!G2305</f>
        <v>758.19648306800002</v>
      </c>
      <c r="H2305" s="876">
        <f>'REF. DE PREÇOS n editavel'!H2305</f>
        <v>2754.73</v>
      </c>
      <c r="I2305" s="876">
        <f>'REF. DE PREÇOS n editavel'!I2305</f>
        <v>3512.9264830679999</v>
      </c>
      <c r="J2305" s="877">
        <f>'REF. DE PREÇOS n editavel'!J2305</f>
        <v>4293.5</v>
      </c>
      <c r="K2305" s="878" t="s">
        <v>15</v>
      </c>
      <c r="L2305" s="1092"/>
      <c r="M2305" s="1093">
        <f t="shared" si="226"/>
        <v>0</v>
      </c>
      <c r="N2305" s="1131">
        <f t="shared" si="227"/>
        <v>0</v>
      </c>
      <c r="O2305" s="880"/>
      <c r="Q2305" s="317" t="str">
        <f t="shared" si="228"/>
        <v/>
      </c>
      <c r="R2305" s="317" t="str">
        <f t="shared" si="229"/>
        <v/>
      </c>
      <c r="S2305" s="317" t="str">
        <f t="shared" si="230"/>
        <v/>
      </c>
      <c r="T2305" s="317" t="str">
        <f>'REF. DE PREÇOS n editavel'!S2305</f>
        <v/>
      </c>
      <c r="W2305" s="577">
        <v>0</v>
      </c>
      <c r="X2305" s="575"/>
      <c r="Y2305" s="578">
        <f>IF('REF. DE PREÇOS n editavel'!W2305=0,0,IF('REF. DE PREÇOS n editavel'!W2305&gt;0,"c","b"))</f>
        <v>0</v>
      </c>
    </row>
    <row r="2306" spans="1:25" ht="15" customHeight="1">
      <c r="A2306" s="317" t="s">
        <v>147</v>
      </c>
      <c r="B2306" s="870" t="s">
        <v>147</v>
      </c>
      <c r="C2306" s="871"/>
      <c r="D2306" s="881" t="s">
        <v>190</v>
      </c>
      <c r="E2306" s="882">
        <f>'REF. DE PREÇOS n editavel'!E2306</f>
        <v>445</v>
      </c>
      <c r="F2306" s="883">
        <f>'REF. DE PREÇOS n editavel'!F2306</f>
        <v>0.43281240000000004</v>
      </c>
      <c r="G2306" s="884">
        <f>'REF. DE PREÇOS n editavel'!G2306</f>
        <v>153.61377700800003</v>
      </c>
      <c r="H2306" s="876">
        <f>'REF. DE PREÇOS n editavel'!H2306</f>
        <v>0</v>
      </c>
      <c r="I2306" s="876">
        <f>'REF. DE PREÇOS n editavel'!I2306</f>
        <v>0</v>
      </c>
      <c r="J2306" s="877">
        <f>'REF. DE PREÇOS n editavel'!J2306</f>
        <v>0</v>
      </c>
      <c r="K2306" s="878"/>
      <c r="L2306" s="1132"/>
      <c r="M2306" s="1093">
        <f t="shared" si="226"/>
        <v>0</v>
      </c>
      <c r="N2306" s="1131">
        <f t="shared" si="227"/>
        <v>0</v>
      </c>
      <c r="O2306" s="880"/>
      <c r="P2306" s="36" t="str">
        <f>IF(N2305&gt;0,"xx",IF(N2305&gt;0,"xy",""))</f>
        <v/>
      </c>
      <c r="Q2306" s="317" t="str">
        <f t="shared" si="228"/>
        <v/>
      </c>
      <c r="R2306" s="317" t="str">
        <f t="shared" si="229"/>
        <v/>
      </c>
      <c r="S2306" s="317" t="str">
        <f t="shared" si="230"/>
        <v/>
      </c>
      <c r="T2306" s="317" t="str">
        <f>'REF. DE PREÇOS n editavel'!S2306</f>
        <v/>
      </c>
      <c r="W2306" s="577">
        <v>0</v>
      </c>
      <c r="X2306" s="575"/>
      <c r="Y2306" s="578">
        <f>IF('REF. DE PREÇOS n editavel'!W2306=0,0,IF('REF. DE PREÇOS n editavel'!W2306&gt;0,"c","b"))</f>
        <v>0</v>
      </c>
    </row>
    <row r="2307" spans="1:25" ht="15" customHeight="1">
      <c r="A2307" s="317" t="s">
        <v>147</v>
      </c>
      <c r="B2307" s="870" t="s">
        <v>147</v>
      </c>
      <c r="C2307" s="871"/>
      <c r="D2307" s="881" t="s">
        <v>229</v>
      </c>
      <c r="E2307" s="882">
        <f>'REF. DE PREÇOS n editavel'!E2307</f>
        <v>290</v>
      </c>
      <c r="F2307" s="883">
        <f>'REF. DE PREÇOS n editavel'!F2307</f>
        <v>1.5797950000000001</v>
      </c>
      <c r="G2307" s="923">
        <f>'REF. DE PREÇOS n editavel'!G2307</f>
        <v>494.44423910000006</v>
      </c>
      <c r="H2307" s="876">
        <f>'REF. DE PREÇOS n editavel'!H2307</f>
        <v>0</v>
      </c>
      <c r="I2307" s="876">
        <f>'REF. DE PREÇOS n editavel'!I2307</f>
        <v>0</v>
      </c>
      <c r="J2307" s="877">
        <f>'REF. DE PREÇOS n editavel'!J2307</f>
        <v>0</v>
      </c>
      <c r="K2307" s="878"/>
      <c r="L2307" s="1132"/>
      <c r="M2307" s="1093">
        <f t="shared" si="226"/>
        <v>0</v>
      </c>
      <c r="N2307" s="1131">
        <f t="shared" si="227"/>
        <v>0</v>
      </c>
      <c r="O2307" s="880"/>
      <c r="P2307" s="36" t="str">
        <f>IF(N2305&gt;0,"xx",IF(N2305&gt;0,"xy",""))</f>
        <v/>
      </c>
      <c r="Q2307" s="317" t="str">
        <f t="shared" si="228"/>
        <v/>
      </c>
      <c r="R2307" s="317" t="str">
        <f t="shared" si="229"/>
        <v/>
      </c>
      <c r="S2307" s="317" t="str">
        <f t="shared" si="230"/>
        <v/>
      </c>
      <c r="T2307" s="317" t="str">
        <f>'REF. DE PREÇOS n editavel'!S2307</f>
        <v/>
      </c>
      <c r="W2307" s="577">
        <v>0</v>
      </c>
      <c r="X2307" s="575"/>
      <c r="Y2307" s="578">
        <f>IF('REF. DE PREÇOS n editavel'!W2307=0,0,IF('REF. DE PREÇOS n editavel'!W2307&gt;0,"c","b"))</f>
        <v>0</v>
      </c>
    </row>
    <row r="2308" spans="1:25" ht="15" customHeight="1">
      <c r="A2308" s="317" t="s">
        <v>147</v>
      </c>
      <c r="B2308" s="870" t="s">
        <v>147</v>
      </c>
      <c r="C2308" s="871"/>
      <c r="D2308" s="881" t="s">
        <v>233</v>
      </c>
      <c r="E2308" s="882">
        <f>'REF. DE PREÇOS n editavel'!E2308</f>
        <v>43.1</v>
      </c>
      <c r="F2308" s="883">
        <f>'REF. DE PREÇOS n editavel'!F2308</f>
        <v>1.2654000000000003</v>
      </c>
      <c r="G2308" s="923">
        <f>'REF. DE PREÇOS n editavel'!G2308</f>
        <v>61.747723800000017</v>
      </c>
      <c r="H2308" s="876">
        <f>'REF. DE PREÇOS n editavel'!H2308</f>
        <v>0</v>
      </c>
      <c r="I2308" s="876">
        <f>'REF. DE PREÇOS n editavel'!I2308</f>
        <v>0</v>
      </c>
      <c r="J2308" s="877">
        <f>'REF. DE PREÇOS n editavel'!J2308</f>
        <v>0</v>
      </c>
      <c r="K2308" s="878"/>
      <c r="L2308" s="1132"/>
      <c r="M2308" s="1093">
        <f t="shared" si="226"/>
        <v>0</v>
      </c>
      <c r="N2308" s="1131">
        <f t="shared" si="227"/>
        <v>0</v>
      </c>
      <c r="O2308" s="880"/>
      <c r="P2308" s="36" t="str">
        <f>IF(N2305&gt;0,"xx",IF(N2305&gt;0,"xy",""))</f>
        <v/>
      </c>
      <c r="Q2308" s="317" t="str">
        <f t="shared" si="228"/>
        <v/>
      </c>
      <c r="R2308" s="317" t="str">
        <f t="shared" si="229"/>
        <v/>
      </c>
      <c r="S2308" s="317" t="str">
        <f t="shared" si="230"/>
        <v/>
      </c>
      <c r="T2308" s="317" t="str">
        <f>'REF. DE PREÇOS n editavel'!S2308</f>
        <v/>
      </c>
      <c r="W2308" s="577">
        <v>0</v>
      </c>
      <c r="X2308" s="575"/>
      <c r="Y2308" s="578">
        <f>IF('REF. DE PREÇOS n editavel'!W2308=0,0,IF('REF. DE PREÇOS n editavel'!W2308&gt;0,"c","b"))</f>
        <v>0</v>
      </c>
    </row>
    <row r="2309" spans="1:25" ht="15" customHeight="1">
      <c r="A2309" s="317" t="s">
        <v>147</v>
      </c>
      <c r="B2309" s="870" t="s">
        <v>147</v>
      </c>
      <c r="C2309" s="871"/>
      <c r="D2309" s="881" t="s">
        <v>365</v>
      </c>
      <c r="E2309" s="882">
        <f>'REF. DE PREÇOS n editavel'!E2309</f>
        <v>28</v>
      </c>
      <c r="F2309" s="883">
        <f>'REF. DE PREÇOS n editavel'!F2309</f>
        <v>1.09134</v>
      </c>
      <c r="G2309" s="923">
        <f>'REF. DE PREÇOS n editavel'!G2309</f>
        <v>35.621337599999997</v>
      </c>
      <c r="H2309" s="876">
        <f>'REF. DE PREÇOS n editavel'!H2309</f>
        <v>0</v>
      </c>
      <c r="I2309" s="876">
        <f>'REF. DE PREÇOS n editavel'!I2309</f>
        <v>0</v>
      </c>
      <c r="J2309" s="877">
        <f>'REF. DE PREÇOS n editavel'!J2309</f>
        <v>0</v>
      </c>
      <c r="K2309" s="878"/>
      <c r="L2309" s="1132"/>
      <c r="M2309" s="1093">
        <f t="shared" si="226"/>
        <v>0</v>
      </c>
      <c r="N2309" s="1131">
        <f t="shared" si="227"/>
        <v>0</v>
      </c>
      <c r="O2309" s="880"/>
      <c r="P2309" s="36" t="str">
        <f>IF(N2305&gt;0,"xx",IF(N2305&gt;0,"xy",""))</f>
        <v/>
      </c>
      <c r="Q2309" s="317" t="str">
        <f t="shared" si="228"/>
        <v/>
      </c>
      <c r="R2309" s="317" t="str">
        <f t="shared" si="229"/>
        <v/>
      </c>
      <c r="S2309" s="317" t="str">
        <f t="shared" si="230"/>
        <v/>
      </c>
      <c r="T2309" s="317" t="str">
        <f>'REF. DE PREÇOS n editavel'!S2309</f>
        <v/>
      </c>
      <c r="W2309" s="577">
        <v>0</v>
      </c>
      <c r="X2309" s="575"/>
      <c r="Y2309" s="578">
        <f>IF('REF. DE PREÇOS n editavel'!W2309=0,0,IF('REF. DE PREÇOS n editavel'!W2309&gt;0,"c","b"))</f>
        <v>0</v>
      </c>
    </row>
    <row r="2310" spans="1:25" ht="15" customHeight="1">
      <c r="A2310" s="317" t="s">
        <v>147</v>
      </c>
      <c r="B2310" s="870" t="s">
        <v>147</v>
      </c>
      <c r="C2310" s="871"/>
      <c r="D2310" s="881" t="s">
        <v>366</v>
      </c>
      <c r="E2310" s="882">
        <f>'REF. DE PREÇOS n editavel'!E2310</f>
        <v>440</v>
      </c>
      <c r="F2310" s="883">
        <f>'REF. DE PREÇOS n editavel'!F2310</f>
        <v>3.6378000000000001E-2</v>
      </c>
      <c r="G2310" s="884">
        <f>'REF. DE PREÇOS n editavel'!G2310</f>
        <v>12.769405560000001</v>
      </c>
      <c r="H2310" s="876">
        <f>'REF. DE PREÇOS n editavel'!H2310</f>
        <v>0</v>
      </c>
      <c r="I2310" s="876">
        <f>'REF. DE PREÇOS n editavel'!I2310</f>
        <v>0</v>
      </c>
      <c r="J2310" s="877">
        <f>'REF. DE PREÇOS n editavel'!J2310</f>
        <v>0</v>
      </c>
      <c r="K2310" s="878"/>
      <c r="L2310" s="1132"/>
      <c r="M2310" s="1093">
        <f t="shared" ref="M2310:M2373" si="231">IF(L2310=0,0,ROUND(J2310,2))</f>
        <v>0</v>
      </c>
      <c r="N2310" s="1131">
        <f t="shared" si="227"/>
        <v>0</v>
      </c>
      <c r="O2310" s="880"/>
      <c r="P2310" s="36" t="str">
        <f>IF(N2305&gt;0,"xx",IF(N2305&gt;0,"xy",""))</f>
        <v/>
      </c>
      <c r="Q2310" s="317" t="str">
        <f t="shared" si="228"/>
        <v/>
      </c>
      <c r="R2310" s="317" t="str">
        <f t="shared" si="229"/>
        <v/>
      </c>
      <c r="S2310" s="317" t="str">
        <f t="shared" si="230"/>
        <v/>
      </c>
      <c r="T2310" s="317" t="str">
        <f>'REF. DE PREÇOS n editavel'!S2310</f>
        <v/>
      </c>
      <c r="W2310" s="577">
        <v>0</v>
      </c>
      <c r="X2310" s="575"/>
      <c r="Y2310" s="578">
        <f>IF('REF. DE PREÇOS n editavel'!W2310=0,0,IF('REF. DE PREÇOS n editavel'!W2310&gt;0,"c","b"))</f>
        <v>0</v>
      </c>
    </row>
    <row r="2311" spans="1:25" ht="15" customHeight="1">
      <c r="A2311" s="317" t="s">
        <v>39</v>
      </c>
      <c r="B2311" s="870" t="s">
        <v>39</v>
      </c>
      <c r="C2311" s="871" t="s">
        <v>184</v>
      </c>
      <c r="D2311" s="881" t="s">
        <v>130</v>
      </c>
      <c r="E2311" s="882">
        <f>'REF. DE PREÇOS n editavel'!E2311</f>
        <v>0</v>
      </c>
      <c r="F2311" s="883">
        <f>'REF. DE PREÇOS n editavel'!F2311</f>
        <v>0</v>
      </c>
      <c r="G2311" s="887">
        <f>'REF. DE PREÇOS n editavel'!G2311</f>
        <v>826.72138064600006</v>
      </c>
      <c r="H2311" s="876">
        <f>'REF. DE PREÇOS n editavel'!H2311</f>
        <v>2966.42</v>
      </c>
      <c r="I2311" s="876">
        <f>'REF. DE PREÇOS n editavel'!I2311</f>
        <v>3793.141380646</v>
      </c>
      <c r="J2311" s="877">
        <f>'REF. DE PREÇOS n editavel'!J2311</f>
        <v>4635.9799999999996</v>
      </c>
      <c r="K2311" s="878" t="s">
        <v>15</v>
      </c>
      <c r="L2311" s="1092"/>
      <c r="M2311" s="1093">
        <f t="shared" si="231"/>
        <v>0</v>
      </c>
      <c r="N2311" s="1131">
        <f t="shared" si="227"/>
        <v>0</v>
      </c>
      <c r="O2311" s="880"/>
      <c r="Q2311" s="317" t="str">
        <f t="shared" si="228"/>
        <v/>
      </c>
      <c r="R2311" s="317" t="str">
        <f t="shared" si="229"/>
        <v/>
      </c>
      <c r="S2311" s="317" t="str">
        <f t="shared" si="230"/>
        <v/>
      </c>
      <c r="T2311" s="317" t="str">
        <f>'REF. DE PREÇOS n editavel'!S2311</f>
        <v/>
      </c>
      <c r="W2311" s="577">
        <v>0</v>
      </c>
      <c r="X2311" s="575"/>
      <c r="Y2311" s="578">
        <f>IF('REF. DE PREÇOS n editavel'!W2311=0,0,IF('REF. DE PREÇOS n editavel'!W2311&gt;0,"c","b"))</f>
        <v>0</v>
      </c>
    </row>
    <row r="2312" spans="1:25" ht="15" customHeight="1">
      <c r="A2312" s="317" t="s">
        <v>147</v>
      </c>
      <c r="B2312" s="870" t="s">
        <v>147</v>
      </c>
      <c r="C2312" s="871"/>
      <c r="D2312" s="881" t="s">
        <v>190</v>
      </c>
      <c r="E2312" s="882">
        <f>'REF. DE PREÇOS n editavel'!E2312</f>
        <v>445</v>
      </c>
      <c r="F2312" s="883">
        <f>'REF. DE PREÇOS n editavel'!F2312</f>
        <v>0.46255580000000002</v>
      </c>
      <c r="G2312" s="884">
        <f>'REF. DE PREÇOS n editavel'!G2312</f>
        <v>164.170304536</v>
      </c>
      <c r="H2312" s="876">
        <f>'REF. DE PREÇOS n editavel'!H2312</f>
        <v>0</v>
      </c>
      <c r="I2312" s="876">
        <f>'REF. DE PREÇOS n editavel'!I2312</f>
        <v>0</v>
      </c>
      <c r="J2312" s="877">
        <f>'REF. DE PREÇOS n editavel'!J2312</f>
        <v>0</v>
      </c>
      <c r="K2312" s="878"/>
      <c r="L2312" s="1132"/>
      <c r="M2312" s="1093">
        <f t="shared" si="231"/>
        <v>0</v>
      </c>
      <c r="N2312" s="1131">
        <f t="shared" si="227"/>
        <v>0</v>
      </c>
      <c r="O2312" s="880"/>
      <c r="P2312" s="36" t="str">
        <f>IF(N2311&gt;0,"xx",IF(N2311&gt;0,"xy",""))</f>
        <v/>
      </c>
      <c r="Q2312" s="317" t="str">
        <f t="shared" si="228"/>
        <v/>
      </c>
      <c r="R2312" s="317" t="str">
        <f t="shared" si="229"/>
        <v/>
      </c>
      <c r="S2312" s="317" t="str">
        <f t="shared" si="230"/>
        <v/>
      </c>
      <c r="T2312" s="317" t="str">
        <f>'REF. DE PREÇOS n editavel'!S2312</f>
        <v/>
      </c>
      <c r="W2312" s="577">
        <v>0</v>
      </c>
      <c r="X2312" s="575"/>
      <c r="Y2312" s="578">
        <f>IF('REF. DE PREÇOS n editavel'!W2312=0,0,IF('REF. DE PREÇOS n editavel'!W2312&gt;0,"c","b"))</f>
        <v>0</v>
      </c>
    </row>
    <row r="2313" spans="1:25" ht="15" customHeight="1">
      <c r="A2313" s="317" t="s">
        <v>147</v>
      </c>
      <c r="B2313" s="870" t="s">
        <v>147</v>
      </c>
      <c r="C2313" s="871"/>
      <c r="D2313" s="881" t="s">
        <v>229</v>
      </c>
      <c r="E2313" s="882">
        <f>'REF. DE PREÇOS n editavel'!E2313</f>
        <v>290</v>
      </c>
      <c r="F2313" s="883">
        <f>'REF. DE PREÇOS n editavel'!F2313</f>
        <v>1.7263925000000002</v>
      </c>
      <c r="G2313" s="923">
        <f>'REF. DE PREÇOS n editavel'!G2313</f>
        <v>540.32632465000006</v>
      </c>
      <c r="H2313" s="876">
        <f>'REF. DE PREÇOS n editavel'!H2313</f>
        <v>0</v>
      </c>
      <c r="I2313" s="876">
        <f>'REF. DE PREÇOS n editavel'!I2313</f>
        <v>0</v>
      </c>
      <c r="J2313" s="877">
        <f>'REF. DE PREÇOS n editavel'!J2313</f>
        <v>0</v>
      </c>
      <c r="K2313" s="878"/>
      <c r="L2313" s="1132"/>
      <c r="M2313" s="1093">
        <f t="shared" si="231"/>
        <v>0</v>
      </c>
      <c r="N2313" s="1131">
        <f t="shared" si="227"/>
        <v>0</v>
      </c>
      <c r="O2313" s="880"/>
      <c r="P2313" s="36" t="str">
        <f>IF(N2311&gt;0,"xx",IF(N2311&gt;0,"xy",""))</f>
        <v/>
      </c>
      <c r="Q2313" s="317" t="str">
        <f t="shared" si="228"/>
        <v/>
      </c>
      <c r="R2313" s="317" t="str">
        <f t="shared" si="229"/>
        <v/>
      </c>
      <c r="S2313" s="317" t="str">
        <f t="shared" si="230"/>
        <v/>
      </c>
      <c r="T2313" s="317" t="str">
        <f>'REF. DE PREÇOS n editavel'!S2313</f>
        <v/>
      </c>
      <c r="W2313" s="577">
        <v>0</v>
      </c>
      <c r="X2313" s="575"/>
      <c r="Y2313" s="578">
        <f>IF('REF. DE PREÇOS n editavel'!W2313=0,0,IF('REF. DE PREÇOS n editavel'!W2313&gt;0,"c","b"))</f>
        <v>0</v>
      </c>
    </row>
    <row r="2314" spans="1:25" ht="15" customHeight="1">
      <c r="A2314" s="317" t="s">
        <v>147</v>
      </c>
      <c r="B2314" s="870" t="s">
        <v>147</v>
      </c>
      <c r="C2314" s="871"/>
      <c r="D2314" s="881" t="s">
        <v>233</v>
      </c>
      <c r="E2314" s="882">
        <f>'REF. DE PREÇOS n editavel'!E2314</f>
        <v>43.1</v>
      </c>
      <c r="F2314" s="883">
        <f>'REF. DE PREÇOS n editavel'!F2314</f>
        <v>1.3209000000000002</v>
      </c>
      <c r="G2314" s="923">
        <f>'REF. DE PREÇOS n editavel'!G2314</f>
        <v>64.455957300000009</v>
      </c>
      <c r="H2314" s="876">
        <f>'REF. DE PREÇOS n editavel'!H2314</f>
        <v>0</v>
      </c>
      <c r="I2314" s="876">
        <f>'REF. DE PREÇOS n editavel'!I2314</f>
        <v>0</v>
      </c>
      <c r="J2314" s="877">
        <f>'REF. DE PREÇOS n editavel'!J2314</f>
        <v>0</v>
      </c>
      <c r="K2314" s="878"/>
      <c r="L2314" s="1132"/>
      <c r="M2314" s="1093">
        <f t="shared" si="231"/>
        <v>0</v>
      </c>
      <c r="N2314" s="1131">
        <f t="shared" si="227"/>
        <v>0</v>
      </c>
      <c r="O2314" s="880"/>
      <c r="P2314" s="36" t="str">
        <f>IF(N2311&gt;0,"xx",IF(N2311&gt;0,"xy",""))</f>
        <v/>
      </c>
      <c r="Q2314" s="317" t="str">
        <f t="shared" si="228"/>
        <v/>
      </c>
      <c r="R2314" s="317" t="str">
        <f t="shared" si="229"/>
        <v/>
      </c>
      <c r="S2314" s="317" t="str">
        <f t="shared" si="230"/>
        <v/>
      </c>
      <c r="T2314" s="317" t="str">
        <f>'REF. DE PREÇOS n editavel'!S2314</f>
        <v/>
      </c>
      <c r="W2314" s="577">
        <v>0</v>
      </c>
      <c r="X2314" s="575"/>
      <c r="Y2314" s="578">
        <f>IF('REF. DE PREÇOS n editavel'!W2314=0,0,IF('REF. DE PREÇOS n editavel'!W2314&gt;0,"c","b"))</f>
        <v>0</v>
      </c>
    </row>
    <row r="2315" spans="1:25" ht="15" customHeight="1">
      <c r="A2315" s="317" t="s">
        <v>147</v>
      </c>
      <c r="B2315" s="870" t="s">
        <v>147</v>
      </c>
      <c r="C2315" s="871"/>
      <c r="D2315" s="881" t="s">
        <v>365</v>
      </c>
      <c r="E2315" s="882">
        <f>'REF. DE PREÇOS n editavel'!E2315</f>
        <v>28</v>
      </c>
      <c r="F2315" s="883">
        <f>'REF. DE PREÇOS n editavel'!F2315</f>
        <v>1.30284</v>
      </c>
      <c r="G2315" s="923">
        <f>'REF. DE PREÇOS n editavel'!G2315</f>
        <v>42.524697600000003</v>
      </c>
      <c r="H2315" s="876">
        <f>'REF. DE PREÇOS n editavel'!H2315</f>
        <v>0</v>
      </c>
      <c r="I2315" s="876">
        <f>'REF. DE PREÇOS n editavel'!I2315</f>
        <v>0</v>
      </c>
      <c r="J2315" s="877">
        <f>'REF. DE PREÇOS n editavel'!J2315</f>
        <v>0</v>
      </c>
      <c r="K2315" s="878"/>
      <c r="L2315" s="1132"/>
      <c r="M2315" s="1093">
        <f t="shared" si="231"/>
        <v>0</v>
      </c>
      <c r="N2315" s="1131">
        <f t="shared" si="227"/>
        <v>0</v>
      </c>
      <c r="O2315" s="880"/>
      <c r="P2315" s="36" t="str">
        <f>IF(N2311&gt;0,"xx",IF(N2311&gt;0,"xy",""))</f>
        <v/>
      </c>
      <c r="Q2315" s="317" t="str">
        <f t="shared" si="228"/>
        <v/>
      </c>
      <c r="R2315" s="317" t="str">
        <f t="shared" si="229"/>
        <v/>
      </c>
      <c r="S2315" s="317" t="str">
        <f t="shared" si="230"/>
        <v/>
      </c>
      <c r="T2315" s="317" t="str">
        <f>'REF. DE PREÇOS n editavel'!S2315</f>
        <v/>
      </c>
      <c r="W2315" s="577">
        <v>0</v>
      </c>
      <c r="X2315" s="575"/>
      <c r="Y2315" s="578">
        <f>IF('REF. DE PREÇOS n editavel'!W2315=0,0,IF('REF. DE PREÇOS n editavel'!W2315&gt;0,"c","b"))</f>
        <v>0</v>
      </c>
    </row>
    <row r="2316" spans="1:25" ht="15" customHeight="1">
      <c r="A2316" s="317" t="s">
        <v>147</v>
      </c>
      <c r="B2316" s="870" t="s">
        <v>147</v>
      </c>
      <c r="C2316" s="871"/>
      <c r="D2316" s="881" t="s">
        <v>366</v>
      </c>
      <c r="E2316" s="882">
        <f>'REF. DE PREÇOS n editavel'!E2316</f>
        <v>440</v>
      </c>
      <c r="F2316" s="883">
        <f>'REF. DE PREÇOS n editavel'!F2316</f>
        <v>4.3428000000000001E-2</v>
      </c>
      <c r="G2316" s="884">
        <f>'REF. DE PREÇOS n editavel'!G2316</f>
        <v>15.244096560000003</v>
      </c>
      <c r="H2316" s="876">
        <f>'REF. DE PREÇOS n editavel'!H2316</f>
        <v>0</v>
      </c>
      <c r="I2316" s="876">
        <f>'REF. DE PREÇOS n editavel'!I2316</f>
        <v>0</v>
      </c>
      <c r="J2316" s="877">
        <f>'REF. DE PREÇOS n editavel'!J2316</f>
        <v>0</v>
      </c>
      <c r="K2316" s="878"/>
      <c r="L2316" s="1132"/>
      <c r="M2316" s="1093">
        <f t="shared" si="231"/>
        <v>0</v>
      </c>
      <c r="N2316" s="1131">
        <f t="shared" si="227"/>
        <v>0</v>
      </c>
      <c r="O2316" s="880"/>
      <c r="P2316" s="36" t="str">
        <f>IF(N2311&gt;0,"xx",IF(N2311&gt;0,"xy",""))</f>
        <v/>
      </c>
      <c r="Q2316" s="317" t="str">
        <f t="shared" si="228"/>
        <v/>
      </c>
      <c r="R2316" s="317" t="str">
        <f t="shared" si="229"/>
        <v/>
      </c>
      <c r="S2316" s="317" t="str">
        <f t="shared" si="230"/>
        <v/>
      </c>
      <c r="T2316" s="317" t="str">
        <f>'REF. DE PREÇOS n editavel'!S2316</f>
        <v/>
      </c>
      <c r="W2316" s="577">
        <v>0</v>
      </c>
      <c r="X2316" s="575"/>
      <c r="Y2316" s="578">
        <f>IF('REF. DE PREÇOS n editavel'!W2316=0,0,IF('REF. DE PREÇOS n editavel'!W2316&gt;0,"c","b"))</f>
        <v>0</v>
      </c>
    </row>
    <row r="2317" spans="1:25" ht="15" customHeight="1">
      <c r="A2317" s="317" t="s">
        <v>114</v>
      </c>
      <c r="B2317" s="870" t="s">
        <v>114</v>
      </c>
      <c r="C2317" s="871" t="s">
        <v>184</v>
      </c>
      <c r="D2317" s="881" t="s">
        <v>131</v>
      </c>
      <c r="E2317" s="882">
        <f>'REF. DE PREÇOS n editavel'!E2317</f>
        <v>0</v>
      </c>
      <c r="F2317" s="883">
        <f>'REF. DE PREÇOS n editavel'!F2317</f>
        <v>0</v>
      </c>
      <c r="G2317" s="887">
        <f>'REF. DE PREÇOS n editavel'!G2317</f>
        <v>925.52876360200014</v>
      </c>
      <c r="H2317" s="876">
        <f>'REF. DE PREÇOS n editavel'!H2317</f>
        <v>3286.28</v>
      </c>
      <c r="I2317" s="876">
        <f>'REF. DE PREÇOS n editavel'!I2317</f>
        <v>4211.808763602</v>
      </c>
      <c r="J2317" s="877">
        <f>'REF. DE PREÇOS n editavel'!J2317</f>
        <v>5147.67</v>
      </c>
      <c r="K2317" s="878" t="s">
        <v>15</v>
      </c>
      <c r="L2317" s="1092"/>
      <c r="M2317" s="1093">
        <f t="shared" si="231"/>
        <v>0</v>
      </c>
      <c r="N2317" s="1131">
        <f t="shared" si="227"/>
        <v>0</v>
      </c>
      <c r="O2317" s="880"/>
      <c r="Q2317" s="317" t="str">
        <f t="shared" si="228"/>
        <v/>
      </c>
      <c r="R2317" s="317" t="str">
        <f t="shared" si="229"/>
        <v/>
      </c>
      <c r="S2317" s="317" t="str">
        <f t="shared" si="230"/>
        <v/>
      </c>
      <c r="T2317" s="317" t="str">
        <f>'REF. DE PREÇOS n editavel'!S2317</f>
        <v/>
      </c>
      <c r="W2317" s="577">
        <v>0</v>
      </c>
      <c r="X2317" s="575"/>
      <c r="Y2317" s="578">
        <f>IF('REF. DE PREÇOS n editavel'!W2317=0,0,IF('REF. DE PREÇOS n editavel'!W2317&gt;0,"c","b"))</f>
        <v>0</v>
      </c>
    </row>
    <row r="2318" spans="1:25" ht="15" customHeight="1">
      <c r="A2318" s="317" t="s">
        <v>147</v>
      </c>
      <c r="B2318" s="870" t="s">
        <v>147</v>
      </c>
      <c r="C2318" s="871"/>
      <c r="D2318" s="881" t="s">
        <v>190</v>
      </c>
      <c r="E2318" s="882">
        <f>'REF. DE PREÇOS n editavel'!E2318</f>
        <v>445</v>
      </c>
      <c r="F2318" s="883">
        <f>'REF. DE PREÇOS n editavel'!F2318</f>
        <v>0.50537460000000012</v>
      </c>
      <c r="G2318" s="884">
        <f>'REF. DE PREÇOS n editavel'!G2318</f>
        <v>179.36755303200005</v>
      </c>
      <c r="H2318" s="876">
        <f>'REF. DE PREÇOS n editavel'!H2318</f>
        <v>0</v>
      </c>
      <c r="I2318" s="876">
        <f>'REF. DE PREÇOS n editavel'!I2318</f>
        <v>0</v>
      </c>
      <c r="J2318" s="877">
        <f>'REF. DE PREÇOS n editavel'!J2318</f>
        <v>0</v>
      </c>
      <c r="K2318" s="878"/>
      <c r="L2318" s="1132"/>
      <c r="M2318" s="1093">
        <f t="shared" si="231"/>
        <v>0</v>
      </c>
      <c r="N2318" s="1131">
        <f t="shared" si="227"/>
        <v>0</v>
      </c>
      <c r="O2318" s="880"/>
      <c r="P2318" s="36" t="str">
        <f>IF(N2317&gt;0,"xx",IF(N2317&gt;0,"xy",""))</f>
        <v/>
      </c>
      <c r="Q2318" s="317" t="str">
        <f t="shared" si="228"/>
        <v/>
      </c>
      <c r="R2318" s="317" t="str">
        <f t="shared" si="229"/>
        <v/>
      </c>
      <c r="S2318" s="317" t="str">
        <f t="shared" si="230"/>
        <v/>
      </c>
      <c r="T2318" s="317" t="str">
        <f>'REF. DE PREÇOS n editavel'!S2318</f>
        <v/>
      </c>
      <c r="W2318" s="577">
        <v>0</v>
      </c>
      <c r="X2318" s="575"/>
      <c r="Y2318" s="578">
        <f>IF('REF. DE PREÇOS n editavel'!W2318=0,0,IF('REF. DE PREÇOS n editavel'!W2318&gt;0,"c","b"))</f>
        <v>0</v>
      </c>
    </row>
    <row r="2319" spans="1:25" ht="15" customHeight="1">
      <c r="A2319" s="317" t="s">
        <v>147</v>
      </c>
      <c r="B2319" s="870" t="s">
        <v>147</v>
      </c>
      <c r="C2319" s="871"/>
      <c r="D2319" s="881" t="s">
        <v>229</v>
      </c>
      <c r="E2319" s="882">
        <f>'REF. DE PREÇOS n editavel'!E2319</f>
        <v>290</v>
      </c>
      <c r="F2319" s="883">
        <f>'REF. DE PREÇOS n editavel'!F2319</f>
        <v>1.9364075000000001</v>
      </c>
      <c r="G2319" s="923">
        <f>'REF. DE PREÇOS n editavel'!G2319</f>
        <v>606.05681935000007</v>
      </c>
      <c r="H2319" s="876">
        <f>'REF. DE PREÇOS n editavel'!H2319</f>
        <v>0</v>
      </c>
      <c r="I2319" s="876">
        <f>'REF. DE PREÇOS n editavel'!I2319</f>
        <v>0</v>
      </c>
      <c r="J2319" s="877">
        <f>'REF. DE PREÇOS n editavel'!J2319</f>
        <v>0</v>
      </c>
      <c r="K2319" s="878"/>
      <c r="L2319" s="1132"/>
      <c r="M2319" s="1093">
        <f t="shared" si="231"/>
        <v>0</v>
      </c>
      <c r="N2319" s="1131">
        <f t="shared" si="227"/>
        <v>0</v>
      </c>
      <c r="O2319" s="880"/>
      <c r="P2319" s="36" t="str">
        <f>IF(N2317&gt;0,"xx",IF(N2317&gt;0,"xy",""))</f>
        <v/>
      </c>
      <c r="Q2319" s="317" t="str">
        <f t="shared" si="228"/>
        <v/>
      </c>
      <c r="R2319" s="317" t="str">
        <f t="shared" si="229"/>
        <v/>
      </c>
      <c r="S2319" s="317" t="str">
        <f t="shared" si="230"/>
        <v/>
      </c>
      <c r="T2319" s="317" t="str">
        <f>'REF. DE PREÇOS n editavel'!S2319</f>
        <v/>
      </c>
      <c r="W2319" s="577">
        <v>0</v>
      </c>
      <c r="X2319" s="575"/>
      <c r="Y2319" s="578">
        <f>IF('REF. DE PREÇOS n editavel'!W2319=0,0,IF('REF. DE PREÇOS n editavel'!W2319&gt;0,"c","b"))</f>
        <v>0</v>
      </c>
    </row>
    <row r="2320" spans="1:25" ht="15" customHeight="1">
      <c r="A2320" s="317" t="s">
        <v>147</v>
      </c>
      <c r="B2320" s="870" t="s">
        <v>147</v>
      </c>
      <c r="C2320" s="871"/>
      <c r="D2320" s="881" t="s">
        <v>233</v>
      </c>
      <c r="E2320" s="882">
        <f>'REF. DE PREÇOS n editavel'!E2320</f>
        <v>43.1</v>
      </c>
      <c r="F2320" s="883">
        <f>'REF. DE PREÇOS n editavel'!F2320</f>
        <v>1.3875000000000002</v>
      </c>
      <c r="G2320" s="923">
        <f>'REF. DE PREÇOS n editavel'!G2320</f>
        <v>67.705837500000015</v>
      </c>
      <c r="H2320" s="876">
        <f>'REF. DE PREÇOS n editavel'!H2320</f>
        <v>0</v>
      </c>
      <c r="I2320" s="876">
        <f>'REF. DE PREÇOS n editavel'!I2320</f>
        <v>0</v>
      </c>
      <c r="J2320" s="877">
        <f>'REF. DE PREÇOS n editavel'!J2320</f>
        <v>0</v>
      </c>
      <c r="K2320" s="878"/>
      <c r="L2320" s="1132"/>
      <c r="M2320" s="1093">
        <f t="shared" si="231"/>
        <v>0</v>
      </c>
      <c r="N2320" s="1131">
        <f t="shared" si="227"/>
        <v>0</v>
      </c>
      <c r="O2320" s="880"/>
      <c r="P2320" s="36" t="str">
        <f>IF(N2317&gt;0,"xx",IF(N2317&gt;0,"xy",""))</f>
        <v/>
      </c>
      <c r="Q2320" s="317" t="str">
        <f t="shared" si="228"/>
        <v/>
      </c>
      <c r="R2320" s="317" t="str">
        <f t="shared" si="229"/>
        <v/>
      </c>
      <c r="S2320" s="317" t="str">
        <f t="shared" si="230"/>
        <v/>
      </c>
      <c r="T2320" s="317" t="str">
        <f>'REF. DE PREÇOS n editavel'!S2320</f>
        <v/>
      </c>
      <c r="W2320" s="577">
        <v>0</v>
      </c>
      <c r="X2320" s="575"/>
      <c r="Y2320" s="578">
        <f>IF('REF. DE PREÇOS n editavel'!W2320=0,0,IF('REF. DE PREÇOS n editavel'!W2320&gt;0,"c","b"))</f>
        <v>0</v>
      </c>
    </row>
    <row r="2321" spans="1:25" ht="15" customHeight="1">
      <c r="A2321" s="317" t="s">
        <v>147</v>
      </c>
      <c r="B2321" s="870" t="s">
        <v>147</v>
      </c>
      <c r="C2321" s="871"/>
      <c r="D2321" s="881" t="s">
        <v>365</v>
      </c>
      <c r="E2321" s="882">
        <f>'REF. DE PREÇOS n editavel'!E2321</f>
        <v>28</v>
      </c>
      <c r="F2321" s="883">
        <f>'REF. DE PREÇOS n editavel'!F2321</f>
        <v>1.6327799999999999</v>
      </c>
      <c r="G2321" s="923">
        <f>'REF. DE PREÇOS n editavel'!G2321</f>
        <v>53.293939199999997</v>
      </c>
      <c r="H2321" s="876">
        <f>'REF. DE PREÇOS n editavel'!H2321</f>
        <v>0</v>
      </c>
      <c r="I2321" s="876">
        <f>'REF. DE PREÇOS n editavel'!I2321</f>
        <v>0</v>
      </c>
      <c r="J2321" s="877">
        <f>'REF. DE PREÇOS n editavel'!J2321</f>
        <v>0</v>
      </c>
      <c r="K2321" s="878"/>
      <c r="L2321" s="1132"/>
      <c r="M2321" s="1093">
        <f t="shared" si="231"/>
        <v>0</v>
      </c>
      <c r="N2321" s="1131">
        <f t="shared" si="227"/>
        <v>0</v>
      </c>
      <c r="O2321" s="880"/>
      <c r="P2321" s="36" t="str">
        <f>IF(N2317&gt;0,"xx",IF(N2317&gt;0,"xy",""))</f>
        <v/>
      </c>
      <c r="Q2321" s="317" t="str">
        <f t="shared" si="228"/>
        <v/>
      </c>
      <c r="R2321" s="317" t="str">
        <f t="shared" si="229"/>
        <v/>
      </c>
      <c r="S2321" s="317" t="str">
        <f t="shared" si="230"/>
        <v/>
      </c>
      <c r="T2321" s="317" t="str">
        <f>'REF. DE PREÇOS n editavel'!S2321</f>
        <v/>
      </c>
      <c r="W2321" s="577">
        <v>0</v>
      </c>
      <c r="X2321" s="575"/>
      <c r="Y2321" s="578">
        <f>IF('REF. DE PREÇOS n editavel'!W2321=0,0,IF('REF. DE PREÇOS n editavel'!W2321&gt;0,"c","b"))</f>
        <v>0</v>
      </c>
    </row>
    <row r="2322" spans="1:25" ht="15" customHeight="1">
      <c r="A2322" s="317" t="s">
        <v>147</v>
      </c>
      <c r="B2322" s="870" t="s">
        <v>147</v>
      </c>
      <c r="C2322" s="871"/>
      <c r="D2322" s="881" t="s">
        <v>366</v>
      </c>
      <c r="E2322" s="882">
        <f>'REF. DE PREÇOS n editavel'!E2322</f>
        <v>440</v>
      </c>
      <c r="F2322" s="883">
        <f>'REF. DE PREÇOS n editavel'!F2322</f>
        <v>5.4425999999999995E-2</v>
      </c>
      <c r="G2322" s="884">
        <f>'REF. DE PREÇOS n editavel'!G2322</f>
        <v>19.104614520000002</v>
      </c>
      <c r="H2322" s="876">
        <f>'REF. DE PREÇOS n editavel'!H2322</f>
        <v>0</v>
      </c>
      <c r="I2322" s="876">
        <f>'REF. DE PREÇOS n editavel'!I2322</f>
        <v>0</v>
      </c>
      <c r="J2322" s="877">
        <f>'REF. DE PREÇOS n editavel'!J2322</f>
        <v>0</v>
      </c>
      <c r="K2322" s="878"/>
      <c r="L2322" s="1132"/>
      <c r="M2322" s="1093">
        <f t="shared" si="231"/>
        <v>0</v>
      </c>
      <c r="N2322" s="1131">
        <f t="shared" si="227"/>
        <v>0</v>
      </c>
      <c r="O2322" s="880"/>
      <c r="P2322" s="36" t="str">
        <f>IF(N2317&gt;0,"xx",IF(N2317&gt;0,"xy",""))</f>
        <v/>
      </c>
      <c r="Q2322" s="317" t="str">
        <f t="shared" si="228"/>
        <v/>
      </c>
      <c r="R2322" s="317" t="str">
        <f t="shared" si="229"/>
        <v/>
      </c>
      <c r="S2322" s="317" t="str">
        <f t="shared" si="230"/>
        <v/>
      </c>
      <c r="T2322" s="317" t="str">
        <f>'REF. DE PREÇOS n editavel'!S2322</f>
        <v/>
      </c>
      <c r="W2322" s="577">
        <v>0</v>
      </c>
      <c r="X2322" s="575"/>
      <c r="Y2322" s="578">
        <f>IF('REF. DE PREÇOS n editavel'!W2322=0,0,IF('REF. DE PREÇOS n editavel'!W2322&gt;0,"c","b"))</f>
        <v>0</v>
      </c>
    </row>
    <row r="2323" spans="1:25" ht="15" customHeight="1">
      <c r="A2323" s="317" t="s">
        <v>118</v>
      </c>
      <c r="B2323" s="870" t="s">
        <v>118</v>
      </c>
      <c r="C2323" s="871" t="s">
        <v>184</v>
      </c>
      <c r="D2323" s="881" t="s">
        <v>132</v>
      </c>
      <c r="E2323" s="882">
        <f>'REF. DE PREÇOS n editavel'!E2323</f>
        <v>0</v>
      </c>
      <c r="F2323" s="883">
        <f>'REF. DE PREÇOS n editavel'!F2323</f>
        <v>0</v>
      </c>
      <c r="G2323" s="887">
        <f>'REF. DE PREÇOS n editavel'!G2323</f>
        <v>561.52859315000012</v>
      </c>
      <c r="H2323" s="876">
        <f>'REF. DE PREÇOS n editavel'!H2323</f>
        <v>1401.9</v>
      </c>
      <c r="I2323" s="876">
        <f>'REF. DE PREÇOS n editavel'!I2323</f>
        <v>1963.4285931500003</v>
      </c>
      <c r="J2323" s="877">
        <f>'REF. DE PREÇOS n editavel'!J2323</f>
        <v>2399.6999999999998</v>
      </c>
      <c r="K2323" s="878" t="s">
        <v>15</v>
      </c>
      <c r="L2323" s="1092"/>
      <c r="M2323" s="1093">
        <f t="shared" si="231"/>
        <v>0</v>
      </c>
      <c r="N2323" s="1131">
        <f t="shared" si="227"/>
        <v>0</v>
      </c>
      <c r="O2323" s="880"/>
      <c r="Q2323" s="317" t="str">
        <f t="shared" si="228"/>
        <v/>
      </c>
      <c r="R2323" s="317" t="str">
        <f t="shared" si="229"/>
        <v/>
      </c>
      <c r="S2323" s="317" t="str">
        <f t="shared" si="230"/>
        <v/>
      </c>
      <c r="T2323" s="317" t="str">
        <f>'REF. DE PREÇOS n editavel'!S2323</f>
        <v/>
      </c>
      <c r="W2323" s="577">
        <v>0</v>
      </c>
      <c r="X2323" s="575"/>
      <c r="Y2323" s="578">
        <f>IF('REF. DE PREÇOS n editavel'!W2323=0,0,IF('REF. DE PREÇOS n editavel'!W2323&gt;0,"c","b"))</f>
        <v>0</v>
      </c>
    </row>
    <row r="2324" spans="1:25" ht="15" customHeight="1">
      <c r="A2324" s="317" t="s">
        <v>147</v>
      </c>
      <c r="B2324" s="870" t="s">
        <v>147</v>
      </c>
      <c r="C2324" s="871"/>
      <c r="D2324" s="881" t="s">
        <v>190</v>
      </c>
      <c r="E2324" s="882">
        <f>'REF. DE PREÇOS n editavel'!E2324</f>
        <v>445</v>
      </c>
      <c r="F2324" s="883">
        <f>'REF. DE PREÇOS n editavel'!F2324</f>
        <v>0.38250000000000006</v>
      </c>
      <c r="G2324" s="884">
        <f>'REF. DE PREÇOS n editavel'!G2324</f>
        <v>135.75690000000003</v>
      </c>
      <c r="H2324" s="876">
        <f>'REF. DE PREÇOS n editavel'!H2324</f>
        <v>0</v>
      </c>
      <c r="I2324" s="876">
        <f>'REF. DE PREÇOS n editavel'!I2324</f>
        <v>0</v>
      </c>
      <c r="J2324" s="877">
        <f>'REF. DE PREÇOS n editavel'!J2324</f>
        <v>0</v>
      </c>
      <c r="K2324" s="878"/>
      <c r="L2324" s="1132"/>
      <c r="M2324" s="1093">
        <f t="shared" si="231"/>
        <v>0</v>
      </c>
      <c r="N2324" s="1131">
        <f t="shared" si="227"/>
        <v>0</v>
      </c>
      <c r="O2324" s="880"/>
      <c r="P2324" s="36" t="str">
        <f>IF(N2323&gt;0,"xx",IF(N2323&gt;0,"xy",""))</f>
        <v/>
      </c>
      <c r="Q2324" s="317" t="str">
        <f t="shared" si="228"/>
        <v/>
      </c>
      <c r="R2324" s="317" t="str">
        <f t="shared" si="229"/>
        <v/>
      </c>
      <c r="S2324" s="317" t="str">
        <f t="shared" si="230"/>
        <v/>
      </c>
      <c r="T2324" s="317" t="str">
        <f>'REF. DE PREÇOS n editavel'!S2324</f>
        <v/>
      </c>
      <c r="W2324" s="577">
        <v>0</v>
      </c>
      <c r="X2324" s="575"/>
      <c r="Y2324" s="578">
        <f>IF('REF. DE PREÇOS n editavel'!W2324=0,0,IF('REF. DE PREÇOS n editavel'!W2324&gt;0,"c","b"))</f>
        <v>0</v>
      </c>
    </row>
    <row r="2325" spans="1:25" ht="15" customHeight="1">
      <c r="A2325" s="317" t="s">
        <v>147</v>
      </c>
      <c r="B2325" s="870" t="s">
        <v>147</v>
      </c>
      <c r="C2325" s="871"/>
      <c r="D2325" s="881" t="s">
        <v>229</v>
      </c>
      <c r="E2325" s="882">
        <f>'REF. DE PREÇOS n editavel'!E2325</f>
        <v>290</v>
      </c>
      <c r="F2325" s="883">
        <f>'REF. DE PREÇOS n editavel'!F2325</f>
        <v>1.1483800000000002</v>
      </c>
      <c r="G2325" s="923">
        <f>'REF. DE PREÇOS n editavel'!G2325</f>
        <v>359.41997240000006</v>
      </c>
      <c r="H2325" s="876">
        <f>'REF. DE PREÇOS n editavel'!H2325</f>
        <v>0</v>
      </c>
      <c r="I2325" s="876">
        <f>'REF. DE PREÇOS n editavel'!I2325</f>
        <v>0</v>
      </c>
      <c r="J2325" s="877">
        <f>'REF. DE PREÇOS n editavel'!J2325</f>
        <v>0</v>
      </c>
      <c r="K2325" s="878"/>
      <c r="L2325" s="1132"/>
      <c r="M2325" s="1093">
        <f t="shared" si="231"/>
        <v>0</v>
      </c>
      <c r="N2325" s="1131">
        <f t="shared" si="227"/>
        <v>0</v>
      </c>
      <c r="O2325" s="880"/>
      <c r="P2325" s="36" t="str">
        <f>IF(N2323&gt;0,"xx",IF(N2323&gt;0,"xy",""))</f>
        <v/>
      </c>
      <c r="Q2325" s="317" t="str">
        <f t="shared" si="228"/>
        <v/>
      </c>
      <c r="R2325" s="317" t="str">
        <f t="shared" si="229"/>
        <v/>
      </c>
      <c r="S2325" s="317" t="str">
        <f t="shared" si="230"/>
        <v/>
      </c>
      <c r="T2325" s="317" t="str">
        <f>'REF. DE PREÇOS n editavel'!S2325</f>
        <v/>
      </c>
      <c r="W2325" s="577">
        <v>0</v>
      </c>
      <c r="X2325" s="575"/>
      <c r="Y2325" s="578">
        <f>IF('REF. DE PREÇOS n editavel'!W2325=0,0,IF('REF. DE PREÇOS n editavel'!W2325&gt;0,"c","b"))</f>
        <v>0</v>
      </c>
    </row>
    <row r="2326" spans="1:25" ht="15" customHeight="1">
      <c r="A2326" s="317" t="s">
        <v>147</v>
      </c>
      <c r="B2326" s="870" t="s">
        <v>147</v>
      </c>
      <c r="C2326" s="871"/>
      <c r="D2326" s="881" t="s">
        <v>233</v>
      </c>
      <c r="E2326" s="882">
        <f>'REF. DE PREÇOS n editavel'!E2326</f>
        <v>43.1</v>
      </c>
      <c r="F2326" s="883">
        <f>'REF. DE PREÇOS n editavel'!F2326</f>
        <v>1.35975</v>
      </c>
      <c r="G2326" s="923">
        <f>'REF. DE PREÇOS n editavel'!G2326</f>
        <v>66.351720750000013</v>
      </c>
      <c r="H2326" s="876">
        <f>'REF. DE PREÇOS n editavel'!H2326</f>
        <v>0</v>
      </c>
      <c r="I2326" s="876">
        <f>'REF. DE PREÇOS n editavel'!I2326</f>
        <v>0</v>
      </c>
      <c r="J2326" s="877">
        <f>'REF. DE PREÇOS n editavel'!J2326</f>
        <v>0</v>
      </c>
      <c r="K2326" s="878"/>
      <c r="L2326" s="1132"/>
      <c r="M2326" s="1093">
        <f t="shared" si="231"/>
        <v>0</v>
      </c>
      <c r="N2326" s="1131">
        <f t="shared" si="227"/>
        <v>0</v>
      </c>
      <c r="O2326" s="880"/>
      <c r="P2326" s="36" t="str">
        <f>IF(N2323&gt;0,"xx",IF(N2323&gt;0,"xy",""))</f>
        <v/>
      </c>
      <c r="Q2326" s="317" t="str">
        <f t="shared" si="228"/>
        <v/>
      </c>
      <c r="R2326" s="317" t="str">
        <f t="shared" si="229"/>
        <v/>
      </c>
      <c r="S2326" s="317" t="str">
        <f t="shared" si="230"/>
        <v/>
      </c>
      <c r="T2326" s="317" t="str">
        <f>'REF. DE PREÇOS n editavel'!S2326</f>
        <v/>
      </c>
      <c r="W2326" s="577">
        <v>0</v>
      </c>
      <c r="X2326" s="575"/>
      <c r="Y2326" s="578">
        <f>IF('REF. DE PREÇOS n editavel'!W2326=0,0,IF('REF. DE PREÇOS n editavel'!W2326&gt;0,"c","b"))</f>
        <v>0</v>
      </c>
    </row>
    <row r="2327" spans="1:25" ht="15" customHeight="1">
      <c r="A2327" s="317" t="s">
        <v>119</v>
      </c>
      <c r="B2327" s="870" t="s">
        <v>119</v>
      </c>
      <c r="C2327" s="871" t="s">
        <v>184</v>
      </c>
      <c r="D2327" s="881" t="s">
        <v>133</v>
      </c>
      <c r="E2327" s="882">
        <f>'REF. DE PREÇOS n editavel'!E2327</f>
        <v>0</v>
      </c>
      <c r="F2327" s="883">
        <f>'REF. DE PREÇOS n editavel'!F2327</f>
        <v>0</v>
      </c>
      <c r="G2327" s="887">
        <f>'REF. DE PREÇOS n editavel'!G2327</f>
        <v>630.46002065000005</v>
      </c>
      <c r="H2327" s="876">
        <f>'REF. DE PREÇOS n editavel'!H2327</f>
        <v>1493.02</v>
      </c>
      <c r="I2327" s="876">
        <f>'REF. DE PREÇOS n editavel'!I2327</f>
        <v>2123.4800206499999</v>
      </c>
      <c r="J2327" s="877">
        <f>'REF. DE PREÇOS n editavel'!J2327</f>
        <v>2595.3200000000002</v>
      </c>
      <c r="K2327" s="878" t="s">
        <v>15</v>
      </c>
      <c r="L2327" s="1092"/>
      <c r="M2327" s="1093">
        <f t="shared" si="231"/>
        <v>0</v>
      </c>
      <c r="N2327" s="1131">
        <f t="shared" ref="N2327:N2390" si="232">IF(ISBLANK(L2327),0,IF(W2327=0,ROUND(L2327*M2327,2),IF(W2327="b",ROUNDDOWN(L2327*M2327,2),ROUNDUP(L2327*M2327,2))))</f>
        <v>0</v>
      </c>
      <c r="O2327" s="880"/>
      <c r="Q2327" s="317" t="str">
        <f t="shared" ref="Q2327:Q2370" si="233">IF(P2327="X","x",IF(P2327="xx","x",IF(P2327="xy","x",IF(P2327="y","x",IF(OR(N2327&gt;0,N2327&gt;0),"x","")))))</f>
        <v/>
      </c>
      <c r="R2327" s="317" t="str">
        <f t="shared" si="229"/>
        <v/>
      </c>
      <c r="S2327" s="317" t="str">
        <f t="shared" si="230"/>
        <v/>
      </c>
      <c r="T2327" s="317" t="str">
        <f>'REF. DE PREÇOS n editavel'!S2327</f>
        <v/>
      </c>
      <c r="W2327" s="577">
        <v>0</v>
      </c>
      <c r="X2327" s="575"/>
      <c r="Y2327" s="578">
        <f>IF('REF. DE PREÇOS n editavel'!W2327=0,0,IF('REF. DE PREÇOS n editavel'!W2327&gt;0,"c","b"))</f>
        <v>0</v>
      </c>
    </row>
    <row r="2328" spans="1:25" ht="15" customHeight="1">
      <c r="A2328" s="317" t="s">
        <v>147</v>
      </c>
      <c r="B2328" s="870" t="s">
        <v>147</v>
      </c>
      <c r="C2328" s="871"/>
      <c r="D2328" s="881" t="s">
        <v>190</v>
      </c>
      <c r="E2328" s="882">
        <f>'REF. DE PREÇOS n editavel'!E2328</f>
        <v>445</v>
      </c>
      <c r="F2328" s="883">
        <f>'REF. DE PREÇOS n editavel'!F2328</f>
        <v>0.43200000000000005</v>
      </c>
      <c r="G2328" s="884">
        <f>'REF. DE PREÇOS n editavel'!G2328</f>
        <v>153.32544000000001</v>
      </c>
      <c r="H2328" s="876">
        <f>'REF. DE PREÇOS n editavel'!H2328</f>
        <v>0</v>
      </c>
      <c r="I2328" s="876">
        <f>'REF. DE PREÇOS n editavel'!I2328</f>
        <v>0</v>
      </c>
      <c r="J2328" s="877">
        <f>'REF. DE PREÇOS n editavel'!J2328</f>
        <v>0</v>
      </c>
      <c r="K2328" s="878"/>
      <c r="L2328" s="1132"/>
      <c r="M2328" s="1093">
        <f t="shared" si="231"/>
        <v>0</v>
      </c>
      <c r="N2328" s="1131">
        <f t="shared" si="232"/>
        <v>0</v>
      </c>
      <c r="O2328" s="880"/>
      <c r="P2328" s="36" t="str">
        <f>IF(N2327&gt;0,"xx",IF(N2327&gt;0,"xy",""))</f>
        <v/>
      </c>
      <c r="Q2328" s="317" t="str">
        <f t="shared" si="233"/>
        <v/>
      </c>
      <c r="R2328" s="317" t="str">
        <f t="shared" si="229"/>
        <v/>
      </c>
      <c r="S2328" s="317" t="str">
        <f t="shared" si="230"/>
        <v/>
      </c>
      <c r="T2328" s="317" t="str">
        <f>'REF. DE PREÇOS n editavel'!S2328</f>
        <v/>
      </c>
      <c r="W2328" s="577">
        <v>0</v>
      </c>
      <c r="X2328" s="575"/>
      <c r="Y2328" s="578">
        <f>IF('REF. DE PREÇOS n editavel'!W2328=0,0,IF('REF. DE PREÇOS n editavel'!W2328&gt;0,"c","b"))</f>
        <v>0</v>
      </c>
    </row>
    <row r="2329" spans="1:25" ht="15" customHeight="1">
      <c r="A2329" s="317" t="s">
        <v>147</v>
      </c>
      <c r="B2329" s="870" t="s">
        <v>147</v>
      </c>
      <c r="C2329" s="871"/>
      <c r="D2329" s="881" t="s">
        <v>229</v>
      </c>
      <c r="E2329" s="882">
        <f>'REF. DE PREÇOS n editavel'!E2329</f>
        <v>290</v>
      </c>
      <c r="F2329" s="883">
        <f>'REF. DE PREÇOS n editavel'!F2329</f>
        <v>1.28653</v>
      </c>
      <c r="G2329" s="923">
        <f>'REF. DE PREÇOS n editavel'!G2329</f>
        <v>402.65815939999999</v>
      </c>
      <c r="H2329" s="876">
        <f>'REF. DE PREÇOS n editavel'!H2329</f>
        <v>0</v>
      </c>
      <c r="I2329" s="876">
        <f>'REF. DE PREÇOS n editavel'!I2329</f>
        <v>0</v>
      </c>
      <c r="J2329" s="877">
        <f>'REF. DE PREÇOS n editavel'!J2329</f>
        <v>0</v>
      </c>
      <c r="K2329" s="878"/>
      <c r="L2329" s="1132"/>
      <c r="M2329" s="1093">
        <f t="shared" si="231"/>
        <v>0</v>
      </c>
      <c r="N2329" s="1131">
        <f t="shared" si="232"/>
        <v>0</v>
      </c>
      <c r="O2329" s="880"/>
      <c r="P2329" s="36" t="str">
        <f>IF(N2327&gt;0,"xx",IF(N2327&gt;0,"xy",""))</f>
        <v/>
      </c>
      <c r="Q2329" s="317" t="str">
        <f t="shared" si="233"/>
        <v/>
      </c>
      <c r="R2329" s="317" t="str">
        <f t="shared" ref="R2329:R2370" si="234">IF(P2329="X","x",IF(P2329="y","x",IF(P2329="xx","x",IF(N2329&gt;0,"x",""))))</f>
        <v/>
      </c>
      <c r="S2329" s="317" t="str">
        <f t="shared" ref="S2329:S2370" si="235">IF(P2329="X","x",IF(N2329&gt;0,"x",""))</f>
        <v/>
      </c>
      <c r="T2329" s="317" t="str">
        <f>'REF. DE PREÇOS n editavel'!S2329</f>
        <v/>
      </c>
      <c r="W2329" s="577">
        <v>0</v>
      </c>
      <c r="X2329" s="575"/>
      <c r="Y2329" s="578">
        <f>IF('REF. DE PREÇOS n editavel'!W2329=0,0,IF('REF. DE PREÇOS n editavel'!W2329&gt;0,"c","b"))</f>
        <v>0</v>
      </c>
    </row>
    <row r="2330" spans="1:25" ht="15" customHeight="1">
      <c r="A2330" s="317" t="s">
        <v>147</v>
      </c>
      <c r="B2330" s="870" t="s">
        <v>147</v>
      </c>
      <c r="C2330" s="871"/>
      <c r="D2330" s="881" t="s">
        <v>233</v>
      </c>
      <c r="E2330" s="882">
        <f>'REF. DE PREÇOS n editavel'!E2330</f>
        <v>43.1</v>
      </c>
      <c r="F2330" s="883">
        <f>'REF. DE PREÇOS n editavel'!F2330</f>
        <v>1.5262500000000001</v>
      </c>
      <c r="G2330" s="923">
        <f>'REF. DE PREÇOS n editavel'!G2330</f>
        <v>74.476421250000016</v>
      </c>
      <c r="H2330" s="876">
        <f>'REF. DE PREÇOS n editavel'!H2330</f>
        <v>0</v>
      </c>
      <c r="I2330" s="876">
        <f>'REF. DE PREÇOS n editavel'!I2330</f>
        <v>0</v>
      </c>
      <c r="J2330" s="877">
        <f>'REF. DE PREÇOS n editavel'!J2330</f>
        <v>0</v>
      </c>
      <c r="K2330" s="878"/>
      <c r="L2330" s="1132"/>
      <c r="M2330" s="1093">
        <f t="shared" si="231"/>
        <v>0</v>
      </c>
      <c r="N2330" s="1131">
        <f t="shared" si="232"/>
        <v>0</v>
      </c>
      <c r="O2330" s="880"/>
      <c r="P2330" s="36" t="str">
        <f>IF(N2327&gt;0,"xx",IF(N2327&gt;0,"xy",""))</f>
        <v/>
      </c>
      <c r="Q2330" s="317" t="str">
        <f t="shared" si="233"/>
        <v/>
      </c>
      <c r="R2330" s="317" t="str">
        <f t="shared" si="234"/>
        <v/>
      </c>
      <c r="S2330" s="317" t="str">
        <f t="shared" si="235"/>
        <v/>
      </c>
      <c r="T2330" s="317" t="str">
        <f>'REF. DE PREÇOS n editavel'!S2330</f>
        <v/>
      </c>
      <c r="W2330" s="577">
        <v>0</v>
      </c>
      <c r="X2330" s="575"/>
      <c r="Y2330" s="578">
        <f>IF('REF. DE PREÇOS n editavel'!W2330=0,0,IF('REF. DE PREÇOS n editavel'!W2330&gt;0,"c","b"))</f>
        <v>0</v>
      </c>
    </row>
    <row r="2331" spans="1:25" ht="15" customHeight="1">
      <c r="A2331" s="317" t="s">
        <v>120</v>
      </c>
      <c r="B2331" s="870" t="s">
        <v>120</v>
      </c>
      <c r="C2331" s="871" t="s">
        <v>184</v>
      </c>
      <c r="D2331" s="881" t="s">
        <v>134</v>
      </c>
      <c r="E2331" s="882">
        <f>'REF. DE PREÇOS n editavel'!E2331</f>
        <v>0</v>
      </c>
      <c r="F2331" s="883">
        <f>'REF. DE PREÇOS n editavel'!F2331</f>
        <v>0</v>
      </c>
      <c r="G2331" s="887">
        <f>'REF. DE PREÇOS n editavel'!G2331</f>
        <v>731.55944765000004</v>
      </c>
      <c r="H2331" s="876">
        <f>'REF. DE PREÇOS n editavel'!H2331</f>
        <v>1627.18</v>
      </c>
      <c r="I2331" s="876">
        <f>'REF. DE PREÇOS n editavel'!I2331</f>
        <v>2358.7394476500003</v>
      </c>
      <c r="J2331" s="877">
        <f>'REF. DE PREÇOS n editavel'!J2331</f>
        <v>2882.85</v>
      </c>
      <c r="K2331" s="878" t="s">
        <v>15</v>
      </c>
      <c r="L2331" s="1092"/>
      <c r="M2331" s="1093">
        <f t="shared" si="231"/>
        <v>0</v>
      </c>
      <c r="N2331" s="1131">
        <f t="shared" si="232"/>
        <v>0</v>
      </c>
      <c r="O2331" s="880"/>
      <c r="Q2331" s="317" t="str">
        <f t="shared" si="233"/>
        <v/>
      </c>
      <c r="R2331" s="317" t="str">
        <f t="shared" si="234"/>
        <v/>
      </c>
      <c r="S2331" s="317" t="str">
        <f t="shared" si="235"/>
        <v/>
      </c>
      <c r="T2331" s="317" t="str">
        <f>'REF. DE PREÇOS n editavel'!S2331</f>
        <v/>
      </c>
      <c r="W2331" s="577">
        <v>0</v>
      </c>
      <c r="X2331" s="575"/>
      <c r="Y2331" s="578">
        <f>IF('REF. DE PREÇOS n editavel'!W2331=0,0,IF('REF. DE PREÇOS n editavel'!W2331&gt;0,"c","b"))</f>
        <v>0</v>
      </c>
    </row>
    <row r="2332" spans="1:25" ht="15" customHeight="1">
      <c r="A2332" s="317" t="s">
        <v>147</v>
      </c>
      <c r="B2332" s="870" t="s">
        <v>147</v>
      </c>
      <c r="C2332" s="871"/>
      <c r="D2332" s="881" t="s">
        <v>190</v>
      </c>
      <c r="E2332" s="882">
        <f>'REF. DE PREÇOS n editavel'!E2332</f>
        <v>445</v>
      </c>
      <c r="F2332" s="883">
        <f>'REF. DE PREÇOS n editavel'!F2332</f>
        <v>0.50459999999999994</v>
      </c>
      <c r="G2332" s="884">
        <f>'REF. DE PREÇOS n editavel'!G2332</f>
        <v>179.09263199999998</v>
      </c>
      <c r="H2332" s="876">
        <f>'REF. DE PREÇOS n editavel'!H2332</f>
        <v>0</v>
      </c>
      <c r="I2332" s="876">
        <f>'REF. DE PREÇOS n editavel'!I2332</f>
        <v>0</v>
      </c>
      <c r="J2332" s="877">
        <f>'REF. DE PREÇOS n editavel'!J2332</f>
        <v>0</v>
      </c>
      <c r="K2332" s="878"/>
      <c r="L2332" s="1132"/>
      <c r="M2332" s="1093">
        <f t="shared" si="231"/>
        <v>0</v>
      </c>
      <c r="N2332" s="1131">
        <f t="shared" si="232"/>
        <v>0</v>
      </c>
      <c r="O2332" s="880"/>
      <c r="P2332" s="36" t="str">
        <f>IF(N2331&gt;0,"xx",IF(N2331&gt;0,"xy",""))</f>
        <v/>
      </c>
      <c r="Q2332" s="317" t="str">
        <f t="shared" si="233"/>
        <v/>
      </c>
      <c r="R2332" s="317" t="str">
        <f t="shared" si="234"/>
        <v/>
      </c>
      <c r="S2332" s="317" t="str">
        <f t="shared" si="235"/>
        <v/>
      </c>
      <c r="T2332" s="317" t="str">
        <f>'REF. DE PREÇOS n editavel'!S2332</f>
        <v/>
      </c>
      <c r="W2332" s="577">
        <v>0</v>
      </c>
      <c r="X2332" s="575"/>
      <c r="Y2332" s="578">
        <f>IF('REF. DE PREÇOS n editavel'!W2332=0,0,IF('REF. DE PREÇOS n editavel'!W2332&gt;0,"c","b"))</f>
        <v>0</v>
      </c>
    </row>
    <row r="2333" spans="1:25" ht="15" customHeight="1">
      <c r="A2333" s="317" t="s">
        <v>147</v>
      </c>
      <c r="B2333" s="870" t="s">
        <v>147</v>
      </c>
      <c r="C2333" s="871"/>
      <c r="D2333" s="881" t="s">
        <v>229</v>
      </c>
      <c r="E2333" s="882">
        <f>'REF. DE PREÇOS n editavel'!E2333</f>
        <v>290</v>
      </c>
      <c r="F2333" s="883">
        <f>'REF. DE PREÇOS n editavel'!F2333</f>
        <v>1.48915</v>
      </c>
      <c r="G2333" s="923">
        <f>'REF. DE PREÇOS n editavel'!G2333</f>
        <v>466.07416700000005</v>
      </c>
      <c r="H2333" s="876">
        <f>'REF. DE PREÇOS n editavel'!H2333</f>
        <v>0</v>
      </c>
      <c r="I2333" s="876">
        <f>'REF. DE PREÇOS n editavel'!I2333</f>
        <v>0</v>
      </c>
      <c r="J2333" s="877">
        <f>'REF. DE PREÇOS n editavel'!J2333</f>
        <v>0</v>
      </c>
      <c r="K2333" s="878"/>
      <c r="L2333" s="1132"/>
      <c r="M2333" s="1093">
        <f t="shared" si="231"/>
        <v>0</v>
      </c>
      <c r="N2333" s="1131">
        <f t="shared" si="232"/>
        <v>0</v>
      </c>
      <c r="O2333" s="880"/>
      <c r="P2333" s="36" t="str">
        <f>IF(N2331&gt;0,"xx",IF(N2331&gt;0,"xy",""))</f>
        <v/>
      </c>
      <c r="Q2333" s="317" t="str">
        <f t="shared" si="233"/>
        <v/>
      </c>
      <c r="R2333" s="317" t="str">
        <f t="shared" si="234"/>
        <v/>
      </c>
      <c r="S2333" s="317" t="str">
        <f t="shared" si="235"/>
        <v/>
      </c>
      <c r="T2333" s="317" t="str">
        <f>'REF. DE PREÇOS n editavel'!S2333</f>
        <v/>
      </c>
      <c r="W2333" s="577">
        <v>0</v>
      </c>
      <c r="X2333" s="575"/>
      <c r="Y2333" s="578">
        <f>IF('REF. DE PREÇOS n editavel'!W2333=0,0,IF('REF. DE PREÇOS n editavel'!W2333&gt;0,"c","b"))</f>
        <v>0</v>
      </c>
    </row>
    <row r="2334" spans="1:25" ht="15" customHeight="1">
      <c r="A2334" s="317" t="s">
        <v>147</v>
      </c>
      <c r="B2334" s="870" t="s">
        <v>147</v>
      </c>
      <c r="C2334" s="871"/>
      <c r="D2334" s="881" t="s">
        <v>233</v>
      </c>
      <c r="E2334" s="882">
        <f>'REF. DE PREÇOS n editavel'!E2334</f>
        <v>43.1</v>
      </c>
      <c r="F2334" s="883">
        <f>'REF. DE PREÇOS n editavel'!F2334</f>
        <v>1.7704500000000001</v>
      </c>
      <c r="G2334" s="923">
        <f>'REF. DE PREÇOS n editavel'!G2334</f>
        <v>86.392648650000012</v>
      </c>
      <c r="H2334" s="876">
        <f>'REF. DE PREÇOS n editavel'!H2334</f>
        <v>0</v>
      </c>
      <c r="I2334" s="876">
        <f>'REF. DE PREÇOS n editavel'!I2334</f>
        <v>0</v>
      </c>
      <c r="J2334" s="877">
        <f>'REF. DE PREÇOS n editavel'!J2334</f>
        <v>0</v>
      </c>
      <c r="K2334" s="878"/>
      <c r="L2334" s="1132"/>
      <c r="M2334" s="1093">
        <f t="shared" si="231"/>
        <v>0</v>
      </c>
      <c r="N2334" s="1131">
        <f t="shared" si="232"/>
        <v>0</v>
      </c>
      <c r="O2334" s="880"/>
      <c r="P2334" s="36" t="str">
        <f>IF(N2331&gt;0,"xx",IF(N2331&gt;0,"xy",""))</f>
        <v/>
      </c>
      <c r="Q2334" s="317" t="str">
        <f t="shared" si="233"/>
        <v/>
      </c>
      <c r="R2334" s="317" t="str">
        <f t="shared" si="234"/>
        <v/>
      </c>
      <c r="S2334" s="317" t="str">
        <f t="shared" si="235"/>
        <v/>
      </c>
      <c r="T2334" s="317" t="str">
        <f>'REF. DE PREÇOS n editavel'!S2334</f>
        <v/>
      </c>
      <c r="W2334" s="577">
        <v>0</v>
      </c>
      <c r="X2334" s="575"/>
      <c r="Y2334" s="578">
        <f>IF('REF. DE PREÇOS n editavel'!W2334=0,0,IF('REF. DE PREÇOS n editavel'!W2334&gt;0,"c","b"))</f>
        <v>0</v>
      </c>
    </row>
    <row r="2335" spans="1:25" ht="15" customHeight="1">
      <c r="A2335" s="317" t="s">
        <v>121</v>
      </c>
      <c r="B2335" s="870" t="s">
        <v>121</v>
      </c>
      <c r="C2335" s="871" t="s">
        <v>184</v>
      </c>
      <c r="D2335" s="881" t="s">
        <v>135</v>
      </c>
      <c r="E2335" s="882">
        <f>'REF. DE PREÇOS n editavel'!E2335</f>
        <v>0</v>
      </c>
      <c r="F2335" s="883">
        <f>'REF. DE PREÇOS n editavel'!F2335</f>
        <v>0</v>
      </c>
      <c r="G2335" s="887">
        <f>'REF. DE PREÇOS n editavel'!G2335</f>
        <v>926.62181440000018</v>
      </c>
      <c r="H2335" s="876">
        <f>'REF. DE PREÇOS n editavel'!H2335</f>
        <v>1851.62</v>
      </c>
      <c r="I2335" s="876">
        <f>'REF. DE PREÇOS n editavel'!I2335</f>
        <v>2778.2418144000003</v>
      </c>
      <c r="J2335" s="877">
        <f>'REF. DE PREÇOS n editavel'!J2335</f>
        <v>3395.57</v>
      </c>
      <c r="K2335" s="878" t="s">
        <v>15</v>
      </c>
      <c r="L2335" s="1092"/>
      <c r="M2335" s="1093">
        <f t="shared" si="231"/>
        <v>0</v>
      </c>
      <c r="N2335" s="1131">
        <f t="shared" si="232"/>
        <v>0</v>
      </c>
      <c r="O2335" s="880"/>
      <c r="Q2335" s="317" t="str">
        <f t="shared" si="233"/>
        <v/>
      </c>
      <c r="R2335" s="317" t="str">
        <f t="shared" si="234"/>
        <v/>
      </c>
      <c r="S2335" s="317" t="str">
        <f t="shared" si="235"/>
        <v/>
      </c>
      <c r="T2335" s="317" t="str">
        <f>'REF. DE PREÇOS n editavel'!S2335</f>
        <v/>
      </c>
      <c r="W2335" s="577">
        <v>0</v>
      </c>
      <c r="X2335" s="575"/>
      <c r="Y2335" s="578">
        <f>IF('REF. DE PREÇOS n editavel'!W2335=0,0,IF('REF. DE PREÇOS n editavel'!W2335&gt;0,"c","b"))</f>
        <v>0</v>
      </c>
    </row>
    <row r="2336" spans="1:25" ht="15" customHeight="1">
      <c r="A2336" s="317" t="s">
        <v>147</v>
      </c>
      <c r="B2336" s="870" t="s">
        <v>147</v>
      </c>
      <c r="C2336" s="871"/>
      <c r="D2336" s="881" t="s">
        <v>190</v>
      </c>
      <c r="E2336" s="882">
        <f>'REF. DE PREÇOS n editavel'!E2336</f>
        <v>445</v>
      </c>
      <c r="F2336" s="883">
        <f>'REF. DE PREÇOS n editavel'!F2336</f>
        <v>0.6411</v>
      </c>
      <c r="G2336" s="884">
        <f>'REF. DE PREÇOS n editavel'!G2336</f>
        <v>227.53921200000002</v>
      </c>
      <c r="H2336" s="876">
        <f>'REF. DE PREÇOS n editavel'!H2336</f>
        <v>0</v>
      </c>
      <c r="I2336" s="876">
        <f>'REF. DE PREÇOS n editavel'!I2336</f>
        <v>0</v>
      </c>
      <c r="J2336" s="877">
        <f>'REF. DE PREÇOS n editavel'!J2336</f>
        <v>0</v>
      </c>
      <c r="K2336" s="878"/>
      <c r="L2336" s="1132"/>
      <c r="M2336" s="1093">
        <f t="shared" si="231"/>
        <v>0</v>
      </c>
      <c r="N2336" s="1131">
        <f t="shared" si="232"/>
        <v>0</v>
      </c>
      <c r="O2336" s="880"/>
      <c r="P2336" s="36" t="str">
        <f>IF(N2335&gt;0,"xx",IF(N2335&gt;0,"xy",""))</f>
        <v/>
      </c>
      <c r="Q2336" s="317" t="str">
        <f t="shared" si="233"/>
        <v/>
      </c>
      <c r="R2336" s="317" t="str">
        <f t="shared" si="234"/>
        <v/>
      </c>
      <c r="S2336" s="317" t="str">
        <f t="shared" si="235"/>
        <v/>
      </c>
      <c r="T2336" s="317" t="str">
        <f>'REF. DE PREÇOS n editavel'!S2336</f>
        <v/>
      </c>
      <c r="W2336" s="577">
        <v>0</v>
      </c>
      <c r="X2336" s="575"/>
      <c r="Y2336" s="578">
        <f>IF('REF. DE PREÇOS n editavel'!W2336=0,0,IF('REF. DE PREÇOS n editavel'!W2336&gt;0,"c","b"))</f>
        <v>0</v>
      </c>
    </row>
    <row r="2337" spans="1:25" ht="15" customHeight="1">
      <c r="A2337" s="317" t="s">
        <v>147</v>
      </c>
      <c r="B2337" s="870" t="s">
        <v>147</v>
      </c>
      <c r="C2337" s="871"/>
      <c r="D2337" s="881" t="s">
        <v>229</v>
      </c>
      <c r="E2337" s="882">
        <f>'REF. DE PREÇOS n editavel'!E2337</f>
        <v>290</v>
      </c>
      <c r="F2337" s="883">
        <f>'REF. DE PREÇOS n editavel'!F2337</f>
        <v>1.8840500000000002</v>
      </c>
      <c r="G2337" s="923">
        <f>'REF. DE PREÇOS n editavel'!G2337</f>
        <v>589.66996900000015</v>
      </c>
      <c r="H2337" s="876">
        <f>'REF. DE PREÇOS n editavel'!H2337</f>
        <v>0</v>
      </c>
      <c r="I2337" s="876">
        <f>'REF. DE PREÇOS n editavel'!I2337</f>
        <v>0</v>
      </c>
      <c r="J2337" s="877">
        <f>'REF. DE PREÇOS n editavel'!J2337</f>
        <v>0</v>
      </c>
      <c r="K2337" s="878"/>
      <c r="L2337" s="1132"/>
      <c r="M2337" s="1093">
        <f t="shared" si="231"/>
        <v>0</v>
      </c>
      <c r="N2337" s="1131">
        <f t="shared" si="232"/>
        <v>0</v>
      </c>
      <c r="O2337" s="880"/>
      <c r="P2337" s="36" t="str">
        <f>IF(N2335&gt;0,"xx",IF(N2335&gt;0,"xy",""))</f>
        <v/>
      </c>
      <c r="Q2337" s="317" t="str">
        <f t="shared" si="233"/>
        <v/>
      </c>
      <c r="R2337" s="317" t="str">
        <f t="shared" si="234"/>
        <v/>
      </c>
      <c r="S2337" s="317" t="str">
        <f t="shared" si="235"/>
        <v/>
      </c>
      <c r="T2337" s="317" t="str">
        <f>'REF. DE PREÇOS n editavel'!S2337</f>
        <v/>
      </c>
      <c r="W2337" s="577">
        <v>0</v>
      </c>
      <c r="X2337" s="575"/>
      <c r="Y2337" s="578">
        <f>IF('REF. DE PREÇOS n editavel'!W2337=0,0,IF('REF. DE PREÇOS n editavel'!W2337&gt;0,"c","b"))</f>
        <v>0</v>
      </c>
    </row>
    <row r="2338" spans="1:25" ht="15" customHeight="1">
      <c r="A2338" s="317" t="s">
        <v>147</v>
      </c>
      <c r="B2338" s="870" t="s">
        <v>147</v>
      </c>
      <c r="C2338" s="871"/>
      <c r="D2338" s="881" t="s">
        <v>233</v>
      </c>
      <c r="E2338" s="882">
        <f>'REF. DE PREÇOS n editavel'!E2338</f>
        <v>43.1</v>
      </c>
      <c r="F2338" s="883">
        <f>'REF. DE PREÇOS n editavel'!F2338</f>
        <v>2.2422</v>
      </c>
      <c r="G2338" s="923">
        <f>'REF. DE PREÇOS n editavel'!G2338</f>
        <v>109.4126334</v>
      </c>
      <c r="H2338" s="876">
        <f>'REF. DE PREÇOS n editavel'!H2338</f>
        <v>0</v>
      </c>
      <c r="I2338" s="876">
        <f>'REF. DE PREÇOS n editavel'!I2338</f>
        <v>0</v>
      </c>
      <c r="J2338" s="877">
        <f>'REF. DE PREÇOS n editavel'!J2338</f>
        <v>0</v>
      </c>
      <c r="K2338" s="878"/>
      <c r="L2338" s="1132"/>
      <c r="M2338" s="1093">
        <f t="shared" si="231"/>
        <v>0</v>
      </c>
      <c r="N2338" s="1131">
        <f t="shared" si="232"/>
        <v>0</v>
      </c>
      <c r="O2338" s="880"/>
      <c r="P2338" s="36" t="str">
        <f>IF(N2335&gt;0,"xx",IF(N2335&gt;0,"xy",""))</f>
        <v/>
      </c>
      <c r="Q2338" s="317" t="str">
        <f t="shared" si="233"/>
        <v/>
      </c>
      <c r="R2338" s="317" t="str">
        <f t="shared" si="234"/>
        <v/>
      </c>
      <c r="S2338" s="317" t="str">
        <f t="shared" si="235"/>
        <v/>
      </c>
      <c r="T2338" s="317" t="str">
        <f>'REF. DE PREÇOS n editavel'!S2338</f>
        <v/>
      </c>
      <c r="W2338" s="577">
        <v>0</v>
      </c>
      <c r="X2338" s="575"/>
      <c r="Y2338" s="578">
        <f>IF('REF. DE PREÇOS n editavel'!W2338=0,0,IF('REF. DE PREÇOS n editavel'!W2338&gt;0,"c","b"))</f>
        <v>0</v>
      </c>
    </row>
    <row r="2339" spans="1:25" ht="15" customHeight="1">
      <c r="A2339" s="317" t="s">
        <v>122</v>
      </c>
      <c r="B2339" s="870" t="s">
        <v>122</v>
      </c>
      <c r="C2339" s="871" t="s">
        <v>184</v>
      </c>
      <c r="D2339" s="881" t="s">
        <v>136</v>
      </c>
      <c r="E2339" s="882">
        <f>'REF. DE PREÇOS n editavel'!E2339</f>
        <v>0</v>
      </c>
      <c r="F2339" s="883">
        <f>'REF. DE PREÇOS n editavel'!F2339</f>
        <v>0</v>
      </c>
      <c r="G2339" s="887">
        <f>'REF. DE PREÇOS n editavel'!G2339</f>
        <v>1161.2438013699998</v>
      </c>
      <c r="H2339" s="876">
        <f>'REF. DE PREÇOS n editavel'!H2339</f>
        <v>2119.0300000000002</v>
      </c>
      <c r="I2339" s="876">
        <f>'REF. DE PREÇOS n editavel'!I2339</f>
        <v>3280.27380137</v>
      </c>
      <c r="J2339" s="877">
        <f>'REF. DE PREÇOS n editavel'!J2339</f>
        <v>4009.15</v>
      </c>
      <c r="K2339" s="878" t="s">
        <v>15</v>
      </c>
      <c r="L2339" s="1092"/>
      <c r="M2339" s="1093">
        <f t="shared" si="231"/>
        <v>0</v>
      </c>
      <c r="N2339" s="1131">
        <f t="shared" si="232"/>
        <v>0</v>
      </c>
      <c r="O2339" s="880"/>
      <c r="Q2339" s="317" t="str">
        <f t="shared" si="233"/>
        <v/>
      </c>
      <c r="R2339" s="317" t="str">
        <f t="shared" si="234"/>
        <v/>
      </c>
      <c r="S2339" s="317" t="str">
        <f t="shared" si="235"/>
        <v/>
      </c>
      <c r="T2339" s="317" t="str">
        <f>'REF. DE PREÇOS n editavel'!S2339</f>
        <v/>
      </c>
      <c r="W2339" s="577">
        <v>0</v>
      </c>
      <c r="X2339" s="575"/>
      <c r="Y2339" s="578">
        <f>IF('REF. DE PREÇOS n editavel'!W2339=0,0,IF('REF. DE PREÇOS n editavel'!W2339&gt;0,"c","b"))</f>
        <v>0</v>
      </c>
    </row>
    <row r="2340" spans="1:25" ht="15" customHeight="1">
      <c r="A2340" s="317" t="s">
        <v>147</v>
      </c>
      <c r="B2340" s="870" t="s">
        <v>147</v>
      </c>
      <c r="C2340" s="871"/>
      <c r="D2340" s="881" t="s">
        <v>190</v>
      </c>
      <c r="E2340" s="882">
        <f>'REF. DE PREÇOS n editavel'!E2340</f>
        <v>445</v>
      </c>
      <c r="F2340" s="883">
        <f>'REF. DE PREÇOS n editavel'!F2340</f>
        <v>0.80657999999999996</v>
      </c>
      <c r="G2340" s="884">
        <f>'REF. DE PREÇOS n editavel'!G2340</f>
        <v>286.2713736</v>
      </c>
      <c r="H2340" s="876">
        <f>'REF. DE PREÇOS n editavel'!H2340</f>
        <v>0</v>
      </c>
      <c r="I2340" s="876">
        <f>'REF. DE PREÇOS n editavel'!I2340</f>
        <v>0</v>
      </c>
      <c r="J2340" s="877">
        <f>'REF. DE PREÇOS n editavel'!J2340</f>
        <v>0</v>
      </c>
      <c r="K2340" s="878"/>
      <c r="L2340" s="1132"/>
      <c r="M2340" s="1093">
        <f t="shared" si="231"/>
        <v>0</v>
      </c>
      <c r="N2340" s="1131">
        <f t="shared" si="232"/>
        <v>0</v>
      </c>
      <c r="O2340" s="880"/>
      <c r="P2340" s="36" t="str">
        <f>IF(N2339&gt;0,"xx",IF(N2339&gt;0,"xy",""))</f>
        <v/>
      </c>
      <c r="Q2340" s="317" t="str">
        <f t="shared" si="233"/>
        <v/>
      </c>
      <c r="R2340" s="317" t="str">
        <f t="shared" si="234"/>
        <v/>
      </c>
      <c r="S2340" s="317" t="str">
        <f t="shared" si="235"/>
        <v/>
      </c>
      <c r="T2340" s="317" t="str">
        <f>'REF. DE PREÇOS n editavel'!S2340</f>
        <v/>
      </c>
      <c r="W2340" s="577">
        <v>0</v>
      </c>
      <c r="X2340" s="575"/>
      <c r="Y2340" s="578">
        <f>IF('REF. DE PREÇOS n editavel'!W2340=0,0,IF('REF. DE PREÇOS n editavel'!W2340&gt;0,"c","b"))</f>
        <v>0</v>
      </c>
    </row>
    <row r="2341" spans="1:25" ht="15" customHeight="1">
      <c r="A2341" s="317" t="s">
        <v>147</v>
      </c>
      <c r="B2341" s="870" t="s">
        <v>147</v>
      </c>
      <c r="C2341" s="871"/>
      <c r="D2341" s="881" t="s">
        <v>229</v>
      </c>
      <c r="E2341" s="882">
        <f>'REF. DE PREÇOS n editavel'!E2341</f>
        <v>290</v>
      </c>
      <c r="F2341" s="883">
        <f>'REF. DE PREÇOS n editavel'!F2341</f>
        <v>2.3575999999999997</v>
      </c>
      <c r="G2341" s="923">
        <f>'REF. DE PREÇOS n editavel'!G2341</f>
        <v>737.88164799999993</v>
      </c>
      <c r="H2341" s="876">
        <f>'REF. DE PREÇOS n editavel'!H2341</f>
        <v>0</v>
      </c>
      <c r="I2341" s="876">
        <f>'REF. DE PREÇOS n editavel'!I2341</f>
        <v>0</v>
      </c>
      <c r="J2341" s="877">
        <f>'REF. DE PREÇOS n editavel'!J2341</f>
        <v>0</v>
      </c>
      <c r="K2341" s="878"/>
      <c r="L2341" s="1132"/>
      <c r="M2341" s="1093">
        <f t="shared" si="231"/>
        <v>0</v>
      </c>
      <c r="N2341" s="1131">
        <f t="shared" si="232"/>
        <v>0</v>
      </c>
      <c r="O2341" s="880"/>
      <c r="P2341" s="36" t="str">
        <f>IF(N2339&gt;0,"xx",IF(N2339&gt;0,"xy",""))</f>
        <v/>
      </c>
      <c r="Q2341" s="317" t="str">
        <f t="shared" si="233"/>
        <v/>
      </c>
      <c r="R2341" s="317" t="str">
        <f t="shared" si="234"/>
        <v/>
      </c>
      <c r="S2341" s="317" t="str">
        <f t="shared" si="235"/>
        <v/>
      </c>
      <c r="T2341" s="317" t="str">
        <f>'REF. DE PREÇOS n editavel'!S2341</f>
        <v/>
      </c>
      <c r="W2341" s="577">
        <v>0</v>
      </c>
      <c r="X2341" s="575"/>
      <c r="Y2341" s="578">
        <f>IF('REF. DE PREÇOS n editavel'!W2341=0,0,IF('REF. DE PREÇOS n editavel'!W2341&gt;0,"c","b"))</f>
        <v>0</v>
      </c>
    </row>
    <row r="2342" spans="1:25" ht="15" customHeight="1">
      <c r="A2342" s="317" t="s">
        <v>147</v>
      </c>
      <c r="B2342" s="870" t="s">
        <v>147</v>
      </c>
      <c r="C2342" s="871"/>
      <c r="D2342" s="881" t="s">
        <v>233</v>
      </c>
      <c r="E2342" s="882">
        <f>'REF. DE PREÇOS n editavel'!E2342</f>
        <v>43.1</v>
      </c>
      <c r="F2342" s="883">
        <f>'REF. DE PREÇOS n editavel'!F2342</f>
        <v>2.8094099999999997</v>
      </c>
      <c r="G2342" s="923">
        <f>'REF. DE PREÇOS n editavel'!G2342</f>
        <v>137.09077977000001</v>
      </c>
      <c r="H2342" s="876">
        <f>'REF. DE PREÇOS n editavel'!H2342</f>
        <v>0</v>
      </c>
      <c r="I2342" s="876">
        <f>'REF. DE PREÇOS n editavel'!I2342</f>
        <v>0</v>
      </c>
      <c r="J2342" s="877">
        <f>'REF. DE PREÇOS n editavel'!J2342</f>
        <v>0</v>
      </c>
      <c r="K2342" s="878"/>
      <c r="L2342" s="1132"/>
      <c r="M2342" s="1093">
        <f t="shared" si="231"/>
        <v>0</v>
      </c>
      <c r="N2342" s="1131">
        <f t="shared" si="232"/>
        <v>0</v>
      </c>
      <c r="O2342" s="880"/>
      <c r="P2342" s="36" t="str">
        <f>IF(N2339&gt;0,"xx",IF(N2339&gt;0,"xy",""))</f>
        <v/>
      </c>
      <c r="Q2342" s="317" t="str">
        <f t="shared" si="233"/>
        <v/>
      </c>
      <c r="R2342" s="317" t="str">
        <f t="shared" si="234"/>
        <v/>
      </c>
      <c r="S2342" s="317" t="str">
        <f t="shared" si="235"/>
        <v/>
      </c>
      <c r="T2342" s="317" t="str">
        <f>'REF. DE PREÇOS n editavel'!S2342</f>
        <v/>
      </c>
      <c r="W2342" s="577">
        <v>0</v>
      </c>
      <c r="X2342" s="575"/>
      <c r="Y2342" s="578">
        <f>IF('REF. DE PREÇOS n editavel'!W2342=0,0,IF('REF. DE PREÇOS n editavel'!W2342&gt;0,"c","b"))</f>
        <v>0</v>
      </c>
    </row>
    <row r="2343" spans="1:25" ht="15" customHeight="1">
      <c r="A2343" s="317" t="s">
        <v>123</v>
      </c>
      <c r="B2343" s="870" t="s">
        <v>123</v>
      </c>
      <c r="C2343" s="871" t="s">
        <v>184</v>
      </c>
      <c r="D2343" s="881" t="s">
        <v>137</v>
      </c>
      <c r="E2343" s="882">
        <f>'REF. DE PREÇOS n editavel'!E2343</f>
        <v>0</v>
      </c>
      <c r="F2343" s="883">
        <f>'REF. DE PREÇOS n editavel'!F2343</f>
        <v>0</v>
      </c>
      <c r="G2343" s="887">
        <f>'REF. DE PREÇOS n editavel'!G2343</f>
        <v>561.52859315000012</v>
      </c>
      <c r="H2343" s="876">
        <f>'REF. DE PREÇOS n editavel'!H2343</f>
        <v>3215.9</v>
      </c>
      <c r="I2343" s="876">
        <f>'REF. DE PREÇOS n editavel'!I2343</f>
        <v>3777.4285931500003</v>
      </c>
      <c r="J2343" s="877">
        <f>'REF. DE PREÇOS n editavel'!J2343</f>
        <v>4616.7700000000004</v>
      </c>
      <c r="K2343" s="878" t="s">
        <v>15</v>
      </c>
      <c r="L2343" s="1092"/>
      <c r="M2343" s="1093">
        <f t="shared" si="231"/>
        <v>0</v>
      </c>
      <c r="N2343" s="1131">
        <f t="shared" si="232"/>
        <v>0</v>
      </c>
      <c r="O2343" s="880"/>
      <c r="Q2343" s="317" t="str">
        <f t="shared" si="233"/>
        <v/>
      </c>
      <c r="R2343" s="317" t="str">
        <f t="shared" si="234"/>
        <v/>
      </c>
      <c r="S2343" s="317" t="str">
        <f t="shared" si="235"/>
        <v/>
      </c>
      <c r="T2343" s="317" t="str">
        <f>'REF. DE PREÇOS n editavel'!S2343</f>
        <v/>
      </c>
      <c r="W2343" s="577">
        <v>0</v>
      </c>
      <c r="X2343" s="575"/>
      <c r="Y2343" s="578">
        <f>IF('REF. DE PREÇOS n editavel'!W2343=0,0,IF('REF. DE PREÇOS n editavel'!W2343&gt;0,"c","b"))</f>
        <v>0</v>
      </c>
    </row>
    <row r="2344" spans="1:25" ht="15" customHeight="1">
      <c r="A2344" s="317" t="s">
        <v>147</v>
      </c>
      <c r="B2344" s="870" t="s">
        <v>147</v>
      </c>
      <c r="C2344" s="871"/>
      <c r="D2344" s="881" t="s">
        <v>190</v>
      </c>
      <c r="E2344" s="882">
        <f>'REF. DE PREÇOS n editavel'!E2344</f>
        <v>445</v>
      </c>
      <c r="F2344" s="883">
        <f>'REF. DE PREÇOS n editavel'!F2344</f>
        <v>0.38250000000000006</v>
      </c>
      <c r="G2344" s="884">
        <f>'REF. DE PREÇOS n editavel'!G2344</f>
        <v>135.75690000000003</v>
      </c>
      <c r="H2344" s="876">
        <f>'REF. DE PREÇOS n editavel'!H2344</f>
        <v>0</v>
      </c>
      <c r="I2344" s="876">
        <f>'REF. DE PREÇOS n editavel'!I2344</f>
        <v>0</v>
      </c>
      <c r="J2344" s="877">
        <f>'REF. DE PREÇOS n editavel'!J2344</f>
        <v>0</v>
      </c>
      <c r="K2344" s="878"/>
      <c r="L2344" s="1132"/>
      <c r="M2344" s="1093">
        <f t="shared" si="231"/>
        <v>0</v>
      </c>
      <c r="N2344" s="1131">
        <f t="shared" si="232"/>
        <v>0</v>
      </c>
      <c r="O2344" s="880"/>
      <c r="P2344" s="36" t="str">
        <f>IF(N2343&gt;0,"xx",IF(N2343&gt;0,"xy",""))</f>
        <v/>
      </c>
      <c r="Q2344" s="317" t="str">
        <f t="shared" si="233"/>
        <v/>
      </c>
      <c r="R2344" s="317" t="str">
        <f t="shared" si="234"/>
        <v/>
      </c>
      <c r="S2344" s="317" t="str">
        <f t="shared" si="235"/>
        <v/>
      </c>
      <c r="T2344" s="317" t="str">
        <f>'REF. DE PREÇOS n editavel'!S2344</f>
        <v/>
      </c>
      <c r="W2344" s="577">
        <v>0</v>
      </c>
      <c r="X2344" s="575"/>
      <c r="Y2344" s="578">
        <f>IF('REF. DE PREÇOS n editavel'!W2344=0,0,IF('REF. DE PREÇOS n editavel'!W2344&gt;0,"c","b"))</f>
        <v>0</v>
      </c>
    </row>
    <row r="2345" spans="1:25" ht="15" customHeight="1">
      <c r="A2345" s="317" t="s">
        <v>147</v>
      </c>
      <c r="B2345" s="870" t="s">
        <v>147</v>
      </c>
      <c r="C2345" s="871"/>
      <c r="D2345" s="881" t="s">
        <v>229</v>
      </c>
      <c r="E2345" s="882">
        <f>'REF. DE PREÇOS n editavel'!E2345</f>
        <v>290</v>
      </c>
      <c r="F2345" s="883">
        <f>'REF. DE PREÇOS n editavel'!F2345</f>
        <v>1.1483800000000002</v>
      </c>
      <c r="G2345" s="923">
        <f>'REF. DE PREÇOS n editavel'!G2345</f>
        <v>359.41997240000006</v>
      </c>
      <c r="H2345" s="876">
        <f>'REF. DE PREÇOS n editavel'!H2345</f>
        <v>0</v>
      </c>
      <c r="I2345" s="876">
        <f>'REF. DE PREÇOS n editavel'!I2345</f>
        <v>0</v>
      </c>
      <c r="J2345" s="877">
        <f>'REF. DE PREÇOS n editavel'!J2345</f>
        <v>0</v>
      </c>
      <c r="K2345" s="878"/>
      <c r="L2345" s="1132"/>
      <c r="M2345" s="1093">
        <f t="shared" si="231"/>
        <v>0</v>
      </c>
      <c r="N2345" s="1131">
        <f t="shared" si="232"/>
        <v>0</v>
      </c>
      <c r="O2345" s="880"/>
      <c r="P2345" s="36" t="str">
        <f>IF(N2343&gt;0,"xx",IF(N2343&gt;0,"xy",""))</f>
        <v/>
      </c>
      <c r="Q2345" s="317" t="str">
        <f t="shared" si="233"/>
        <v/>
      </c>
      <c r="R2345" s="317" t="str">
        <f t="shared" si="234"/>
        <v/>
      </c>
      <c r="S2345" s="317" t="str">
        <f t="shared" si="235"/>
        <v/>
      </c>
      <c r="T2345" s="317" t="str">
        <f>'REF. DE PREÇOS n editavel'!S2345</f>
        <v/>
      </c>
      <c r="W2345" s="577">
        <v>0</v>
      </c>
      <c r="X2345" s="575"/>
      <c r="Y2345" s="578">
        <f>IF('REF. DE PREÇOS n editavel'!W2345=0,0,IF('REF. DE PREÇOS n editavel'!W2345&gt;0,"c","b"))</f>
        <v>0</v>
      </c>
    </row>
    <row r="2346" spans="1:25" ht="15" customHeight="1">
      <c r="A2346" s="317" t="s">
        <v>147</v>
      </c>
      <c r="B2346" s="870" t="s">
        <v>147</v>
      </c>
      <c r="C2346" s="871"/>
      <c r="D2346" s="881" t="s">
        <v>233</v>
      </c>
      <c r="E2346" s="882">
        <f>'REF. DE PREÇOS n editavel'!E2346</f>
        <v>43.1</v>
      </c>
      <c r="F2346" s="883">
        <f>'REF. DE PREÇOS n editavel'!F2346</f>
        <v>1.35975</v>
      </c>
      <c r="G2346" s="923">
        <f>'REF. DE PREÇOS n editavel'!G2346</f>
        <v>66.351720750000013</v>
      </c>
      <c r="H2346" s="876">
        <f>'REF. DE PREÇOS n editavel'!H2346</f>
        <v>0</v>
      </c>
      <c r="I2346" s="876">
        <f>'REF. DE PREÇOS n editavel'!I2346</f>
        <v>0</v>
      </c>
      <c r="J2346" s="877">
        <f>'REF. DE PREÇOS n editavel'!J2346</f>
        <v>0</v>
      </c>
      <c r="K2346" s="878"/>
      <c r="L2346" s="1132"/>
      <c r="M2346" s="1093">
        <f t="shared" si="231"/>
        <v>0</v>
      </c>
      <c r="N2346" s="1131">
        <f t="shared" si="232"/>
        <v>0</v>
      </c>
      <c r="O2346" s="880"/>
      <c r="P2346" s="36" t="str">
        <f>IF(N2343&gt;0,"xx",IF(N2343&gt;0,"xy",""))</f>
        <v/>
      </c>
      <c r="Q2346" s="317" t="str">
        <f t="shared" si="233"/>
        <v/>
      </c>
      <c r="R2346" s="317" t="str">
        <f t="shared" si="234"/>
        <v/>
      </c>
      <c r="S2346" s="317" t="str">
        <f t="shared" si="235"/>
        <v/>
      </c>
      <c r="T2346" s="317" t="str">
        <f>'REF. DE PREÇOS n editavel'!S2346</f>
        <v/>
      </c>
      <c r="W2346" s="577">
        <v>0</v>
      </c>
      <c r="X2346" s="575"/>
      <c r="Y2346" s="578">
        <f>IF('REF. DE PREÇOS n editavel'!W2346=0,0,IF('REF. DE PREÇOS n editavel'!W2346&gt;0,"c","b"))</f>
        <v>0</v>
      </c>
    </row>
    <row r="2347" spans="1:25" ht="15" customHeight="1">
      <c r="A2347" s="317" t="s">
        <v>124</v>
      </c>
      <c r="B2347" s="870" t="s">
        <v>124</v>
      </c>
      <c r="C2347" s="871" t="s">
        <v>184</v>
      </c>
      <c r="D2347" s="881" t="s">
        <v>138</v>
      </c>
      <c r="E2347" s="882">
        <f>'REF. DE PREÇOS n editavel'!E2347</f>
        <v>0</v>
      </c>
      <c r="F2347" s="883">
        <f>'REF. DE PREÇOS n editavel'!F2347</f>
        <v>0</v>
      </c>
      <c r="G2347" s="887">
        <f>'REF. DE PREÇOS n editavel'!G2347</f>
        <v>630.46002065000005</v>
      </c>
      <c r="H2347" s="876">
        <f>'REF. DE PREÇOS n editavel'!H2347</f>
        <v>3565.26</v>
      </c>
      <c r="I2347" s="876">
        <f>'REF. DE PREÇOS n editavel'!I2347</f>
        <v>4195.7200206500002</v>
      </c>
      <c r="J2347" s="877">
        <f>'REF. DE PREÇOS n editavel'!J2347</f>
        <v>5128.01</v>
      </c>
      <c r="K2347" s="878" t="s">
        <v>15</v>
      </c>
      <c r="L2347" s="1092"/>
      <c r="M2347" s="1093">
        <f t="shared" si="231"/>
        <v>0</v>
      </c>
      <c r="N2347" s="1131">
        <f t="shared" si="232"/>
        <v>0</v>
      </c>
      <c r="O2347" s="880"/>
      <c r="Q2347" s="317" t="str">
        <f t="shared" si="233"/>
        <v/>
      </c>
      <c r="R2347" s="317" t="str">
        <f t="shared" si="234"/>
        <v/>
      </c>
      <c r="S2347" s="317" t="str">
        <f t="shared" si="235"/>
        <v/>
      </c>
      <c r="T2347" s="317" t="str">
        <f>'REF. DE PREÇOS n editavel'!S2347</f>
        <v/>
      </c>
      <c r="W2347" s="577">
        <v>0</v>
      </c>
      <c r="X2347" s="575"/>
      <c r="Y2347" s="578">
        <f>IF('REF. DE PREÇOS n editavel'!W2347=0,0,IF('REF. DE PREÇOS n editavel'!W2347&gt;0,"c","b"))</f>
        <v>0</v>
      </c>
    </row>
    <row r="2348" spans="1:25" ht="15" customHeight="1">
      <c r="A2348" s="317" t="s">
        <v>147</v>
      </c>
      <c r="B2348" s="870" t="s">
        <v>147</v>
      </c>
      <c r="C2348" s="871"/>
      <c r="D2348" s="881" t="s">
        <v>190</v>
      </c>
      <c r="E2348" s="882">
        <f>'REF. DE PREÇOS n editavel'!E2348</f>
        <v>445</v>
      </c>
      <c r="F2348" s="883">
        <f>'REF. DE PREÇOS n editavel'!F2348</f>
        <v>0.43200000000000005</v>
      </c>
      <c r="G2348" s="884">
        <f>'REF. DE PREÇOS n editavel'!G2348</f>
        <v>153.32544000000001</v>
      </c>
      <c r="H2348" s="876">
        <f>'REF. DE PREÇOS n editavel'!H2348</f>
        <v>0</v>
      </c>
      <c r="I2348" s="876">
        <f>'REF. DE PREÇOS n editavel'!I2348</f>
        <v>0</v>
      </c>
      <c r="J2348" s="877">
        <f>'REF. DE PREÇOS n editavel'!J2348</f>
        <v>0</v>
      </c>
      <c r="K2348" s="878"/>
      <c r="L2348" s="1132"/>
      <c r="M2348" s="1093">
        <f t="shared" si="231"/>
        <v>0</v>
      </c>
      <c r="N2348" s="1131">
        <f t="shared" si="232"/>
        <v>0</v>
      </c>
      <c r="O2348" s="880"/>
      <c r="P2348" s="36" t="str">
        <f>IF(N2347&gt;0,"xx",IF(N2347&gt;0,"xy",""))</f>
        <v/>
      </c>
      <c r="Q2348" s="317" t="str">
        <f t="shared" si="233"/>
        <v/>
      </c>
      <c r="R2348" s="317" t="str">
        <f t="shared" si="234"/>
        <v/>
      </c>
      <c r="S2348" s="317" t="str">
        <f t="shared" si="235"/>
        <v/>
      </c>
      <c r="T2348" s="317" t="str">
        <f>'REF. DE PREÇOS n editavel'!S2348</f>
        <v/>
      </c>
      <c r="W2348" s="577">
        <v>0</v>
      </c>
      <c r="X2348" s="575"/>
      <c r="Y2348" s="578">
        <f>IF('REF. DE PREÇOS n editavel'!W2348=0,0,IF('REF. DE PREÇOS n editavel'!W2348&gt;0,"c","b"))</f>
        <v>0</v>
      </c>
    </row>
    <row r="2349" spans="1:25" ht="15" customHeight="1">
      <c r="A2349" s="317" t="s">
        <v>147</v>
      </c>
      <c r="B2349" s="870" t="s">
        <v>147</v>
      </c>
      <c r="C2349" s="871"/>
      <c r="D2349" s="881" t="s">
        <v>229</v>
      </c>
      <c r="E2349" s="882">
        <f>'REF. DE PREÇOS n editavel'!E2349</f>
        <v>290</v>
      </c>
      <c r="F2349" s="883">
        <f>'REF. DE PREÇOS n editavel'!F2349</f>
        <v>1.28653</v>
      </c>
      <c r="G2349" s="923">
        <f>'REF. DE PREÇOS n editavel'!G2349</f>
        <v>402.65815939999999</v>
      </c>
      <c r="H2349" s="876">
        <f>'REF. DE PREÇOS n editavel'!H2349</f>
        <v>0</v>
      </c>
      <c r="I2349" s="876">
        <f>'REF. DE PREÇOS n editavel'!I2349</f>
        <v>0</v>
      </c>
      <c r="J2349" s="877">
        <f>'REF. DE PREÇOS n editavel'!J2349</f>
        <v>0</v>
      </c>
      <c r="K2349" s="878"/>
      <c r="L2349" s="1132"/>
      <c r="M2349" s="1093">
        <f t="shared" si="231"/>
        <v>0</v>
      </c>
      <c r="N2349" s="1131">
        <f t="shared" si="232"/>
        <v>0</v>
      </c>
      <c r="O2349" s="880"/>
      <c r="P2349" s="36" t="str">
        <f>IF(N2347&gt;0,"xx",IF(N2347&gt;0,"xy",""))</f>
        <v/>
      </c>
      <c r="Q2349" s="317" t="str">
        <f t="shared" si="233"/>
        <v/>
      </c>
      <c r="R2349" s="317" t="str">
        <f t="shared" si="234"/>
        <v/>
      </c>
      <c r="S2349" s="317" t="str">
        <f t="shared" si="235"/>
        <v/>
      </c>
      <c r="T2349" s="317" t="str">
        <f>'REF. DE PREÇOS n editavel'!S2349</f>
        <v/>
      </c>
      <c r="W2349" s="577">
        <v>0</v>
      </c>
      <c r="X2349" s="575"/>
      <c r="Y2349" s="578">
        <f>IF('REF. DE PREÇOS n editavel'!W2349=0,0,IF('REF. DE PREÇOS n editavel'!W2349&gt;0,"c","b"))</f>
        <v>0</v>
      </c>
    </row>
    <row r="2350" spans="1:25" ht="15" customHeight="1">
      <c r="A2350" s="317" t="s">
        <v>147</v>
      </c>
      <c r="B2350" s="870" t="s">
        <v>147</v>
      </c>
      <c r="C2350" s="871"/>
      <c r="D2350" s="881" t="s">
        <v>233</v>
      </c>
      <c r="E2350" s="882">
        <f>'REF. DE PREÇOS n editavel'!E2350</f>
        <v>43.1</v>
      </c>
      <c r="F2350" s="883">
        <f>'REF. DE PREÇOS n editavel'!F2350</f>
        <v>1.5262500000000001</v>
      </c>
      <c r="G2350" s="923">
        <f>'REF. DE PREÇOS n editavel'!G2350</f>
        <v>74.476421250000016</v>
      </c>
      <c r="H2350" s="876">
        <f>'REF. DE PREÇOS n editavel'!H2350</f>
        <v>0</v>
      </c>
      <c r="I2350" s="876">
        <f>'REF. DE PREÇOS n editavel'!I2350</f>
        <v>0</v>
      </c>
      <c r="J2350" s="877">
        <f>'REF. DE PREÇOS n editavel'!J2350</f>
        <v>0</v>
      </c>
      <c r="K2350" s="878"/>
      <c r="L2350" s="1132"/>
      <c r="M2350" s="1093">
        <f t="shared" si="231"/>
        <v>0</v>
      </c>
      <c r="N2350" s="1131">
        <f t="shared" si="232"/>
        <v>0</v>
      </c>
      <c r="O2350" s="880"/>
      <c r="P2350" s="36" t="str">
        <f>IF(N2347&gt;0,"xx",IF(N2347&gt;0,"xy",""))</f>
        <v/>
      </c>
      <c r="Q2350" s="317" t="str">
        <f t="shared" si="233"/>
        <v/>
      </c>
      <c r="R2350" s="317" t="str">
        <f t="shared" si="234"/>
        <v/>
      </c>
      <c r="S2350" s="317" t="str">
        <f t="shared" si="235"/>
        <v/>
      </c>
      <c r="T2350" s="317" t="str">
        <f>'REF. DE PREÇOS n editavel'!S2350</f>
        <v/>
      </c>
      <c r="W2350" s="577">
        <v>0</v>
      </c>
      <c r="X2350" s="575"/>
      <c r="Y2350" s="578">
        <f>IF('REF. DE PREÇOS n editavel'!W2350=0,0,IF('REF. DE PREÇOS n editavel'!W2350&gt;0,"c","b"))</f>
        <v>0</v>
      </c>
    </row>
    <row r="2351" spans="1:25" ht="15" customHeight="1">
      <c r="A2351" s="317" t="s">
        <v>125</v>
      </c>
      <c r="B2351" s="870" t="s">
        <v>125</v>
      </c>
      <c r="C2351" s="871" t="s">
        <v>184</v>
      </c>
      <c r="D2351" s="881" t="s">
        <v>139</v>
      </c>
      <c r="E2351" s="882">
        <f>'REF. DE PREÇOS n editavel'!E2351</f>
        <v>0</v>
      </c>
      <c r="F2351" s="883">
        <f>'REF. DE PREÇOS n editavel'!F2351</f>
        <v>0</v>
      </c>
      <c r="G2351" s="887">
        <f>'REF. DE PREÇOS n editavel'!G2351</f>
        <v>731.55944765000004</v>
      </c>
      <c r="H2351" s="876">
        <f>'REF. DE PREÇOS n editavel'!H2351</f>
        <v>4078.7</v>
      </c>
      <c r="I2351" s="876">
        <f>'REF. DE PREÇOS n editavel'!I2351</f>
        <v>4810.2594476499999</v>
      </c>
      <c r="J2351" s="877">
        <f>'REF. DE PREÇOS n editavel'!J2351</f>
        <v>5879.1</v>
      </c>
      <c r="K2351" s="878" t="s">
        <v>15</v>
      </c>
      <c r="L2351" s="1092"/>
      <c r="M2351" s="1093">
        <f t="shared" si="231"/>
        <v>0</v>
      </c>
      <c r="N2351" s="1131">
        <f t="shared" si="232"/>
        <v>0</v>
      </c>
      <c r="O2351" s="880"/>
      <c r="Q2351" s="317" t="str">
        <f t="shared" si="233"/>
        <v/>
      </c>
      <c r="R2351" s="317" t="str">
        <f t="shared" si="234"/>
        <v/>
      </c>
      <c r="S2351" s="317" t="str">
        <f t="shared" si="235"/>
        <v/>
      </c>
      <c r="T2351" s="317" t="str">
        <f>'REF. DE PREÇOS n editavel'!S2351</f>
        <v/>
      </c>
      <c r="W2351" s="577">
        <v>0</v>
      </c>
      <c r="X2351" s="575"/>
      <c r="Y2351" s="578">
        <f>IF('REF. DE PREÇOS n editavel'!W2351=0,0,IF('REF. DE PREÇOS n editavel'!W2351&gt;0,"c","b"))</f>
        <v>0</v>
      </c>
    </row>
    <row r="2352" spans="1:25" ht="15" customHeight="1">
      <c r="A2352" s="317" t="s">
        <v>147</v>
      </c>
      <c r="B2352" s="870" t="s">
        <v>147</v>
      </c>
      <c r="C2352" s="871"/>
      <c r="D2352" s="881" t="s">
        <v>190</v>
      </c>
      <c r="E2352" s="882">
        <f>'REF. DE PREÇOS n editavel'!E2352</f>
        <v>445</v>
      </c>
      <c r="F2352" s="883">
        <f>'REF. DE PREÇOS n editavel'!F2352</f>
        <v>0.50459999999999994</v>
      </c>
      <c r="G2352" s="884">
        <f>'REF. DE PREÇOS n editavel'!G2352</f>
        <v>179.09263199999998</v>
      </c>
      <c r="H2352" s="876">
        <f>'REF. DE PREÇOS n editavel'!H2352</f>
        <v>0</v>
      </c>
      <c r="I2352" s="876">
        <f>'REF. DE PREÇOS n editavel'!I2352</f>
        <v>0</v>
      </c>
      <c r="J2352" s="877">
        <f>'REF. DE PREÇOS n editavel'!J2352</f>
        <v>0</v>
      </c>
      <c r="K2352" s="878"/>
      <c r="L2352" s="1132"/>
      <c r="M2352" s="1093">
        <f t="shared" si="231"/>
        <v>0</v>
      </c>
      <c r="N2352" s="1131">
        <f t="shared" si="232"/>
        <v>0</v>
      </c>
      <c r="O2352" s="880"/>
      <c r="P2352" s="36" t="str">
        <f>IF(N2351&gt;0,"xx",IF(N2351&gt;0,"xy",""))</f>
        <v/>
      </c>
      <c r="Q2352" s="317" t="str">
        <f t="shared" si="233"/>
        <v/>
      </c>
      <c r="R2352" s="317" t="str">
        <f t="shared" si="234"/>
        <v/>
      </c>
      <c r="S2352" s="317" t="str">
        <f t="shared" si="235"/>
        <v/>
      </c>
      <c r="T2352" s="317" t="str">
        <f>'REF. DE PREÇOS n editavel'!S2352</f>
        <v/>
      </c>
      <c r="W2352" s="577">
        <v>0</v>
      </c>
      <c r="X2352" s="575"/>
      <c r="Y2352" s="578">
        <f>IF('REF. DE PREÇOS n editavel'!W2352=0,0,IF('REF. DE PREÇOS n editavel'!W2352&gt;0,"c","b"))</f>
        <v>0</v>
      </c>
    </row>
    <row r="2353" spans="1:25" ht="15" customHeight="1">
      <c r="A2353" s="317" t="s">
        <v>147</v>
      </c>
      <c r="B2353" s="870" t="s">
        <v>147</v>
      </c>
      <c r="C2353" s="871"/>
      <c r="D2353" s="881" t="s">
        <v>229</v>
      </c>
      <c r="E2353" s="882">
        <f>'REF. DE PREÇOS n editavel'!E2353</f>
        <v>290</v>
      </c>
      <c r="F2353" s="883">
        <f>'REF. DE PREÇOS n editavel'!F2353</f>
        <v>1.48915</v>
      </c>
      <c r="G2353" s="923">
        <f>'REF. DE PREÇOS n editavel'!G2353</f>
        <v>466.07416700000005</v>
      </c>
      <c r="H2353" s="876">
        <f>'REF. DE PREÇOS n editavel'!H2353</f>
        <v>0</v>
      </c>
      <c r="I2353" s="876">
        <f>'REF. DE PREÇOS n editavel'!I2353</f>
        <v>0</v>
      </c>
      <c r="J2353" s="877">
        <f>'REF. DE PREÇOS n editavel'!J2353</f>
        <v>0</v>
      </c>
      <c r="K2353" s="878"/>
      <c r="L2353" s="1132"/>
      <c r="M2353" s="1093">
        <f t="shared" si="231"/>
        <v>0</v>
      </c>
      <c r="N2353" s="1131">
        <f t="shared" si="232"/>
        <v>0</v>
      </c>
      <c r="O2353" s="880"/>
      <c r="P2353" s="36" t="str">
        <f>IF(N2351&gt;0,"xx",IF(N2351&gt;0,"xy",""))</f>
        <v/>
      </c>
      <c r="Q2353" s="317" t="str">
        <f t="shared" si="233"/>
        <v/>
      </c>
      <c r="R2353" s="317" t="str">
        <f t="shared" si="234"/>
        <v/>
      </c>
      <c r="S2353" s="317" t="str">
        <f t="shared" si="235"/>
        <v/>
      </c>
      <c r="T2353" s="317" t="str">
        <f>'REF. DE PREÇOS n editavel'!S2353</f>
        <v/>
      </c>
      <c r="W2353" s="577">
        <v>0</v>
      </c>
      <c r="X2353" s="575"/>
      <c r="Y2353" s="578">
        <f>IF('REF. DE PREÇOS n editavel'!W2353=0,0,IF('REF. DE PREÇOS n editavel'!W2353&gt;0,"c","b"))</f>
        <v>0</v>
      </c>
    </row>
    <row r="2354" spans="1:25" ht="15" customHeight="1">
      <c r="A2354" s="317" t="s">
        <v>147</v>
      </c>
      <c r="B2354" s="870" t="s">
        <v>147</v>
      </c>
      <c r="C2354" s="871"/>
      <c r="D2354" s="881" t="s">
        <v>233</v>
      </c>
      <c r="E2354" s="882">
        <f>'REF. DE PREÇOS n editavel'!E2354</f>
        <v>43.1</v>
      </c>
      <c r="F2354" s="883">
        <f>'REF. DE PREÇOS n editavel'!F2354</f>
        <v>1.7704500000000001</v>
      </c>
      <c r="G2354" s="923">
        <f>'REF. DE PREÇOS n editavel'!G2354</f>
        <v>86.392648650000012</v>
      </c>
      <c r="H2354" s="876">
        <f>'REF. DE PREÇOS n editavel'!H2354</f>
        <v>0</v>
      </c>
      <c r="I2354" s="876">
        <f>'REF. DE PREÇOS n editavel'!I2354</f>
        <v>0</v>
      </c>
      <c r="J2354" s="877">
        <f>'REF. DE PREÇOS n editavel'!J2354</f>
        <v>0</v>
      </c>
      <c r="K2354" s="878"/>
      <c r="L2354" s="1132"/>
      <c r="M2354" s="1093">
        <f t="shared" si="231"/>
        <v>0</v>
      </c>
      <c r="N2354" s="1131">
        <f t="shared" si="232"/>
        <v>0</v>
      </c>
      <c r="O2354" s="880"/>
      <c r="P2354" s="36" t="str">
        <f>IF(N2351&gt;0,"xx",IF(N2351&gt;0,"xy",""))</f>
        <v/>
      </c>
      <c r="Q2354" s="317" t="str">
        <f t="shared" si="233"/>
        <v/>
      </c>
      <c r="R2354" s="317" t="str">
        <f t="shared" si="234"/>
        <v/>
      </c>
      <c r="S2354" s="317" t="str">
        <f t="shared" si="235"/>
        <v/>
      </c>
      <c r="T2354" s="317" t="str">
        <f>'REF. DE PREÇOS n editavel'!S2354</f>
        <v/>
      </c>
      <c r="W2354" s="577">
        <v>0</v>
      </c>
      <c r="X2354" s="575"/>
      <c r="Y2354" s="578">
        <f>IF('REF. DE PREÇOS n editavel'!W2354=0,0,IF('REF. DE PREÇOS n editavel'!W2354&gt;0,"c","b"))</f>
        <v>0</v>
      </c>
    </row>
    <row r="2355" spans="1:25" ht="15" customHeight="1">
      <c r="A2355" s="317" t="s">
        <v>40</v>
      </c>
      <c r="B2355" s="870" t="s">
        <v>40</v>
      </c>
      <c r="C2355" s="871" t="s">
        <v>184</v>
      </c>
      <c r="D2355" s="881" t="s">
        <v>140</v>
      </c>
      <c r="E2355" s="882">
        <f>'REF. DE PREÇOS n editavel'!E2355</f>
        <v>0</v>
      </c>
      <c r="F2355" s="883">
        <f>'REF. DE PREÇOS n editavel'!F2355</f>
        <v>0</v>
      </c>
      <c r="G2355" s="887">
        <f>'REF. DE PREÇOS n editavel'!G2355</f>
        <v>926.62181440000018</v>
      </c>
      <c r="H2355" s="876">
        <f>'REF. DE PREÇOS n editavel'!H2355</f>
        <v>4962.6000000000004</v>
      </c>
      <c r="I2355" s="876">
        <f>'REF. DE PREÇOS n editavel'!I2355</f>
        <v>5889.2218144000008</v>
      </c>
      <c r="J2355" s="877">
        <f>'REF. DE PREÇOS n editavel'!J2355</f>
        <v>7197.81</v>
      </c>
      <c r="K2355" s="878" t="s">
        <v>15</v>
      </c>
      <c r="L2355" s="1092"/>
      <c r="M2355" s="1093">
        <f t="shared" si="231"/>
        <v>0</v>
      </c>
      <c r="N2355" s="1131">
        <f t="shared" si="232"/>
        <v>0</v>
      </c>
      <c r="O2355" s="880"/>
      <c r="Q2355" s="317" t="str">
        <f t="shared" si="233"/>
        <v/>
      </c>
      <c r="R2355" s="317" t="str">
        <f t="shared" si="234"/>
        <v/>
      </c>
      <c r="S2355" s="317" t="str">
        <f t="shared" si="235"/>
        <v/>
      </c>
      <c r="T2355" s="317" t="str">
        <f>'REF. DE PREÇOS n editavel'!S2355</f>
        <v/>
      </c>
      <c r="W2355" s="577">
        <v>0</v>
      </c>
      <c r="X2355" s="575"/>
      <c r="Y2355" s="578">
        <f>IF('REF. DE PREÇOS n editavel'!W2355=0,0,IF('REF. DE PREÇOS n editavel'!W2355&gt;0,"c","b"))</f>
        <v>0</v>
      </c>
    </row>
    <row r="2356" spans="1:25" ht="15" customHeight="1">
      <c r="A2356" s="317" t="s">
        <v>147</v>
      </c>
      <c r="B2356" s="870" t="s">
        <v>147</v>
      </c>
      <c r="C2356" s="871"/>
      <c r="D2356" s="881" t="s">
        <v>190</v>
      </c>
      <c r="E2356" s="882">
        <f>'REF. DE PREÇOS n editavel'!E2356</f>
        <v>445</v>
      </c>
      <c r="F2356" s="883">
        <f>'REF. DE PREÇOS n editavel'!F2356</f>
        <v>0.6411</v>
      </c>
      <c r="G2356" s="884">
        <f>'REF. DE PREÇOS n editavel'!G2356</f>
        <v>227.53921200000002</v>
      </c>
      <c r="H2356" s="876">
        <f>'REF. DE PREÇOS n editavel'!H2356</f>
        <v>0</v>
      </c>
      <c r="I2356" s="876">
        <f>'REF. DE PREÇOS n editavel'!I2356</f>
        <v>0</v>
      </c>
      <c r="J2356" s="877">
        <f>'REF. DE PREÇOS n editavel'!J2356</f>
        <v>0</v>
      </c>
      <c r="K2356" s="878"/>
      <c r="L2356" s="1132"/>
      <c r="M2356" s="1093">
        <f t="shared" si="231"/>
        <v>0</v>
      </c>
      <c r="N2356" s="1131">
        <f t="shared" si="232"/>
        <v>0</v>
      </c>
      <c r="O2356" s="880"/>
      <c r="P2356" s="36" t="str">
        <f>IF(N2355&gt;0,"xx",IF(N2355&gt;0,"xy",""))</f>
        <v/>
      </c>
      <c r="Q2356" s="317" t="str">
        <f t="shared" si="233"/>
        <v/>
      </c>
      <c r="R2356" s="317" t="str">
        <f t="shared" si="234"/>
        <v/>
      </c>
      <c r="S2356" s="317" t="str">
        <f t="shared" si="235"/>
        <v/>
      </c>
      <c r="T2356" s="317" t="str">
        <f>'REF. DE PREÇOS n editavel'!S2356</f>
        <v/>
      </c>
      <c r="W2356" s="577">
        <v>0</v>
      </c>
      <c r="X2356" s="575"/>
      <c r="Y2356" s="578">
        <f>IF('REF. DE PREÇOS n editavel'!W2356=0,0,IF('REF. DE PREÇOS n editavel'!W2356&gt;0,"c","b"))</f>
        <v>0</v>
      </c>
    </row>
    <row r="2357" spans="1:25" ht="15" customHeight="1">
      <c r="A2357" s="317" t="s">
        <v>147</v>
      </c>
      <c r="B2357" s="870" t="s">
        <v>147</v>
      </c>
      <c r="C2357" s="871"/>
      <c r="D2357" s="881" t="s">
        <v>229</v>
      </c>
      <c r="E2357" s="882">
        <f>'REF. DE PREÇOS n editavel'!E2357</f>
        <v>290</v>
      </c>
      <c r="F2357" s="883">
        <f>'REF. DE PREÇOS n editavel'!F2357</f>
        <v>1.8840500000000002</v>
      </c>
      <c r="G2357" s="923">
        <f>'REF. DE PREÇOS n editavel'!G2357</f>
        <v>589.66996900000015</v>
      </c>
      <c r="H2357" s="876">
        <f>'REF. DE PREÇOS n editavel'!H2357</f>
        <v>0</v>
      </c>
      <c r="I2357" s="876">
        <f>'REF. DE PREÇOS n editavel'!I2357</f>
        <v>0</v>
      </c>
      <c r="J2357" s="877">
        <f>'REF. DE PREÇOS n editavel'!J2357</f>
        <v>0</v>
      </c>
      <c r="K2357" s="878"/>
      <c r="L2357" s="1132"/>
      <c r="M2357" s="1093">
        <f t="shared" si="231"/>
        <v>0</v>
      </c>
      <c r="N2357" s="1131">
        <f t="shared" si="232"/>
        <v>0</v>
      </c>
      <c r="O2357" s="880"/>
      <c r="P2357" s="36" t="str">
        <f>IF(N2355&gt;0,"xx",IF(N2355&gt;0,"xy",""))</f>
        <v/>
      </c>
      <c r="Q2357" s="317" t="str">
        <f t="shared" si="233"/>
        <v/>
      </c>
      <c r="R2357" s="317" t="str">
        <f t="shared" si="234"/>
        <v/>
      </c>
      <c r="S2357" s="317" t="str">
        <f t="shared" si="235"/>
        <v/>
      </c>
      <c r="T2357" s="317" t="str">
        <f>'REF. DE PREÇOS n editavel'!S2357</f>
        <v/>
      </c>
      <c r="W2357" s="577">
        <v>0</v>
      </c>
      <c r="X2357" s="575"/>
      <c r="Y2357" s="578">
        <f>IF('REF. DE PREÇOS n editavel'!W2357=0,0,IF('REF. DE PREÇOS n editavel'!W2357&gt;0,"c","b"))</f>
        <v>0</v>
      </c>
    </row>
    <row r="2358" spans="1:25" ht="15" customHeight="1">
      <c r="A2358" s="317" t="s">
        <v>147</v>
      </c>
      <c r="B2358" s="870" t="s">
        <v>147</v>
      </c>
      <c r="C2358" s="871"/>
      <c r="D2358" s="881" t="s">
        <v>233</v>
      </c>
      <c r="E2358" s="882">
        <f>'REF. DE PREÇOS n editavel'!E2358</f>
        <v>43.1</v>
      </c>
      <c r="F2358" s="883">
        <f>'REF. DE PREÇOS n editavel'!F2358</f>
        <v>2.2422</v>
      </c>
      <c r="G2358" s="923">
        <f>'REF. DE PREÇOS n editavel'!G2358</f>
        <v>109.4126334</v>
      </c>
      <c r="H2358" s="876">
        <f>'REF. DE PREÇOS n editavel'!H2358</f>
        <v>0</v>
      </c>
      <c r="I2358" s="876">
        <f>'REF. DE PREÇOS n editavel'!I2358</f>
        <v>0</v>
      </c>
      <c r="J2358" s="877">
        <f>'REF. DE PREÇOS n editavel'!J2358</f>
        <v>0</v>
      </c>
      <c r="K2358" s="878"/>
      <c r="L2358" s="1132"/>
      <c r="M2358" s="1093">
        <f t="shared" si="231"/>
        <v>0</v>
      </c>
      <c r="N2358" s="1131">
        <f t="shared" si="232"/>
        <v>0</v>
      </c>
      <c r="O2358" s="880"/>
      <c r="P2358" s="36" t="str">
        <f>IF(N2355&gt;0,"xx",IF(N2355&gt;0,"xy",""))</f>
        <v/>
      </c>
      <c r="Q2358" s="317" t="str">
        <f t="shared" si="233"/>
        <v/>
      </c>
      <c r="R2358" s="317" t="str">
        <f t="shared" si="234"/>
        <v/>
      </c>
      <c r="S2358" s="317" t="str">
        <f t="shared" si="235"/>
        <v/>
      </c>
      <c r="T2358" s="317" t="str">
        <f>'REF. DE PREÇOS n editavel'!S2358</f>
        <v/>
      </c>
      <c r="W2358" s="577">
        <v>0</v>
      </c>
      <c r="X2358" s="575"/>
      <c r="Y2358" s="578">
        <f>IF('REF. DE PREÇOS n editavel'!W2358=0,0,IF('REF. DE PREÇOS n editavel'!W2358&gt;0,"c","b"))</f>
        <v>0</v>
      </c>
    </row>
    <row r="2359" spans="1:25" ht="15" customHeight="1">
      <c r="A2359" s="317" t="s">
        <v>126</v>
      </c>
      <c r="B2359" s="870" t="s">
        <v>126</v>
      </c>
      <c r="C2359" s="871" t="s">
        <v>184</v>
      </c>
      <c r="D2359" s="881" t="s">
        <v>141</v>
      </c>
      <c r="E2359" s="882">
        <f>'REF. DE PREÇOS n editavel'!E2359</f>
        <v>0</v>
      </c>
      <c r="F2359" s="883">
        <f>'REF. DE PREÇOS n editavel'!F2359</f>
        <v>0</v>
      </c>
      <c r="G2359" s="887">
        <f>'REF. DE PREÇOS n editavel'!G2359</f>
        <v>1161.2438013699998</v>
      </c>
      <c r="H2359" s="876">
        <f>'REF. DE PREÇOS n editavel'!H2359</f>
        <v>6034.4</v>
      </c>
      <c r="I2359" s="876">
        <f>'REF. DE PREÇOS n editavel'!I2359</f>
        <v>7195.643801369999</v>
      </c>
      <c r="J2359" s="877">
        <f>'REF. DE PREÇOS n editavel'!J2359</f>
        <v>8794.52</v>
      </c>
      <c r="K2359" s="878" t="s">
        <v>15</v>
      </c>
      <c r="L2359" s="1092"/>
      <c r="M2359" s="1093">
        <f t="shared" si="231"/>
        <v>0</v>
      </c>
      <c r="N2359" s="1131">
        <f t="shared" si="232"/>
        <v>0</v>
      </c>
      <c r="O2359" s="880"/>
      <c r="Q2359" s="317" t="str">
        <f t="shared" si="233"/>
        <v/>
      </c>
      <c r="R2359" s="317" t="str">
        <f t="shared" si="234"/>
        <v/>
      </c>
      <c r="S2359" s="317" t="str">
        <f t="shared" si="235"/>
        <v/>
      </c>
      <c r="T2359" s="317" t="str">
        <f>'REF. DE PREÇOS n editavel'!S2359</f>
        <v/>
      </c>
      <c r="W2359" s="577">
        <v>0</v>
      </c>
      <c r="X2359" s="575"/>
      <c r="Y2359" s="578">
        <f>IF('REF. DE PREÇOS n editavel'!W2359=0,0,IF('REF. DE PREÇOS n editavel'!W2359&gt;0,"c","b"))</f>
        <v>0</v>
      </c>
    </row>
    <row r="2360" spans="1:25" ht="15" customHeight="1">
      <c r="A2360" s="317" t="s">
        <v>147</v>
      </c>
      <c r="B2360" s="870" t="s">
        <v>147</v>
      </c>
      <c r="C2360" s="871"/>
      <c r="D2360" s="881" t="s">
        <v>190</v>
      </c>
      <c r="E2360" s="882">
        <f>'REF. DE PREÇOS n editavel'!E2360</f>
        <v>445</v>
      </c>
      <c r="F2360" s="883">
        <f>'REF. DE PREÇOS n editavel'!F2360</f>
        <v>0.80657999999999996</v>
      </c>
      <c r="G2360" s="884">
        <f>'REF. DE PREÇOS n editavel'!G2360</f>
        <v>286.2713736</v>
      </c>
      <c r="H2360" s="876">
        <f>'REF. DE PREÇOS n editavel'!H2360</f>
        <v>0</v>
      </c>
      <c r="I2360" s="876">
        <f>'REF. DE PREÇOS n editavel'!I2360</f>
        <v>0</v>
      </c>
      <c r="J2360" s="877">
        <f>'REF. DE PREÇOS n editavel'!J2360</f>
        <v>0</v>
      </c>
      <c r="K2360" s="878"/>
      <c r="L2360" s="1132"/>
      <c r="M2360" s="1093">
        <f t="shared" si="231"/>
        <v>0</v>
      </c>
      <c r="N2360" s="1131">
        <f t="shared" si="232"/>
        <v>0</v>
      </c>
      <c r="O2360" s="880"/>
      <c r="P2360" s="36" t="str">
        <f>IF(N2359&gt;0,"xx",IF(N2359&gt;0,"xy",""))</f>
        <v/>
      </c>
      <c r="Q2360" s="317" t="str">
        <f t="shared" si="233"/>
        <v/>
      </c>
      <c r="R2360" s="317" t="str">
        <f t="shared" si="234"/>
        <v/>
      </c>
      <c r="S2360" s="317" t="str">
        <f t="shared" si="235"/>
        <v/>
      </c>
      <c r="T2360" s="317" t="str">
        <f>'REF. DE PREÇOS n editavel'!S2360</f>
        <v/>
      </c>
      <c r="W2360" s="577">
        <v>0</v>
      </c>
      <c r="X2360" s="575"/>
      <c r="Y2360" s="578">
        <f>IF('REF. DE PREÇOS n editavel'!W2360=0,0,IF('REF. DE PREÇOS n editavel'!W2360&gt;0,"c","b"))</f>
        <v>0</v>
      </c>
    </row>
    <row r="2361" spans="1:25" ht="15" customHeight="1">
      <c r="A2361" s="317" t="s">
        <v>147</v>
      </c>
      <c r="B2361" s="870" t="s">
        <v>147</v>
      </c>
      <c r="C2361" s="871"/>
      <c r="D2361" s="881" t="s">
        <v>229</v>
      </c>
      <c r="E2361" s="882">
        <f>'REF. DE PREÇOS n editavel'!E2361</f>
        <v>290</v>
      </c>
      <c r="F2361" s="883">
        <f>'REF. DE PREÇOS n editavel'!F2361</f>
        <v>2.3575999999999997</v>
      </c>
      <c r="G2361" s="923">
        <f>'REF. DE PREÇOS n editavel'!G2361</f>
        <v>737.88164799999993</v>
      </c>
      <c r="H2361" s="876">
        <f>'REF. DE PREÇOS n editavel'!H2361</f>
        <v>0</v>
      </c>
      <c r="I2361" s="876">
        <f>'REF. DE PREÇOS n editavel'!I2361</f>
        <v>0</v>
      </c>
      <c r="J2361" s="877">
        <f>'REF. DE PREÇOS n editavel'!J2361</f>
        <v>0</v>
      </c>
      <c r="K2361" s="878"/>
      <c r="L2361" s="1132"/>
      <c r="M2361" s="1093">
        <f t="shared" si="231"/>
        <v>0</v>
      </c>
      <c r="N2361" s="1131">
        <f t="shared" si="232"/>
        <v>0</v>
      </c>
      <c r="O2361" s="880"/>
      <c r="P2361" s="36" t="str">
        <f>IF(N2359&gt;0,"xx",IF(N2359&gt;0,"xy",""))</f>
        <v/>
      </c>
      <c r="Q2361" s="317" t="str">
        <f t="shared" si="233"/>
        <v/>
      </c>
      <c r="R2361" s="317" t="str">
        <f t="shared" si="234"/>
        <v/>
      </c>
      <c r="S2361" s="317" t="str">
        <f t="shared" si="235"/>
        <v/>
      </c>
      <c r="T2361" s="317" t="str">
        <f>'REF. DE PREÇOS n editavel'!S2361</f>
        <v/>
      </c>
      <c r="W2361" s="577">
        <v>0</v>
      </c>
      <c r="X2361" s="575"/>
      <c r="Y2361" s="578">
        <f>IF('REF. DE PREÇOS n editavel'!W2361=0,0,IF('REF. DE PREÇOS n editavel'!W2361&gt;0,"c","b"))</f>
        <v>0</v>
      </c>
    </row>
    <row r="2362" spans="1:25" ht="15" customHeight="1">
      <c r="A2362" s="317" t="s">
        <v>147</v>
      </c>
      <c r="B2362" s="870" t="s">
        <v>147</v>
      </c>
      <c r="C2362" s="871"/>
      <c r="D2362" s="881" t="s">
        <v>233</v>
      </c>
      <c r="E2362" s="882">
        <f>'REF. DE PREÇOS n editavel'!E2362</f>
        <v>43.1</v>
      </c>
      <c r="F2362" s="883">
        <f>'REF. DE PREÇOS n editavel'!F2362</f>
        <v>2.8094099999999997</v>
      </c>
      <c r="G2362" s="923">
        <f>'REF. DE PREÇOS n editavel'!G2362</f>
        <v>137.09077977000001</v>
      </c>
      <c r="H2362" s="876">
        <f>'REF. DE PREÇOS n editavel'!H2362</f>
        <v>0</v>
      </c>
      <c r="I2362" s="876">
        <f>'REF. DE PREÇOS n editavel'!I2362</f>
        <v>0</v>
      </c>
      <c r="J2362" s="877">
        <f>'REF. DE PREÇOS n editavel'!J2362</f>
        <v>0</v>
      </c>
      <c r="K2362" s="878"/>
      <c r="L2362" s="1132"/>
      <c r="M2362" s="1093">
        <f t="shared" si="231"/>
        <v>0</v>
      </c>
      <c r="N2362" s="1131">
        <f t="shared" si="232"/>
        <v>0</v>
      </c>
      <c r="O2362" s="880"/>
      <c r="P2362" s="36" t="str">
        <f>IF(N2359&gt;0,"xx",IF(N2359&gt;0,"xy",""))</f>
        <v/>
      </c>
      <c r="Q2362" s="317" t="str">
        <f t="shared" si="233"/>
        <v/>
      </c>
      <c r="R2362" s="317" t="str">
        <f t="shared" si="234"/>
        <v/>
      </c>
      <c r="S2362" s="317" t="str">
        <f t="shared" si="235"/>
        <v/>
      </c>
      <c r="T2362" s="317" t="str">
        <f>'REF. DE PREÇOS n editavel'!S2362</f>
        <v/>
      </c>
      <c r="W2362" s="577">
        <v>0</v>
      </c>
      <c r="X2362" s="575"/>
      <c r="Y2362" s="578">
        <f>IF('REF. DE PREÇOS n editavel'!W2362=0,0,IF('REF. DE PREÇOS n editavel'!W2362&gt;0,"c","b"))</f>
        <v>0</v>
      </c>
    </row>
    <row r="2363" spans="1:25" ht="15" customHeight="1">
      <c r="A2363" s="317" t="s">
        <v>41</v>
      </c>
      <c r="B2363" s="870" t="s">
        <v>41</v>
      </c>
      <c r="C2363" s="871" t="s">
        <v>184</v>
      </c>
      <c r="D2363" s="881" t="s">
        <v>142</v>
      </c>
      <c r="E2363" s="882">
        <f>'REF. DE PREÇOS n editavel'!E2363</f>
        <v>0</v>
      </c>
      <c r="F2363" s="883">
        <f>'REF. DE PREÇOS n editavel'!F2363</f>
        <v>0</v>
      </c>
      <c r="G2363" s="887">
        <f>'REF. DE PREÇOS n editavel'!G2363</f>
        <v>1293.6119722255</v>
      </c>
      <c r="H2363" s="876">
        <f>'REF. DE PREÇOS n editavel'!H2363</f>
        <v>6626.99</v>
      </c>
      <c r="I2363" s="876">
        <f>'REF. DE PREÇOS n editavel'!I2363</f>
        <v>7920.6019722254996</v>
      </c>
      <c r="J2363" s="877">
        <f>'REF. DE PREÇOS n editavel'!J2363</f>
        <v>9680.56</v>
      </c>
      <c r="K2363" s="878" t="s">
        <v>15</v>
      </c>
      <c r="L2363" s="1092"/>
      <c r="M2363" s="1093">
        <f t="shared" si="231"/>
        <v>0</v>
      </c>
      <c r="N2363" s="1131">
        <f t="shared" si="232"/>
        <v>0</v>
      </c>
      <c r="O2363" s="880"/>
      <c r="Q2363" s="317" t="str">
        <f t="shared" si="233"/>
        <v/>
      </c>
      <c r="R2363" s="317" t="str">
        <f t="shared" si="234"/>
        <v/>
      </c>
      <c r="S2363" s="317" t="str">
        <f t="shared" si="235"/>
        <v/>
      </c>
      <c r="T2363" s="317" t="str">
        <f>'REF. DE PREÇOS n editavel'!S2363</f>
        <v/>
      </c>
      <c r="W2363" s="577">
        <v>0</v>
      </c>
      <c r="X2363" s="575"/>
      <c r="Y2363" s="578">
        <f>IF('REF. DE PREÇOS n editavel'!W2363=0,0,IF('REF. DE PREÇOS n editavel'!W2363&gt;0,"c","b"))</f>
        <v>0</v>
      </c>
    </row>
    <row r="2364" spans="1:25" ht="15" customHeight="1">
      <c r="A2364" s="317" t="s">
        <v>147</v>
      </c>
      <c r="B2364" s="870" t="s">
        <v>147</v>
      </c>
      <c r="C2364" s="871"/>
      <c r="D2364" s="881" t="s">
        <v>190</v>
      </c>
      <c r="E2364" s="882">
        <f>'REF. DE PREÇOS n editavel'!E2364</f>
        <v>445</v>
      </c>
      <c r="F2364" s="883">
        <f>'REF. DE PREÇOS n editavel'!F2364</f>
        <v>0.89753699999999992</v>
      </c>
      <c r="G2364" s="884">
        <f>'REF. DE PREÇOS n editavel'!G2364</f>
        <v>318.55383203999997</v>
      </c>
      <c r="H2364" s="876">
        <f>'REF. DE PREÇOS n editavel'!H2364</f>
        <v>0</v>
      </c>
      <c r="I2364" s="876">
        <f>'REF. DE PREÇOS n editavel'!I2364</f>
        <v>0</v>
      </c>
      <c r="J2364" s="877">
        <f>'REF. DE PREÇOS n editavel'!J2364</f>
        <v>0</v>
      </c>
      <c r="K2364" s="878"/>
      <c r="L2364" s="1132"/>
      <c r="M2364" s="1093">
        <f t="shared" si="231"/>
        <v>0</v>
      </c>
      <c r="N2364" s="1131">
        <f t="shared" si="232"/>
        <v>0</v>
      </c>
      <c r="O2364" s="880"/>
      <c r="P2364" s="36" t="str">
        <f>IF(N2363&gt;0,"xx",IF(N2363&gt;0,"xy",""))</f>
        <v/>
      </c>
      <c r="Q2364" s="317" t="str">
        <f t="shared" si="233"/>
        <v/>
      </c>
      <c r="R2364" s="317" t="str">
        <f t="shared" si="234"/>
        <v/>
      </c>
      <c r="S2364" s="317" t="str">
        <f t="shared" si="235"/>
        <v/>
      </c>
      <c r="T2364" s="317" t="str">
        <f>'REF. DE PREÇOS n editavel'!S2364</f>
        <v/>
      </c>
      <c r="W2364" s="577">
        <v>0</v>
      </c>
      <c r="X2364" s="575"/>
      <c r="Y2364" s="578">
        <f>IF('REF. DE PREÇOS n editavel'!W2364=0,0,IF('REF. DE PREÇOS n editavel'!W2364&gt;0,"c","b"))</f>
        <v>0</v>
      </c>
    </row>
    <row r="2365" spans="1:25" ht="15" customHeight="1">
      <c r="A2365" s="317" t="s">
        <v>147</v>
      </c>
      <c r="B2365" s="870" t="s">
        <v>147</v>
      </c>
      <c r="C2365" s="871"/>
      <c r="D2365" s="881" t="s">
        <v>229</v>
      </c>
      <c r="E2365" s="882">
        <f>'REF. DE PREÇOS n editavel'!E2365</f>
        <v>290</v>
      </c>
      <c r="F2365" s="883">
        <f>'REF. DE PREÇOS n editavel'!F2365</f>
        <v>2.6274289999999998</v>
      </c>
      <c r="G2365" s="923">
        <f>'REF. DE PREÇOS n editavel'!G2365</f>
        <v>822.33272841999997</v>
      </c>
      <c r="H2365" s="876">
        <f>'REF. DE PREÇOS n editavel'!H2365</f>
        <v>0</v>
      </c>
      <c r="I2365" s="876">
        <f>'REF. DE PREÇOS n editavel'!I2365</f>
        <v>0</v>
      </c>
      <c r="J2365" s="877">
        <f>'REF. DE PREÇOS n editavel'!J2365</f>
        <v>0</v>
      </c>
      <c r="K2365" s="878"/>
      <c r="L2365" s="1132"/>
      <c r="M2365" s="1093">
        <f t="shared" si="231"/>
        <v>0</v>
      </c>
      <c r="N2365" s="1131">
        <f t="shared" si="232"/>
        <v>0</v>
      </c>
      <c r="O2365" s="880"/>
      <c r="P2365" s="36" t="str">
        <f>IF(N2363&gt;0,"xx",IF(N2363&gt;0,"xy",""))</f>
        <v/>
      </c>
      <c r="Q2365" s="317" t="str">
        <f t="shared" si="233"/>
        <v/>
      </c>
      <c r="R2365" s="317" t="str">
        <f t="shared" si="234"/>
        <v/>
      </c>
      <c r="S2365" s="317" t="str">
        <f t="shared" si="235"/>
        <v/>
      </c>
      <c r="T2365" s="317" t="str">
        <f>'REF. DE PREÇOS n editavel'!S2365</f>
        <v/>
      </c>
      <c r="W2365" s="577">
        <v>0</v>
      </c>
      <c r="X2365" s="575"/>
      <c r="Y2365" s="578">
        <f>IF('REF. DE PREÇOS n editavel'!W2365=0,0,IF('REF. DE PREÇOS n editavel'!W2365&gt;0,"c","b"))</f>
        <v>0</v>
      </c>
    </row>
    <row r="2366" spans="1:25" ht="15" customHeight="1">
      <c r="A2366" s="317" t="s">
        <v>147</v>
      </c>
      <c r="B2366" s="870" t="s">
        <v>147</v>
      </c>
      <c r="C2366" s="871"/>
      <c r="D2366" s="881" t="s">
        <v>233</v>
      </c>
      <c r="E2366" s="882">
        <f>'REF. DE PREÇOS n editavel'!E2366</f>
        <v>43.1</v>
      </c>
      <c r="F2366" s="883">
        <f>'REF. DE PREÇOS n editavel'!F2366</f>
        <v>3.1298114999999997</v>
      </c>
      <c r="G2366" s="923">
        <f>'REF. DE PREÇOS n editavel'!G2366</f>
        <v>152.72541176550001</v>
      </c>
      <c r="H2366" s="876">
        <f>'REF. DE PREÇOS n editavel'!H2366</f>
        <v>0</v>
      </c>
      <c r="I2366" s="876">
        <f>'REF. DE PREÇOS n editavel'!I2366</f>
        <v>0</v>
      </c>
      <c r="J2366" s="877">
        <f>'REF. DE PREÇOS n editavel'!J2366</f>
        <v>0</v>
      </c>
      <c r="K2366" s="878"/>
      <c r="L2366" s="1132"/>
      <c r="M2366" s="1093">
        <f t="shared" si="231"/>
        <v>0</v>
      </c>
      <c r="N2366" s="1131">
        <f t="shared" si="232"/>
        <v>0</v>
      </c>
      <c r="O2366" s="880"/>
      <c r="P2366" s="36" t="str">
        <f>IF(N2363&gt;0,"xx",IF(N2363&gt;0,"xy",""))</f>
        <v/>
      </c>
      <c r="Q2366" s="317" t="str">
        <f t="shared" si="233"/>
        <v/>
      </c>
      <c r="R2366" s="317" t="str">
        <f t="shared" si="234"/>
        <v/>
      </c>
      <c r="S2366" s="317" t="str">
        <f t="shared" si="235"/>
        <v/>
      </c>
      <c r="T2366" s="317" t="str">
        <f>'REF. DE PREÇOS n editavel'!S2366</f>
        <v/>
      </c>
      <c r="W2366" s="577">
        <v>0</v>
      </c>
      <c r="X2366" s="575"/>
      <c r="Y2366" s="578">
        <f>IF('REF. DE PREÇOS n editavel'!W2366=0,0,IF('REF. DE PREÇOS n editavel'!W2366&gt;0,"c","b"))</f>
        <v>0</v>
      </c>
    </row>
    <row r="2367" spans="1:25" ht="15" customHeight="1">
      <c r="A2367" s="317" t="s">
        <v>42</v>
      </c>
      <c r="B2367" s="870" t="s">
        <v>42</v>
      </c>
      <c r="C2367" s="871" t="s">
        <v>184</v>
      </c>
      <c r="D2367" s="881" t="s">
        <v>143</v>
      </c>
      <c r="E2367" s="882">
        <f>'REF. DE PREÇOS n editavel'!E2367</f>
        <v>0</v>
      </c>
      <c r="F2367" s="883">
        <f>'REF. DE PREÇOS n editavel'!F2367</f>
        <v>0</v>
      </c>
      <c r="G2367" s="887">
        <f>'REF. DE PREÇOS n editavel'!G2367</f>
        <v>1607.1349090593251</v>
      </c>
      <c r="H2367" s="876">
        <f>'REF. DE PREÇOS n editavel'!H2367</f>
        <v>8092.02</v>
      </c>
      <c r="I2367" s="876">
        <f>'REF. DE PREÇOS n editavel'!I2367</f>
        <v>9699.1549090593253</v>
      </c>
      <c r="J2367" s="877">
        <f>'REF. DE PREÇOS n editavel'!J2367</f>
        <v>11854.31</v>
      </c>
      <c r="K2367" s="878" t="s">
        <v>15</v>
      </c>
      <c r="L2367" s="1092"/>
      <c r="M2367" s="1093">
        <f t="shared" si="231"/>
        <v>0</v>
      </c>
      <c r="N2367" s="1131">
        <f t="shared" si="232"/>
        <v>0</v>
      </c>
      <c r="O2367" s="880"/>
      <c r="Q2367" s="317" t="str">
        <f t="shared" si="233"/>
        <v/>
      </c>
      <c r="R2367" s="317" t="str">
        <f t="shared" si="234"/>
        <v/>
      </c>
      <c r="S2367" s="317" t="str">
        <f t="shared" si="235"/>
        <v/>
      </c>
      <c r="T2367" s="317" t="str">
        <f>'REF. DE PREÇOS n editavel'!S2367</f>
        <v/>
      </c>
      <c r="W2367" s="577">
        <v>0</v>
      </c>
      <c r="X2367" s="575"/>
      <c r="Y2367" s="578">
        <f>IF('REF. DE PREÇOS n editavel'!W2367=0,0,IF('REF. DE PREÇOS n editavel'!W2367&gt;0,"c","b"))</f>
        <v>0</v>
      </c>
    </row>
    <row r="2368" spans="1:25" ht="15" customHeight="1">
      <c r="A2368" s="317" t="s">
        <v>147</v>
      </c>
      <c r="B2368" s="870" t="s">
        <v>147</v>
      </c>
      <c r="C2368" s="871"/>
      <c r="D2368" s="881" t="s">
        <v>190</v>
      </c>
      <c r="E2368" s="882">
        <f>'REF. DE PREÇOS n editavel'!E2368</f>
        <v>445</v>
      </c>
      <c r="F2368" s="883">
        <f>'REF. DE PREÇOS n editavel'!F2368</f>
        <v>1.1179675499999999</v>
      </c>
      <c r="G2368" s="884">
        <f>'REF. DE PREÇOS n editavel'!G2368</f>
        <v>396.78904284599997</v>
      </c>
      <c r="H2368" s="876">
        <f>'REF. DE PREÇOS n editavel'!H2368</f>
        <v>0</v>
      </c>
      <c r="I2368" s="876">
        <f>'REF. DE PREÇOS n editavel'!I2368</f>
        <v>0</v>
      </c>
      <c r="J2368" s="877">
        <f>'REF. DE PREÇOS n editavel'!J2368</f>
        <v>0</v>
      </c>
      <c r="K2368" s="878"/>
      <c r="L2368" s="1132"/>
      <c r="M2368" s="1093">
        <f t="shared" si="231"/>
        <v>0</v>
      </c>
      <c r="N2368" s="1131">
        <f t="shared" si="232"/>
        <v>0</v>
      </c>
      <c r="O2368" s="880"/>
      <c r="P2368" s="36" t="str">
        <f>IF(N2367&gt;0,"xx",IF(N2367&gt;0,"xy",""))</f>
        <v/>
      </c>
      <c r="Q2368" s="317" t="str">
        <f t="shared" si="233"/>
        <v/>
      </c>
      <c r="R2368" s="317" t="str">
        <f t="shared" si="234"/>
        <v/>
      </c>
      <c r="S2368" s="317" t="str">
        <f t="shared" si="235"/>
        <v/>
      </c>
      <c r="T2368" s="317" t="str">
        <f>'REF. DE PREÇOS n editavel'!S2368</f>
        <v/>
      </c>
      <c r="W2368" s="577">
        <v>0</v>
      </c>
      <c r="X2368" s="575"/>
      <c r="Y2368" s="578">
        <f>IF('REF. DE PREÇOS n editavel'!W2368=0,0,IF('REF. DE PREÇOS n editavel'!W2368&gt;0,"c","b"))</f>
        <v>0</v>
      </c>
    </row>
    <row r="2369" spans="1:25" ht="15" customHeight="1">
      <c r="A2369" s="317" t="s">
        <v>147</v>
      </c>
      <c r="B2369" s="870" t="s">
        <v>147</v>
      </c>
      <c r="C2369" s="871"/>
      <c r="D2369" s="881" t="s">
        <v>229</v>
      </c>
      <c r="E2369" s="882">
        <f>'REF. DE PREÇOS n editavel'!E2369</f>
        <v>290</v>
      </c>
      <c r="F2369" s="883">
        <f>'REF. DE PREÇOS n editavel'!F2369</f>
        <v>3.2610033499999997</v>
      </c>
      <c r="G2369" s="923">
        <f>'REF. DE PREÇOS n editavel'!G2369</f>
        <v>1020.628828483</v>
      </c>
      <c r="H2369" s="876">
        <f>'REF. DE PREÇOS n editavel'!H2369</f>
        <v>0</v>
      </c>
      <c r="I2369" s="876">
        <f>'REF. DE PREÇOS n editavel'!I2369</f>
        <v>0</v>
      </c>
      <c r="J2369" s="877">
        <f>'REF. DE PREÇOS n editavel'!J2369</f>
        <v>0</v>
      </c>
      <c r="K2369" s="878"/>
      <c r="L2369" s="1132"/>
      <c r="M2369" s="1093">
        <f t="shared" si="231"/>
        <v>0</v>
      </c>
      <c r="N2369" s="1131">
        <f t="shared" si="232"/>
        <v>0</v>
      </c>
      <c r="O2369" s="880"/>
      <c r="P2369" s="36" t="str">
        <f>IF(N2367&gt;0,"xx",IF(N2367&gt;0,"xy",""))</f>
        <v/>
      </c>
      <c r="Q2369" s="317" t="str">
        <f t="shared" si="233"/>
        <v/>
      </c>
      <c r="R2369" s="317" t="str">
        <f t="shared" si="234"/>
        <v/>
      </c>
      <c r="S2369" s="317" t="str">
        <f t="shared" si="235"/>
        <v/>
      </c>
      <c r="T2369" s="317" t="str">
        <f>'REF. DE PREÇOS n editavel'!S2369</f>
        <v/>
      </c>
      <c r="W2369" s="577">
        <v>0</v>
      </c>
      <c r="X2369" s="575"/>
      <c r="Y2369" s="578">
        <f>IF('REF. DE PREÇOS n editavel'!W2369=0,0,IF('REF. DE PREÇOS n editavel'!W2369&gt;0,"c","b"))</f>
        <v>0</v>
      </c>
    </row>
    <row r="2370" spans="1:25" ht="15" customHeight="1">
      <c r="A2370" s="317" t="s">
        <v>147</v>
      </c>
      <c r="B2370" s="870" t="s">
        <v>147</v>
      </c>
      <c r="C2370" s="871"/>
      <c r="D2370" s="881" t="s">
        <v>233</v>
      </c>
      <c r="E2370" s="882">
        <f>'REF. DE PREÇOS n editavel'!E2370</f>
        <v>43.1</v>
      </c>
      <c r="F2370" s="883">
        <f>'REF. DE PREÇOS n editavel'!F2370</f>
        <v>3.8878832249999999</v>
      </c>
      <c r="G2370" s="923">
        <f>'REF. DE PREÇOS n editavel'!G2370</f>
        <v>189.71703773032502</v>
      </c>
      <c r="H2370" s="876">
        <f>'REF. DE PREÇOS n editavel'!H2370</f>
        <v>0</v>
      </c>
      <c r="I2370" s="876">
        <f>'REF. DE PREÇOS n editavel'!I2370</f>
        <v>0</v>
      </c>
      <c r="J2370" s="877">
        <f>'REF. DE PREÇOS n editavel'!J2370</f>
        <v>0</v>
      </c>
      <c r="K2370" s="878"/>
      <c r="L2370" s="1132"/>
      <c r="M2370" s="1093">
        <f t="shared" si="231"/>
        <v>0</v>
      </c>
      <c r="N2370" s="1131">
        <f t="shared" si="232"/>
        <v>0</v>
      </c>
      <c r="O2370" s="880"/>
      <c r="P2370" s="36" t="str">
        <f>IF(N2367&gt;0,"xx",IF(N2367&gt;0,"xy",""))</f>
        <v/>
      </c>
      <c r="Q2370" s="317" t="str">
        <f t="shared" si="233"/>
        <v/>
      </c>
      <c r="R2370" s="317" t="str">
        <f t="shared" si="234"/>
        <v/>
      </c>
      <c r="S2370" s="317" t="str">
        <f t="shared" si="235"/>
        <v/>
      </c>
      <c r="T2370" s="317" t="str">
        <f>'REF. DE PREÇOS n editavel'!S2370</f>
        <v/>
      </c>
      <c r="W2370" s="577">
        <v>0</v>
      </c>
      <c r="X2370" s="575"/>
      <c r="Y2370" s="578">
        <f>IF('REF. DE PREÇOS n editavel'!W2370=0,0,IF('REF. DE PREÇOS n editavel'!W2370&gt;0,"c","b"))</f>
        <v>0</v>
      </c>
    </row>
    <row r="2371" spans="1:25" ht="15" customHeight="1">
      <c r="A2371" s="317" t="s">
        <v>43</v>
      </c>
      <c r="B2371" s="870" t="s">
        <v>43</v>
      </c>
      <c r="C2371" s="871" t="s">
        <v>184</v>
      </c>
      <c r="D2371" s="881" t="s">
        <v>387</v>
      </c>
      <c r="E2371" s="882">
        <f>'REF. DE PREÇOS n editavel'!E2371</f>
        <v>0</v>
      </c>
      <c r="F2371" s="883">
        <f>'REF. DE PREÇOS n editavel'!F2371</f>
        <v>0</v>
      </c>
      <c r="G2371" s="887">
        <f>'REF. DE PREÇOS n editavel'!G2371</f>
        <v>156.70411185000003</v>
      </c>
      <c r="H2371" s="876">
        <f>'REF. DE PREÇOS n editavel'!H2371</f>
        <v>749.96</v>
      </c>
      <c r="I2371" s="876">
        <f>'REF. DE PREÇOS n editavel'!I2371</f>
        <v>906.66411185000004</v>
      </c>
      <c r="J2371" s="877">
        <f>'REF. DE PREÇOS n editavel'!J2371</f>
        <v>1108.1199999999999</v>
      </c>
      <c r="K2371" s="878" t="s">
        <v>15</v>
      </c>
      <c r="L2371" s="1092"/>
      <c r="M2371" s="1093">
        <f t="shared" si="231"/>
        <v>0</v>
      </c>
      <c r="N2371" s="1131">
        <f t="shared" si="232"/>
        <v>0</v>
      </c>
      <c r="O2371" s="880"/>
      <c r="Q2371" s="317" t="str">
        <f t="shared" ref="Q2371:Q2414" si="236">IF(P2371="X","x",IF(P2371="xx","x",IF(P2371="xy","x",IF(P2371="y","x",IF(OR(N2371&gt;0,N2371&gt;0),"x","")))))</f>
        <v/>
      </c>
      <c r="R2371" s="317" t="str">
        <f t="shared" ref="R2371:R2416" si="237">IF(P2371="X","x",IF(P2371="y","x",IF(P2371="xx","x",IF(N2371&gt;0,"x",""))))</f>
        <v/>
      </c>
      <c r="S2371" s="317" t="str">
        <f t="shared" ref="S2371:S2416" si="238">IF(P2371="X","x",IF(N2371&gt;0,"x",""))</f>
        <v/>
      </c>
      <c r="T2371" s="317" t="str">
        <f>'REF. DE PREÇOS n editavel'!S2371</f>
        <v/>
      </c>
      <c r="W2371" s="577">
        <v>0</v>
      </c>
      <c r="X2371" s="575"/>
      <c r="Y2371" s="578">
        <f>IF('REF. DE PREÇOS n editavel'!W2371=0,0,IF('REF. DE PREÇOS n editavel'!W2371&gt;0,"c","b"))</f>
        <v>0</v>
      </c>
    </row>
    <row r="2372" spans="1:25" ht="15" customHeight="1">
      <c r="A2372" s="317" t="s">
        <v>147</v>
      </c>
      <c r="B2372" s="870" t="s">
        <v>147</v>
      </c>
      <c r="C2372" s="871"/>
      <c r="D2372" s="881" t="s">
        <v>190</v>
      </c>
      <c r="E2372" s="882">
        <f>'REF. DE PREÇOS n editavel'!E2372</f>
        <v>445</v>
      </c>
      <c r="F2372" s="883">
        <f>'REF. DE PREÇOS n editavel'!F2372</f>
        <v>0.11253000000000002</v>
      </c>
      <c r="G2372" s="884">
        <f>'REF. DE PREÇOS n editavel'!G2372</f>
        <v>39.939147600000005</v>
      </c>
      <c r="H2372" s="876">
        <f>'REF. DE PREÇOS n editavel'!H2372</f>
        <v>0</v>
      </c>
      <c r="I2372" s="876">
        <f>'REF. DE PREÇOS n editavel'!I2372</f>
        <v>0</v>
      </c>
      <c r="J2372" s="877">
        <f>'REF. DE PREÇOS n editavel'!J2372</f>
        <v>0</v>
      </c>
      <c r="K2372" s="878"/>
      <c r="L2372" s="1132"/>
      <c r="M2372" s="1093">
        <f t="shared" si="231"/>
        <v>0</v>
      </c>
      <c r="N2372" s="1131">
        <f t="shared" si="232"/>
        <v>0</v>
      </c>
      <c r="O2372" s="880"/>
      <c r="P2372" s="36" t="str">
        <f>IF(N2371&gt;0,"xx",IF(N2371&gt;0,"xy",""))</f>
        <v/>
      </c>
      <c r="Q2372" s="317" t="str">
        <f t="shared" si="236"/>
        <v/>
      </c>
      <c r="R2372" s="317" t="str">
        <f t="shared" si="237"/>
        <v/>
      </c>
      <c r="S2372" s="317" t="str">
        <f t="shared" si="238"/>
        <v/>
      </c>
      <c r="T2372" s="317" t="str">
        <f>'REF. DE PREÇOS n editavel'!S2372</f>
        <v/>
      </c>
      <c r="W2372" s="577">
        <v>0</v>
      </c>
      <c r="X2372" s="575"/>
      <c r="Y2372" s="578">
        <f>IF('REF. DE PREÇOS n editavel'!W2372=0,0,IF('REF. DE PREÇOS n editavel'!W2372&gt;0,"c","b"))</f>
        <v>0</v>
      </c>
    </row>
    <row r="2373" spans="1:25" ht="15" customHeight="1">
      <c r="A2373" s="317" t="s">
        <v>147</v>
      </c>
      <c r="B2373" s="870" t="s">
        <v>147</v>
      </c>
      <c r="C2373" s="871"/>
      <c r="D2373" s="881" t="s">
        <v>229</v>
      </c>
      <c r="E2373" s="882">
        <f>'REF. DE PREÇOS n editavel'!E2373</f>
        <v>290</v>
      </c>
      <c r="F2373" s="883">
        <f>'REF. DE PREÇOS n editavel'!F2373</f>
        <v>0.31406100000000003</v>
      </c>
      <c r="G2373" s="923">
        <f>'REF. DE PREÇOS n editavel'!G2373</f>
        <v>98.294811780000018</v>
      </c>
      <c r="H2373" s="876">
        <f>'REF. DE PREÇOS n editavel'!H2373</f>
        <v>0</v>
      </c>
      <c r="I2373" s="876">
        <f>'REF. DE PREÇOS n editavel'!I2373</f>
        <v>0</v>
      </c>
      <c r="J2373" s="877">
        <f>'REF. DE PREÇOS n editavel'!J2373</f>
        <v>0</v>
      </c>
      <c r="K2373" s="878"/>
      <c r="L2373" s="1132"/>
      <c r="M2373" s="1093">
        <f t="shared" si="231"/>
        <v>0</v>
      </c>
      <c r="N2373" s="1131">
        <f t="shared" si="232"/>
        <v>0</v>
      </c>
      <c r="O2373" s="880"/>
      <c r="P2373" s="36" t="str">
        <f>IF(N2371&gt;0,"xx",IF(N2371&gt;0,"xy",""))</f>
        <v/>
      </c>
      <c r="Q2373" s="317" t="str">
        <f t="shared" si="236"/>
        <v/>
      </c>
      <c r="R2373" s="317" t="str">
        <f t="shared" si="237"/>
        <v/>
      </c>
      <c r="S2373" s="317" t="str">
        <f t="shared" si="238"/>
        <v/>
      </c>
      <c r="T2373" s="317" t="str">
        <f>'REF. DE PREÇOS n editavel'!S2373</f>
        <v/>
      </c>
      <c r="W2373" s="577">
        <v>0</v>
      </c>
      <c r="X2373" s="575"/>
      <c r="Y2373" s="578">
        <f>IF('REF. DE PREÇOS n editavel'!W2373=0,0,IF('REF. DE PREÇOS n editavel'!W2373&gt;0,"c","b"))</f>
        <v>0</v>
      </c>
    </row>
    <row r="2374" spans="1:25" ht="15" customHeight="1">
      <c r="A2374" s="317" t="s">
        <v>147</v>
      </c>
      <c r="B2374" s="870" t="s">
        <v>147</v>
      </c>
      <c r="C2374" s="871"/>
      <c r="D2374" s="881" t="s">
        <v>233</v>
      </c>
      <c r="E2374" s="882">
        <f>'REF. DE PREÇOS n editavel'!E2374</f>
        <v>43.1</v>
      </c>
      <c r="F2374" s="883">
        <f>'REF. DE PREÇOS n editavel'!F2374</f>
        <v>0.37851000000000007</v>
      </c>
      <c r="G2374" s="923">
        <f>'REF. DE PREÇOS n editavel'!G2374</f>
        <v>18.470152470000006</v>
      </c>
      <c r="H2374" s="876">
        <f>'REF. DE PREÇOS n editavel'!H2374</f>
        <v>0</v>
      </c>
      <c r="I2374" s="876">
        <f>'REF. DE PREÇOS n editavel'!I2374</f>
        <v>0</v>
      </c>
      <c r="J2374" s="877">
        <f>'REF. DE PREÇOS n editavel'!J2374</f>
        <v>0</v>
      </c>
      <c r="K2374" s="878"/>
      <c r="L2374" s="1132"/>
      <c r="M2374" s="1093">
        <f t="shared" ref="M2374:M2437" si="239">IF(L2374=0,0,ROUND(J2374,2))</f>
        <v>0</v>
      </c>
      <c r="N2374" s="1131">
        <f t="shared" si="232"/>
        <v>0</v>
      </c>
      <c r="O2374" s="880"/>
      <c r="P2374" s="36" t="str">
        <f>IF(N2371&gt;0,"xx",IF(N2371&gt;0,"xy",""))</f>
        <v/>
      </c>
      <c r="Q2374" s="317" t="str">
        <f t="shared" si="236"/>
        <v/>
      </c>
      <c r="R2374" s="317" t="str">
        <f t="shared" si="237"/>
        <v/>
      </c>
      <c r="S2374" s="317" t="str">
        <f t="shared" si="238"/>
        <v/>
      </c>
      <c r="T2374" s="317" t="str">
        <f>'REF. DE PREÇOS n editavel'!S2374</f>
        <v/>
      </c>
      <c r="W2374" s="577">
        <v>0</v>
      </c>
      <c r="X2374" s="575"/>
      <c r="Y2374" s="578">
        <f>IF('REF. DE PREÇOS n editavel'!W2374=0,0,IF('REF. DE PREÇOS n editavel'!W2374&gt;0,"c","b"))</f>
        <v>0</v>
      </c>
    </row>
    <row r="2375" spans="1:25" ht="15" customHeight="1">
      <c r="A2375" s="317" t="s">
        <v>44</v>
      </c>
      <c r="B2375" s="870" t="s">
        <v>44</v>
      </c>
      <c r="C2375" s="871" t="s">
        <v>184</v>
      </c>
      <c r="D2375" s="881" t="s">
        <v>388</v>
      </c>
      <c r="E2375" s="882">
        <f>'REF. DE PREÇOS n editavel'!E2375</f>
        <v>0</v>
      </c>
      <c r="F2375" s="883">
        <f>'REF. DE PREÇOS n editavel'!F2375</f>
        <v>0</v>
      </c>
      <c r="G2375" s="887">
        <f>'REF. DE PREÇOS n editavel'!G2375</f>
        <v>170.49039735000005</v>
      </c>
      <c r="H2375" s="876">
        <f>'REF. DE PREÇOS n editavel'!H2375</f>
        <v>850.96</v>
      </c>
      <c r="I2375" s="876">
        <f>'REF. DE PREÇOS n editavel'!I2375</f>
        <v>1021.4503973500001</v>
      </c>
      <c r="J2375" s="877">
        <f>'REF. DE PREÇOS n editavel'!J2375</f>
        <v>1248.42</v>
      </c>
      <c r="K2375" s="878" t="s">
        <v>15</v>
      </c>
      <c r="L2375" s="1092"/>
      <c r="M2375" s="1093">
        <f t="shared" si="239"/>
        <v>0</v>
      </c>
      <c r="N2375" s="1131">
        <f t="shared" si="232"/>
        <v>0</v>
      </c>
      <c r="O2375" s="880"/>
      <c r="Q2375" s="317" t="str">
        <f t="shared" si="236"/>
        <v/>
      </c>
      <c r="R2375" s="317" t="str">
        <f t="shared" si="237"/>
        <v/>
      </c>
      <c r="S2375" s="317" t="str">
        <f t="shared" si="238"/>
        <v/>
      </c>
      <c r="T2375" s="317" t="str">
        <f>'REF. DE PREÇOS n editavel'!S2375</f>
        <v/>
      </c>
      <c r="W2375" s="577">
        <v>0</v>
      </c>
      <c r="X2375" s="575"/>
      <c r="Y2375" s="578">
        <f>IF('REF. DE PREÇOS n editavel'!W2375=0,0,IF('REF. DE PREÇOS n editavel'!W2375&gt;0,"c","b"))</f>
        <v>0</v>
      </c>
    </row>
    <row r="2376" spans="1:25" ht="15" customHeight="1">
      <c r="A2376" s="317" t="s">
        <v>147</v>
      </c>
      <c r="B2376" s="870" t="s">
        <v>147</v>
      </c>
      <c r="C2376" s="871"/>
      <c r="D2376" s="881" t="s">
        <v>190</v>
      </c>
      <c r="E2376" s="882">
        <f>'REF. DE PREÇOS n editavel'!E2376</f>
        <v>445</v>
      </c>
      <c r="F2376" s="883">
        <f>'REF. DE PREÇOS n editavel'!F2376</f>
        <v>0.12243000000000002</v>
      </c>
      <c r="G2376" s="884">
        <f>'REF. DE PREÇOS n editavel'!G2376</f>
        <v>43.452855600000014</v>
      </c>
      <c r="H2376" s="876">
        <f>'REF. DE PREÇOS n editavel'!H2376</f>
        <v>0</v>
      </c>
      <c r="I2376" s="876">
        <f>'REF. DE PREÇOS n editavel'!I2376</f>
        <v>0</v>
      </c>
      <c r="J2376" s="877">
        <f>'REF. DE PREÇOS n editavel'!J2376</f>
        <v>0</v>
      </c>
      <c r="K2376" s="878"/>
      <c r="L2376" s="1132"/>
      <c r="M2376" s="1093">
        <f t="shared" si="239"/>
        <v>0</v>
      </c>
      <c r="N2376" s="1131">
        <f t="shared" si="232"/>
        <v>0</v>
      </c>
      <c r="O2376" s="880"/>
      <c r="P2376" s="36" t="str">
        <f>IF(N2375&gt;0,"xx",IF(N2375&gt;0,"xy",""))</f>
        <v/>
      </c>
      <c r="Q2376" s="317" t="str">
        <f t="shared" si="236"/>
        <v/>
      </c>
      <c r="R2376" s="317" t="str">
        <f t="shared" si="237"/>
        <v/>
      </c>
      <c r="S2376" s="317" t="str">
        <f t="shared" si="238"/>
        <v/>
      </c>
      <c r="T2376" s="317" t="str">
        <f>'REF. DE PREÇOS n editavel'!S2376</f>
        <v/>
      </c>
      <c r="W2376" s="577">
        <v>0</v>
      </c>
      <c r="X2376" s="575"/>
      <c r="Y2376" s="578">
        <f>IF('REF. DE PREÇOS n editavel'!W2376=0,0,IF('REF. DE PREÇOS n editavel'!W2376&gt;0,"c","b"))</f>
        <v>0</v>
      </c>
    </row>
    <row r="2377" spans="1:25" ht="15" customHeight="1">
      <c r="A2377" s="317" t="s">
        <v>147</v>
      </c>
      <c r="B2377" s="870" t="s">
        <v>147</v>
      </c>
      <c r="C2377" s="871"/>
      <c r="D2377" s="881" t="s">
        <v>229</v>
      </c>
      <c r="E2377" s="882">
        <f>'REF. DE PREÇOS n editavel'!E2377</f>
        <v>290</v>
      </c>
      <c r="F2377" s="883">
        <f>'REF. DE PREÇOS n editavel'!F2377</f>
        <v>0.34169100000000008</v>
      </c>
      <c r="G2377" s="923">
        <f>'REF. DE PREÇOS n editavel'!G2377</f>
        <v>106.94244918000003</v>
      </c>
      <c r="H2377" s="876">
        <f>'REF. DE PREÇOS n editavel'!H2377</f>
        <v>0</v>
      </c>
      <c r="I2377" s="876">
        <f>'REF. DE PREÇOS n editavel'!I2377</f>
        <v>0</v>
      </c>
      <c r="J2377" s="877">
        <f>'REF. DE PREÇOS n editavel'!J2377</f>
        <v>0</v>
      </c>
      <c r="K2377" s="878"/>
      <c r="L2377" s="1132"/>
      <c r="M2377" s="1093">
        <f t="shared" si="239"/>
        <v>0</v>
      </c>
      <c r="N2377" s="1131">
        <f t="shared" si="232"/>
        <v>0</v>
      </c>
      <c r="O2377" s="880"/>
      <c r="P2377" s="36" t="str">
        <f>IF(N2375&gt;0,"xx",IF(N2375&gt;0,"xy",""))</f>
        <v/>
      </c>
      <c r="Q2377" s="317" t="str">
        <f t="shared" si="236"/>
        <v/>
      </c>
      <c r="R2377" s="317" t="str">
        <f t="shared" si="237"/>
        <v/>
      </c>
      <c r="S2377" s="317" t="str">
        <f t="shared" si="238"/>
        <v/>
      </c>
      <c r="T2377" s="317" t="str">
        <f>'REF. DE PREÇOS n editavel'!S2377</f>
        <v/>
      </c>
      <c r="W2377" s="577">
        <v>0</v>
      </c>
      <c r="X2377" s="575"/>
      <c r="Y2377" s="578">
        <f>IF('REF. DE PREÇOS n editavel'!W2377=0,0,IF('REF. DE PREÇOS n editavel'!W2377&gt;0,"c","b"))</f>
        <v>0</v>
      </c>
    </row>
    <row r="2378" spans="1:25" ht="15" customHeight="1">
      <c r="A2378" s="317" t="s">
        <v>147</v>
      </c>
      <c r="B2378" s="870" t="s">
        <v>147</v>
      </c>
      <c r="C2378" s="871"/>
      <c r="D2378" s="881" t="s">
        <v>233</v>
      </c>
      <c r="E2378" s="882">
        <f>'REF. DE PREÇOS n editavel'!E2378</f>
        <v>43.1</v>
      </c>
      <c r="F2378" s="883">
        <f>'REF. DE PREÇOS n editavel'!F2378</f>
        <v>0.41181000000000012</v>
      </c>
      <c r="G2378" s="923">
        <f>'REF. DE PREÇOS n editavel'!G2378</f>
        <v>20.095092570000009</v>
      </c>
      <c r="H2378" s="876">
        <f>'REF. DE PREÇOS n editavel'!H2378</f>
        <v>0</v>
      </c>
      <c r="I2378" s="876">
        <f>'REF. DE PREÇOS n editavel'!I2378</f>
        <v>0</v>
      </c>
      <c r="J2378" s="877">
        <f>'REF. DE PREÇOS n editavel'!J2378</f>
        <v>0</v>
      </c>
      <c r="K2378" s="878"/>
      <c r="L2378" s="1132"/>
      <c r="M2378" s="1093">
        <f t="shared" si="239"/>
        <v>0</v>
      </c>
      <c r="N2378" s="1131">
        <f t="shared" si="232"/>
        <v>0</v>
      </c>
      <c r="O2378" s="880"/>
      <c r="P2378" s="36" t="str">
        <f>IF(N2375&gt;0,"xx",IF(N2375&gt;0,"xy",""))</f>
        <v/>
      </c>
      <c r="Q2378" s="317" t="str">
        <f t="shared" si="236"/>
        <v/>
      </c>
      <c r="R2378" s="317" t="str">
        <f t="shared" si="237"/>
        <v/>
      </c>
      <c r="S2378" s="317" t="str">
        <f t="shared" si="238"/>
        <v/>
      </c>
      <c r="T2378" s="317" t="str">
        <f>'REF. DE PREÇOS n editavel'!S2378</f>
        <v/>
      </c>
      <c r="W2378" s="577">
        <v>0</v>
      </c>
      <c r="X2378" s="575"/>
      <c r="Y2378" s="578">
        <f>IF('REF. DE PREÇOS n editavel'!W2378=0,0,IF('REF. DE PREÇOS n editavel'!W2378&gt;0,"c","b"))</f>
        <v>0</v>
      </c>
    </row>
    <row r="2379" spans="1:25" ht="15" customHeight="1">
      <c r="A2379" s="317" t="s">
        <v>45</v>
      </c>
      <c r="B2379" s="870" t="s">
        <v>45</v>
      </c>
      <c r="C2379" s="871" t="s">
        <v>184</v>
      </c>
      <c r="D2379" s="881" t="s">
        <v>389</v>
      </c>
      <c r="E2379" s="882">
        <f>'REF. DE PREÇOS n editavel'!E2379</f>
        <v>0</v>
      </c>
      <c r="F2379" s="883">
        <f>'REF. DE PREÇOS n editavel'!F2379</f>
        <v>0</v>
      </c>
      <c r="G2379" s="887">
        <f>'REF. DE PREÇOS n editavel'!G2379</f>
        <v>184.27668285000001</v>
      </c>
      <c r="H2379" s="876">
        <f>'REF. DE PREÇOS n editavel'!H2379</f>
        <v>971.4</v>
      </c>
      <c r="I2379" s="876">
        <f>'REF. DE PREÇOS n editavel'!I2379</f>
        <v>1155.6766828499999</v>
      </c>
      <c r="J2379" s="877">
        <f>'REF. DE PREÇOS n editavel'!J2379</f>
        <v>1412.47</v>
      </c>
      <c r="K2379" s="878" t="s">
        <v>15</v>
      </c>
      <c r="L2379" s="1092"/>
      <c r="M2379" s="1093">
        <f t="shared" si="239"/>
        <v>0</v>
      </c>
      <c r="N2379" s="1131">
        <f t="shared" si="232"/>
        <v>0</v>
      </c>
      <c r="O2379" s="880"/>
      <c r="Q2379" s="317" t="str">
        <f t="shared" si="236"/>
        <v/>
      </c>
      <c r="R2379" s="317" t="str">
        <f t="shared" si="237"/>
        <v/>
      </c>
      <c r="S2379" s="317" t="str">
        <f t="shared" si="238"/>
        <v/>
      </c>
      <c r="T2379" s="317" t="str">
        <f>'REF. DE PREÇOS n editavel'!S2379</f>
        <v/>
      </c>
      <c r="W2379" s="577">
        <v>0</v>
      </c>
      <c r="X2379" s="575"/>
      <c r="Y2379" s="578">
        <f>IF('REF. DE PREÇOS n editavel'!W2379=0,0,IF('REF. DE PREÇOS n editavel'!W2379&gt;0,"c","b"))</f>
        <v>0</v>
      </c>
    </row>
    <row r="2380" spans="1:25" ht="15" customHeight="1">
      <c r="A2380" s="317" t="s">
        <v>147</v>
      </c>
      <c r="B2380" s="870" t="s">
        <v>147</v>
      </c>
      <c r="C2380" s="871"/>
      <c r="D2380" s="881" t="s">
        <v>190</v>
      </c>
      <c r="E2380" s="882">
        <f>'REF. DE PREÇOS n editavel'!E2380</f>
        <v>445</v>
      </c>
      <c r="F2380" s="883">
        <f>'REF. DE PREÇOS n editavel'!F2380</f>
        <v>0.13233</v>
      </c>
      <c r="G2380" s="884">
        <f>'REF. DE PREÇOS n editavel'!G2380</f>
        <v>46.966563600000001</v>
      </c>
      <c r="H2380" s="876">
        <f>'REF. DE PREÇOS n editavel'!H2380</f>
        <v>0</v>
      </c>
      <c r="I2380" s="876">
        <f>'REF. DE PREÇOS n editavel'!I2380</f>
        <v>0</v>
      </c>
      <c r="J2380" s="877">
        <f>'REF. DE PREÇOS n editavel'!J2380</f>
        <v>0</v>
      </c>
      <c r="K2380" s="878"/>
      <c r="L2380" s="1132"/>
      <c r="M2380" s="1093">
        <f t="shared" si="239"/>
        <v>0</v>
      </c>
      <c r="N2380" s="1131">
        <f t="shared" si="232"/>
        <v>0</v>
      </c>
      <c r="O2380" s="880"/>
      <c r="P2380" s="36" t="str">
        <f>IF(N2379&gt;0,"xx",IF(N2379&gt;0,"xy",""))</f>
        <v/>
      </c>
      <c r="Q2380" s="317" t="str">
        <f t="shared" si="236"/>
        <v/>
      </c>
      <c r="R2380" s="317" t="str">
        <f t="shared" si="237"/>
        <v/>
      </c>
      <c r="S2380" s="317" t="str">
        <f t="shared" si="238"/>
        <v/>
      </c>
      <c r="T2380" s="317" t="str">
        <f>'REF. DE PREÇOS n editavel'!S2380</f>
        <v/>
      </c>
      <c r="W2380" s="577">
        <v>0</v>
      </c>
      <c r="X2380" s="575"/>
      <c r="Y2380" s="578">
        <f>IF('REF. DE PREÇOS n editavel'!W2380=0,0,IF('REF. DE PREÇOS n editavel'!W2380&gt;0,"c","b"))</f>
        <v>0</v>
      </c>
    </row>
    <row r="2381" spans="1:25" ht="15" customHeight="1">
      <c r="A2381" s="317" t="s">
        <v>147</v>
      </c>
      <c r="B2381" s="870" t="s">
        <v>147</v>
      </c>
      <c r="C2381" s="871"/>
      <c r="D2381" s="881" t="s">
        <v>229</v>
      </c>
      <c r="E2381" s="882">
        <f>'REF. DE PREÇOS n editavel'!E2381</f>
        <v>290</v>
      </c>
      <c r="F2381" s="883">
        <f>'REF. DE PREÇOS n editavel'!F2381</f>
        <v>0.36932100000000001</v>
      </c>
      <c r="G2381" s="923">
        <f>'REF. DE PREÇOS n editavel'!G2381</f>
        <v>115.59008658</v>
      </c>
      <c r="H2381" s="876">
        <f>'REF. DE PREÇOS n editavel'!H2381</f>
        <v>0</v>
      </c>
      <c r="I2381" s="876">
        <f>'REF. DE PREÇOS n editavel'!I2381</f>
        <v>0</v>
      </c>
      <c r="J2381" s="877">
        <f>'REF. DE PREÇOS n editavel'!J2381</f>
        <v>0</v>
      </c>
      <c r="K2381" s="878"/>
      <c r="L2381" s="1132"/>
      <c r="M2381" s="1093">
        <f t="shared" si="239"/>
        <v>0</v>
      </c>
      <c r="N2381" s="1131">
        <f t="shared" si="232"/>
        <v>0</v>
      </c>
      <c r="O2381" s="880"/>
      <c r="P2381" s="36" t="str">
        <f>IF(N2379&gt;0,"xx",IF(N2379&gt;0,"xy",""))</f>
        <v/>
      </c>
      <c r="Q2381" s="317" t="str">
        <f t="shared" si="236"/>
        <v/>
      </c>
      <c r="R2381" s="317" t="str">
        <f t="shared" si="237"/>
        <v/>
      </c>
      <c r="S2381" s="317" t="str">
        <f t="shared" si="238"/>
        <v/>
      </c>
      <c r="T2381" s="317" t="str">
        <f>'REF. DE PREÇOS n editavel'!S2381</f>
        <v/>
      </c>
      <c r="W2381" s="577">
        <v>0</v>
      </c>
      <c r="X2381" s="575"/>
      <c r="Y2381" s="578">
        <f>IF('REF. DE PREÇOS n editavel'!W2381=0,0,IF('REF. DE PREÇOS n editavel'!W2381&gt;0,"c","b"))</f>
        <v>0</v>
      </c>
    </row>
    <row r="2382" spans="1:25" ht="15" customHeight="1">
      <c r="A2382" s="317" t="s">
        <v>147</v>
      </c>
      <c r="B2382" s="870" t="s">
        <v>147</v>
      </c>
      <c r="C2382" s="871"/>
      <c r="D2382" s="881" t="s">
        <v>233</v>
      </c>
      <c r="E2382" s="882">
        <f>'REF. DE PREÇOS n editavel'!E2382</f>
        <v>43.1</v>
      </c>
      <c r="F2382" s="883">
        <f>'REF. DE PREÇOS n editavel'!F2382</f>
        <v>0.44511000000000006</v>
      </c>
      <c r="G2382" s="923">
        <f>'REF. DE PREÇOS n editavel'!G2382</f>
        <v>21.720032670000005</v>
      </c>
      <c r="H2382" s="876">
        <f>'REF. DE PREÇOS n editavel'!H2382</f>
        <v>0</v>
      </c>
      <c r="I2382" s="876">
        <f>'REF. DE PREÇOS n editavel'!I2382</f>
        <v>0</v>
      </c>
      <c r="J2382" s="877">
        <f>'REF. DE PREÇOS n editavel'!J2382</f>
        <v>0</v>
      </c>
      <c r="K2382" s="878"/>
      <c r="L2382" s="1132"/>
      <c r="M2382" s="1093">
        <f t="shared" si="239"/>
        <v>0</v>
      </c>
      <c r="N2382" s="1131">
        <f t="shared" si="232"/>
        <v>0</v>
      </c>
      <c r="O2382" s="880"/>
      <c r="P2382" s="36" t="str">
        <f>IF(N2379&gt;0,"xx",IF(N2379&gt;0,"xy",""))</f>
        <v/>
      </c>
      <c r="Q2382" s="317" t="str">
        <f t="shared" si="236"/>
        <v/>
      </c>
      <c r="R2382" s="317" t="str">
        <f t="shared" si="237"/>
        <v/>
      </c>
      <c r="S2382" s="317" t="str">
        <f t="shared" si="238"/>
        <v/>
      </c>
      <c r="T2382" s="317" t="str">
        <f>'REF. DE PREÇOS n editavel'!S2382</f>
        <v/>
      </c>
      <c r="W2382" s="577">
        <v>0</v>
      </c>
      <c r="X2382" s="575"/>
      <c r="Y2382" s="578">
        <f>IF('REF. DE PREÇOS n editavel'!W2382=0,0,IF('REF. DE PREÇOS n editavel'!W2382&gt;0,"c","b"))</f>
        <v>0</v>
      </c>
    </row>
    <row r="2383" spans="1:25" ht="15" customHeight="1">
      <c r="A2383" s="317" t="s">
        <v>46</v>
      </c>
      <c r="B2383" s="870" t="s">
        <v>46</v>
      </c>
      <c r="C2383" s="871" t="s">
        <v>184</v>
      </c>
      <c r="D2383" s="881" t="s">
        <v>390</v>
      </c>
      <c r="E2383" s="882">
        <f>'REF. DE PREÇOS n editavel'!E2383</f>
        <v>0</v>
      </c>
      <c r="F2383" s="883">
        <f>'REF. DE PREÇOS n editavel'!F2383</f>
        <v>0</v>
      </c>
      <c r="G2383" s="887">
        <f>'REF. DE PREÇOS n editavel'!G2383</f>
        <v>764.72561377000011</v>
      </c>
      <c r="H2383" s="876">
        <f>'REF. DE PREÇOS n editavel'!H2383</f>
        <v>968.15</v>
      </c>
      <c r="I2383" s="876">
        <f>'REF. DE PREÇOS n editavel'!I2383</f>
        <v>1732.8756137700002</v>
      </c>
      <c r="J2383" s="877">
        <f>'REF. DE PREÇOS n editavel'!J2383</f>
        <v>2117.92</v>
      </c>
      <c r="K2383" s="878" t="s">
        <v>15</v>
      </c>
      <c r="L2383" s="1092"/>
      <c r="M2383" s="1093">
        <f t="shared" si="239"/>
        <v>0</v>
      </c>
      <c r="N2383" s="1131">
        <f t="shared" si="232"/>
        <v>0</v>
      </c>
      <c r="O2383" s="880"/>
      <c r="Q2383" s="317" t="str">
        <f t="shared" si="236"/>
        <v/>
      </c>
      <c r="R2383" s="317" t="str">
        <f t="shared" si="237"/>
        <v/>
      </c>
      <c r="S2383" s="317" t="str">
        <f t="shared" si="238"/>
        <v/>
      </c>
      <c r="T2383" s="317" t="str">
        <f>'REF. DE PREÇOS n editavel'!S2383</f>
        <v/>
      </c>
      <c r="W2383" s="577">
        <v>0</v>
      </c>
      <c r="X2383" s="575"/>
      <c r="Y2383" s="578">
        <f>IF('REF. DE PREÇOS n editavel'!W2383=0,0,IF('REF. DE PREÇOS n editavel'!W2383&gt;0,"c","b"))</f>
        <v>0</v>
      </c>
    </row>
    <row r="2384" spans="1:25" ht="15" customHeight="1">
      <c r="A2384" s="317" t="s">
        <v>147</v>
      </c>
      <c r="B2384" s="870" t="s">
        <v>147</v>
      </c>
      <c r="C2384" s="871"/>
      <c r="D2384" s="881" t="s">
        <v>190</v>
      </c>
      <c r="E2384" s="882">
        <f>'REF. DE PREÇOS n editavel'!E2384</f>
        <v>445</v>
      </c>
      <c r="F2384" s="883">
        <f>'REF. DE PREÇOS n editavel'!F2384</f>
        <v>0.38417000000000001</v>
      </c>
      <c r="G2384" s="884">
        <f>'REF. DE PREÇOS n editavel'!G2384</f>
        <v>136.3496164</v>
      </c>
      <c r="H2384" s="876">
        <f>'REF. DE PREÇOS n editavel'!H2384</f>
        <v>0</v>
      </c>
      <c r="I2384" s="876">
        <f>'REF. DE PREÇOS n editavel'!I2384</f>
        <v>0</v>
      </c>
      <c r="J2384" s="877">
        <f>'REF. DE PREÇOS n editavel'!J2384</f>
        <v>0</v>
      </c>
      <c r="K2384" s="878"/>
      <c r="L2384" s="1132"/>
      <c r="M2384" s="1093">
        <f t="shared" si="239"/>
        <v>0</v>
      </c>
      <c r="N2384" s="1131">
        <f t="shared" si="232"/>
        <v>0</v>
      </c>
      <c r="O2384" s="880"/>
      <c r="P2384" s="36" t="str">
        <f>IF(N2383&gt;0,"xx",IF(N2383&gt;0,"xy",""))</f>
        <v/>
      </c>
      <c r="Q2384" s="317" t="str">
        <f t="shared" si="236"/>
        <v/>
      </c>
      <c r="R2384" s="317" t="str">
        <f t="shared" si="237"/>
        <v/>
      </c>
      <c r="S2384" s="317" t="str">
        <f t="shared" si="238"/>
        <v/>
      </c>
      <c r="T2384" s="317" t="str">
        <f>'REF. DE PREÇOS n editavel'!S2384</f>
        <v/>
      </c>
      <c r="W2384" s="577">
        <v>0</v>
      </c>
      <c r="X2384" s="575"/>
      <c r="Y2384" s="578">
        <f>IF('REF. DE PREÇOS n editavel'!W2384=0,0,IF('REF. DE PREÇOS n editavel'!W2384&gt;0,"c","b"))</f>
        <v>0</v>
      </c>
    </row>
    <row r="2385" spans="1:25" ht="15" customHeight="1">
      <c r="A2385" s="317" t="s">
        <v>147</v>
      </c>
      <c r="B2385" s="870" t="s">
        <v>147</v>
      </c>
      <c r="C2385" s="871"/>
      <c r="D2385" s="881" t="s">
        <v>229</v>
      </c>
      <c r="E2385" s="882">
        <f>'REF. DE PREÇOS n editavel'!E2385</f>
        <v>290</v>
      </c>
      <c r="F2385" s="883">
        <f>'REF. DE PREÇOS n editavel'!F2385</f>
        <v>1.55436</v>
      </c>
      <c r="G2385" s="923">
        <f>'REF. DE PREÇOS n editavel'!G2385</f>
        <v>486.4835928</v>
      </c>
      <c r="H2385" s="876">
        <f>'REF. DE PREÇOS n editavel'!H2385</f>
        <v>0</v>
      </c>
      <c r="I2385" s="876">
        <f>'REF. DE PREÇOS n editavel'!I2385</f>
        <v>0</v>
      </c>
      <c r="J2385" s="877">
        <f>'REF. DE PREÇOS n editavel'!J2385</f>
        <v>0</v>
      </c>
      <c r="K2385" s="878"/>
      <c r="L2385" s="1132"/>
      <c r="M2385" s="1093">
        <f t="shared" si="239"/>
        <v>0</v>
      </c>
      <c r="N2385" s="1131">
        <f t="shared" si="232"/>
        <v>0</v>
      </c>
      <c r="O2385" s="880"/>
      <c r="P2385" s="36" t="str">
        <f>IF(N2383&gt;0,"xx",IF(N2383&gt;0,"xy",""))</f>
        <v/>
      </c>
      <c r="Q2385" s="317" t="str">
        <f t="shared" si="236"/>
        <v/>
      </c>
      <c r="R2385" s="317" t="str">
        <f t="shared" si="237"/>
        <v/>
      </c>
      <c r="S2385" s="317" t="str">
        <f t="shared" si="238"/>
        <v/>
      </c>
      <c r="T2385" s="317" t="str">
        <f>'REF. DE PREÇOS n editavel'!S2385</f>
        <v/>
      </c>
      <c r="W2385" s="577">
        <v>0</v>
      </c>
      <c r="X2385" s="575"/>
      <c r="Y2385" s="578">
        <f>IF('REF. DE PREÇOS n editavel'!W2385=0,0,IF('REF. DE PREÇOS n editavel'!W2385&gt;0,"c","b"))</f>
        <v>0</v>
      </c>
    </row>
    <row r="2386" spans="1:25" ht="15" customHeight="1">
      <c r="A2386" s="317" t="s">
        <v>147</v>
      </c>
      <c r="B2386" s="870" t="s">
        <v>147</v>
      </c>
      <c r="C2386" s="871"/>
      <c r="D2386" s="881" t="s">
        <v>233</v>
      </c>
      <c r="E2386" s="882">
        <f>'REF. DE PREÇOS n editavel'!E2386</f>
        <v>43.1</v>
      </c>
      <c r="F2386" s="883">
        <f>'REF. DE PREÇOS n editavel'!F2386</f>
        <v>2.9078100000000004</v>
      </c>
      <c r="G2386" s="923">
        <f>'REF. DE PREÇOS n editavel'!G2386</f>
        <v>141.89240457000002</v>
      </c>
      <c r="H2386" s="876">
        <f>'REF. DE PREÇOS n editavel'!H2386</f>
        <v>0</v>
      </c>
      <c r="I2386" s="876">
        <f>'REF. DE PREÇOS n editavel'!I2386</f>
        <v>0</v>
      </c>
      <c r="J2386" s="877">
        <f>'REF. DE PREÇOS n editavel'!J2386</f>
        <v>0</v>
      </c>
      <c r="K2386" s="878"/>
      <c r="L2386" s="1132"/>
      <c r="M2386" s="1093">
        <f t="shared" si="239"/>
        <v>0</v>
      </c>
      <c r="N2386" s="1131">
        <f t="shared" si="232"/>
        <v>0</v>
      </c>
      <c r="O2386" s="880"/>
      <c r="P2386" s="36" t="str">
        <f>IF(N2383&gt;0,"xx",IF(N2383&gt;0,"xy",""))</f>
        <v/>
      </c>
      <c r="Q2386" s="317" t="str">
        <f t="shared" si="236"/>
        <v/>
      </c>
      <c r="R2386" s="317" t="str">
        <f t="shared" si="237"/>
        <v/>
      </c>
      <c r="S2386" s="317" t="str">
        <f t="shared" si="238"/>
        <v/>
      </c>
      <c r="T2386" s="317" t="str">
        <f>'REF. DE PREÇOS n editavel'!S2386</f>
        <v/>
      </c>
      <c r="W2386" s="577">
        <v>0</v>
      </c>
      <c r="X2386" s="575"/>
      <c r="Y2386" s="578">
        <f>IF('REF. DE PREÇOS n editavel'!W2386=0,0,IF('REF. DE PREÇOS n editavel'!W2386&gt;0,"c","b"))</f>
        <v>0</v>
      </c>
    </row>
    <row r="2387" spans="1:25" ht="15" customHeight="1">
      <c r="A2387" s="317" t="s">
        <v>46</v>
      </c>
      <c r="B2387" s="870" t="s">
        <v>46</v>
      </c>
      <c r="C2387" s="871" t="s">
        <v>184</v>
      </c>
      <c r="D2387" s="881" t="s">
        <v>391</v>
      </c>
      <c r="E2387" s="882">
        <f>'REF. DE PREÇOS n editavel'!E2387</f>
        <v>0</v>
      </c>
      <c r="F2387" s="883">
        <f>'REF. DE PREÇOS n editavel'!F2387</f>
        <v>0</v>
      </c>
      <c r="G2387" s="887">
        <f>'REF. DE PREÇOS n editavel'!G2387</f>
        <v>944.29800495000006</v>
      </c>
      <c r="H2387" s="876">
        <f>'REF. DE PREÇOS n editavel'!H2387</f>
        <v>1174.8399999999999</v>
      </c>
      <c r="I2387" s="876">
        <f>'REF. DE PREÇOS n editavel'!I2387</f>
        <v>2119.1380049499999</v>
      </c>
      <c r="J2387" s="877">
        <f>'REF. DE PREÇOS n editavel'!J2387</f>
        <v>2590.0100000000002</v>
      </c>
      <c r="K2387" s="878" t="s">
        <v>15</v>
      </c>
      <c r="L2387" s="1092"/>
      <c r="M2387" s="1093">
        <f t="shared" si="239"/>
        <v>0</v>
      </c>
      <c r="N2387" s="1131">
        <f t="shared" si="232"/>
        <v>0</v>
      </c>
      <c r="O2387" s="880"/>
      <c r="Q2387" s="317" t="str">
        <f t="shared" si="236"/>
        <v/>
      </c>
      <c r="R2387" s="317" t="str">
        <f t="shared" si="237"/>
        <v/>
      </c>
      <c r="S2387" s="317" t="str">
        <f t="shared" si="238"/>
        <v/>
      </c>
      <c r="T2387" s="317" t="str">
        <f>'REF. DE PREÇOS n editavel'!S2387</f>
        <v/>
      </c>
      <c r="W2387" s="577">
        <v>0</v>
      </c>
      <c r="X2387" s="575"/>
      <c r="Y2387" s="578">
        <f>IF('REF. DE PREÇOS n editavel'!W2387=0,0,IF('REF. DE PREÇOS n editavel'!W2387&gt;0,"c","b"))</f>
        <v>0</v>
      </c>
    </row>
    <row r="2388" spans="1:25" ht="15" customHeight="1">
      <c r="A2388" s="317" t="s">
        <v>147</v>
      </c>
      <c r="B2388" s="870" t="s">
        <v>147</v>
      </c>
      <c r="C2388" s="871"/>
      <c r="D2388" s="881" t="s">
        <v>190</v>
      </c>
      <c r="E2388" s="882">
        <f>'REF. DE PREÇOS n editavel'!E2388</f>
        <v>445</v>
      </c>
      <c r="F2388" s="883">
        <f>'REF. DE PREÇOS n editavel'!F2388</f>
        <v>0.47295000000000004</v>
      </c>
      <c r="G2388" s="884">
        <f>'REF. DE PREÇOS n editavel'!G2388</f>
        <v>167.85941400000002</v>
      </c>
      <c r="H2388" s="876">
        <f>'REF. DE PREÇOS n editavel'!H2388</f>
        <v>0</v>
      </c>
      <c r="I2388" s="876">
        <f>'REF. DE PREÇOS n editavel'!I2388</f>
        <v>0</v>
      </c>
      <c r="J2388" s="877">
        <f>'REF. DE PREÇOS n editavel'!J2388</f>
        <v>0</v>
      </c>
      <c r="K2388" s="878"/>
      <c r="L2388" s="1132"/>
      <c r="M2388" s="1093">
        <f t="shared" si="239"/>
        <v>0</v>
      </c>
      <c r="N2388" s="1131">
        <f t="shared" si="232"/>
        <v>0</v>
      </c>
      <c r="O2388" s="880"/>
      <c r="P2388" s="36" t="str">
        <f>IF(N2387&gt;0,"xx",IF(N2387&gt;0,"xy",""))</f>
        <v/>
      </c>
      <c r="Q2388" s="317" t="str">
        <f t="shared" si="236"/>
        <v/>
      </c>
      <c r="R2388" s="317" t="str">
        <f t="shared" si="237"/>
        <v/>
      </c>
      <c r="S2388" s="317" t="str">
        <f t="shared" si="238"/>
        <v/>
      </c>
      <c r="T2388" s="317" t="str">
        <f>'REF. DE PREÇOS n editavel'!S2388</f>
        <v/>
      </c>
      <c r="W2388" s="577">
        <v>0</v>
      </c>
      <c r="X2388" s="575"/>
      <c r="Y2388" s="578">
        <f>IF('REF. DE PREÇOS n editavel'!W2388=0,0,IF('REF. DE PREÇOS n editavel'!W2388&gt;0,"c","b"))</f>
        <v>0</v>
      </c>
    </row>
    <row r="2389" spans="1:25" ht="15" customHeight="1">
      <c r="A2389" s="317" t="s">
        <v>147</v>
      </c>
      <c r="B2389" s="870" t="s">
        <v>147</v>
      </c>
      <c r="C2389" s="871"/>
      <c r="D2389" s="881" t="s">
        <v>229</v>
      </c>
      <c r="E2389" s="882">
        <f>'REF. DE PREÇOS n editavel'!E2389</f>
        <v>290</v>
      </c>
      <c r="F2389" s="883">
        <f>'REF. DE PREÇOS n editavel'!F2389</f>
        <v>1.9178999999999999</v>
      </c>
      <c r="G2389" s="923">
        <f>'REF. DE PREÇOS n editavel'!G2389</f>
        <v>600.26434200000006</v>
      </c>
      <c r="H2389" s="876">
        <f>'REF. DE PREÇOS n editavel'!H2389</f>
        <v>0</v>
      </c>
      <c r="I2389" s="876">
        <f>'REF. DE PREÇOS n editavel'!I2389</f>
        <v>0</v>
      </c>
      <c r="J2389" s="877">
        <f>'REF. DE PREÇOS n editavel'!J2389</f>
        <v>0</v>
      </c>
      <c r="K2389" s="878"/>
      <c r="L2389" s="1132"/>
      <c r="M2389" s="1093">
        <f t="shared" si="239"/>
        <v>0</v>
      </c>
      <c r="N2389" s="1131">
        <f t="shared" si="232"/>
        <v>0</v>
      </c>
      <c r="O2389" s="880"/>
      <c r="P2389" s="36" t="str">
        <f>IF(N2387&gt;0,"xx",IF(N2387&gt;0,"xy",""))</f>
        <v/>
      </c>
      <c r="Q2389" s="317" t="str">
        <f t="shared" si="236"/>
        <v/>
      </c>
      <c r="R2389" s="317" t="str">
        <f t="shared" si="237"/>
        <v/>
      </c>
      <c r="S2389" s="317" t="str">
        <f t="shared" si="238"/>
        <v/>
      </c>
      <c r="T2389" s="317" t="str">
        <f>'REF. DE PREÇOS n editavel'!S2389</f>
        <v/>
      </c>
      <c r="W2389" s="577">
        <v>0</v>
      </c>
      <c r="X2389" s="575"/>
      <c r="Y2389" s="578">
        <f>IF('REF. DE PREÇOS n editavel'!W2389=0,0,IF('REF. DE PREÇOS n editavel'!W2389&gt;0,"c","b"))</f>
        <v>0</v>
      </c>
    </row>
    <row r="2390" spans="1:25" ht="15" customHeight="1">
      <c r="A2390" s="317" t="s">
        <v>147</v>
      </c>
      <c r="B2390" s="870" t="s">
        <v>147</v>
      </c>
      <c r="C2390" s="871"/>
      <c r="D2390" s="881" t="s">
        <v>233</v>
      </c>
      <c r="E2390" s="882">
        <f>'REF. DE PREÇOS n editavel'!E2390</f>
        <v>43.1</v>
      </c>
      <c r="F2390" s="883">
        <f>'REF. DE PREÇOS n editavel'!F2390</f>
        <v>3.6103500000000004</v>
      </c>
      <c r="G2390" s="923">
        <f>'REF. DE PREÇOS n editavel'!G2390</f>
        <v>176.17424895000002</v>
      </c>
      <c r="H2390" s="876">
        <f>'REF. DE PREÇOS n editavel'!H2390</f>
        <v>0</v>
      </c>
      <c r="I2390" s="876">
        <f>'REF. DE PREÇOS n editavel'!I2390</f>
        <v>0</v>
      </c>
      <c r="J2390" s="877">
        <f>'REF. DE PREÇOS n editavel'!J2390</f>
        <v>0</v>
      </c>
      <c r="K2390" s="878"/>
      <c r="L2390" s="1132"/>
      <c r="M2390" s="1093">
        <f t="shared" si="239"/>
        <v>0</v>
      </c>
      <c r="N2390" s="1131">
        <f t="shared" si="232"/>
        <v>0</v>
      </c>
      <c r="O2390" s="880"/>
      <c r="P2390" s="36" t="str">
        <f>IF(N2387&gt;0,"xx",IF(N2387&gt;0,"xy",""))</f>
        <v/>
      </c>
      <c r="Q2390" s="317" t="str">
        <f t="shared" si="236"/>
        <v/>
      </c>
      <c r="R2390" s="317" t="str">
        <f t="shared" si="237"/>
        <v/>
      </c>
      <c r="S2390" s="317" t="str">
        <f t="shared" si="238"/>
        <v/>
      </c>
      <c r="T2390" s="317" t="str">
        <f>'REF. DE PREÇOS n editavel'!S2390</f>
        <v/>
      </c>
      <c r="W2390" s="577">
        <v>0</v>
      </c>
      <c r="X2390" s="575"/>
      <c r="Y2390" s="578">
        <f>IF('REF. DE PREÇOS n editavel'!W2390=0,0,IF('REF. DE PREÇOS n editavel'!W2390&gt;0,"c","b"))</f>
        <v>0</v>
      </c>
    </row>
    <row r="2391" spans="1:25" ht="15" customHeight="1">
      <c r="A2391" s="317" t="s">
        <v>46</v>
      </c>
      <c r="B2391" s="870" t="s">
        <v>46</v>
      </c>
      <c r="C2391" s="871" t="s">
        <v>184</v>
      </c>
      <c r="D2391" s="881" t="s">
        <v>392</v>
      </c>
      <c r="E2391" s="882">
        <f>'REF. DE PREÇOS n editavel'!E2391</f>
        <v>0</v>
      </c>
      <c r="F2391" s="883">
        <f>'REF. DE PREÇOS n editavel'!F2391</f>
        <v>0</v>
      </c>
      <c r="G2391" s="887">
        <f>'REF. DE PREÇOS n editavel'!G2391</f>
        <v>1511.2562207599999</v>
      </c>
      <c r="H2391" s="876">
        <f>'REF. DE PREÇOS n editavel'!H2391</f>
        <v>1839.37</v>
      </c>
      <c r="I2391" s="876">
        <f>'REF. DE PREÇOS n editavel'!I2391</f>
        <v>3350.6262207599998</v>
      </c>
      <c r="J2391" s="877">
        <f>'REF. DE PREÇOS n editavel'!J2391</f>
        <v>4095.14</v>
      </c>
      <c r="K2391" s="878" t="s">
        <v>15</v>
      </c>
      <c r="L2391" s="1092"/>
      <c r="M2391" s="1093">
        <f t="shared" si="239"/>
        <v>0</v>
      </c>
      <c r="N2391" s="1131">
        <f t="shared" ref="N2391:N2454" si="240">IF(ISBLANK(L2391),0,IF(W2391=0,ROUND(L2391*M2391,2),IF(W2391="b",ROUNDDOWN(L2391*M2391,2),ROUNDUP(L2391*M2391,2))))</f>
        <v>0</v>
      </c>
      <c r="O2391" s="880"/>
      <c r="Q2391" s="317" t="str">
        <f t="shared" si="236"/>
        <v/>
      </c>
      <c r="R2391" s="317" t="str">
        <f t="shared" si="237"/>
        <v/>
      </c>
      <c r="S2391" s="317" t="str">
        <f t="shared" si="238"/>
        <v/>
      </c>
      <c r="T2391" s="317" t="str">
        <f>'REF. DE PREÇOS n editavel'!S2391</f>
        <v/>
      </c>
      <c r="W2391" s="577">
        <v>0</v>
      </c>
      <c r="X2391" s="575"/>
      <c r="Y2391" s="578">
        <f>IF('REF. DE PREÇOS n editavel'!W2391=0,0,IF('REF. DE PREÇOS n editavel'!W2391&gt;0,"c","b"))</f>
        <v>0</v>
      </c>
    </row>
    <row r="2392" spans="1:25" ht="15" customHeight="1">
      <c r="A2392" s="317" t="s">
        <v>147</v>
      </c>
      <c r="B2392" s="870" t="s">
        <v>147</v>
      </c>
      <c r="C2392" s="871"/>
      <c r="D2392" s="881" t="s">
        <v>190</v>
      </c>
      <c r="E2392" s="882">
        <f>'REF. DE PREÇOS n editavel'!E2392</f>
        <v>445</v>
      </c>
      <c r="F2392" s="883">
        <f>'REF. DE PREÇOS n editavel'!F2392</f>
        <v>0.75196000000000007</v>
      </c>
      <c r="G2392" s="884">
        <f>'REF. DE PREÇOS n editavel'!G2392</f>
        <v>266.88564320000006</v>
      </c>
      <c r="H2392" s="876">
        <f>'REF. DE PREÇOS n editavel'!H2392</f>
        <v>0</v>
      </c>
      <c r="I2392" s="876">
        <f>'REF. DE PREÇOS n editavel'!I2392</f>
        <v>0</v>
      </c>
      <c r="J2392" s="877">
        <f>'REF. DE PREÇOS n editavel'!J2392</f>
        <v>0</v>
      </c>
      <c r="K2392" s="878"/>
      <c r="L2392" s="1132"/>
      <c r="M2392" s="1093">
        <f t="shared" si="239"/>
        <v>0</v>
      </c>
      <c r="N2392" s="1131">
        <f t="shared" si="240"/>
        <v>0</v>
      </c>
      <c r="O2392" s="880"/>
      <c r="P2392" s="36" t="str">
        <f>IF(N2391&gt;0,"xx",IF(N2391&gt;0,"xy",""))</f>
        <v/>
      </c>
      <c r="Q2392" s="317" t="str">
        <f t="shared" si="236"/>
        <v/>
      </c>
      <c r="R2392" s="317" t="str">
        <f t="shared" si="237"/>
        <v/>
      </c>
      <c r="S2392" s="317" t="str">
        <f t="shared" si="238"/>
        <v/>
      </c>
      <c r="T2392" s="317" t="str">
        <f>'REF. DE PREÇOS n editavel'!S2392</f>
        <v/>
      </c>
      <c r="W2392" s="577">
        <v>0</v>
      </c>
      <c r="X2392" s="575"/>
      <c r="Y2392" s="578">
        <f>IF('REF. DE PREÇOS n editavel'!W2392=0,0,IF('REF. DE PREÇOS n editavel'!W2392&gt;0,"c","b"))</f>
        <v>0</v>
      </c>
    </row>
    <row r="2393" spans="1:25" ht="15" customHeight="1">
      <c r="A2393" s="317" t="s">
        <v>147</v>
      </c>
      <c r="B2393" s="870" t="s">
        <v>147</v>
      </c>
      <c r="C2393" s="871"/>
      <c r="D2393" s="881" t="s">
        <v>229</v>
      </c>
      <c r="E2393" s="882">
        <f>'REF. DE PREÇOS n editavel'!E2393</f>
        <v>290</v>
      </c>
      <c r="F2393" s="883">
        <f>'REF. DE PREÇOS n editavel'!F2393</f>
        <v>3.0643799999999999</v>
      </c>
      <c r="G2393" s="923">
        <f>'REF. DE PREÇOS n editavel'!G2393</f>
        <v>959.08965239999998</v>
      </c>
      <c r="H2393" s="876">
        <f>'REF. DE PREÇOS n editavel'!H2393</f>
        <v>0</v>
      </c>
      <c r="I2393" s="876">
        <f>'REF. DE PREÇOS n editavel'!I2393</f>
        <v>0</v>
      </c>
      <c r="J2393" s="877">
        <f>'REF. DE PREÇOS n editavel'!J2393</f>
        <v>0</v>
      </c>
      <c r="K2393" s="878"/>
      <c r="L2393" s="1132"/>
      <c r="M2393" s="1093">
        <f t="shared" si="239"/>
        <v>0</v>
      </c>
      <c r="N2393" s="1131">
        <f t="shared" si="240"/>
        <v>0</v>
      </c>
      <c r="O2393" s="880"/>
      <c r="P2393" s="36" t="str">
        <f>IF(N2391&gt;0,"xx",IF(N2391&gt;0,"xy",""))</f>
        <v/>
      </c>
      <c r="Q2393" s="317" t="str">
        <f t="shared" si="236"/>
        <v/>
      </c>
      <c r="R2393" s="317" t="str">
        <f t="shared" si="237"/>
        <v/>
      </c>
      <c r="S2393" s="317" t="str">
        <f t="shared" si="238"/>
        <v/>
      </c>
      <c r="T2393" s="317" t="str">
        <f>'REF. DE PREÇOS n editavel'!S2393</f>
        <v/>
      </c>
      <c r="W2393" s="577">
        <v>0</v>
      </c>
      <c r="X2393" s="575"/>
      <c r="Y2393" s="578">
        <f>IF('REF. DE PREÇOS n editavel'!W2393=0,0,IF('REF. DE PREÇOS n editavel'!W2393&gt;0,"c","b"))</f>
        <v>0</v>
      </c>
    </row>
    <row r="2394" spans="1:25" ht="15" customHeight="1">
      <c r="A2394" s="317" t="s">
        <v>147</v>
      </c>
      <c r="B2394" s="870" t="s">
        <v>147</v>
      </c>
      <c r="C2394" s="871"/>
      <c r="D2394" s="881" t="s">
        <v>233</v>
      </c>
      <c r="E2394" s="882">
        <f>'REF. DE PREÇOS n editavel'!E2394</f>
        <v>43.1</v>
      </c>
      <c r="F2394" s="883">
        <f>'REF. DE PREÇOS n editavel'!F2394</f>
        <v>5.8462800000000001</v>
      </c>
      <c r="G2394" s="923">
        <f>'REF. DE PREÇOS n editavel'!G2394</f>
        <v>285.28092516000004</v>
      </c>
      <c r="H2394" s="876">
        <f>'REF. DE PREÇOS n editavel'!H2394</f>
        <v>0</v>
      </c>
      <c r="I2394" s="876">
        <f>'REF. DE PREÇOS n editavel'!I2394</f>
        <v>0</v>
      </c>
      <c r="J2394" s="877">
        <f>'REF. DE PREÇOS n editavel'!J2394</f>
        <v>0</v>
      </c>
      <c r="K2394" s="878"/>
      <c r="L2394" s="1132"/>
      <c r="M2394" s="1093">
        <f t="shared" si="239"/>
        <v>0</v>
      </c>
      <c r="N2394" s="1131">
        <f t="shared" si="240"/>
        <v>0</v>
      </c>
      <c r="O2394" s="880"/>
      <c r="P2394" s="36" t="str">
        <f>IF(N2391&gt;0,"xx",IF(N2391&gt;0,"xy",""))</f>
        <v/>
      </c>
      <c r="Q2394" s="317" t="str">
        <f t="shared" si="236"/>
        <v/>
      </c>
      <c r="R2394" s="317" t="str">
        <f t="shared" si="237"/>
        <v/>
      </c>
      <c r="S2394" s="317" t="str">
        <f t="shared" si="238"/>
        <v/>
      </c>
      <c r="T2394" s="317" t="str">
        <f>'REF. DE PREÇOS n editavel'!S2394</f>
        <v/>
      </c>
      <c r="W2394" s="577">
        <v>0</v>
      </c>
      <c r="X2394" s="575"/>
      <c r="Y2394" s="578">
        <f>IF('REF. DE PREÇOS n editavel'!W2394=0,0,IF('REF. DE PREÇOS n editavel'!W2394&gt;0,"c","b"))</f>
        <v>0</v>
      </c>
    </row>
    <row r="2395" spans="1:25" ht="15" customHeight="1">
      <c r="A2395" s="317" t="s">
        <v>46</v>
      </c>
      <c r="B2395" s="870" t="s">
        <v>46</v>
      </c>
      <c r="C2395" s="871" t="s">
        <v>184</v>
      </c>
      <c r="D2395" s="881" t="s">
        <v>144</v>
      </c>
      <c r="E2395" s="882">
        <f>'REF. DE PREÇOS n editavel'!E2395</f>
        <v>0</v>
      </c>
      <c r="F2395" s="883">
        <f>'REF. DE PREÇOS n editavel'!F2395</f>
        <v>0</v>
      </c>
      <c r="G2395" s="887">
        <f>'REF. DE PREÇOS n editavel'!G2395</f>
        <v>2192.2956658100002</v>
      </c>
      <c r="H2395" s="876">
        <f>'REF. DE PREÇOS n editavel'!H2395</f>
        <v>2627.65</v>
      </c>
      <c r="I2395" s="876">
        <f>'REF. DE PREÇOS n editavel'!I2395</f>
        <v>4819.9456658100007</v>
      </c>
      <c r="J2395" s="877">
        <f>'REF. DE PREÇOS n editavel'!J2395</f>
        <v>5890.94</v>
      </c>
      <c r="K2395" s="878" t="s">
        <v>15</v>
      </c>
      <c r="L2395" s="1092"/>
      <c r="M2395" s="1093">
        <f t="shared" si="239"/>
        <v>0</v>
      </c>
      <c r="N2395" s="1131">
        <f t="shared" si="240"/>
        <v>0</v>
      </c>
      <c r="O2395" s="880"/>
      <c r="Q2395" s="317" t="str">
        <f t="shared" si="236"/>
        <v/>
      </c>
      <c r="R2395" s="317" t="str">
        <f t="shared" si="237"/>
        <v/>
      </c>
      <c r="S2395" s="317" t="str">
        <f t="shared" si="238"/>
        <v/>
      </c>
      <c r="T2395" s="317" t="str">
        <f>'REF. DE PREÇOS n editavel'!S2395</f>
        <v/>
      </c>
      <c r="W2395" s="577">
        <v>0</v>
      </c>
      <c r="X2395" s="575"/>
      <c r="Y2395" s="578">
        <f>IF('REF. DE PREÇOS n editavel'!W2395=0,0,IF('REF. DE PREÇOS n editavel'!W2395&gt;0,"c","b"))</f>
        <v>0</v>
      </c>
    </row>
    <row r="2396" spans="1:25" ht="15" customHeight="1">
      <c r="A2396" s="317" t="s">
        <v>147</v>
      </c>
      <c r="B2396" s="870" t="s">
        <v>147</v>
      </c>
      <c r="C2396" s="871"/>
      <c r="D2396" s="881" t="s">
        <v>190</v>
      </c>
      <c r="E2396" s="882">
        <f>'REF. DE PREÇOS n editavel'!E2396</f>
        <v>445</v>
      </c>
      <c r="F2396" s="883">
        <f>'REF. DE PREÇOS n editavel'!F2396</f>
        <v>1.08901</v>
      </c>
      <c r="G2396" s="884">
        <f>'REF. DE PREÇOS n editavel'!G2396</f>
        <v>386.51142920000001</v>
      </c>
      <c r="H2396" s="876">
        <f>'REF. DE PREÇOS n editavel'!H2396</f>
        <v>0</v>
      </c>
      <c r="I2396" s="876">
        <f>'REF. DE PREÇOS n editavel'!I2396</f>
        <v>0</v>
      </c>
      <c r="J2396" s="877">
        <f>'REF. DE PREÇOS n editavel'!J2396</f>
        <v>0</v>
      </c>
      <c r="K2396" s="878"/>
      <c r="L2396" s="1132"/>
      <c r="M2396" s="1093">
        <f t="shared" si="239"/>
        <v>0</v>
      </c>
      <c r="N2396" s="1131">
        <f t="shared" si="240"/>
        <v>0</v>
      </c>
      <c r="O2396" s="880"/>
      <c r="P2396" s="36" t="str">
        <f>IF(N2395&gt;0,"xx",IF(N2395&gt;0,"xy",""))</f>
        <v/>
      </c>
      <c r="Q2396" s="317" t="str">
        <f t="shared" si="236"/>
        <v/>
      </c>
      <c r="R2396" s="317" t="str">
        <f t="shared" si="237"/>
        <v/>
      </c>
      <c r="S2396" s="317" t="str">
        <f t="shared" si="238"/>
        <v/>
      </c>
      <c r="T2396" s="317" t="str">
        <f>'REF. DE PREÇOS n editavel'!S2396</f>
        <v/>
      </c>
      <c r="W2396" s="577">
        <v>0</v>
      </c>
      <c r="X2396" s="575"/>
      <c r="Y2396" s="578">
        <f>IF('REF. DE PREÇOS n editavel'!W2396=0,0,IF('REF. DE PREÇOS n editavel'!W2396&gt;0,"c","b"))</f>
        <v>0</v>
      </c>
    </row>
    <row r="2397" spans="1:25" ht="15" customHeight="1">
      <c r="A2397" s="317" t="s">
        <v>147</v>
      </c>
      <c r="B2397" s="870" t="s">
        <v>147</v>
      </c>
      <c r="C2397" s="871"/>
      <c r="D2397" s="881" t="s">
        <v>229</v>
      </c>
      <c r="E2397" s="882">
        <f>'REF. DE PREÇOS n editavel'!E2397</f>
        <v>290</v>
      </c>
      <c r="F2397" s="883">
        <f>'REF. DE PREÇOS n editavel'!F2397</f>
        <v>4.4434800000000001</v>
      </c>
      <c r="G2397" s="923">
        <f>'REF. DE PREÇOS n editavel'!G2397</f>
        <v>1390.7203704000001</v>
      </c>
      <c r="H2397" s="876">
        <f>'REF. DE PREÇOS n editavel'!H2397</f>
        <v>0</v>
      </c>
      <c r="I2397" s="876">
        <f>'REF. DE PREÇOS n editavel'!I2397</f>
        <v>0</v>
      </c>
      <c r="J2397" s="877">
        <f>'REF. DE PREÇOS n editavel'!J2397</f>
        <v>0</v>
      </c>
      <c r="K2397" s="878"/>
      <c r="L2397" s="1132"/>
      <c r="M2397" s="1093">
        <f t="shared" si="239"/>
        <v>0</v>
      </c>
      <c r="N2397" s="1131">
        <f t="shared" si="240"/>
        <v>0</v>
      </c>
      <c r="O2397" s="880"/>
      <c r="P2397" s="36" t="str">
        <f>IF(N2395&gt;0,"xx",IF(N2395&gt;0,"xy",""))</f>
        <v/>
      </c>
      <c r="Q2397" s="317" t="str">
        <f t="shared" si="236"/>
        <v/>
      </c>
      <c r="R2397" s="317" t="str">
        <f t="shared" si="237"/>
        <v/>
      </c>
      <c r="S2397" s="317" t="str">
        <f t="shared" si="238"/>
        <v/>
      </c>
      <c r="T2397" s="317" t="str">
        <f>'REF. DE PREÇOS n editavel'!S2397</f>
        <v/>
      </c>
      <c r="W2397" s="577">
        <v>0</v>
      </c>
      <c r="X2397" s="575"/>
      <c r="Y2397" s="578">
        <f>IF('REF. DE PREÇOS n editavel'!W2397=0,0,IF('REF. DE PREÇOS n editavel'!W2397&gt;0,"c","b"))</f>
        <v>0</v>
      </c>
    </row>
    <row r="2398" spans="1:25" ht="15" customHeight="1">
      <c r="A2398" s="317" t="s">
        <v>147</v>
      </c>
      <c r="B2398" s="870" t="s">
        <v>147</v>
      </c>
      <c r="C2398" s="871"/>
      <c r="D2398" s="881" t="s">
        <v>233</v>
      </c>
      <c r="E2398" s="882">
        <f>'REF. DE PREÇOS n editavel'!E2398</f>
        <v>43.1</v>
      </c>
      <c r="F2398" s="883">
        <f>'REF. DE PREÇOS n editavel'!F2398</f>
        <v>8.5059300000000011</v>
      </c>
      <c r="G2398" s="923">
        <f>'REF. DE PREÇOS n editavel'!G2398</f>
        <v>415.06386621000007</v>
      </c>
      <c r="H2398" s="876">
        <f>'REF. DE PREÇOS n editavel'!H2398</f>
        <v>0</v>
      </c>
      <c r="I2398" s="876">
        <f>'REF. DE PREÇOS n editavel'!I2398</f>
        <v>0</v>
      </c>
      <c r="J2398" s="877">
        <f>'REF. DE PREÇOS n editavel'!J2398</f>
        <v>0</v>
      </c>
      <c r="K2398" s="878"/>
      <c r="L2398" s="1132"/>
      <c r="M2398" s="1093">
        <f t="shared" si="239"/>
        <v>0</v>
      </c>
      <c r="N2398" s="1131">
        <f t="shared" si="240"/>
        <v>0</v>
      </c>
      <c r="O2398" s="880"/>
      <c r="P2398" s="36" t="str">
        <f>IF(N2395&gt;0,"xx",IF(N2395&gt;0,"xy",""))</f>
        <v/>
      </c>
      <c r="Q2398" s="317" t="str">
        <f t="shared" si="236"/>
        <v/>
      </c>
      <c r="R2398" s="317" t="str">
        <f t="shared" si="237"/>
        <v/>
      </c>
      <c r="S2398" s="317" t="str">
        <f t="shared" si="238"/>
        <v/>
      </c>
      <c r="T2398" s="317" t="str">
        <f>'REF. DE PREÇOS n editavel'!S2398</f>
        <v/>
      </c>
      <c r="W2398" s="577">
        <v>0</v>
      </c>
      <c r="X2398" s="575"/>
      <c r="Y2398" s="578">
        <f>IF('REF. DE PREÇOS n editavel'!W2398=0,0,IF('REF. DE PREÇOS n editavel'!W2398&gt;0,"c","b"))</f>
        <v>0</v>
      </c>
    </row>
    <row r="2399" spans="1:25" ht="15" customHeight="1">
      <c r="A2399" s="317" t="s">
        <v>46</v>
      </c>
      <c r="B2399" s="870" t="s">
        <v>46</v>
      </c>
      <c r="C2399" s="871" t="s">
        <v>184</v>
      </c>
      <c r="D2399" s="881" t="s">
        <v>145</v>
      </c>
      <c r="E2399" s="882">
        <f>'REF. DE PREÇOS n editavel'!E2399</f>
        <v>0</v>
      </c>
      <c r="F2399" s="883">
        <f>'REF. DE PREÇOS n editavel'!F2399</f>
        <v>0</v>
      </c>
      <c r="G2399" s="887">
        <f>'REF. DE PREÇOS n editavel'!G2399</f>
        <v>2978.7005148100002</v>
      </c>
      <c r="H2399" s="876">
        <f>'REF. DE PREÇOS n editavel'!H2399</f>
        <v>3538.55</v>
      </c>
      <c r="I2399" s="876">
        <f>'REF. DE PREÇOS n editavel'!I2399</f>
        <v>6517.2505148100008</v>
      </c>
      <c r="J2399" s="877">
        <f>'REF. DE PREÇOS n editavel'!J2399</f>
        <v>7965.38</v>
      </c>
      <c r="K2399" s="878" t="s">
        <v>15</v>
      </c>
      <c r="L2399" s="1092"/>
      <c r="M2399" s="1093">
        <f t="shared" si="239"/>
        <v>0</v>
      </c>
      <c r="N2399" s="1131">
        <f t="shared" si="240"/>
        <v>0</v>
      </c>
      <c r="O2399" s="880"/>
      <c r="Q2399" s="317" t="str">
        <f t="shared" si="236"/>
        <v/>
      </c>
      <c r="R2399" s="317" t="str">
        <f t="shared" si="237"/>
        <v/>
      </c>
      <c r="S2399" s="317" t="str">
        <f t="shared" si="238"/>
        <v/>
      </c>
      <c r="T2399" s="317" t="str">
        <f>'REF. DE PREÇOS n editavel'!S2399</f>
        <v/>
      </c>
      <c r="W2399" s="577">
        <v>0</v>
      </c>
      <c r="X2399" s="575"/>
      <c r="Y2399" s="578">
        <f>IF('REF. DE PREÇOS n editavel'!W2399=0,0,IF('REF. DE PREÇOS n editavel'!W2399&gt;0,"c","b"))</f>
        <v>0</v>
      </c>
    </row>
    <row r="2400" spans="1:25" ht="15" customHeight="1">
      <c r="A2400" s="317" t="s">
        <v>147</v>
      </c>
      <c r="B2400" s="870" t="s">
        <v>147</v>
      </c>
      <c r="C2400" s="871"/>
      <c r="D2400" s="881" t="s">
        <v>190</v>
      </c>
      <c r="E2400" s="882">
        <f>'REF. DE PREÇOS n editavel'!E2400</f>
        <v>445</v>
      </c>
      <c r="F2400" s="883">
        <f>'REF. DE PREÇOS n editavel'!F2400</f>
        <v>1.4740100000000003</v>
      </c>
      <c r="G2400" s="884">
        <f>'REF. DE PREÇOS n editavel'!G2400</f>
        <v>523.15562920000013</v>
      </c>
      <c r="H2400" s="876">
        <f>'REF. DE PREÇOS n editavel'!H2400</f>
        <v>0</v>
      </c>
      <c r="I2400" s="876">
        <f>'REF. DE PREÇOS n editavel'!I2400</f>
        <v>0</v>
      </c>
      <c r="J2400" s="877">
        <f>'REF. DE PREÇOS n editavel'!J2400</f>
        <v>0</v>
      </c>
      <c r="K2400" s="878"/>
      <c r="L2400" s="1132"/>
      <c r="M2400" s="1093">
        <f t="shared" si="239"/>
        <v>0</v>
      </c>
      <c r="N2400" s="1131">
        <f t="shared" si="240"/>
        <v>0</v>
      </c>
      <c r="O2400" s="880"/>
      <c r="P2400" s="36" t="str">
        <f>IF(N2399&gt;0,"xx",IF(N2399&gt;0,"xy",""))</f>
        <v/>
      </c>
      <c r="Q2400" s="317" t="str">
        <f t="shared" si="236"/>
        <v/>
      </c>
      <c r="R2400" s="317" t="str">
        <f t="shared" si="237"/>
        <v/>
      </c>
      <c r="S2400" s="317" t="str">
        <f t="shared" si="238"/>
        <v/>
      </c>
      <c r="T2400" s="317" t="str">
        <f>'REF. DE PREÇOS n editavel'!S2400</f>
        <v/>
      </c>
      <c r="W2400" s="577">
        <v>0</v>
      </c>
      <c r="X2400" s="575"/>
      <c r="Y2400" s="578">
        <f>IF('REF. DE PREÇOS n editavel'!W2400=0,0,IF('REF. DE PREÇOS n editavel'!W2400&gt;0,"c","b"))</f>
        <v>0</v>
      </c>
    </row>
    <row r="2401" spans="1:25" ht="15" customHeight="1">
      <c r="A2401" s="317" t="s">
        <v>147</v>
      </c>
      <c r="B2401" s="870" t="s">
        <v>147</v>
      </c>
      <c r="C2401" s="871"/>
      <c r="D2401" s="881" t="s">
        <v>229</v>
      </c>
      <c r="E2401" s="882">
        <f>'REF. DE PREÇOS n editavel'!E2401</f>
        <v>290</v>
      </c>
      <c r="F2401" s="883">
        <f>'REF. DE PREÇOS n editavel'!F2401</f>
        <v>6.0316799999999997</v>
      </c>
      <c r="G2401" s="923">
        <f>'REF. DE PREÇOS n editavel'!G2401</f>
        <v>1887.7952064000001</v>
      </c>
      <c r="H2401" s="876">
        <f>'REF. DE PREÇOS n editavel'!H2401</f>
        <v>0</v>
      </c>
      <c r="I2401" s="876">
        <f>'REF. DE PREÇOS n editavel'!I2401</f>
        <v>0</v>
      </c>
      <c r="J2401" s="877">
        <f>'REF. DE PREÇOS n editavel'!J2401</f>
        <v>0</v>
      </c>
      <c r="K2401" s="878"/>
      <c r="L2401" s="1132"/>
      <c r="M2401" s="1093">
        <f t="shared" si="239"/>
        <v>0</v>
      </c>
      <c r="N2401" s="1131">
        <f t="shared" si="240"/>
        <v>0</v>
      </c>
      <c r="O2401" s="880"/>
      <c r="P2401" s="36" t="str">
        <f>IF(N2399&gt;0,"xx",IF(N2399&gt;0,"xy",""))</f>
        <v/>
      </c>
      <c r="Q2401" s="317" t="str">
        <f t="shared" si="236"/>
        <v/>
      </c>
      <c r="R2401" s="317" t="str">
        <f t="shared" si="237"/>
        <v/>
      </c>
      <c r="S2401" s="317" t="str">
        <f t="shared" si="238"/>
        <v/>
      </c>
      <c r="T2401" s="317" t="str">
        <f>'REF. DE PREÇOS n editavel'!S2401</f>
        <v/>
      </c>
      <c r="W2401" s="577">
        <v>0</v>
      </c>
      <c r="X2401" s="575"/>
      <c r="Y2401" s="578">
        <f>IF('REF. DE PREÇOS n editavel'!W2401=0,0,IF('REF. DE PREÇOS n editavel'!W2401&gt;0,"c","b"))</f>
        <v>0</v>
      </c>
    </row>
    <row r="2402" spans="1:25" ht="15" customHeight="1">
      <c r="A2402" s="317" t="s">
        <v>147</v>
      </c>
      <c r="B2402" s="870" t="s">
        <v>147</v>
      </c>
      <c r="C2402" s="871"/>
      <c r="D2402" s="881" t="s">
        <v>233</v>
      </c>
      <c r="E2402" s="882">
        <f>'REF. DE PREÇOS n editavel'!E2402</f>
        <v>43.1</v>
      </c>
      <c r="F2402" s="883">
        <f>'REF. DE PREÇOS n editavel'!F2402</f>
        <v>11.634930000000001</v>
      </c>
      <c r="G2402" s="923">
        <f>'REF. DE PREÇOS n editavel'!G2402</f>
        <v>567.74967921000007</v>
      </c>
      <c r="H2402" s="876">
        <f>'REF. DE PREÇOS n editavel'!H2402</f>
        <v>0</v>
      </c>
      <c r="I2402" s="876">
        <f>'REF. DE PREÇOS n editavel'!I2402</f>
        <v>0</v>
      </c>
      <c r="J2402" s="877">
        <f>'REF. DE PREÇOS n editavel'!J2402</f>
        <v>0</v>
      </c>
      <c r="K2402" s="878"/>
      <c r="L2402" s="1132"/>
      <c r="M2402" s="1093">
        <f t="shared" si="239"/>
        <v>0</v>
      </c>
      <c r="N2402" s="1131">
        <f t="shared" si="240"/>
        <v>0</v>
      </c>
      <c r="O2402" s="880"/>
      <c r="P2402" s="36" t="str">
        <f>IF(N2399&gt;0,"xx",IF(N2399&gt;0,"xy",""))</f>
        <v/>
      </c>
      <c r="Q2402" s="317" t="str">
        <f t="shared" si="236"/>
        <v/>
      </c>
      <c r="R2402" s="317" t="str">
        <f t="shared" si="237"/>
        <v/>
      </c>
      <c r="S2402" s="317" t="str">
        <f t="shared" si="238"/>
        <v/>
      </c>
      <c r="T2402" s="317" t="str">
        <f>'REF. DE PREÇOS n editavel'!S2402</f>
        <v/>
      </c>
      <c r="W2402" s="577">
        <v>0</v>
      </c>
      <c r="X2402" s="575"/>
      <c r="Y2402" s="578">
        <f>IF('REF. DE PREÇOS n editavel'!W2402=0,0,IF('REF. DE PREÇOS n editavel'!W2402&gt;0,"c","b"))</f>
        <v>0</v>
      </c>
    </row>
    <row r="2403" spans="1:25" ht="15" customHeight="1">
      <c r="A2403" s="317" t="s">
        <v>46</v>
      </c>
      <c r="B2403" s="870" t="s">
        <v>46</v>
      </c>
      <c r="C2403" s="871" t="s">
        <v>184</v>
      </c>
      <c r="D2403" s="881" t="s">
        <v>146</v>
      </c>
      <c r="E2403" s="882">
        <f>'REF. DE PREÇOS n editavel'!E2403</f>
        <v>0</v>
      </c>
      <c r="F2403" s="883">
        <f>'REF. DE PREÇOS n editavel'!F2403</f>
        <v>0</v>
      </c>
      <c r="G2403" s="887">
        <f>'REF. DE PREÇOS n editavel'!G2403</f>
        <v>4924.7354652700005</v>
      </c>
      <c r="H2403" s="876">
        <f>'REF. DE PREÇOS n editavel'!H2403</f>
        <v>5739.62</v>
      </c>
      <c r="I2403" s="876">
        <f>'REF. DE PREÇOS n editavel'!I2403</f>
        <v>10664.35546527</v>
      </c>
      <c r="J2403" s="877">
        <f>'REF. DE PREÇOS n editavel'!J2403</f>
        <v>13033.98</v>
      </c>
      <c r="K2403" s="878" t="s">
        <v>15</v>
      </c>
      <c r="L2403" s="1092"/>
      <c r="M2403" s="1093">
        <f t="shared" si="239"/>
        <v>0</v>
      </c>
      <c r="N2403" s="1131">
        <f t="shared" si="240"/>
        <v>0</v>
      </c>
      <c r="O2403" s="880"/>
      <c r="Q2403" s="317" t="str">
        <f t="shared" si="236"/>
        <v/>
      </c>
      <c r="R2403" s="317" t="str">
        <f t="shared" si="237"/>
        <v/>
      </c>
      <c r="S2403" s="317" t="str">
        <f t="shared" si="238"/>
        <v/>
      </c>
      <c r="T2403" s="317" t="str">
        <f>'REF. DE PREÇOS n editavel'!S2403</f>
        <v/>
      </c>
      <c r="W2403" s="577">
        <v>0</v>
      </c>
      <c r="X2403" s="575"/>
      <c r="Y2403" s="578">
        <f>IF('REF. DE PREÇOS n editavel'!W2403=0,0,IF('REF. DE PREÇOS n editavel'!W2403&gt;0,"c","b"))</f>
        <v>0</v>
      </c>
    </row>
    <row r="2404" spans="1:25" ht="15" customHeight="1">
      <c r="A2404" s="317" t="s">
        <v>147</v>
      </c>
      <c r="B2404" s="870" t="s">
        <v>147</v>
      </c>
      <c r="C2404" s="871"/>
      <c r="D2404" s="881" t="s">
        <v>190</v>
      </c>
      <c r="E2404" s="882">
        <f>'REF. DE PREÇOS n editavel'!E2404</f>
        <v>445</v>
      </c>
      <c r="F2404" s="883">
        <f>'REF. DE PREÇOS n editavel'!F2404</f>
        <v>2.41967</v>
      </c>
      <c r="G2404" s="884">
        <f>'REF. DE PREÇOS n editavel'!G2404</f>
        <v>858.78927640000006</v>
      </c>
      <c r="H2404" s="876">
        <f>'REF. DE PREÇOS n editavel'!H2404</f>
        <v>0</v>
      </c>
      <c r="I2404" s="876">
        <f>'REF. DE PREÇOS n editavel'!I2404</f>
        <v>0</v>
      </c>
      <c r="J2404" s="877">
        <f>'REF. DE PREÇOS n editavel'!J2404</f>
        <v>0</v>
      </c>
      <c r="K2404" s="878"/>
      <c r="L2404" s="1132"/>
      <c r="M2404" s="1093">
        <f t="shared" si="239"/>
        <v>0</v>
      </c>
      <c r="N2404" s="1131">
        <f t="shared" si="240"/>
        <v>0</v>
      </c>
      <c r="O2404" s="880"/>
      <c r="P2404" s="36" t="str">
        <f>IF(N2403&gt;0,"xx",IF(N2403&gt;0,"xy",""))</f>
        <v/>
      </c>
      <c r="Q2404" s="317" t="str">
        <f t="shared" si="236"/>
        <v/>
      </c>
      <c r="R2404" s="317" t="str">
        <f t="shared" si="237"/>
        <v/>
      </c>
      <c r="S2404" s="317" t="str">
        <f t="shared" si="238"/>
        <v/>
      </c>
      <c r="T2404" s="317" t="str">
        <f>'REF. DE PREÇOS n editavel'!S2404</f>
        <v/>
      </c>
      <c r="W2404" s="577">
        <v>0</v>
      </c>
      <c r="X2404" s="575"/>
      <c r="Y2404" s="578">
        <f>IF('REF. DE PREÇOS n editavel'!W2404=0,0,IF('REF. DE PREÇOS n editavel'!W2404&gt;0,"c","b"))</f>
        <v>0</v>
      </c>
    </row>
    <row r="2405" spans="1:25" ht="15" customHeight="1">
      <c r="A2405" s="317" t="s">
        <v>147</v>
      </c>
      <c r="B2405" s="870" t="s">
        <v>147</v>
      </c>
      <c r="C2405" s="871"/>
      <c r="D2405" s="881" t="s">
        <v>229</v>
      </c>
      <c r="E2405" s="882">
        <f>'REF. DE PREÇOS n editavel'!E2405</f>
        <v>290</v>
      </c>
      <c r="F2405" s="883">
        <f>'REF. DE PREÇOS n editavel'!F2405</f>
        <v>9.9546600000000005</v>
      </c>
      <c r="G2405" s="923">
        <f>'REF. DE PREÇOS n editavel'!G2405</f>
        <v>3115.6094868000005</v>
      </c>
      <c r="H2405" s="876">
        <f>'REF. DE PREÇOS n editavel'!H2405</f>
        <v>0</v>
      </c>
      <c r="I2405" s="876">
        <f>'REF. DE PREÇOS n editavel'!I2405</f>
        <v>0</v>
      </c>
      <c r="J2405" s="877">
        <f>'REF. DE PREÇOS n editavel'!J2405</f>
        <v>0</v>
      </c>
      <c r="K2405" s="878"/>
      <c r="L2405" s="1132"/>
      <c r="M2405" s="1093">
        <f t="shared" si="239"/>
        <v>0</v>
      </c>
      <c r="N2405" s="1131">
        <f t="shared" si="240"/>
        <v>0</v>
      </c>
      <c r="O2405" s="880"/>
      <c r="P2405" s="36" t="str">
        <f>IF(N2403&gt;0,"xx",IF(N2403&gt;0,"xy",""))</f>
        <v/>
      </c>
      <c r="Q2405" s="317" t="str">
        <f t="shared" si="236"/>
        <v/>
      </c>
      <c r="R2405" s="317" t="str">
        <f t="shared" si="237"/>
        <v/>
      </c>
      <c r="S2405" s="317" t="str">
        <f t="shared" si="238"/>
        <v/>
      </c>
      <c r="T2405" s="317" t="str">
        <f>'REF. DE PREÇOS n editavel'!S2405</f>
        <v/>
      </c>
      <c r="W2405" s="577">
        <v>0</v>
      </c>
      <c r="X2405" s="575"/>
      <c r="Y2405" s="578">
        <f>IF('REF. DE PREÇOS n editavel'!W2405=0,0,IF('REF. DE PREÇOS n editavel'!W2405&gt;0,"c","b"))</f>
        <v>0</v>
      </c>
    </row>
    <row r="2406" spans="1:25" ht="15" customHeight="1">
      <c r="A2406" s="317" t="s">
        <v>147</v>
      </c>
      <c r="B2406" s="870" t="s">
        <v>147</v>
      </c>
      <c r="C2406" s="871"/>
      <c r="D2406" s="881" t="s">
        <v>233</v>
      </c>
      <c r="E2406" s="882">
        <f>'REF. DE PREÇOS n editavel'!E2406</f>
        <v>43.1</v>
      </c>
      <c r="F2406" s="883">
        <f>'REF. DE PREÇOS n editavel'!F2406</f>
        <v>19.47531</v>
      </c>
      <c r="G2406" s="923">
        <f>'REF. DE PREÇOS n editavel'!G2406</f>
        <v>950.33670207000011</v>
      </c>
      <c r="H2406" s="876">
        <f>'REF. DE PREÇOS n editavel'!H2406</f>
        <v>0</v>
      </c>
      <c r="I2406" s="876">
        <f>'REF. DE PREÇOS n editavel'!I2406</f>
        <v>0</v>
      </c>
      <c r="J2406" s="877">
        <f>'REF. DE PREÇOS n editavel'!J2406</f>
        <v>0</v>
      </c>
      <c r="K2406" s="878"/>
      <c r="L2406" s="1132"/>
      <c r="M2406" s="1093">
        <f t="shared" si="239"/>
        <v>0</v>
      </c>
      <c r="N2406" s="1131">
        <f t="shared" si="240"/>
        <v>0</v>
      </c>
      <c r="O2406" s="880"/>
      <c r="P2406" s="36" t="str">
        <f>IF(N2403&gt;0,"xx",IF(N2403&gt;0,"xy",""))</f>
        <v/>
      </c>
      <c r="Q2406" s="317" t="str">
        <f t="shared" si="236"/>
        <v/>
      </c>
      <c r="R2406" s="317" t="str">
        <f t="shared" si="237"/>
        <v/>
      </c>
      <c r="S2406" s="317" t="str">
        <f t="shared" si="238"/>
        <v/>
      </c>
      <c r="T2406" s="317" t="str">
        <f>'REF. DE PREÇOS n editavel'!S2406</f>
        <v/>
      </c>
      <c r="W2406" s="577">
        <v>0</v>
      </c>
      <c r="X2406" s="575"/>
      <c r="Y2406" s="578">
        <f>IF('REF. DE PREÇOS n editavel'!W2406=0,0,IF('REF. DE PREÇOS n editavel'!W2406&gt;0,"c","b"))</f>
        <v>0</v>
      </c>
    </row>
    <row r="2407" spans="1:25" ht="15" customHeight="1">
      <c r="A2407" s="317" t="s">
        <v>393</v>
      </c>
      <c r="B2407" s="870" t="s">
        <v>393</v>
      </c>
      <c r="C2407" s="871" t="s">
        <v>184</v>
      </c>
      <c r="D2407" s="881" t="str">
        <f>'ENSAIOS DE ORÇAMENTO'!C72</f>
        <v>ENSAIO DE ORÇAMENTO 1</v>
      </c>
      <c r="E2407" s="882">
        <f>'REF. DE PREÇOS n editavel'!E2407</f>
        <v>0</v>
      </c>
      <c r="F2407" s="883">
        <f>'REF. DE PREÇOS n editavel'!F2407</f>
        <v>0</v>
      </c>
      <c r="G2407" s="887">
        <f>'REF. DE PREÇOS n editavel'!G2407</f>
        <v>0</v>
      </c>
      <c r="H2407" s="876">
        <f>'REF. DE PREÇOS n editavel'!H2407</f>
        <v>0</v>
      </c>
      <c r="I2407" s="876">
        <f>'REF. DE PREÇOS n editavel'!I2407</f>
        <v>0</v>
      </c>
      <c r="J2407" s="877">
        <f>'REF. DE PREÇOS n editavel'!J2407</f>
        <v>0</v>
      </c>
      <c r="K2407" s="878" t="s">
        <v>15</v>
      </c>
      <c r="L2407" s="1092"/>
      <c r="M2407" s="1093">
        <f t="shared" si="239"/>
        <v>0</v>
      </c>
      <c r="N2407" s="1131">
        <f t="shared" si="240"/>
        <v>0</v>
      </c>
      <c r="O2407" s="880"/>
      <c r="Q2407" s="317" t="str">
        <f t="shared" si="236"/>
        <v/>
      </c>
      <c r="R2407" s="317" t="str">
        <f t="shared" si="237"/>
        <v/>
      </c>
      <c r="S2407" s="317" t="str">
        <f t="shared" si="238"/>
        <v/>
      </c>
      <c r="T2407" s="317" t="str">
        <f>'REF. DE PREÇOS n editavel'!S2407</f>
        <v/>
      </c>
      <c r="W2407" s="577">
        <v>0</v>
      </c>
      <c r="X2407" s="575"/>
      <c r="Y2407" s="578">
        <f>IF('REF. DE PREÇOS n editavel'!W2407=0,0,IF('REF. DE PREÇOS n editavel'!W2407&gt;0,"c","b"))</f>
        <v>0</v>
      </c>
    </row>
    <row r="2408" spans="1:25" ht="15" customHeight="1">
      <c r="A2408" s="317" t="s">
        <v>147</v>
      </c>
      <c r="B2408" s="870" t="s">
        <v>147</v>
      </c>
      <c r="C2408" s="871"/>
      <c r="D2408" s="931" t="s">
        <v>190</v>
      </c>
      <c r="E2408" s="882">
        <f>'REF. DE PREÇOS n editavel'!E2408</f>
        <v>445</v>
      </c>
      <c r="F2408" s="883">
        <f>'REF. DE PREÇOS n editavel'!F2408</f>
        <v>0</v>
      </c>
      <c r="G2408" s="884">
        <f>'REF. DE PREÇOS n editavel'!G2408</f>
        <v>0</v>
      </c>
      <c r="H2408" s="876">
        <f>'REF. DE PREÇOS n editavel'!H2408</f>
        <v>0</v>
      </c>
      <c r="I2408" s="876" t="str">
        <f>'REF. DE PREÇOS n editavel'!I2408</f>
        <v/>
      </c>
      <c r="J2408" s="877">
        <f>'REF. DE PREÇOS n editavel'!J2408</f>
        <v>0</v>
      </c>
      <c r="K2408" s="932" t="s">
        <v>506</v>
      </c>
      <c r="L2408" s="933"/>
      <c r="M2408" s="1112">
        <f t="shared" si="239"/>
        <v>0</v>
      </c>
      <c r="N2408" s="1131">
        <f t="shared" si="240"/>
        <v>0</v>
      </c>
      <c r="O2408" s="880"/>
      <c r="P2408" s="58" t="str">
        <f>IF(N2407&gt;0,"xx",IF(N2407&gt;0,"xy",""))</f>
        <v/>
      </c>
      <c r="Q2408" s="317" t="str">
        <f t="shared" si="236"/>
        <v/>
      </c>
      <c r="R2408" s="317" t="str">
        <f t="shared" si="237"/>
        <v/>
      </c>
      <c r="S2408" s="317" t="str">
        <f t="shared" si="238"/>
        <v/>
      </c>
      <c r="T2408" s="317" t="str">
        <f>'REF. DE PREÇOS n editavel'!S2408</f>
        <v/>
      </c>
      <c r="W2408" s="577">
        <v>0</v>
      </c>
      <c r="X2408" s="575"/>
      <c r="Y2408" s="578">
        <f>IF('REF. DE PREÇOS n editavel'!W2408=0,0,IF('REF. DE PREÇOS n editavel'!W2408&gt;0,"c","b"))</f>
        <v>0</v>
      </c>
    </row>
    <row r="2409" spans="1:25" ht="15" customHeight="1">
      <c r="A2409" s="317" t="s">
        <v>147</v>
      </c>
      <c r="B2409" s="870" t="s">
        <v>147</v>
      </c>
      <c r="C2409" s="871"/>
      <c r="D2409" s="931" t="s">
        <v>229</v>
      </c>
      <c r="E2409" s="882">
        <f>'REF. DE PREÇOS n editavel'!E2409</f>
        <v>290</v>
      </c>
      <c r="F2409" s="883">
        <f>'REF. DE PREÇOS n editavel'!F2409</f>
        <v>0</v>
      </c>
      <c r="G2409" s="923">
        <f>'REF. DE PREÇOS n editavel'!G2409</f>
        <v>0</v>
      </c>
      <c r="H2409" s="876">
        <f>'REF. DE PREÇOS n editavel'!H2409</f>
        <v>0</v>
      </c>
      <c r="I2409" s="876" t="str">
        <f>'REF. DE PREÇOS n editavel'!I2409</f>
        <v/>
      </c>
      <c r="J2409" s="877">
        <f>'REF. DE PREÇOS n editavel'!J2409</f>
        <v>0</v>
      </c>
      <c r="K2409" s="932" t="s">
        <v>506</v>
      </c>
      <c r="L2409" s="933"/>
      <c r="M2409" s="1112">
        <f t="shared" si="239"/>
        <v>0</v>
      </c>
      <c r="N2409" s="1131">
        <f t="shared" si="240"/>
        <v>0</v>
      </c>
      <c r="O2409" s="880"/>
      <c r="P2409" s="58" t="str">
        <f>IF(N2407&gt;0,"xx",IF(N2407&gt;0,"xy",""))</f>
        <v/>
      </c>
      <c r="Q2409" s="317" t="str">
        <f t="shared" si="236"/>
        <v/>
      </c>
      <c r="R2409" s="317" t="str">
        <f t="shared" si="237"/>
        <v/>
      </c>
      <c r="S2409" s="317" t="str">
        <f t="shared" si="238"/>
        <v/>
      </c>
      <c r="T2409" s="317" t="str">
        <f>'REF. DE PREÇOS n editavel'!S2409</f>
        <v/>
      </c>
      <c r="W2409" s="577">
        <v>0</v>
      </c>
      <c r="X2409" s="575"/>
      <c r="Y2409" s="578">
        <f>IF('REF. DE PREÇOS n editavel'!W2409=0,0,IF('REF. DE PREÇOS n editavel'!W2409&gt;0,"c","b"))</f>
        <v>0</v>
      </c>
    </row>
    <row r="2410" spans="1:25" ht="15" customHeight="1">
      <c r="A2410" s="317" t="s">
        <v>147</v>
      </c>
      <c r="B2410" s="870" t="s">
        <v>147</v>
      </c>
      <c r="C2410" s="871"/>
      <c r="D2410" s="931" t="s">
        <v>233</v>
      </c>
      <c r="E2410" s="882">
        <f>'REF. DE PREÇOS n editavel'!E2410</f>
        <v>43.1</v>
      </c>
      <c r="F2410" s="883">
        <f>'REF. DE PREÇOS n editavel'!F2410</f>
        <v>0</v>
      </c>
      <c r="G2410" s="923">
        <f>'REF. DE PREÇOS n editavel'!G2410</f>
        <v>0</v>
      </c>
      <c r="H2410" s="876">
        <f>'REF. DE PREÇOS n editavel'!H2410</f>
        <v>0</v>
      </c>
      <c r="I2410" s="876" t="str">
        <f>'REF. DE PREÇOS n editavel'!I2410</f>
        <v/>
      </c>
      <c r="J2410" s="877">
        <f>'REF. DE PREÇOS n editavel'!J2410</f>
        <v>0</v>
      </c>
      <c r="K2410" s="932" t="s">
        <v>506</v>
      </c>
      <c r="L2410" s="933"/>
      <c r="M2410" s="1112">
        <f t="shared" si="239"/>
        <v>0</v>
      </c>
      <c r="N2410" s="1131">
        <f t="shared" si="240"/>
        <v>0</v>
      </c>
      <c r="O2410" s="880"/>
      <c r="P2410" s="58" t="str">
        <f>IF(N2407&gt;0,"xx",IF(N2407&gt;0,"xy",""))</f>
        <v/>
      </c>
      <c r="Q2410" s="317" t="str">
        <f t="shared" si="236"/>
        <v/>
      </c>
      <c r="R2410" s="317" t="str">
        <f t="shared" si="237"/>
        <v/>
      </c>
      <c r="S2410" s="317" t="str">
        <f t="shared" si="238"/>
        <v/>
      </c>
      <c r="T2410" s="317" t="str">
        <f>'REF. DE PREÇOS n editavel'!S2410</f>
        <v/>
      </c>
      <c r="W2410" s="577">
        <v>0</v>
      </c>
      <c r="X2410" s="575"/>
      <c r="Y2410" s="578">
        <f>IF('REF. DE PREÇOS n editavel'!W2410=0,0,IF('REF. DE PREÇOS n editavel'!W2410&gt;0,"c","b"))</f>
        <v>0</v>
      </c>
    </row>
    <row r="2411" spans="1:25" ht="15" customHeight="1">
      <c r="A2411" s="317" t="s">
        <v>147</v>
      </c>
      <c r="B2411" s="870" t="s">
        <v>147</v>
      </c>
      <c r="C2411" s="871"/>
      <c r="D2411" s="931" t="s">
        <v>365</v>
      </c>
      <c r="E2411" s="882">
        <f>'REF. DE PREÇOS n editavel'!E2411</f>
        <v>28</v>
      </c>
      <c r="F2411" s="883">
        <f>'REF. DE PREÇOS n editavel'!F2411</f>
        <v>0</v>
      </c>
      <c r="G2411" s="923">
        <f>'REF. DE PREÇOS n editavel'!G2411</f>
        <v>0</v>
      </c>
      <c r="H2411" s="876">
        <f>'REF. DE PREÇOS n editavel'!H2411</f>
        <v>0</v>
      </c>
      <c r="I2411" s="876" t="str">
        <f>'REF. DE PREÇOS n editavel'!I2411</f>
        <v/>
      </c>
      <c r="J2411" s="877">
        <f>'REF. DE PREÇOS n editavel'!J2411</f>
        <v>0</v>
      </c>
      <c r="K2411" s="932" t="s">
        <v>506</v>
      </c>
      <c r="L2411" s="933"/>
      <c r="M2411" s="1112">
        <f t="shared" si="239"/>
        <v>0</v>
      </c>
      <c r="N2411" s="1131">
        <f t="shared" si="240"/>
        <v>0</v>
      </c>
      <c r="O2411" s="880"/>
      <c r="P2411" s="58" t="str">
        <f>IF(N2407&gt;0,"xx",IF(N2407&gt;0,"xy",""))</f>
        <v/>
      </c>
      <c r="Q2411" s="317" t="str">
        <f t="shared" si="236"/>
        <v/>
      </c>
      <c r="R2411" s="317" t="str">
        <f t="shared" si="237"/>
        <v/>
      </c>
      <c r="S2411" s="317" t="str">
        <f t="shared" si="238"/>
        <v/>
      </c>
      <c r="T2411" s="317" t="str">
        <f>'REF. DE PREÇOS n editavel'!S2411</f>
        <v/>
      </c>
      <c r="W2411" s="577">
        <v>0</v>
      </c>
      <c r="X2411" s="575"/>
      <c r="Y2411" s="578">
        <f>IF('REF. DE PREÇOS n editavel'!W2411=0,0,IF('REF. DE PREÇOS n editavel'!W2411&gt;0,"c","b"))</f>
        <v>0</v>
      </c>
    </row>
    <row r="2412" spans="1:25" ht="15" customHeight="1">
      <c r="A2412" s="317" t="s">
        <v>147</v>
      </c>
      <c r="B2412" s="870" t="s">
        <v>147</v>
      </c>
      <c r="C2412" s="871"/>
      <c r="D2412" s="931" t="s">
        <v>366</v>
      </c>
      <c r="E2412" s="882">
        <f>'REF. DE PREÇOS n editavel'!E2412</f>
        <v>440</v>
      </c>
      <c r="F2412" s="883">
        <f>'REF. DE PREÇOS n editavel'!F2412</f>
        <v>0</v>
      </c>
      <c r="G2412" s="884">
        <f>'REF. DE PREÇOS n editavel'!G2412</f>
        <v>0</v>
      </c>
      <c r="H2412" s="876">
        <f>'REF. DE PREÇOS n editavel'!H2412</f>
        <v>0</v>
      </c>
      <c r="I2412" s="876" t="str">
        <f>'REF. DE PREÇOS n editavel'!I2412</f>
        <v/>
      </c>
      <c r="J2412" s="877">
        <f>'REF. DE PREÇOS n editavel'!J2412</f>
        <v>0</v>
      </c>
      <c r="K2412" s="932" t="s">
        <v>506</v>
      </c>
      <c r="L2412" s="933"/>
      <c r="M2412" s="1112">
        <f t="shared" si="239"/>
        <v>0</v>
      </c>
      <c r="N2412" s="1131">
        <f t="shared" si="240"/>
        <v>0</v>
      </c>
      <c r="O2412" s="880"/>
      <c r="P2412" s="58" t="str">
        <f>IF(N2407&gt;0,"xx",IF(N2407&gt;0,"xy",""))</f>
        <v/>
      </c>
      <c r="Q2412" s="317" t="str">
        <f t="shared" si="236"/>
        <v/>
      </c>
      <c r="R2412" s="317" t="str">
        <f t="shared" si="237"/>
        <v/>
      </c>
      <c r="S2412" s="317" t="str">
        <f t="shared" si="238"/>
        <v/>
      </c>
      <c r="T2412" s="317" t="str">
        <f>'REF. DE PREÇOS n editavel'!S2412</f>
        <v/>
      </c>
      <c r="W2412" s="577">
        <v>0</v>
      </c>
      <c r="X2412" s="575"/>
      <c r="Y2412" s="578">
        <f>IF('REF. DE PREÇOS n editavel'!W2412=0,0,IF('REF. DE PREÇOS n editavel'!W2412&gt;0,"c","b"))</f>
        <v>0</v>
      </c>
    </row>
    <row r="2413" spans="1:25" ht="15" customHeight="1">
      <c r="A2413" s="317" t="s">
        <v>394</v>
      </c>
      <c r="B2413" s="870" t="s">
        <v>394</v>
      </c>
      <c r="C2413" s="871" t="s">
        <v>184</v>
      </c>
      <c r="D2413" s="881" t="str">
        <f>'ENSAIOS DE ORÇAMENTO'!C73</f>
        <v>ENSAIO DE ORÇAMENTO 2</v>
      </c>
      <c r="E2413" s="882">
        <f>'REF. DE PREÇOS n editavel'!E2413</f>
        <v>0</v>
      </c>
      <c r="F2413" s="883">
        <f>'REF. DE PREÇOS n editavel'!F2413</f>
        <v>0</v>
      </c>
      <c r="G2413" s="887">
        <f>'REF. DE PREÇOS n editavel'!G2413</f>
        <v>0</v>
      </c>
      <c r="H2413" s="876">
        <f>'REF. DE PREÇOS n editavel'!H2413</f>
        <v>0</v>
      </c>
      <c r="I2413" s="876">
        <f>'REF. DE PREÇOS n editavel'!I2413</f>
        <v>0</v>
      </c>
      <c r="J2413" s="877">
        <f>'REF. DE PREÇOS n editavel'!J2413</f>
        <v>0</v>
      </c>
      <c r="K2413" s="878" t="s">
        <v>15</v>
      </c>
      <c r="L2413" s="1092"/>
      <c r="M2413" s="1093">
        <f t="shared" si="239"/>
        <v>0</v>
      </c>
      <c r="N2413" s="1131">
        <f t="shared" si="240"/>
        <v>0</v>
      </c>
      <c r="O2413" s="880"/>
      <c r="Q2413" s="317" t="str">
        <f t="shared" si="236"/>
        <v/>
      </c>
      <c r="R2413" s="317" t="str">
        <f t="shared" si="237"/>
        <v/>
      </c>
      <c r="S2413" s="317" t="str">
        <f t="shared" si="238"/>
        <v/>
      </c>
      <c r="T2413" s="317" t="str">
        <f>'REF. DE PREÇOS n editavel'!S2413</f>
        <v/>
      </c>
      <c r="W2413" s="577">
        <v>0</v>
      </c>
      <c r="X2413" s="575"/>
      <c r="Y2413" s="578">
        <f>IF('REF. DE PREÇOS n editavel'!W2413=0,0,IF('REF. DE PREÇOS n editavel'!W2413&gt;0,"c","b"))</f>
        <v>0</v>
      </c>
    </row>
    <row r="2414" spans="1:25" ht="15" customHeight="1">
      <c r="A2414" s="317" t="s">
        <v>147</v>
      </c>
      <c r="B2414" s="870" t="s">
        <v>147</v>
      </c>
      <c r="C2414" s="871"/>
      <c r="D2414" s="931" t="s">
        <v>190</v>
      </c>
      <c r="E2414" s="882">
        <f>'REF. DE PREÇOS n editavel'!E2414</f>
        <v>445</v>
      </c>
      <c r="F2414" s="883">
        <f>'REF. DE PREÇOS n editavel'!F2414</f>
        <v>0</v>
      </c>
      <c r="G2414" s="884">
        <f>'REF. DE PREÇOS n editavel'!G2414</f>
        <v>0</v>
      </c>
      <c r="H2414" s="876">
        <f>'REF. DE PREÇOS n editavel'!H2414</f>
        <v>0</v>
      </c>
      <c r="I2414" s="876" t="str">
        <f>'REF. DE PREÇOS n editavel'!I2414</f>
        <v/>
      </c>
      <c r="J2414" s="877">
        <f>'REF. DE PREÇOS n editavel'!J2414</f>
        <v>0</v>
      </c>
      <c r="K2414" s="932" t="s">
        <v>506</v>
      </c>
      <c r="L2414" s="933"/>
      <c r="M2414" s="1112">
        <f t="shared" si="239"/>
        <v>0</v>
      </c>
      <c r="N2414" s="1131">
        <f t="shared" si="240"/>
        <v>0</v>
      </c>
      <c r="O2414" s="880"/>
      <c r="P2414" s="58" t="str">
        <f>IF(N2413&gt;0,"xx",IF(N2413&gt;0,"xy",""))</f>
        <v/>
      </c>
      <c r="Q2414" s="317" t="str">
        <f t="shared" si="236"/>
        <v/>
      </c>
      <c r="R2414" s="317" t="str">
        <f t="shared" si="237"/>
        <v/>
      </c>
      <c r="S2414" s="317" t="str">
        <f t="shared" si="238"/>
        <v/>
      </c>
      <c r="T2414" s="317" t="str">
        <f>'REF. DE PREÇOS n editavel'!S2414</f>
        <v/>
      </c>
      <c r="W2414" s="577">
        <v>0</v>
      </c>
      <c r="X2414" s="575"/>
      <c r="Y2414" s="578">
        <f>IF('REF. DE PREÇOS n editavel'!W2414=0,0,IF('REF. DE PREÇOS n editavel'!W2414&gt;0,"c","b"))</f>
        <v>0</v>
      </c>
    </row>
    <row r="2415" spans="1:25" ht="15" customHeight="1">
      <c r="A2415" s="317" t="s">
        <v>147</v>
      </c>
      <c r="B2415" s="870" t="s">
        <v>147</v>
      </c>
      <c r="C2415" s="871"/>
      <c r="D2415" s="931" t="s">
        <v>229</v>
      </c>
      <c r="E2415" s="882">
        <f>'REF. DE PREÇOS n editavel'!E2415</f>
        <v>290</v>
      </c>
      <c r="F2415" s="883">
        <f>'REF. DE PREÇOS n editavel'!F2415</f>
        <v>0</v>
      </c>
      <c r="G2415" s="923">
        <f>'REF. DE PREÇOS n editavel'!G2415</f>
        <v>0</v>
      </c>
      <c r="H2415" s="876">
        <f>'REF. DE PREÇOS n editavel'!H2415</f>
        <v>0</v>
      </c>
      <c r="I2415" s="876" t="str">
        <f>'REF. DE PREÇOS n editavel'!I2415</f>
        <v/>
      </c>
      <c r="J2415" s="877">
        <f>'REF. DE PREÇOS n editavel'!J2415</f>
        <v>0</v>
      </c>
      <c r="K2415" s="932" t="s">
        <v>506</v>
      </c>
      <c r="L2415" s="933"/>
      <c r="M2415" s="1112">
        <f t="shared" si="239"/>
        <v>0</v>
      </c>
      <c r="N2415" s="1131">
        <f t="shared" si="240"/>
        <v>0</v>
      </c>
      <c r="O2415" s="880"/>
      <c r="P2415" s="58" t="str">
        <f>IF(N2413&gt;0,"xx",IF(N2413&gt;0,"xy",""))</f>
        <v/>
      </c>
      <c r="Q2415" s="317" t="str">
        <f t="shared" ref="Q2415:Q2478" si="241">IF(P2415="X","x",IF(P2415="xx","x",IF(P2415="xy","x",IF(P2415="y","x",IF(OR(N2415&gt;0,N2415&gt;0),"x","")))))</f>
        <v/>
      </c>
      <c r="R2415" s="317" t="str">
        <f t="shared" si="237"/>
        <v/>
      </c>
      <c r="S2415" s="317" t="str">
        <f t="shared" si="238"/>
        <v/>
      </c>
      <c r="T2415" s="317" t="str">
        <f>'REF. DE PREÇOS n editavel'!S2415</f>
        <v/>
      </c>
      <c r="W2415" s="577">
        <v>0</v>
      </c>
      <c r="X2415" s="575"/>
      <c r="Y2415" s="578">
        <f>IF('REF. DE PREÇOS n editavel'!W2415=0,0,IF('REF. DE PREÇOS n editavel'!W2415&gt;0,"c","b"))</f>
        <v>0</v>
      </c>
    </row>
    <row r="2416" spans="1:25" ht="15" customHeight="1">
      <c r="A2416" s="317" t="s">
        <v>147</v>
      </c>
      <c r="B2416" s="870" t="s">
        <v>147</v>
      </c>
      <c r="C2416" s="871"/>
      <c r="D2416" s="931" t="s">
        <v>233</v>
      </c>
      <c r="E2416" s="882">
        <f>'REF. DE PREÇOS n editavel'!E2416</f>
        <v>43.1</v>
      </c>
      <c r="F2416" s="883">
        <f>'REF. DE PREÇOS n editavel'!F2416</f>
        <v>0</v>
      </c>
      <c r="G2416" s="923">
        <f>'REF. DE PREÇOS n editavel'!G2416</f>
        <v>0</v>
      </c>
      <c r="H2416" s="876">
        <f>'REF. DE PREÇOS n editavel'!H2416</f>
        <v>0</v>
      </c>
      <c r="I2416" s="876" t="str">
        <f>'REF. DE PREÇOS n editavel'!I2416</f>
        <v/>
      </c>
      <c r="J2416" s="877">
        <f>'REF. DE PREÇOS n editavel'!J2416</f>
        <v>0</v>
      </c>
      <c r="K2416" s="932" t="s">
        <v>506</v>
      </c>
      <c r="L2416" s="933"/>
      <c r="M2416" s="1112">
        <f t="shared" si="239"/>
        <v>0</v>
      </c>
      <c r="N2416" s="1131">
        <f t="shared" si="240"/>
        <v>0</v>
      </c>
      <c r="O2416" s="880"/>
      <c r="P2416" s="58" t="str">
        <f>IF(N2413&gt;0,"xx",IF(N2413&gt;0,"xy",""))</f>
        <v/>
      </c>
      <c r="Q2416" s="317" t="str">
        <f t="shared" si="241"/>
        <v/>
      </c>
      <c r="R2416" s="317" t="str">
        <f t="shared" si="237"/>
        <v/>
      </c>
      <c r="S2416" s="317" t="str">
        <f t="shared" si="238"/>
        <v/>
      </c>
      <c r="T2416" s="317" t="str">
        <f>'REF. DE PREÇOS n editavel'!S2416</f>
        <v/>
      </c>
      <c r="W2416" s="577">
        <v>0</v>
      </c>
      <c r="X2416" s="575"/>
      <c r="Y2416" s="578">
        <f>IF('REF. DE PREÇOS n editavel'!W2416=0,0,IF('REF. DE PREÇOS n editavel'!W2416&gt;0,"c","b"))</f>
        <v>0</v>
      </c>
    </row>
    <row r="2417" spans="1:25" ht="15" customHeight="1">
      <c r="A2417" s="317" t="s">
        <v>147</v>
      </c>
      <c r="B2417" s="870" t="s">
        <v>147</v>
      </c>
      <c r="C2417" s="871"/>
      <c r="D2417" s="931" t="s">
        <v>365</v>
      </c>
      <c r="E2417" s="882">
        <f>'REF. DE PREÇOS n editavel'!E2417</f>
        <v>28</v>
      </c>
      <c r="F2417" s="883">
        <f>'REF. DE PREÇOS n editavel'!F2417</f>
        <v>0</v>
      </c>
      <c r="G2417" s="923">
        <f>'REF. DE PREÇOS n editavel'!G2417</f>
        <v>0</v>
      </c>
      <c r="H2417" s="876">
        <f>'REF. DE PREÇOS n editavel'!H2417</f>
        <v>0</v>
      </c>
      <c r="I2417" s="876" t="str">
        <f>'REF. DE PREÇOS n editavel'!I2417</f>
        <v/>
      </c>
      <c r="J2417" s="877">
        <f>'REF. DE PREÇOS n editavel'!J2417</f>
        <v>0</v>
      </c>
      <c r="K2417" s="932" t="s">
        <v>506</v>
      </c>
      <c r="L2417" s="933"/>
      <c r="M2417" s="1112">
        <f t="shared" si="239"/>
        <v>0</v>
      </c>
      <c r="N2417" s="1131">
        <f t="shared" si="240"/>
        <v>0</v>
      </c>
      <c r="O2417" s="880"/>
      <c r="P2417" s="58" t="str">
        <f>IF(N2413&gt;0,"xx",IF(N2413&gt;0,"xy",""))</f>
        <v/>
      </c>
      <c r="Q2417" s="317" t="str">
        <f t="shared" si="241"/>
        <v/>
      </c>
      <c r="R2417" s="317" t="str">
        <f t="shared" ref="R2417:R2480" si="242">IF(P2417="X","x",IF(P2417="y","x",IF(P2417="xx","x",IF(N2417&gt;0,"x",""))))</f>
        <v/>
      </c>
      <c r="S2417" s="317" t="str">
        <f t="shared" ref="S2417:S2480" si="243">IF(P2417="X","x",IF(N2417&gt;0,"x",""))</f>
        <v/>
      </c>
      <c r="T2417" s="317" t="str">
        <f>'REF. DE PREÇOS n editavel'!S2417</f>
        <v/>
      </c>
      <c r="W2417" s="577">
        <v>0</v>
      </c>
      <c r="X2417" s="575"/>
      <c r="Y2417" s="578">
        <f>IF('REF. DE PREÇOS n editavel'!W2417=0,0,IF('REF. DE PREÇOS n editavel'!W2417&gt;0,"c","b"))</f>
        <v>0</v>
      </c>
    </row>
    <row r="2418" spans="1:25" ht="15" customHeight="1">
      <c r="A2418" s="317" t="s">
        <v>147</v>
      </c>
      <c r="B2418" s="870" t="s">
        <v>147</v>
      </c>
      <c r="C2418" s="871"/>
      <c r="D2418" s="931" t="s">
        <v>366</v>
      </c>
      <c r="E2418" s="882">
        <f>'REF. DE PREÇOS n editavel'!E2418</f>
        <v>440</v>
      </c>
      <c r="F2418" s="883">
        <f>'REF. DE PREÇOS n editavel'!F2418</f>
        <v>0</v>
      </c>
      <c r="G2418" s="884">
        <f>'REF. DE PREÇOS n editavel'!G2418</f>
        <v>0</v>
      </c>
      <c r="H2418" s="876">
        <f>'REF. DE PREÇOS n editavel'!H2418</f>
        <v>0</v>
      </c>
      <c r="I2418" s="876" t="str">
        <f>'REF. DE PREÇOS n editavel'!I2418</f>
        <v/>
      </c>
      <c r="J2418" s="877">
        <f>'REF. DE PREÇOS n editavel'!J2418</f>
        <v>0</v>
      </c>
      <c r="K2418" s="932" t="s">
        <v>506</v>
      </c>
      <c r="L2418" s="933"/>
      <c r="M2418" s="1112">
        <f t="shared" si="239"/>
        <v>0</v>
      </c>
      <c r="N2418" s="1131">
        <f t="shared" si="240"/>
        <v>0</v>
      </c>
      <c r="O2418" s="880"/>
      <c r="P2418" s="58" t="str">
        <f>IF(N2413&gt;0,"xx",IF(N2413&gt;0,"xy",""))</f>
        <v/>
      </c>
      <c r="Q2418" s="317" t="str">
        <f t="shared" si="241"/>
        <v/>
      </c>
      <c r="R2418" s="317" t="str">
        <f t="shared" si="242"/>
        <v/>
      </c>
      <c r="S2418" s="317" t="str">
        <f t="shared" si="243"/>
        <v/>
      </c>
      <c r="T2418" s="317" t="str">
        <f>'REF. DE PREÇOS n editavel'!S2418</f>
        <v/>
      </c>
      <c r="W2418" s="577">
        <v>0</v>
      </c>
      <c r="X2418" s="575"/>
      <c r="Y2418" s="578">
        <f>IF('REF. DE PREÇOS n editavel'!W2418=0,0,IF('REF. DE PREÇOS n editavel'!W2418&gt;0,"c","b"))</f>
        <v>0</v>
      </c>
    </row>
    <row r="2419" spans="1:25" ht="15" customHeight="1">
      <c r="A2419" s="317" t="s">
        <v>395</v>
      </c>
      <c r="B2419" s="870" t="s">
        <v>395</v>
      </c>
      <c r="C2419" s="871" t="s">
        <v>184</v>
      </c>
      <c r="D2419" s="881" t="str">
        <f>'ENSAIOS DE ORÇAMENTO'!C74</f>
        <v>ENSAIO DE ORÇAMENTO 3</v>
      </c>
      <c r="E2419" s="882">
        <f>'REF. DE PREÇOS n editavel'!E2419</f>
        <v>0</v>
      </c>
      <c r="F2419" s="883">
        <f>'REF. DE PREÇOS n editavel'!F2419</f>
        <v>0</v>
      </c>
      <c r="G2419" s="887">
        <f>'REF. DE PREÇOS n editavel'!G2419</f>
        <v>0</v>
      </c>
      <c r="H2419" s="876">
        <f>'REF. DE PREÇOS n editavel'!H2419</f>
        <v>0</v>
      </c>
      <c r="I2419" s="876">
        <f>'REF. DE PREÇOS n editavel'!I2419</f>
        <v>0</v>
      </c>
      <c r="J2419" s="877">
        <f>'REF. DE PREÇOS n editavel'!J2419</f>
        <v>0</v>
      </c>
      <c r="K2419" s="878" t="s">
        <v>15</v>
      </c>
      <c r="L2419" s="1092"/>
      <c r="M2419" s="1093">
        <f t="shared" si="239"/>
        <v>0</v>
      </c>
      <c r="N2419" s="1131">
        <f t="shared" si="240"/>
        <v>0</v>
      </c>
      <c r="O2419" s="880"/>
      <c r="Q2419" s="317" t="str">
        <f t="shared" si="241"/>
        <v/>
      </c>
      <c r="R2419" s="317" t="str">
        <f t="shared" si="242"/>
        <v/>
      </c>
      <c r="S2419" s="317" t="str">
        <f t="shared" si="243"/>
        <v/>
      </c>
      <c r="T2419" s="317" t="str">
        <f>'REF. DE PREÇOS n editavel'!S2419</f>
        <v/>
      </c>
      <c r="W2419" s="577">
        <v>0</v>
      </c>
      <c r="X2419" s="575"/>
      <c r="Y2419" s="578">
        <f>IF('REF. DE PREÇOS n editavel'!W2419=0,0,IF('REF. DE PREÇOS n editavel'!W2419&gt;0,"c","b"))</f>
        <v>0</v>
      </c>
    </row>
    <row r="2420" spans="1:25" ht="15" customHeight="1">
      <c r="A2420" s="317" t="s">
        <v>147</v>
      </c>
      <c r="B2420" s="870" t="s">
        <v>147</v>
      </c>
      <c r="C2420" s="871"/>
      <c r="D2420" s="931" t="s">
        <v>190</v>
      </c>
      <c r="E2420" s="882">
        <f>'REF. DE PREÇOS n editavel'!E2420</f>
        <v>445</v>
      </c>
      <c r="F2420" s="883">
        <f>'REF. DE PREÇOS n editavel'!F2420</f>
        <v>0</v>
      </c>
      <c r="G2420" s="884">
        <f>'REF. DE PREÇOS n editavel'!G2420</f>
        <v>0</v>
      </c>
      <c r="H2420" s="876">
        <f>'REF. DE PREÇOS n editavel'!H2420</f>
        <v>0</v>
      </c>
      <c r="I2420" s="876" t="str">
        <f>'REF. DE PREÇOS n editavel'!I2420</f>
        <v/>
      </c>
      <c r="J2420" s="877">
        <f>'REF. DE PREÇOS n editavel'!J2420</f>
        <v>0</v>
      </c>
      <c r="K2420" s="932" t="s">
        <v>506</v>
      </c>
      <c r="L2420" s="933"/>
      <c r="M2420" s="1112">
        <f t="shared" si="239"/>
        <v>0</v>
      </c>
      <c r="N2420" s="1131">
        <f t="shared" si="240"/>
        <v>0</v>
      </c>
      <c r="O2420" s="880"/>
      <c r="P2420" s="58" t="str">
        <f>IF(N2419&gt;0,"xx",IF(N2419&gt;0,"xy",""))</f>
        <v/>
      </c>
      <c r="Q2420" s="317" t="str">
        <f t="shared" si="241"/>
        <v/>
      </c>
      <c r="R2420" s="317" t="str">
        <f t="shared" si="242"/>
        <v/>
      </c>
      <c r="S2420" s="317" t="str">
        <f t="shared" si="243"/>
        <v/>
      </c>
      <c r="T2420" s="317" t="str">
        <f>'REF. DE PREÇOS n editavel'!S2420</f>
        <v/>
      </c>
      <c r="W2420" s="577">
        <v>0</v>
      </c>
      <c r="X2420" s="575"/>
      <c r="Y2420" s="578">
        <f>IF('REF. DE PREÇOS n editavel'!W2420=0,0,IF('REF. DE PREÇOS n editavel'!W2420&gt;0,"c","b"))</f>
        <v>0</v>
      </c>
    </row>
    <row r="2421" spans="1:25" ht="15" customHeight="1">
      <c r="A2421" s="317" t="s">
        <v>147</v>
      </c>
      <c r="B2421" s="870" t="s">
        <v>147</v>
      </c>
      <c r="C2421" s="871"/>
      <c r="D2421" s="931" t="s">
        <v>229</v>
      </c>
      <c r="E2421" s="882">
        <f>'REF. DE PREÇOS n editavel'!E2421</f>
        <v>290</v>
      </c>
      <c r="F2421" s="883">
        <f>'REF. DE PREÇOS n editavel'!F2421</f>
        <v>0</v>
      </c>
      <c r="G2421" s="923">
        <f>'REF. DE PREÇOS n editavel'!G2421</f>
        <v>0</v>
      </c>
      <c r="H2421" s="876">
        <f>'REF. DE PREÇOS n editavel'!H2421</f>
        <v>0</v>
      </c>
      <c r="I2421" s="876" t="str">
        <f>'REF. DE PREÇOS n editavel'!I2421</f>
        <v/>
      </c>
      <c r="J2421" s="877">
        <f>'REF. DE PREÇOS n editavel'!J2421</f>
        <v>0</v>
      </c>
      <c r="K2421" s="932" t="s">
        <v>506</v>
      </c>
      <c r="L2421" s="933"/>
      <c r="M2421" s="1112">
        <f t="shared" si="239"/>
        <v>0</v>
      </c>
      <c r="N2421" s="1131">
        <f t="shared" si="240"/>
        <v>0</v>
      </c>
      <c r="O2421" s="880"/>
      <c r="P2421" s="58" t="str">
        <f>IF(N2419&gt;0,"xx",IF(N2419&gt;0,"xy",""))</f>
        <v/>
      </c>
      <c r="Q2421" s="317" t="str">
        <f t="shared" si="241"/>
        <v/>
      </c>
      <c r="R2421" s="317" t="str">
        <f t="shared" si="242"/>
        <v/>
      </c>
      <c r="S2421" s="317" t="str">
        <f t="shared" si="243"/>
        <v/>
      </c>
      <c r="T2421" s="317" t="str">
        <f>'REF. DE PREÇOS n editavel'!S2421</f>
        <v/>
      </c>
      <c r="W2421" s="577">
        <v>0</v>
      </c>
      <c r="X2421" s="575"/>
      <c r="Y2421" s="578">
        <f>IF('REF. DE PREÇOS n editavel'!W2421=0,0,IF('REF. DE PREÇOS n editavel'!W2421&gt;0,"c","b"))</f>
        <v>0</v>
      </c>
    </row>
    <row r="2422" spans="1:25" ht="15" customHeight="1">
      <c r="A2422" s="317" t="s">
        <v>147</v>
      </c>
      <c r="B2422" s="870" t="s">
        <v>147</v>
      </c>
      <c r="C2422" s="871"/>
      <c r="D2422" s="931" t="s">
        <v>233</v>
      </c>
      <c r="E2422" s="882">
        <f>'REF. DE PREÇOS n editavel'!E2422</f>
        <v>43.1</v>
      </c>
      <c r="F2422" s="883">
        <f>'REF. DE PREÇOS n editavel'!F2422</f>
        <v>0</v>
      </c>
      <c r="G2422" s="923">
        <f>'REF. DE PREÇOS n editavel'!G2422</f>
        <v>0</v>
      </c>
      <c r="H2422" s="876">
        <f>'REF. DE PREÇOS n editavel'!H2422</f>
        <v>0</v>
      </c>
      <c r="I2422" s="876" t="str">
        <f>'REF. DE PREÇOS n editavel'!I2422</f>
        <v/>
      </c>
      <c r="J2422" s="877">
        <f>'REF. DE PREÇOS n editavel'!J2422</f>
        <v>0</v>
      </c>
      <c r="K2422" s="932" t="s">
        <v>506</v>
      </c>
      <c r="L2422" s="933"/>
      <c r="M2422" s="1112">
        <f t="shared" si="239"/>
        <v>0</v>
      </c>
      <c r="N2422" s="1131">
        <f t="shared" si="240"/>
        <v>0</v>
      </c>
      <c r="O2422" s="880"/>
      <c r="P2422" s="58" t="str">
        <f>IF(N2419&gt;0,"xx",IF(N2419&gt;0,"xy",""))</f>
        <v/>
      </c>
      <c r="Q2422" s="317" t="str">
        <f t="shared" si="241"/>
        <v/>
      </c>
      <c r="R2422" s="317" t="str">
        <f t="shared" si="242"/>
        <v/>
      </c>
      <c r="S2422" s="317" t="str">
        <f t="shared" si="243"/>
        <v/>
      </c>
      <c r="T2422" s="317" t="str">
        <f>'REF. DE PREÇOS n editavel'!S2422</f>
        <v/>
      </c>
      <c r="W2422" s="577">
        <v>0</v>
      </c>
      <c r="X2422" s="575"/>
      <c r="Y2422" s="578">
        <f>IF('REF. DE PREÇOS n editavel'!W2422=0,0,IF('REF. DE PREÇOS n editavel'!W2422&gt;0,"c","b"))</f>
        <v>0</v>
      </c>
    </row>
    <row r="2423" spans="1:25" ht="15" customHeight="1">
      <c r="A2423" s="317" t="s">
        <v>147</v>
      </c>
      <c r="B2423" s="870" t="s">
        <v>147</v>
      </c>
      <c r="C2423" s="871"/>
      <c r="D2423" s="931" t="s">
        <v>365</v>
      </c>
      <c r="E2423" s="882">
        <f>'REF. DE PREÇOS n editavel'!E2423</f>
        <v>28</v>
      </c>
      <c r="F2423" s="883">
        <f>'REF. DE PREÇOS n editavel'!F2423</f>
        <v>0</v>
      </c>
      <c r="G2423" s="923">
        <f>'REF. DE PREÇOS n editavel'!G2423</f>
        <v>0</v>
      </c>
      <c r="H2423" s="876">
        <f>'REF. DE PREÇOS n editavel'!H2423</f>
        <v>0</v>
      </c>
      <c r="I2423" s="876" t="str">
        <f>'REF. DE PREÇOS n editavel'!I2423</f>
        <v/>
      </c>
      <c r="J2423" s="877">
        <f>'REF. DE PREÇOS n editavel'!J2423</f>
        <v>0</v>
      </c>
      <c r="K2423" s="932" t="s">
        <v>506</v>
      </c>
      <c r="L2423" s="933"/>
      <c r="M2423" s="1112">
        <f t="shared" si="239"/>
        <v>0</v>
      </c>
      <c r="N2423" s="1131">
        <f t="shared" si="240"/>
        <v>0</v>
      </c>
      <c r="O2423" s="880"/>
      <c r="P2423" s="58" t="str">
        <f>IF(N2419&gt;0,"xx",IF(N2419&gt;0,"xy",""))</f>
        <v/>
      </c>
      <c r="Q2423" s="317" t="str">
        <f t="shared" si="241"/>
        <v/>
      </c>
      <c r="R2423" s="317" t="str">
        <f t="shared" si="242"/>
        <v/>
      </c>
      <c r="S2423" s="317" t="str">
        <f t="shared" si="243"/>
        <v/>
      </c>
      <c r="T2423" s="317" t="str">
        <f>'REF. DE PREÇOS n editavel'!S2423</f>
        <v/>
      </c>
      <c r="W2423" s="577">
        <v>0</v>
      </c>
      <c r="X2423" s="575"/>
      <c r="Y2423" s="578">
        <f>IF('REF. DE PREÇOS n editavel'!W2423=0,0,IF('REF. DE PREÇOS n editavel'!W2423&gt;0,"c","b"))</f>
        <v>0</v>
      </c>
    </row>
    <row r="2424" spans="1:25" ht="15" customHeight="1">
      <c r="A2424" s="317" t="s">
        <v>147</v>
      </c>
      <c r="B2424" s="870" t="s">
        <v>147</v>
      </c>
      <c r="C2424" s="871"/>
      <c r="D2424" s="931" t="s">
        <v>366</v>
      </c>
      <c r="E2424" s="882">
        <f>'REF. DE PREÇOS n editavel'!E2424</f>
        <v>440</v>
      </c>
      <c r="F2424" s="883">
        <f>'REF. DE PREÇOS n editavel'!F2424</f>
        <v>0</v>
      </c>
      <c r="G2424" s="884">
        <f>'REF. DE PREÇOS n editavel'!G2424</f>
        <v>0</v>
      </c>
      <c r="H2424" s="876">
        <f>'REF. DE PREÇOS n editavel'!H2424</f>
        <v>0</v>
      </c>
      <c r="I2424" s="876" t="str">
        <f>'REF. DE PREÇOS n editavel'!I2424</f>
        <v/>
      </c>
      <c r="J2424" s="877">
        <f>'REF. DE PREÇOS n editavel'!J2424</f>
        <v>0</v>
      </c>
      <c r="K2424" s="932" t="s">
        <v>506</v>
      </c>
      <c r="L2424" s="933"/>
      <c r="M2424" s="1112">
        <f t="shared" si="239"/>
        <v>0</v>
      </c>
      <c r="N2424" s="1131">
        <f t="shared" si="240"/>
        <v>0</v>
      </c>
      <c r="O2424" s="880"/>
      <c r="P2424" s="58" t="str">
        <f>IF(N2419&gt;0,"xx",IF(N2419&gt;0,"xy",""))</f>
        <v/>
      </c>
      <c r="Q2424" s="317" t="str">
        <f t="shared" si="241"/>
        <v/>
      </c>
      <c r="R2424" s="317" t="str">
        <f t="shared" si="242"/>
        <v/>
      </c>
      <c r="S2424" s="317" t="str">
        <f t="shared" si="243"/>
        <v/>
      </c>
      <c r="T2424" s="317" t="str">
        <f>'REF. DE PREÇOS n editavel'!S2424</f>
        <v/>
      </c>
      <c r="W2424" s="577">
        <v>0</v>
      </c>
      <c r="X2424" s="575"/>
      <c r="Y2424" s="578">
        <f>IF('REF. DE PREÇOS n editavel'!W2424=0,0,IF('REF. DE PREÇOS n editavel'!W2424&gt;0,"c","b"))</f>
        <v>0</v>
      </c>
    </row>
    <row r="2425" spans="1:25" ht="15" customHeight="1">
      <c r="A2425" s="317" t="s">
        <v>396</v>
      </c>
      <c r="B2425" s="870" t="s">
        <v>396</v>
      </c>
      <c r="C2425" s="871" t="s">
        <v>184</v>
      </c>
      <c r="D2425" s="881" t="str">
        <f>'ENSAIOS DE ORÇAMENTO'!C75</f>
        <v>ENSAIO DE ORÇAMENTO 4</v>
      </c>
      <c r="E2425" s="882">
        <f>'REF. DE PREÇOS n editavel'!E2425</f>
        <v>0</v>
      </c>
      <c r="F2425" s="883">
        <f>'REF. DE PREÇOS n editavel'!F2425</f>
        <v>0</v>
      </c>
      <c r="G2425" s="887">
        <f>'REF. DE PREÇOS n editavel'!G2425</f>
        <v>0</v>
      </c>
      <c r="H2425" s="876">
        <f>'REF. DE PREÇOS n editavel'!H2425</f>
        <v>0</v>
      </c>
      <c r="I2425" s="876">
        <f>'REF. DE PREÇOS n editavel'!I2425</f>
        <v>0</v>
      </c>
      <c r="J2425" s="877">
        <f>'REF. DE PREÇOS n editavel'!J2425</f>
        <v>0</v>
      </c>
      <c r="K2425" s="878" t="s">
        <v>15</v>
      </c>
      <c r="L2425" s="1092"/>
      <c r="M2425" s="1093">
        <f t="shared" si="239"/>
        <v>0</v>
      </c>
      <c r="N2425" s="1131">
        <f t="shared" si="240"/>
        <v>0</v>
      </c>
      <c r="O2425" s="880"/>
      <c r="Q2425" s="317" t="str">
        <f t="shared" si="241"/>
        <v/>
      </c>
      <c r="R2425" s="317" t="str">
        <f t="shared" si="242"/>
        <v/>
      </c>
      <c r="S2425" s="317" t="str">
        <f t="shared" si="243"/>
        <v/>
      </c>
      <c r="T2425" s="317" t="str">
        <f>'REF. DE PREÇOS n editavel'!S2425</f>
        <v/>
      </c>
      <c r="W2425" s="577">
        <v>0</v>
      </c>
      <c r="X2425" s="575"/>
      <c r="Y2425" s="578">
        <f>IF('REF. DE PREÇOS n editavel'!W2425=0,0,IF('REF. DE PREÇOS n editavel'!W2425&gt;0,"c","b"))</f>
        <v>0</v>
      </c>
    </row>
    <row r="2426" spans="1:25" ht="15" customHeight="1">
      <c r="A2426" s="317" t="s">
        <v>147</v>
      </c>
      <c r="B2426" s="870" t="s">
        <v>147</v>
      </c>
      <c r="C2426" s="871"/>
      <c r="D2426" s="931" t="s">
        <v>190</v>
      </c>
      <c r="E2426" s="882">
        <f>'REF. DE PREÇOS n editavel'!E2426</f>
        <v>445</v>
      </c>
      <c r="F2426" s="883">
        <f>'REF. DE PREÇOS n editavel'!F2426</f>
        <v>0</v>
      </c>
      <c r="G2426" s="884">
        <f>'REF. DE PREÇOS n editavel'!G2426</f>
        <v>0</v>
      </c>
      <c r="H2426" s="876">
        <f>'REF. DE PREÇOS n editavel'!H2426</f>
        <v>0</v>
      </c>
      <c r="I2426" s="876" t="str">
        <f>'REF. DE PREÇOS n editavel'!I2426</f>
        <v/>
      </c>
      <c r="J2426" s="877">
        <f>'REF. DE PREÇOS n editavel'!J2426</f>
        <v>0</v>
      </c>
      <c r="K2426" s="932" t="s">
        <v>506</v>
      </c>
      <c r="L2426" s="933"/>
      <c r="M2426" s="1112">
        <f t="shared" si="239"/>
        <v>0</v>
      </c>
      <c r="N2426" s="1131">
        <f t="shared" si="240"/>
        <v>0</v>
      </c>
      <c r="O2426" s="880"/>
      <c r="P2426" s="58" t="str">
        <f>IF(N2425&gt;0,"xx",IF(N2425&gt;0,"xy",""))</f>
        <v/>
      </c>
      <c r="Q2426" s="317" t="str">
        <f t="shared" si="241"/>
        <v/>
      </c>
      <c r="R2426" s="317" t="str">
        <f t="shared" si="242"/>
        <v/>
      </c>
      <c r="S2426" s="317" t="str">
        <f t="shared" si="243"/>
        <v/>
      </c>
      <c r="T2426" s="317" t="str">
        <f>'REF. DE PREÇOS n editavel'!S2426</f>
        <v/>
      </c>
      <c r="W2426" s="577">
        <v>0</v>
      </c>
      <c r="X2426" s="575"/>
      <c r="Y2426" s="578">
        <f>IF('REF. DE PREÇOS n editavel'!W2426=0,0,IF('REF. DE PREÇOS n editavel'!W2426&gt;0,"c","b"))</f>
        <v>0</v>
      </c>
    </row>
    <row r="2427" spans="1:25" ht="15" customHeight="1">
      <c r="A2427" s="317" t="s">
        <v>147</v>
      </c>
      <c r="B2427" s="870" t="s">
        <v>147</v>
      </c>
      <c r="C2427" s="871"/>
      <c r="D2427" s="931" t="s">
        <v>229</v>
      </c>
      <c r="E2427" s="882">
        <f>'REF. DE PREÇOS n editavel'!E2427</f>
        <v>290</v>
      </c>
      <c r="F2427" s="883">
        <f>'REF. DE PREÇOS n editavel'!F2427</f>
        <v>0</v>
      </c>
      <c r="G2427" s="923">
        <f>'REF. DE PREÇOS n editavel'!G2427</f>
        <v>0</v>
      </c>
      <c r="H2427" s="876">
        <f>'REF. DE PREÇOS n editavel'!H2427</f>
        <v>0</v>
      </c>
      <c r="I2427" s="876" t="str">
        <f>'REF. DE PREÇOS n editavel'!I2427</f>
        <v/>
      </c>
      <c r="J2427" s="877">
        <f>'REF. DE PREÇOS n editavel'!J2427</f>
        <v>0</v>
      </c>
      <c r="K2427" s="932" t="s">
        <v>506</v>
      </c>
      <c r="L2427" s="933"/>
      <c r="M2427" s="1112">
        <f t="shared" si="239"/>
        <v>0</v>
      </c>
      <c r="N2427" s="1131">
        <f t="shared" si="240"/>
        <v>0</v>
      </c>
      <c r="O2427" s="880"/>
      <c r="P2427" s="58" t="str">
        <f>IF(N2425&gt;0,"xx",IF(N2425&gt;0,"xy",""))</f>
        <v/>
      </c>
      <c r="Q2427" s="317" t="str">
        <f t="shared" si="241"/>
        <v/>
      </c>
      <c r="R2427" s="317" t="str">
        <f t="shared" si="242"/>
        <v/>
      </c>
      <c r="S2427" s="317" t="str">
        <f t="shared" si="243"/>
        <v/>
      </c>
      <c r="T2427" s="317" t="str">
        <f>'REF. DE PREÇOS n editavel'!S2427</f>
        <v/>
      </c>
      <c r="W2427" s="577">
        <v>0</v>
      </c>
      <c r="X2427" s="575"/>
      <c r="Y2427" s="578">
        <f>IF('REF. DE PREÇOS n editavel'!W2427=0,0,IF('REF. DE PREÇOS n editavel'!W2427&gt;0,"c","b"))</f>
        <v>0</v>
      </c>
    </row>
    <row r="2428" spans="1:25" ht="15" customHeight="1">
      <c r="A2428" s="317" t="s">
        <v>147</v>
      </c>
      <c r="B2428" s="870" t="s">
        <v>147</v>
      </c>
      <c r="C2428" s="871"/>
      <c r="D2428" s="931" t="s">
        <v>233</v>
      </c>
      <c r="E2428" s="882">
        <f>'REF. DE PREÇOS n editavel'!E2428</f>
        <v>43.1</v>
      </c>
      <c r="F2428" s="883">
        <f>'REF. DE PREÇOS n editavel'!F2428</f>
        <v>0</v>
      </c>
      <c r="G2428" s="923">
        <f>'REF. DE PREÇOS n editavel'!G2428</f>
        <v>0</v>
      </c>
      <c r="H2428" s="876">
        <f>'REF. DE PREÇOS n editavel'!H2428</f>
        <v>0</v>
      </c>
      <c r="I2428" s="876" t="str">
        <f>'REF. DE PREÇOS n editavel'!I2428</f>
        <v/>
      </c>
      <c r="J2428" s="877">
        <f>'REF. DE PREÇOS n editavel'!J2428</f>
        <v>0</v>
      </c>
      <c r="K2428" s="932" t="s">
        <v>506</v>
      </c>
      <c r="L2428" s="933"/>
      <c r="M2428" s="1112">
        <f t="shared" si="239"/>
        <v>0</v>
      </c>
      <c r="N2428" s="1131">
        <f t="shared" si="240"/>
        <v>0</v>
      </c>
      <c r="O2428" s="880"/>
      <c r="P2428" s="58" t="str">
        <f>IF(N2425&gt;0,"xx",IF(N2425&gt;0,"xy",""))</f>
        <v/>
      </c>
      <c r="Q2428" s="317" t="str">
        <f t="shared" si="241"/>
        <v/>
      </c>
      <c r="R2428" s="317" t="str">
        <f t="shared" si="242"/>
        <v/>
      </c>
      <c r="S2428" s="317" t="str">
        <f t="shared" si="243"/>
        <v/>
      </c>
      <c r="T2428" s="317" t="str">
        <f>'REF. DE PREÇOS n editavel'!S2428</f>
        <v/>
      </c>
      <c r="W2428" s="577">
        <v>0</v>
      </c>
      <c r="X2428" s="575"/>
      <c r="Y2428" s="578">
        <f>IF('REF. DE PREÇOS n editavel'!W2428=0,0,IF('REF. DE PREÇOS n editavel'!W2428&gt;0,"c","b"))</f>
        <v>0</v>
      </c>
    </row>
    <row r="2429" spans="1:25" ht="15" customHeight="1">
      <c r="A2429" s="317" t="s">
        <v>147</v>
      </c>
      <c r="B2429" s="870" t="s">
        <v>147</v>
      </c>
      <c r="C2429" s="871"/>
      <c r="D2429" s="931" t="s">
        <v>365</v>
      </c>
      <c r="E2429" s="882">
        <f>'REF. DE PREÇOS n editavel'!E2429</f>
        <v>28</v>
      </c>
      <c r="F2429" s="883">
        <f>'REF. DE PREÇOS n editavel'!F2429</f>
        <v>0</v>
      </c>
      <c r="G2429" s="923">
        <f>'REF. DE PREÇOS n editavel'!G2429</f>
        <v>0</v>
      </c>
      <c r="H2429" s="876">
        <f>'REF. DE PREÇOS n editavel'!H2429</f>
        <v>0</v>
      </c>
      <c r="I2429" s="876" t="str">
        <f>'REF. DE PREÇOS n editavel'!I2429</f>
        <v/>
      </c>
      <c r="J2429" s="877">
        <f>'REF. DE PREÇOS n editavel'!J2429</f>
        <v>0</v>
      </c>
      <c r="K2429" s="932" t="s">
        <v>506</v>
      </c>
      <c r="L2429" s="933"/>
      <c r="M2429" s="1112">
        <f t="shared" si="239"/>
        <v>0</v>
      </c>
      <c r="N2429" s="1131">
        <f t="shared" si="240"/>
        <v>0</v>
      </c>
      <c r="O2429" s="880"/>
      <c r="P2429" s="58" t="str">
        <f>IF(N2425&gt;0,"xx",IF(N2425&gt;0,"xy",""))</f>
        <v/>
      </c>
      <c r="Q2429" s="317" t="str">
        <f t="shared" si="241"/>
        <v/>
      </c>
      <c r="R2429" s="317" t="str">
        <f t="shared" si="242"/>
        <v/>
      </c>
      <c r="S2429" s="317" t="str">
        <f t="shared" si="243"/>
        <v/>
      </c>
      <c r="T2429" s="317" t="str">
        <f>'REF. DE PREÇOS n editavel'!S2429</f>
        <v/>
      </c>
      <c r="W2429" s="577">
        <v>0</v>
      </c>
      <c r="X2429" s="575"/>
      <c r="Y2429" s="578">
        <f>IF('REF. DE PREÇOS n editavel'!W2429=0,0,IF('REF. DE PREÇOS n editavel'!W2429&gt;0,"c","b"))</f>
        <v>0</v>
      </c>
    </row>
    <row r="2430" spans="1:25" ht="15" customHeight="1">
      <c r="A2430" s="317" t="s">
        <v>147</v>
      </c>
      <c r="B2430" s="870" t="s">
        <v>147</v>
      </c>
      <c r="C2430" s="871"/>
      <c r="D2430" s="931" t="s">
        <v>366</v>
      </c>
      <c r="E2430" s="882">
        <f>'REF. DE PREÇOS n editavel'!E2430</f>
        <v>440</v>
      </c>
      <c r="F2430" s="883">
        <f>'REF. DE PREÇOS n editavel'!F2430</f>
        <v>0</v>
      </c>
      <c r="G2430" s="884">
        <f>'REF. DE PREÇOS n editavel'!G2430</f>
        <v>0</v>
      </c>
      <c r="H2430" s="876">
        <f>'REF. DE PREÇOS n editavel'!H2430</f>
        <v>0</v>
      </c>
      <c r="I2430" s="876" t="str">
        <f>'REF. DE PREÇOS n editavel'!I2430</f>
        <v/>
      </c>
      <c r="J2430" s="877">
        <f>'REF. DE PREÇOS n editavel'!J2430</f>
        <v>0</v>
      </c>
      <c r="K2430" s="932" t="s">
        <v>506</v>
      </c>
      <c r="L2430" s="933"/>
      <c r="M2430" s="1112">
        <f t="shared" si="239"/>
        <v>0</v>
      </c>
      <c r="N2430" s="1131">
        <f t="shared" si="240"/>
        <v>0</v>
      </c>
      <c r="O2430" s="880"/>
      <c r="P2430" s="58" t="str">
        <f>IF(N2425&gt;0,"xx",IF(N2425&gt;0,"xy",""))</f>
        <v/>
      </c>
      <c r="Q2430" s="317" t="str">
        <f t="shared" si="241"/>
        <v/>
      </c>
      <c r="R2430" s="317" t="str">
        <f t="shared" si="242"/>
        <v/>
      </c>
      <c r="S2430" s="317" t="str">
        <f t="shared" si="243"/>
        <v/>
      </c>
      <c r="T2430" s="317" t="str">
        <f>'REF. DE PREÇOS n editavel'!S2430</f>
        <v/>
      </c>
      <c r="W2430" s="577">
        <v>0</v>
      </c>
      <c r="X2430" s="575"/>
      <c r="Y2430" s="578">
        <f>IF('REF. DE PREÇOS n editavel'!W2430=0,0,IF('REF. DE PREÇOS n editavel'!W2430&gt;0,"c","b"))</f>
        <v>0</v>
      </c>
    </row>
    <row r="2431" spans="1:25" ht="15" customHeight="1">
      <c r="A2431" s="317" t="s">
        <v>397</v>
      </c>
      <c r="B2431" s="870" t="s">
        <v>397</v>
      </c>
      <c r="C2431" s="871" t="s">
        <v>184</v>
      </c>
      <c r="D2431" s="881" t="str">
        <f>'ENSAIOS DE ORÇAMENTO'!C76</f>
        <v>ENSAIO DE ORÇAMENTO 5</v>
      </c>
      <c r="E2431" s="882">
        <f>'REF. DE PREÇOS n editavel'!E2431</f>
        <v>0</v>
      </c>
      <c r="F2431" s="883">
        <f>'REF. DE PREÇOS n editavel'!F2431</f>
        <v>0</v>
      </c>
      <c r="G2431" s="887">
        <f>'REF. DE PREÇOS n editavel'!G2431</f>
        <v>0</v>
      </c>
      <c r="H2431" s="876">
        <f>'REF. DE PREÇOS n editavel'!H2431</f>
        <v>0</v>
      </c>
      <c r="I2431" s="876">
        <f>'REF. DE PREÇOS n editavel'!I2431</f>
        <v>0</v>
      </c>
      <c r="J2431" s="877">
        <f>'REF. DE PREÇOS n editavel'!J2431</f>
        <v>0</v>
      </c>
      <c r="K2431" s="878" t="s">
        <v>15</v>
      </c>
      <c r="L2431" s="1092"/>
      <c r="M2431" s="1093">
        <f t="shared" si="239"/>
        <v>0</v>
      </c>
      <c r="N2431" s="1131">
        <f t="shared" si="240"/>
        <v>0</v>
      </c>
      <c r="O2431" s="880"/>
      <c r="Q2431" s="317" t="str">
        <f t="shared" si="241"/>
        <v/>
      </c>
      <c r="R2431" s="317" t="str">
        <f t="shared" si="242"/>
        <v/>
      </c>
      <c r="S2431" s="317" t="str">
        <f t="shared" si="243"/>
        <v/>
      </c>
      <c r="T2431" s="317" t="str">
        <f>'REF. DE PREÇOS n editavel'!S2431</f>
        <v/>
      </c>
      <c r="W2431" s="577">
        <v>0</v>
      </c>
      <c r="X2431" s="575"/>
      <c r="Y2431" s="578">
        <f>IF('REF. DE PREÇOS n editavel'!W2431=0,0,IF('REF. DE PREÇOS n editavel'!W2431&gt;0,"c","b"))</f>
        <v>0</v>
      </c>
    </row>
    <row r="2432" spans="1:25" ht="15" customHeight="1">
      <c r="A2432" s="317" t="s">
        <v>147</v>
      </c>
      <c r="B2432" s="870" t="s">
        <v>147</v>
      </c>
      <c r="C2432" s="871"/>
      <c r="D2432" s="931" t="s">
        <v>190</v>
      </c>
      <c r="E2432" s="882">
        <f>'REF. DE PREÇOS n editavel'!E2432</f>
        <v>445</v>
      </c>
      <c r="F2432" s="883">
        <f>'REF. DE PREÇOS n editavel'!F2432</f>
        <v>0</v>
      </c>
      <c r="G2432" s="884">
        <f>'REF. DE PREÇOS n editavel'!G2432</f>
        <v>0</v>
      </c>
      <c r="H2432" s="876">
        <f>'REF. DE PREÇOS n editavel'!H2432</f>
        <v>0</v>
      </c>
      <c r="I2432" s="876" t="str">
        <f>'REF. DE PREÇOS n editavel'!I2432</f>
        <v/>
      </c>
      <c r="J2432" s="877">
        <f>'REF. DE PREÇOS n editavel'!J2432</f>
        <v>0</v>
      </c>
      <c r="K2432" s="932" t="s">
        <v>506</v>
      </c>
      <c r="L2432" s="933"/>
      <c r="M2432" s="1112">
        <f t="shared" si="239"/>
        <v>0</v>
      </c>
      <c r="N2432" s="1131">
        <f t="shared" si="240"/>
        <v>0</v>
      </c>
      <c r="O2432" s="880"/>
      <c r="P2432" s="58" t="str">
        <f>IF(N2431&gt;0,"xx",IF(N2431&gt;0,"xy",""))</f>
        <v/>
      </c>
      <c r="Q2432" s="317" t="str">
        <f t="shared" si="241"/>
        <v/>
      </c>
      <c r="R2432" s="317" t="str">
        <f t="shared" si="242"/>
        <v/>
      </c>
      <c r="S2432" s="317" t="str">
        <f t="shared" si="243"/>
        <v/>
      </c>
      <c r="T2432" s="317" t="str">
        <f>'REF. DE PREÇOS n editavel'!S2432</f>
        <v/>
      </c>
      <c r="W2432" s="577">
        <v>0</v>
      </c>
      <c r="X2432" s="575"/>
      <c r="Y2432" s="578">
        <f>IF('REF. DE PREÇOS n editavel'!W2432=0,0,IF('REF. DE PREÇOS n editavel'!W2432&gt;0,"c","b"))</f>
        <v>0</v>
      </c>
    </row>
    <row r="2433" spans="1:25" ht="15" customHeight="1">
      <c r="A2433" s="317" t="s">
        <v>147</v>
      </c>
      <c r="B2433" s="870" t="s">
        <v>147</v>
      </c>
      <c r="C2433" s="871"/>
      <c r="D2433" s="931" t="s">
        <v>229</v>
      </c>
      <c r="E2433" s="882">
        <f>'REF. DE PREÇOS n editavel'!E2433</f>
        <v>290</v>
      </c>
      <c r="F2433" s="883">
        <f>'REF. DE PREÇOS n editavel'!F2433</f>
        <v>0</v>
      </c>
      <c r="G2433" s="923">
        <f>'REF. DE PREÇOS n editavel'!G2433</f>
        <v>0</v>
      </c>
      <c r="H2433" s="876">
        <f>'REF. DE PREÇOS n editavel'!H2433</f>
        <v>0</v>
      </c>
      <c r="I2433" s="876" t="str">
        <f>'REF. DE PREÇOS n editavel'!I2433</f>
        <v/>
      </c>
      <c r="J2433" s="877">
        <f>'REF. DE PREÇOS n editavel'!J2433</f>
        <v>0</v>
      </c>
      <c r="K2433" s="932" t="s">
        <v>506</v>
      </c>
      <c r="L2433" s="933"/>
      <c r="M2433" s="1112">
        <f t="shared" si="239"/>
        <v>0</v>
      </c>
      <c r="N2433" s="1131">
        <f t="shared" si="240"/>
        <v>0</v>
      </c>
      <c r="O2433" s="880"/>
      <c r="P2433" s="58" t="str">
        <f>IF(N2431&gt;0,"xx",IF(N2431&gt;0,"xy",""))</f>
        <v/>
      </c>
      <c r="Q2433" s="317" t="str">
        <f t="shared" si="241"/>
        <v/>
      </c>
      <c r="R2433" s="317" t="str">
        <f t="shared" si="242"/>
        <v/>
      </c>
      <c r="S2433" s="317" t="str">
        <f t="shared" si="243"/>
        <v/>
      </c>
      <c r="T2433" s="317" t="str">
        <f>'REF. DE PREÇOS n editavel'!S2433</f>
        <v/>
      </c>
      <c r="W2433" s="577">
        <v>0</v>
      </c>
      <c r="X2433" s="575"/>
      <c r="Y2433" s="578">
        <f>IF('REF. DE PREÇOS n editavel'!W2433=0,0,IF('REF. DE PREÇOS n editavel'!W2433&gt;0,"c","b"))</f>
        <v>0</v>
      </c>
    </row>
    <row r="2434" spans="1:25" ht="15" customHeight="1">
      <c r="A2434" s="317" t="s">
        <v>147</v>
      </c>
      <c r="B2434" s="870" t="s">
        <v>147</v>
      </c>
      <c r="C2434" s="871"/>
      <c r="D2434" s="931" t="s">
        <v>233</v>
      </c>
      <c r="E2434" s="882">
        <f>'REF. DE PREÇOS n editavel'!E2434</f>
        <v>43.1</v>
      </c>
      <c r="F2434" s="883">
        <f>'REF. DE PREÇOS n editavel'!F2434</f>
        <v>0</v>
      </c>
      <c r="G2434" s="923">
        <f>'REF. DE PREÇOS n editavel'!G2434</f>
        <v>0</v>
      </c>
      <c r="H2434" s="876">
        <f>'REF. DE PREÇOS n editavel'!H2434</f>
        <v>0</v>
      </c>
      <c r="I2434" s="876" t="str">
        <f>'REF. DE PREÇOS n editavel'!I2434</f>
        <v/>
      </c>
      <c r="J2434" s="877">
        <f>'REF. DE PREÇOS n editavel'!J2434</f>
        <v>0</v>
      </c>
      <c r="K2434" s="932" t="s">
        <v>506</v>
      </c>
      <c r="L2434" s="933"/>
      <c r="M2434" s="1112">
        <f t="shared" si="239"/>
        <v>0</v>
      </c>
      <c r="N2434" s="1131">
        <f t="shared" si="240"/>
        <v>0</v>
      </c>
      <c r="O2434" s="880"/>
      <c r="P2434" s="58" t="str">
        <f>IF(N2431&gt;0,"xx",IF(N2431&gt;0,"xy",""))</f>
        <v/>
      </c>
      <c r="Q2434" s="317" t="str">
        <f t="shared" si="241"/>
        <v/>
      </c>
      <c r="R2434" s="317" t="str">
        <f t="shared" si="242"/>
        <v/>
      </c>
      <c r="S2434" s="317" t="str">
        <f t="shared" si="243"/>
        <v/>
      </c>
      <c r="T2434" s="317" t="str">
        <f>'REF. DE PREÇOS n editavel'!S2434</f>
        <v/>
      </c>
      <c r="W2434" s="577">
        <v>0</v>
      </c>
      <c r="X2434" s="575"/>
      <c r="Y2434" s="578">
        <f>IF('REF. DE PREÇOS n editavel'!W2434=0,0,IF('REF. DE PREÇOS n editavel'!W2434&gt;0,"c","b"))</f>
        <v>0</v>
      </c>
    </row>
    <row r="2435" spans="1:25" ht="15" customHeight="1">
      <c r="A2435" s="317" t="s">
        <v>147</v>
      </c>
      <c r="B2435" s="870" t="s">
        <v>147</v>
      </c>
      <c r="C2435" s="871"/>
      <c r="D2435" s="931" t="s">
        <v>365</v>
      </c>
      <c r="E2435" s="882">
        <f>'REF. DE PREÇOS n editavel'!E2435</f>
        <v>28</v>
      </c>
      <c r="F2435" s="883">
        <f>'REF. DE PREÇOS n editavel'!F2435</f>
        <v>0</v>
      </c>
      <c r="G2435" s="923">
        <f>'REF. DE PREÇOS n editavel'!G2435</f>
        <v>0</v>
      </c>
      <c r="H2435" s="876">
        <f>'REF. DE PREÇOS n editavel'!H2435</f>
        <v>0</v>
      </c>
      <c r="I2435" s="876" t="str">
        <f>'REF. DE PREÇOS n editavel'!I2435</f>
        <v/>
      </c>
      <c r="J2435" s="877">
        <f>'REF. DE PREÇOS n editavel'!J2435</f>
        <v>0</v>
      </c>
      <c r="K2435" s="878" t="s">
        <v>506</v>
      </c>
      <c r="L2435" s="933"/>
      <c r="M2435" s="1112">
        <f t="shared" si="239"/>
        <v>0</v>
      </c>
      <c r="N2435" s="1131">
        <f t="shared" si="240"/>
        <v>0</v>
      </c>
      <c r="O2435" s="880"/>
      <c r="P2435" s="36" t="str">
        <f>IF(N2431&gt;0,"xx",IF(N2431&gt;0,"xy",""))</f>
        <v/>
      </c>
      <c r="Q2435" s="317" t="str">
        <f t="shared" si="241"/>
        <v/>
      </c>
      <c r="R2435" s="317" t="str">
        <f t="shared" si="242"/>
        <v/>
      </c>
      <c r="S2435" s="317" t="str">
        <f t="shared" si="243"/>
        <v/>
      </c>
      <c r="T2435" s="317" t="str">
        <f>'REF. DE PREÇOS n editavel'!S2435</f>
        <v/>
      </c>
      <c r="W2435" s="577">
        <v>0</v>
      </c>
      <c r="X2435" s="575"/>
      <c r="Y2435" s="578">
        <f>IF('REF. DE PREÇOS n editavel'!W2435=0,0,IF('REF. DE PREÇOS n editavel'!W2435&gt;0,"c","b"))</f>
        <v>0</v>
      </c>
    </row>
    <row r="2436" spans="1:25" ht="15" customHeight="1">
      <c r="A2436" s="317" t="s">
        <v>147</v>
      </c>
      <c r="B2436" s="870" t="s">
        <v>147</v>
      </c>
      <c r="C2436" s="871"/>
      <c r="D2436" s="931" t="s">
        <v>366</v>
      </c>
      <c r="E2436" s="882">
        <f>'REF. DE PREÇOS n editavel'!E2436</f>
        <v>440</v>
      </c>
      <c r="F2436" s="883">
        <f>'REF. DE PREÇOS n editavel'!F2436</f>
        <v>0</v>
      </c>
      <c r="G2436" s="884">
        <f>'REF. DE PREÇOS n editavel'!G2436</f>
        <v>0</v>
      </c>
      <c r="H2436" s="876">
        <f>'REF. DE PREÇOS n editavel'!H2436</f>
        <v>0</v>
      </c>
      <c r="I2436" s="876" t="str">
        <f>'REF. DE PREÇOS n editavel'!I2436</f>
        <v/>
      </c>
      <c r="J2436" s="877">
        <f>'REF. DE PREÇOS n editavel'!J2436</f>
        <v>0</v>
      </c>
      <c r="K2436" s="932" t="s">
        <v>506</v>
      </c>
      <c r="L2436" s="933"/>
      <c r="M2436" s="1112">
        <f t="shared" si="239"/>
        <v>0</v>
      </c>
      <c r="N2436" s="1131">
        <f t="shared" si="240"/>
        <v>0</v>
      </c>
      <c r="O2436" s="880"/>
      <c r="P2436" s="58" t="str">
        <f>IF(N2431&gt;0,"xx",IF(N2431&gt;0,"xy",""))</f>
        <v/>
      </c>
      <c r="Q2436" s="317" t="str">
        <f t="shared" si="241"/>
        <v/>
      </c>
      <c r="R2436" s="317" t="str">
        <f t="shared" si="242"/>
        <v/>
      </c>
      <c r="S2436" s="317" t="str">
        <f t="shared" si="243"/>
        <v/>
      </c>
      <c r="T2436" s="317" t="str">
        <f>'REF. DE PREÇOS n editavel'!S2436</f>
        <v/>
      </c>
      <c r="W2436" s="577">
        <v>0</v>
      </c>
      <c r="X2436" s="575"/>
      <c r="Y2436" s="578">
        <f>IF('REF. DE PREÇOS n editavel'!W2436=0,0,IF('REF. DE PREÇOS n editavel'!W2436&gt;0,"c","b"))</f>
        <v>0</v>
      </c>
    </row>
    <row r="2437" spans="1:25" ht="15" customHeight="1">
      <c r="A2437" s="317" t="s">
        <v>398</v>
      </c>
      <c r="B2437" s="870" t="s">
        <v>398</v>
      </c>
      <c r="C2437" s="871" t="s">
        <v>184</v>
      </c>
      <c r="D2437" s="881" t="str">
        <f>'ENSAIOS DE ORÇAMENTO'!C77</f>
        <v>ENSAIO DE ORÇAMENTO 6</v>
      </c>
      <c r="E2437" s="882">
        <f>'REF. DE PREÇOS n editavel'!E2437</f>
        <v>0</v>
      </c>
      <c r="F2437" s="883">
        <f>'REF. DE PREÇOS n editavel'!F2437</f>
        <v>0</v>
      </c>
      <c r="G2437" s="887">
        <f>'REF. DE PREÇOS n editavel'!G2437</f>
        <v>0</v>
      </c>
      <c r="H2437" s="876">
        <f>'REF. DE PREÇOS n editavel'!H2437</f>
        <v>0</v>
      </c>
      <c r="I2437" s="876">
        <f>'REF. DE PREÇOS n editavel'!I2437</f>
        <v>0</v>
      </c>
      <c r="J2437" s="877">
        <f>'REF. DE PREÇOS n editavel'!J2437</f>
        <v>0</v>
      </c>
      <c r="K2437" s="878" t="s">
        <v>15</v>
      </c>
      <c r="L2437" s="1092"/>
      <c r="M2437" s="1093">
        <f t="shared" si="239"/>
        <v>0</v>
      </c>
      <c r="N2437" s="1131">
        <f t="shared" si="240"/>
        <v>0</v>
      </c>
      <c r="O2437" s="880"/>
      <c r="Q2437" s="317" t="str">
        <f t="shared" si="241"/>
        <v/>
      </c>
      <c r="R2437" s="317" t="str">
        <f t="shared" si="242"/>
        <v/>
      </c>
      <c r="S2437" s="317" t="str">
        <f t="shared" si="243"/>
        <v/>
      </c>
      <c r="T2437" s="317" t="str">
        <f>'REF. DE PREÇOS n editavel'!S2437</f>
        <v/>
      </c>
      <c r="W2437" s="577">
        <v>0</v>
      </c>
      <c r="X2437" s="575"/>
      <c r="Y2437" s="578">
        <f>IF('REF. DE PREÇOS n editavel'!W2437=0,0,IF('REF. DE PREÇOS n editavel'!W2437&gt;0,"c","b"))</f>
        <v>0</v>
      </c>
    </row>
    <row r="2438" spans="1:25" ht="15" customHeight="1">
      <c r="A2438" s="317" t="s">
        <v>147</v>
      </c>
      <c r="B2438" s="870" t="s">
        <v>147</v>
      </c>
      <c r="C2438" s="871"/>
      <c r="D2438" s="931" t="s">
        <v>190</v>
      </c>
      <c r="E2438" s="882">
        <f>'REF. DE PREÇOS n editavel'!E2438</f>
        <v>445</v>
      </c>
      <c r="F2438" s="883">
        <f>'REF. DE PREÇOS n editavel'!F2438</f>
        <v>0</v>
      </c>
      <c r="G2438" s="884">
        <f>'REF. DE PREÇOS n editavel'!G2438</f>
        <v>0</v>
      </c>
      <c r="H2438" s="876">
        <f>'REF. DE PREÇOS n editavel'!H2438</f>
        <v>0</v>
      </c>
      <c r="I2438" s="876" t="str">
        <f>'REF. DE PREÇOS n editavel'!I2438</f>
        <v/>
      </c>
      <c r="J2438" s="877">
        <f>'REF. DE PREÇOS n editavel'!J2438</f>
        <v>0</v>
      </c>
      <c r="K2438" s="932" t="s">
        <v>506</v>
      </c>
      <c r="L2438" s="933"/>
      <c r="M2438" s="1112">
        <f t="shared" ref="M2438:M2501" si="244">IF(L2438=0,0,ROUND(J2438,2))</f>
        <v>0</v>
      </c>
      <c r="N2438" s="1131">
        <f t="shared" si="240"/>
        <v>0</v>
      </c>
      <c r="O2438" s="880"/>
      <c r="P2438" s="58" t="str">
        <f>IF(N2437&gt;0,"xx",IF(N2437&gt;0,"xy",""))</f>
        <v/>
      </c>
      <c r="Q2438" s="317" t="str">
        <f t="shared" si="241"/>
        <v/>
      </c>
      <c r="R2438" s="317" t="str">
        <f t="shared" si="242"/>
        <v/>
      </c>
      <c r="S2438" s="317" t="str">
        <f t="shared" si="243"/>
        <v/>
      </c>
      <c r="T2438" s="317" t="str">
        <f>'REF. DE PREÇOS n editavel'!S2438</f>
        <v/>
      </c>
      <c r="W2438" s="577">
        <v>0</v>
      </c>
      <c r="X2438" s="575"/>
      <c r="Y2438" s="578">
        <f>IF('REF. DE PREÇOS n editavel'!W2438=0,0,IF('REF. DE PREÇOS n editavel'!W2438&gt;0,"c","b"))</f>
        <v>0</v>
      </c>
    </row>
    <row r="2439" spans="1:25" ht="15" customHeight="1">
      <c r="A2439" s="317" t="s">
        <v>147</v>
      </c>
      <c r="B2439" s="870" t="s">
        <v>147</v>
      </c>
      <c r="C2439" s="871"/>
      <c r="D2439" s="931" t="s">
        <v>229</v>
      </c>
      <c r="E2439" s="882">
        <f>'REF. DE PREÇOS n editavel'!E2439</f>
        <v>290</v>
      </c>
      <c r="F2439" s="883">
        <f>'REF. DE PREÇOS n editavel'!F2439</f>
        <v>0</v>
      </c>
      <c r="G2439" s="923">
        <f>'REF. DE PREÇOS n editavel'!G2439</f>
        <v>0</v>
      </c>
      <c r="H2439" s="876">
        <f>'REF. DE PREÇOS n editavel'!H2439</f>
        <v>0</v>
      </c>
      <c r="I2439" s="876" t="str">
        <f>'REF. DE PREÇOS n editavel'!I2439</f>
        <v/>
      </c>
      <c r="J2439" s="877">
        <f>'REF. DE PREÇOS n editavel'!J2439</f>
        <v>0</v>
      </c>
      <c r="K2439" s="932" t="s">
        <v>506</v>
      </c>
      <c r="L2439" s="933"/>
      <c r="M2439" s="1112">
        <f t="shared" si="244"/>
        <v>0</v>
      </c>
      <c r="N2439" s="1131">
        <f t="shared" si="240"/>
        <v>0</v>
      </c>
      <c r="O2439" s="880"/>
      <c r="P2439" s="58" t="str">
        <f>IF(N2437&gt;0,"xx",IF(N2437&gt;0,"xy",""))</f>
        <v/>
      </c>
      <c r="Q2439" s="317" t="str">
        <f t="shared" si="241"/>
        <v/>
      </c>
      <c r="R2439" s="317" t="str">
        <f t="shared" si="242"/>
        <v/>
      </c>
      <c r="S2439" s="317" t="str">
        <f t="shared" si="243"/>
        <v/>
      </c>
      <c r="T2439" s="317" t="str">
        <f>'REF. DE PREÇOS n editavel'!S2439</f>
        <v/>
      </c>
      <c r="W2439" s="577">
        <v>0</v>
      </c>
      <c r="X2439" s="575"/>
      <c r="Y2439" s="578">
        <f>IF('REF. DE PREÇOS n editavel'!W2439=0,0,IF('REF. DE PREÇOS n editavel'!W2439&gt;0,"c","b"))</f>
        <v>0</v>
      </c>
    </row>
    <row r="2440" spans="1:25" ht="15" customHeight="1">
      <c r="A2440" s="317" t="s">
        <v>147</v>
      </c>
      <c r="B2440" s="870" t="s">
        <v>147</v>
      </c>
      <c r="C2440" s="871"/>
      <c r="D2440" s="931" t="s">
        <v>233</v>
      </c>
      <c r="E2440" s="882">
        <f>'REF. DE PREÇOS n editavel'!E2440</f>
        <v>43.1</v>
      </c>
      <c r="F2440" s="883">
        <f>'REF. DE PREÇOS n editavel'!F2440</f>
        <v>0</v>
      </c>
      <c r="G2440" s="923">
        <f>'REF. DE PREÇOS n editavel'!G2440</f>
        <v>0</v>
      </c>
      <c r="H2440" s="876">
        <f>'REF. DE PREÇOS n editavel'!H2440</f>
        <v>0</v>
      </c>
      <c r="I2440" s="876" t="str">
        <f>'REF. DE PREÇOS n editavel'!I2440</f>
        <v/>
      </c>
      <c r="J2440" s="877">
        <f>'REF. DE PREÇOS n editavel'!J2440</f>
        <v>0</v>
      </c>
      <c r="K2440" s="932" t="s">
        <v>506</v>
      </c>
      <c r="L2440" s="933"/>
      <c r="M2440" s="1112">
        <f t="shared" si="244"/>
        <v>0</v>
      </c>
      <c r="N2440" s="1131">
        <f t="shared" si="240"/>
        <v>0</v>
      </c>
      <c r="O2440" s="880"/>
      <c r="P2440" s="58" t="str">
        <f>IF(N2437&gt;0,"xx",IF(N2437&gt;0,"xy",""))</f>
        <v/>
      </c>
      <c r="Q2440" s="317" t="str">
        <f t="shared" si="241"/>
        <v/>
      </c>
      <c r="R2440" s="317" t="str">
        <f t="shared" si="242"/>
        <v/>
      </c>
      <c r="S2440" s="317" t="str">
        <f t="shared" si="243"/>
        <v/>
      </c>
      <c r="T2440" s="317" t="str">
        <f>'REF. DE PREÇOS n editavel'!S2440</f>
        <v/>
      </c>
      <c r="W2440" s="577">
        <v>0</v>
      </c>
      <c r="X2440" s="575"/>
      <c r="Y2440" s="578">
        <f>IF('REF. DE PREÇOS n editavel'!W2440=0,0,IF('REF. DE PREÇOS n editavel'!W2440&gt;0,"c","b"))</f>
        <v>0</v>
      </c>
    </row>
    <row r="2441" spans="1:25" ht="15" customHeight="1">
      <c r="A2441" s="317" t="s">
        <v>147</v>
      </c>
      <c r="B2441" s="870" t="s">
        <v>147</v>
      </c>
      <c r="C2441" s="871"/>
      <c r="D2441" s="931" t="s">
        <v>365</v>
      </c>
      <c r="E2441" s="882">
        <f>'REF. DE PREÇOS n editavel'!E2441</f>
        <v>28</v>
      </c>
      <c r="F2441" s="883">
        <f>'REF. DE PREÇOS n editavel'!F2441</f>
        <v>0</v>
      </c>
      <c r="G2441" s="923">
        <f>'REF. DE PREÇOS n editavel'!G2441</f>
        <v>0</v>
      </c>
      <c r="H2441" s="876">
        <f>'REF. DE PREÇOS n editavel'!H2441</f>
        <v>0</v>
      </c>
      <c r="I2441" s="876" t="str">
        <f>'REF. DE PREÇOS n editavel'!I2441</f>
        <v/>
      </c>
      <c r="J2441" s="877">
        <f>'REF. DE PREÇOS n editavel'!J2441</f>
        <v>0</v>
      </c>
      <c r="K2441" s="932" t="s">
        <v>506</v>
      </c>
      <c r="L2441" s="933"/>
      <c r="M2441" s="1112">
        <f t="shared" si="244"/>
        <v>0</v>
      </c>
      <c r="N2441" s="1131">
        <f t="shared" si="240"/>
        <v>0</v>
      </c>
      <c r="O2441" s="880"/>
      <c r="P2441" s="58" t="str">
        <f>IF(N2437&gt;0,"xx",IF(N2437&gt;0,"xy",""))</f>
        <v/>
      </c>
      <c r="Q2441" s="317" t="str">
        <f t="shared" si="241"/>
        <v/>
      </c>
      <c r="R2441" s="317" t="str">
        <f t="shared" si="242"/>
        <v/>
      </c>
      <c r="S2441" s="317" t="str">
        <f t="shared" si="243"/>
        <v/>
      </c>
      <c r="T2441" s="317" t="str">
        <f>'REF. DE PREÇOS n editavel'!S2441</f>
        <v/>
      </c>
      <c r="W2441" s="577">
        <v>0</v>
      </c>
      <c r="X2441" s="575"/>
      <c r="Y2441" s="578">
        <f>IF('REF. DE PREÇOS n editavel'!W2441=0,0,IF('REF. DE PREÇOS n editavel'!W2441&gt;0,"c","b"))</f>
        <v>0</v>
      </c>
    </row>
    <row r="2442" spans="1:25" ht="15" customHeight="1">
      <c r="A2442" s="317" t="s">
        <v>147</v>
      </c>
      <c r="B2442" s="870" t="s">
        <v>147</v>
      </c>
      <c r="C2442" s="871"/>
      <c r="D2442" s="931" t="s">
        <v>366</v>
      </c>
      <c r="E2442" s="882">
        <f>'REF. DE PREÇOS n editavel'!E2442</f>
        <v>440</v>
      </c>
      <c r="F2442" s="883">
        <f>'REF. DE PREÇOS n editavel'!F2442</f>
        <v>0</v>
      </c>
      <c r="G2442" s="884">
        <f>'REF. DE PREÇOS n editavel'!G2442</f>
        <v>0</v>
      </c>
      <c r="H2442" s="876">
        <f>'REF. DE PREÇOS n editavel'!H2442</f>
        <v>0</v>
      </c>
      <c r="I2442" s="876" t="str">
        <f>'REF. DE PREÇOS n editavel'!I2442</f>
        <v/>
      </c>
      <c r="J2442" s="877">
        <f>'REF. DE PREÇOS n editavel'!J2442</f>
        <v>0</v>
      </c>
      <c r="K2442" s="932" t="s">
        <v>506</v>
      </c>
      <c r="L2442" s="933"/>
      <c r="M2442" s="1112">
        <f t="shared" si="244"/>
        <v>0</v>
      </c>
      <c r="N2442" s="1131">
        <f t="shared" si="240"/>
        <v>0</v>
      </c>
      <c r="O2442" s="880"/>
      <c r="P2442" s="58" t="str">
        <f>IF(N2437&gt;0,"xx",IF(N2437&gt;0,"xy",""))</f>
        <v/>
      </c>
      <c r="Q2442" s="317" t="str">
        <f t="shared" si="241"/>
        <v/>
      </c>
      <c r="R2442" s="317" t="str">
        <f t="shared" si="242"/>
        <v/>
      </c>
      <c r="S2442" s="317" t="str">
        <f t="shared" si="243"/>
        <v/>
      </c>
      <c r="T2442" s="317" t="str">
        <f>'REF. DE PREÇOS n editavel'!S2442</f>
        <v/>
      </c>
      <c r="W2442" s="577">
        <v>0</v>
      </c>
      <c r="X2442" s="575"/>
      <c r="Y2442" s="578">
        <f>IF('REF. DE PREÇOS n editavel'!W2442=0,0,IF('REF. DE PREÇOS n editavel'!W2442&gt;0,"c","b"))</f>
        <v>0</v>
      </c>
    </row>
    <row r="2443" spans="1:25" ht="15" customHeight="1">
      <c r="A2443" s="317" t="s">
        <v>399</v>
      </c>
      <c r="B2443" s="870" t="s">
        <v>399</v>
      </c>
      <c r="C2443" s="871" t="s">
        <v>184</v>
      </c>
      <c r="D2443" s="881" t="str">
        <f>'ENSAIOS DE ORÇAMENTO'!C78</f>
        <v>ENSAIO DE ORÇAMENTO 7</v>
      </c>
      <c r="E2443" s="882">
        <f>'REF. DE PREÇOS n editavel'!E2443</f>
        <v>0</v>
      </c>
      <c r="F2443" s="883">
        <f>'REF. DE PREÇOS n editavel'!F2443</f>
        <v>0</v>
      </c>
      <c r="G2443" s="887">
        <f>'REF. DE PREÇOS n editavel'!G2443</f>
        <v>0</v>
      </c>
      <c r="H2443" s="876">
        <f>'REF. DE PREÇOS n editavel'!H2443</f>
        <v>0</v>
      </c>
      <c r="I2443" s="876">
        <f>'REF. DE PREÇOS n editavel'!I2443</f>
        <v>0</v>
      </c>
      <c r="J2443" s="877">
        <f>'REF. DE PREÇOS n editavel'!J2443</f>
        <v>0</v>
      </c>
      <c r="K2443" s="878" t="s">
        <v>15</v>
      </c>
      <c r="L2443" s="1092"/>
      <c r="M2443" s="1093">
        <f t="shared" si="244"/>
        <v>0</v>
      </c>
      <c r="N2443" s="1131">
        <f t="shared" si="240"/>
        <v>0</v>
      </c>
      <c r="O2443" s="880"/>
      <c r="Q2443" s="317" t="str">
        <f t="shared" si="241"/>
        <v/>
      </c>
      <c r="R2443" s="317" t="str">
        <f t="shared" si="242"/>
        <v/>
      </c>
      <c r="S2443" s="317" t="str">
        <f t="shared" si="243"/>
        <v/>
      </c>
      <c r="T2443" s="317" t="str">
        <f>'REF. DE PREÇOS n editavel'!S2443</f>
        <v/>
      </c>
      <c r="W2443" s="577">
        <v>0</v>
      </c>
      <c r="X2443" s="575"/>
      <c r="Y2443" s="578">
        <f>IF('REF. DE PREÇOS n editavel'!W2443=0,0,IF('REF. DE PREÇOS n editavel'!W2443&gt;0,"c","b"))</f>
        <v>0</v>
      </c>
    </row>
    <row r="2444" spans="1:25" ht="15" customHeight="1">
      <c r="A2444" s="317" t="s">
        <v>147</v>
      </c>
      <c r="B2444" s="870" t="s">
        <v>147</v>
      </c>
      <c r="C2444" s="871"/>
      <c r="D2444" s="931" t="s">
        <v>190</v>
      </c>
      <c r="E2444" s="882">
        <f>'REF. DE PREÇOS n editavel'!E2444</f>
        <v>445</v>
      </c>
      <c r="F2444" s="883">
        <f>'REF. DE PREÇOS n editavel'!F2444</f>
        <v>0</v>
      </c>
      <c r="G2444" s="884">
        <f>'REF. DE PREÇOS n editavel'!G2444</f>
        <v>0</v>
      </c>
      <c r="H2444" s="876">
        <f>'REF. DE PREÇOS n editavel'!H2444</f>
        <v>0</v>
      </c>
      <c r="I2444" s="876" t="str">
        <f>'REF. DE PREÇOS n editavel'!I2444</f>
        <v/>
      </c>
      <c r="J2444" s="877">
        <f>'REF. DE PREÇOS n editavel'!J2444</f>
        <v>0</v>
      </c>
      <c r="K2444" s="932" t="s">
        <v>506</v>
      </c>
      <c r="L2444" s="933"/>
      <c r="M2444" s="1112">
        <f t="shared" si="244"/>
        <v>0</v>
      </c>
      <c r="N2444" s="1131">
        <f t="shared" si="240"/>
        <v>0</v>
      </c>
      <c r="O2444" s="880"/>
      <c r="P2444" s="58" t="str">
        <f>IF(N2443&gt;0,"xx",IF(N2443&gt;0,"xy",""))</f>
        <v/>
      </c>
      <c r="Q2444" s="317" t="str">
        <f t="shared" si="241"/>
        <v/>
      </c>
      <c r="R2444" s="317" t="str">
        <f t="shared" si="242"/>
        <v/>
      </c>
      <c r="S2444" s="317" t="str">
        <f t="shared" si="243"/>
        <v/>
      </c>
      <c r="T2444" s="317" t="str">
        <f>'REF. DE PREÇOS n editavel'!S2444</f>
        <v/>
      </c>
      <c r="W2444" s="577">
        <v>0</v>
      </c>
      <c r="X2444" s="575"/>
      <c r="Y2444" s="578">
        <f>IF('REF. DE PREÇOS n editavel'!W2444=0,0,IF('REF. DE PREÇOS n editavel'!W2444&gt;0,"c","b"))</f>
        <v>0</v>
      </c>
    </row>
    <row r="2445" spans="1:25" ht="15" customHeight="1">
      <c r="A2445" s="317" t="s">
        <v>147</v>
      </c>
      <c r="B2445" s="870" t="s">
        <v>147</v>
      </c>
      <c r="C2445" s="871"/>
      <c r="D2445" s="931" t="s">
        <v>229</v>
      </c>
      <c r="E2445" s="882">
        <f>'REF. DE PREÇOS n editavel'!E2445</f>
        <v>290</v>
      </c>
      <c r="F2445" s="883">
        <f>'REF. DE PREÇOS n editavel'!F2445</f>
        <v>0</v>
      </c>
      <c r="G2445" s="923">
        <f>'REF. DE PREÇOS n editavel'!G2445</f>
        <v>0</v>
      </c>
      <c r="H2445" s="876">
        <f>'REF. DE PREÇOS n editavel'!H2445</f>
        <v>0</v>
      </c>
      <c r="I2445" s="876" t="str">
        <f>'REF. DE PREÇOS n editavel'!I2445</f>
        <v/>
      </c>
      <c r="J2445" s="877">
        <f>'REF. DE PREÇOS n editavel'!J2445</f>
        <v>0</v>
      </c>
      <c r="K2445" s="932" t="s">
        <v>506</v>
      </c>
      <c r="L2445" s="933"/>
      <c r="M2445" s="1112">
        <f t="shared" si="244"/>
        <v>0</v>
      </c>
      <c r="N2445" s="1131">
        <f t="shared" si="240"/>
        <v>0</v>
      </c>
      <c r="O2445" s="880"/>
      <c r="P2445" s="58" t="str">
        <f>IF(N2443&gt;0,"xx",IF(N2443&gt;0,"xy",""))</f>
        <v/>
      </c>
      <c r="Q2445" s="317" t="str">
        <f t="shared" si="241"/>
        <v/>
      </c>
      <c r="R2445" s="317" t="str">
        <f t="shared" si="242"/>
        <v/>
      </c>
      <c r="S2445" s="317" t="str">
        <f t="shared" si="243"/>
        <v/>
      </c>
      <c r="T2445" s="317" t="str">
        <f>'REF. DE PREÇOS n editavel'!S2445</f>
        <v/>
      </c>
      <c r="W2445" s="577">
        <v>0</v>
      </c>
      <c r="X2445" s="575"/>
      <c r="Y2445" s="578">
        <f>IF('REF. DE PREÇOS n editavel'!W2445=0,0,IF('REF. DE PREÇOS n editavel'!W2445&gt;0,"c","b"))</f>
        <v>0</v>
      </c>
    </row>
    <row r="2446" spans="1:25" ht="15" customHeight="1">
      <c r="A2446" s="317" t="s">
        <v>147</v>
      </c>
      <c r="B2446" s="870" t="s">
        <v>147</v>
      </c>
      <c r="C2446" s="871"/>
      <c r="D2446" s="931" t="s">
        <v>233</v>
      </c>
      <c r="E2446" s="882">
        <f>'REF. DE PREÇOS n editavel'!E2446</f>
        <v>43.1</v>
      </c>
      <c r="F2446" s="883">
        <f>'REF. DE PREÇOS n editavel'!F2446</f>
        <v>0</v>
      </c>
      <c r="G2446" s="923">
        <f>'REF. DE PREÇOS n editavel'!G2446</f>
        <v>0</v>
      </c>
      <c r="H2446" s="876">
        <f>'REF. DE PREÇOS n editavel'!H2446</f>
        <v>0</v>
      </c>
      <c r="I2446" s="876" t="str">
        <f>'REF. DE PREÇOS n editavel'!I2446</f>
        <v/>
      </c>
      <c r="J2446" s="877">
        <f>'REF. DE PREÇOS n editavel'!J2446</f>
        <v>0</v>
      </c>
      <c r="K2446" s="932" t="s">
        <v>506</v>
      </c>
      <c r="L2446" s="933"/>
      <c r="M2446" s="1112">
        <f t="shared" si="244"/>
        <v>0</v>
      </c>
      <c r="N2446" s="1131">
        <f t="shared" si="240"/>
        <v>0</v>
      </c>
      <c r="O2446" s="880"/>
      <c r="P2446" s="58" t="str">
        <f>IF(N2443&gt;0,"xx",IF(N2443&gt;0,"xy",""))</f>
        <v/>
      </c>
      <c r="Q2446" s="317" t="str">
        <f t="shared" si="241"/>
        <v/>
      </c>
      <c r="R2446" s="317" t="str">
        <f t="shared" si="242"/>
        <v/>
      </c>
      <c r="S2446" s="317" t="str">
        <f t="shared" si="243"/>
        <v/>
      </c>
      <c r="T2446" s="317" t="str">
        <f>'REF. DE PREÇOS n editavel'!S2446</f>
        <v/>
      </c>
      <c r="W2446" s="577">
        <v>0</v>
      </c>
      <c r="X2446" s="575"/>
      <c r="Y2446" s="578">
        <f>IF('REF. DE PREÇOS n editavel'!W2446=0,0,IF('REF. DE PREÇOS n editavel'!W2446&gt;0,"c","b"))</f>
        <v>0</v>
      </c>
    </row>
    <row r="2447" spans="1:25" ht="15" customHeight="1">
      <c r="A2447" s="317" t="s">
        <v>147</v>
      </c>
      <c r="B2447" s="870" t="s">
        <v>147</v>
      </c>
      <c r="C2447" s="871"/>
      <c r="D2447" s="931" t="s">
        <v>365</v>
      </c>
      <c r="E2447" s="882">
        <f>'REF. DE PREÇOS n editavel'!E2447</f>
        <v>28</v>
      </c>
      <c r="F2447" s="883">
        <f>'REF. DE PREÇOS n editavel'!F2447</f>
        <v>0</v>
      </c>
      <c r="G2447" s="923">
        <f>'REF. DE PREÇOS n editavel'!G2447</f>
        <v>0</v>
      </c>
      <c r="H2447" s="876">
        <f>'REF. DE PREÇOS n editavel'!H2447</f>
        <v>0</v>
      </c>
      <c r="I2447" s="876" t="str">
        <f>'REF. DE PREÇOS n editavel'!I2447</f>
        <v/>
      </c>
      <c r="J2447" s="877">
        <f>'REF. DE PREÇOS n editavel'!J2447</f>
        <v>0</v>
      </c>
      <c r="K2447" s="932" t="s">
        <v>506</v>
      </c>
      <c r="L2447" s="933"/>
      <c r="M2447" s="1112">
        <f t="shared" si="244"/>
        <v>0</v>
      </c>
      <c r="N2447" s="1131">
        <f t="shared" si="240"/>
        <v>0</v>
      </c>
      <c r="O2447" s="880"/>
      <c r="P2447" s="58" t="str">
        <f>IF(N2443&gt;0,"xx",IF(N2443&gt;0,"xy",""))</f>
        <v/>
      </c>
      <c r="Q2447" s="317" t="str">
        <f t="shared" si="241"/>
        <v/>
      </c>
      <c r="R2447" s="317" t="str">
        <f t="shared" si="242"/>
        <v/>
      </c>
      <c r="S2447" s="317" t="str">
        <f t="shared" si="243"/>
        <v/>
      </c>
      <c r="T2447" s="317" t="str">
        <f>'REF. DE PREÇOS n editavel'!S2447</f>
        <v/>
      </c>
      <c r="W2447" s="577">
        <v>0</v>
      </c>
      <c r="X2447" s="575"/>
      <c r="Y2447" s="578">
        <f>IF('REF. DE PREÇOS n editavel'!W2447=0,0,IF('REF. DE PREÇOS n editavel'!W2447&gt;0,"c","b"))</f>
        <v>0</v>
      </c>
    </row>
    <row r="2448" spans="1:25" ht="15" customHeight="1">
      <c r="A2448" s="317" t="s">
        <v>147</v>
      </c>
      <c r="B2448" s="870" t="s">
        <v>147</v>
      </c>
      <c r="C2448" s="871"/>
      <c r="D2448" s="931" t="s">
        <v>366</v>
      </c>
      <c r="E2448" s="882">
        <f>'REF. DE PREÇOS n editavel'!E2448</f>
        <v>440</v>
      </c>
      <c r="F2448" s="883">
        <f>'REF. DE PREÇOS n editavel'!F2448</f>
        <v>0</v>
      </c>
      <c r="G2448" s="884">
        <f>'REF. DE PREÇOS n editavel'!G2448</f>
        <v>0</v>
      </c>
      <c r="H2448" s="876">
        <f>'REF. DE PREÇOS n editavel'!H2448</f>
        <v>0</v>
      </c>
      <c r="I2448" s="876" t="str">
        <f>'REF. DE PREÇOS n editavel'!I2448</f>
        <v/>
      </c>
      <c r="J2448" s="877">
        <f>'REF. DE PREÇOS n editavel'!J2448</f>
        <v>0</v>
      </c>
      <c r="K2448" s="932" t="s">
        <v>506</v>
      </c>
      <c r="L2448" s="933"/>
      <c r="M2448" s="1112">
        <f t="shared" si="244"/>
        <v>0</v>
      </c>
      <c r="N2448" s="1131">
        <f t="shared" si="240"/>
        <v>0</v>
      </c>
      <c r="O2448" s="880"/>
      <c r="P2448" s="58" t="str">
        <f>IF(N2443&gt;0,"xx",IF(N2443&gt;0,"xy",""))</f>
        <v/>
      </c>
      <c r="Q2448" s="317" t="str">
        <f t="shared" si="241"/>
        <v/>
      </c>
      <c r="R2448" s="317" t="str">
        <f t="shared" si="242"/>
        <v/>
      </c>
      <c r="S2448" s="317" t="str">
        <f t="shared" si="243"/>
        <v/>
      </c>
      <c r="T2448" s="317" t="str">
        <f>'REF. DE PREÇOS n editavel'!S2448</f>
        <v/>
      </c>
      <c r="W2448" s="577">
        <v>0</v>
      </c>
      <c r="X2448" s="575"/>
      <c r="Y2448" s="578">
        <f>IF('REF. DE PREÇOS n editavel'!W2448=0,0,IF('REF. DE PREÇOS n editavel'!W2448&gt;0,"c","b"))</f>
        <v>0</v>
      </c>
    </row>
    <row r="2449" spans="1:25" ht="15" customHeight="1">
      <c r="A2449" s="317" t="s">
        <v>400</v>
      </c>
      <c r="B2449" s="870" t="s">
        <v>400</v>
      </c>
      <c r="C2449" s="871" t="s">
        <v>184</v>
      </c>
      <c r="D2449" s="881" t="str">
        <f>'ENSAIOS DE ORÇAMENTO'!C79</f>
        <v>ENSAIO DE ORÇAMENTO 8</v>
      </c>
      <c r="E2449" s="882">
        <f>'REF. DE PREÇOS n editavel'!E2449</f>
        <v>0</v>
      </c>
      <c r="F2449" s="883">
        <f>'REF. DE PREÇOS n editavel'!F2449</f>
        <v>0</v>
      </c>
      <c r="G2449" s="887">
        <f>'REF. DE PREÇOS n editavel'!G2449</f>
        <v>0</v>
      </c>
      <c r="H2449" s="876">
        <f>'REF. DE PREÇOS n editavel'!H2449</f>
        <v>0</v>
      </c>
      <c r="I2449" s="876">
        <f>'REF. DE PREÇOS n editavel'!I2449</f>
        <v>0</v>
      </c>
      <c r="J2449" s="877">
        <f>'REF. DE PREÇOS n editavel'!J2449</f>
        <v>0</v>
      </c>
      <c r="K2449" s="878" t="s">
        <v>15</v>
      </c>
      <c r="L2449" s="1092"/>
      <c r="M2449" s="1093">
        <f t="shared" si="244"/>
        <v>0</v>
      </c>
      <c r="N2449" s="1131">
        <f t="shared" si="240"/>
        <v>0</v>
      </c>
      <c r="O2449" s="880"/>
      <c r="Q2449" s="317" t="str">
        <f t="shared" si="241"/>
        <v/>
      </c>
      <c r="R2449" s="317" t="str">
        <f t="shared" si="242"/>
        <v/>
      </c>
      <c r="S2449" s="317" t="str">
        <f t="shared" si="243"/>
        <v/>
      </c>
      <c r="T2449" s="317" t="str">
        <f>'REF. DE PREÇOS n editavel'!S2449</f>
        <v/>
      </c>
      <c r="W2449" s="577">
        <v>0</v>
      </c>
      <c r="X2449" s="575"/>
      <c r="Y2449" s="578">
        <f>IF('REF. DE PREÇOS n editavel'!W2449=0,0,IF('REF. DE PREÇOS n editavel'!W2449&gt;0,"c","b"))</f>
        <v>0</v>
      </c>
    </row>
    <row r="2450" spans="1:25" ht="15" customHeight="1">
      <c r="A2450" s="317" t="s">
        <v>147</v>
      </c>
      <c r="B2450" s="870" t="s">
        <v>147</v>
      </c>
      <c r="C2450" s="871"/>
      <c r="D2450" s="931" t="s">
        <v>190</v>
      </c>
      <c r="E2450" s="882">
        <f>'REF. DE PREÇOS n editavel'!E2450</f>
        <v>445</v>
      </c>
      <c r="F2450" s="883">
        <f>'REF. DE PREÇOS n editavel'!F2450</f>
        <v>0</v>
      </c>
      <c r="G2450" s="884">
        <f>'REF. DE PREÇOS n editavel'!G2450</f>
        <v>0</v>
      </c>
      <c r="H2450" s="876">
        <f>'REF. DE PREÇOS n editavel'!H2450</f>
        <v>0</v>
      </c>
      <c r="I2450" s="876" t="str">
        <f>'REF. DE PREÇOS n editavel'!I2450</f>
        <v/>
      </c>
      <c r="J2450" s="877">
        <f>'REF. DE PREÇOS n editavel'!J2450</f>
        <v>0</v>
      </c>
      <c r="K2450" s="932" t="s">
        <v>506</v>
      </c>
      <c r="L2450" s="933"/>
      <c r="M2450" s="1112">
        <f t="shared" si="244"/>
        <v>0</v>
      </c>
      <c r="N2450" s="1131">
        <f t="shared" si="240"/>
        <v>0</v>
      </c>
      <c r="O2450" s="880"/>
      <c r="P2450" s="58" t="str">
        <f>IF(N2449&gt;0,"xx",IF(N2449&gt;0,"xy",""))</f>
        <v/>
      </c>
      <c r="Q2450" s="317" t="str">
        <f t="shared" si="241"/>
        <v/>
      </c>
      <c r="R2450" s="317" t="str">
        <f t="shared" si="242"/>
        <v/>
      </c>
      <c r="S2450" s="317" t="str">
        <f t="shared" si="243"/>
        <v/>
      </c>
      <c r="T2450" s="317" t="str">
        <f>'REF. DE PREÇOS n editavel'!S2450</f>
        <v/>
      </c>
      <c r="W2450" s="577">
        <v>0</v>
      </c>
      <c r="X2450" s="575"/>
      <c r="Y2450" s="578">
        <f>IF('REF. DE PREÇOS n editavel'!W2450=0,0,IF('REF. DE PREÇOS n editavel'!W2450&gt;0,"c","b"))</f>
        <v>0</v>
      </c>
    </row>
    <row r="2451" spans="1:25" ht="15" customHeight="1">
      <c r="A2451" s="317" t="s">
        <v>147</v>
      </c>
      <c r="B2451" s="870" t="s">
        <v>147</v>
      </c>
      <c r="C2451" s="871"/>
      <c r="D2451" s="931" t="s">
        <v>229</v>
      </c>
      <c r="E2451" s="882">
        <f>'REF. DE PREÇOS n editavel'!E2451</f>
        <v>290</v>
      </c>
      <c r="F2451" s="883">
        <f>'REF. DE PREÇOS n editavel'!F2451</f>
        <v>0</v>
      </c>
      <c r="G2451" s="923">
        <f>'REF. DE PREÇOS n editavel'!G2451</f>
        <v>0</v>
      </c>
      <c r="H2451" s="876">
        <f>'REF. DE PREÇOS n editavel'!H2451</f>
        <v>0</v>
      </c>
      <c r="I2451" s="876" t="str">
        <f>'REF. DE PREÇOS n editavel'!I2451</f>
        <v/>
      </c>
      <c r="J2451" s="877">
        <f>'REF. DE PREÇOS n editavel'!J2451</f>
        <v>0</v>
      </c>
      <c r="K2451" s="932" t="s">
        <v>506</v>
      </c>
      <c r="L2451" s="933"/>
      <c r="M2451" s="1112">
        <f t="shared" si="244"/>
        <v>0</v>
      </c>
      <c r="N2451" s="1131">
        <f t="shared" si="240"/>
        <v>0</v>
      </c>
      <c r="O2451" s="880"/>
      <c r="P2451" s="58" t="str">
        <f>IF(N2449&gt;0,"xx",IF(N2449&gt;0,"xy",""))</f>
        <v/>
      </c>
      <c r="Q2451" s="317" t="str">
        <f t="shared" si="241"/>
        <v/>
      </c>
      <c r="R2451" s="317" t="str">
        <f t="shared" si="242"/>
        <v/>
      </c>
      <c r="S2451" s="317" t="str">
        <f t="shared" si="243"/>
        <v/>
      </c>
      <c r="T2451" s="317" t="str">
        <f>'REF. DE PREÇOS n editavel'!S2451</f>
        <v/>
      </c>
      <c r="W2451" s="577">
        <v>0</v>
      </c>
      <c r="X2451" s="575"/>
      <c r="Y2451" s="578">
        <f>IF('REF. DE PREÇOS n editavel'!W2451=0,0,IF('REF. DE PREÇOS n editavel'!W2451&gt;0,"c","b"))</f>
        <v>0</v>
      </c>
    </row>
    <row r="2452" spans="1:25" ht="15" customHeight="1">
      <c r="A2452" s="317" t="s">
        <v>147</v>
      </c>
      <c r="B2452" s="870" t="s">
        <v>147</v>
      </c>
      <c r="C2452" s="871"/>
      <c r="D2452" s="931" t="s">
        <v>233</v>
      </c>
      <c r="E2452" s="882">
        <f>'REF. DE PREÇOS n editavel'!E2452</f>
        <v>43.1</v>
      </c>
      <c r="F2452" s="883">
        <f>'REF. DE PREÇOS n editavel'!F2452</f>
        <v>0</v>
      </c>
      <c r="G2452" s="923">
        <f>'REF. DE PREÇOS n editavel'!G2452</f>
        <v>0</v>
      </c>
      <c r="H2452" s="876">
        <f>'REF. DE PREÇOS n editavel'!H2452</f>
        <v>0</v>
      </c>
      <c r="I2452" s="876" t="str">
        <f>'REF. DE PREÇOS n editavel'!I2452</f>
        <v/>
      </c>
      <c r="J2452" s="877">
        <f>'REF. DE PREÇOS n editavel'!J2452</f>
        <v>0</v>
      </c>
      <c r="K2452" s="932" t="s">
        <v>506</v>
      </c>
      <c r="L2452" s="933"/>
      <c r="M2452" s="1112">
        <f t="shared" si="244"/>
        <v>0</v>
      </c>
      <c r="N2452" s="1131">
        <f t="shared" si="240"/>
        <v>0</v>
      </c>
      <c r="O2452" s="880"/>
      <c r="P2452" s="58" t="str">
        <f>IF(N2449&gt;0,"xx",IF(N2449&gt;0,"xy",""))</f>
        <v/>
      </c>
      <c r="Q2452" s="317" t="str">
        <f t="shared" si="241"/>
        <v/>
      </c>
      <c r="R2452" s="317" t="str">
        <f t="shared" si="242"/>
        <v/>
      </c>
      <c r="S2452" s="317" t="str">
        <f t="shared" si="243"/>
        <v/>
      </c>
      <c r="T2452" s="317" t="str">
        <f>'REF. DE PREÇOS n editavel'!S2452</f>
        <v/>
      </c>
      <c r="W2452" s="577">
        <v>0</v>
      </c>
      <c r="X2452" s="575"/>
      <c r="Y2452" s="578">
        <f>IF('REF. DE PREÇOS n editavel'!W2452=0,0,IF('REF. DE PREÇOS n editavel'!W2452&gt;0,"c","b"))</f>
        <v>0</v>
      </c>
    </row>
    <row r="2453" spans="1:25" ht="15" customHeight="1">
      <c r="A2453" s="317" t="s">
        <v>147</v>
      </c>
      <c r="B2453" s="870" t="s">
        <v>147</v>
      </c>
      <c r="C2453" s="871"/>
      <c r="D2453" s="931" t="s">
        <v>365</v>
      </c>
      <c r="E2453" s="882">
        <f>'REF. DE PREÇOS n editavel'!E2453</f>
        <v>28</v>
      </c>
      <c r="F2453" s="883">
        <f>'REF. DE PREÇOS n editavel'!F2453</f>
        <v>0</v>
      </c>
      <c r="G2453" s="923">
        <f>'REF. DE PREÇOS n editavel'!G2453</f>
        <v>0</v>
      </c>
      <c r="H2453" s="876">
        <f>'REF. DE PREÇOS n editavel'!H2453</f>
        <v>0</v>
      </c>
      <c r="I2453" s="876" t="str">
        <f>'REF. DE PREÇOS n editavel'!I2453</f>
        <v/>
      </c>
      <c r="J2453" s="877">
        <f>'REF. DE PREÇOS n editavel'!J2453</f>
        <v>0</v>
      </c>
      <c r="K2453" s="932" t="s">
        <v>506</v>
      </c>
      <c r="L2453" s="933"/>
      <c r="M2453" s="1112">
        <f t="shared" si="244"/>
        <v>0</v>
      </c>
      <c r="N2453" s="1131">
        <f t="shared" si="240"/>
        <v>0</v>
      </c>
      <c r="O2453" s="880"/>
      <c r="P2453" s="58" t="str">
        <f>IF(N2449&gt;0,"xx",IF(N2449&gt;0,"xy",""))</f>
        <v/>
      </c>
      <c r="Q2453" s="317" t="str">
        <f t="shared" si="241"/>
        <v/>
      </c>
      <c r="R2453" s="317" t="str">
        <f t="shared" si="242"/>
        <v/>
      </c>
      <c r="S2453" s="317" t="str">
        <f t="shared" si="243"/>
        <v/>
      </c>
      <c r="T2453" s="317" t="str">
        <f>'REF. DE PREÇOS n editavel'!S2453</f>
        <v/>
      </c>
      <c r="W2453" s="577">
        <v>0</v>
      </c>
      <c r="X2453" s="575"/>
      <c r="Y2453" s="578">
        <f>IF('REF. DE PREÇOS n editavel'!W2453=0,0,IF('REF. DE PREÇOS n editavel'!W2453&gt;0,"c","b"))</f>
        <v>0</v>
      </c>
    </row>
    <row r="2454" spans="1:25" ht="15" customHeight="1">
      <c r="A2454" s="317" t="s">
        <v>147</v>
      </c>
      <c r="B2454" s="870" t="s">
        <v>147</v>
      </c>
      <c r="C2454" s="871"/>
      <c r="D2454" s="931" t="s">
        <v>366</v>
      </c>
      <c r="E2454" s="882">
        <f>'REF. DE PREÇOS n editavel'!E2454</f>
        <v>440</v>
      </c>
      <c r="F2454" s="883">
        <f>'REF. DE PREÇOS n editavel'!F2454</f>
        <v>0</v>
      </c>
      <c r="G2454" s="884">
        <f>'REF. DE PREÇOS n editavel'!G2454</f>
        <v>0</v>
      </c>
      <c r="H2454" s="876">
        <f>'REF. DE PREÇOS n editavel'!H2454</f>
        <v>0</v>
      </c>
      <c r="I2454" s="876" t="str">
        <f>'REF. DE PREÇOS n editavel'!I2454</f>
        <v/>
      </c>
      <c r="J2454" s="877">
        <f>'REF. DE PREÇOS n editavel'!J2454</f>
        <v>0</v>
      </c>
      <c r="K2454" s="932" t="s">
        <v>506</v>
      </c>
      <c r="L2454" s="933"/>
      <c r="M2454" s="1112">
        <f t="shared" si="244"/>
        <v>0</v>
      </c>
      <c r="N2454" s="1131">
        <f t="shared" si="240"/>
        <v>0</v>
      </c>
      <c r="O2454" s="880"/>
      <c r="P2454" s="58" t="str">
        <f>IF(N2449&gt;0,"xx",IF(N2449&gt;0,"xy",""))</f>
        <v/>
      </c>
      <c r="Q2454" s="317" t="str">
        <f t="shared" si="241"/>
        <v/>
      </c>
      <c r="R2454" s="317" t="str">
        <f t="shared" si="242"/>
        <v/>
      </c>
      <c r="S2454" s="317" t="str">
        <f t="shared" si="243"/>
        <v/>
      </c>
      <c r="T2454" s="317" t="str">
        <f>'REF. DE PREÇOS n editavel'!S2454</f>
        <v/>
      </c>
      <c r="W2454" s="577">
        <v>0</v>
      </c>
      <c r="X2454" s="575"/>
      <c r="Y2454" s="578">
        <f>IF('REF. DE PREÇOS n editavel'!W2454=0,0,IF('REF. DE PREÇOS n editavel'!W2454&gt;0,"c","b"))</f>
        <v>0</v>
      </c>
    </row>
    <row r="2455" spans="1:25" ht="15" customHeight="1">
      <c r="A2455" s="317" t="s">
        <v>401</v>
      </c>
      <c r="B2455" s="870" t="s">
        <v>401</v>
      </c>
      <c r="C2455" s="871" t="s">
        <v>184</v>
      </c>
      <c r="D2455" s="881" t="str">
        <f>'ENSAIOS DE ORÇAMENTO'!C80</f>
        <v>ENSAIO DE ORÇAMENTO 9</v>
      </c>
      <c r="E2455" s="882">
        <f>'REF. DE PREÇOS n editavel'!E2455</f>
        <v>0</v>
      </c>
      <c r="F2455" s="883">
        <f>'REF. DE PREÇOS n editavel'!F2455</f>
        <v>0</v>
      </c>
      <c r="G2455" s="887">
        <f>'REF. DE PREÇOS n editavel'!G2455</f>
        <v>0</v>
      </c>
      <c r="H2455" s="876">
        <f>'REF. DE PREÇOS n editavel'!H2455</f>
        <v>0</v>
      </c>
      <c r="I2455" s="876">
        <f>'REF. DE PREÇOS n editavel'!I2455</f>
        <v>0</v>
      </c>
      <c r="J2455" s="877">
        <f>'REF. DE PREÇOS n editavel'!J2455</f>
        <v>0</v>
      </c>
      <c r="K2455" s="878" t="s">
        <v>15</v>
      </c>
      <c r="L2455" s="1092"/>
      <c r="M2455" s="1093">
        <f t="shared" si="244"/>
        <v>0</v>
      </c>
      <c r="N2455" s="1131">
        <f t="shared" ref="N2455:N2518" si="245">IF(ISBLANK(L2455),0,IF(W2455=0,ROUND(L2455*M2455,2),IF(W2455="b",ROUNDDOWN(L2455*M2455,2),ROUNDUP(L2455*M2455,2))))</f>
        <v>0</v>
      </c>
      <c r="O2455" s="880"/>
      <c r="Q2455" s="317" t="str">
        <f t="shared" si="241"/>
        <v/>
      </c>
      <c r="R2455" s="317" t="str">
        <f t="shared" si="242"/>
        <v/>
      </c>
      <c r="S2455" s="317" t="str">
        <f t="shared" si="243"/>
        <v/>
      </c>
      <c r="T2455" s="317" t="str">
        <f>'REF. DE PREÇOS n editavel'!S2455</f>
        <v/>
      </c>
      <c r="W2455" s="577">
        <v>0</v>
      </c>
      <c r="X2455" s="575"/>
      <c r="Y2455" s="578">
        <f>IF('REF. DE PREÇOS n editavel'!W2455=0,0,IF('REF. DE PREÇOS n editavel'!W2455&gt;0,"c","b"))</f>
        <v>0</v>
      </c>
    </row>
    <row r="2456" spans="1:25" ht="15" customHeight="1">
      <c r="A2456" s="317" t="s">
        <v>147</v>
      </c>
      <c r="B2456" s="870" t="s">
        <v>147</v>
      </c>
      <c r="C2456" s="871"/>
      <c r="D2456" s="931" t="s">
        <v>190</v>
      </c>
      <c r="E2456" s="882">
        <f>'REF. DE PREÇOS n editavel'!E2456</f>
        <v>445</v>
      </c>
      <c r="F2456" s="883">
        <f>'REF. DE PREÇOS n editavel'!F2456</f>
        <v>0</v>
      </c>
      <c r="G2456" s="884">
        <f>'REF. DE PREÇOS n editavel'!G2456</f>
        <v>0</v>
      </c>
      <c r="H2456" s="876">
        <f>'REF. DE PREÇOS n editavel'!H2456</f>
        <v>0</v>
      </c>
      <c r="I2456" s="876" t="str">
        <f>'REF. DE PREÇOS n editavel'!I2456</f>
        <v/>
      </c>
      <c r="J2456" s="877">
        <f>'REF. DE PREÇOS n editavel'!J2456</f>
        <v>0</v>
      </c>
      <c r="K2456" s="932" t="s">
        <v>506</v>
      </c>
      <c r="L2456" s="933"/>
      <c r="M2456" s="1112">
        <f t="shared" si="244"/>
        <v>0</v>
      </c>
      <c r="N2456" s="1131">
        <f t="shared" si="245"/>
        <v>0</v>
      </c>
      <c r="O2456" s="880"/>
      <c r="P2456" s="58" t="str">
        <f>IF(N2455&gt;0,"xx",IF(N2455&gt;0,"xy",""))</f>
        <v/>
      </c>
      <c r="Q2456" s="317" t="str">
        <f t="shared" si="241"/>
        <v/>
      </c>
      <c r="R2456" s="317" t="str">
        <f t="shared" si="242"/>
        <v/>
      </c>
      <c r="S2456" s="317" t="str">
        <f t="shared" si="243"/>
        <v/>
      </c>
      <c r="T2456" s="317" t="str">
        <f>'REF. DE PREÇOS n editavel'!S2456</f>
        <v/>
      </c>
      <c r="W2456" s="577">
        <v>0</v>
      </c>
      <c r="X2456" s="575"/>
      <c r="Y2456" s="578">
        <f>IF('REF. DE PREÇOS n editavel'!W2456=0,0,IF('REF. DE PREÇOS n editavel'!W2456&gt;0,"c","b"))</f>
        <v>0</v>
      </c>
    </row>
    <row r="2457" spans="1:25" ht="15" customHeight="1">
      <c r="A2457" s="317" t="s">
        <v>147</v>
      </c>
      <c r="B2457" s="870" t="s">
        <v>147</v>
      </c>
      <c r="C2457" s="871"/>
      <c r="D2457" s="931" t="s">
        <v>229</v>
      </c>
      <c r="E2457" s="882">
        <f>'REF. DE PREÇOS n editavel'!E2457</f>
        <v>290</v>
      </c>
      <c r="F2457" s="883">
        <f>'REF. DE PREÇOS n editavel'!F2457</f>
        <v>0</v>
      </c>
      <c r="G2457" s="923">
        <f>'REF. DE PREÇOS n editavel'!G2457</f>
        <v>0</v>
      </c>
      <c r="H2457" s="876">
        <f>'REF. DE PREÇOS n editavel'!H2457</f>
        <v>0</v>
      </c>
      <c r="I2457" s="876" t="str">
        <f>'REF. DE PREÇOS n editavel'!I2457</f>
        <v/>
      </c>
      <c r="J2457" s="877">
        <f>'REF. DE PREÇOS n editavel'!J2457</f>
        <v>0</v>
      </c>
      <c r="K2457" s="932" t="s">
        <v>506</v>
      </c>
      <c r="L2457" s="933"/>
      <c r="M2457" s="1112">
        <f t="shared" si="244"/>
        <v>0</v>
      </c>
      <c r="N2457" s="1131">
        <f t="shared" si="245"/>
        <v>0</v>
      </c>
      <c r="O2457" s="880"/>
      <c r="P2457" s="58" t="str">
        <f>IF(N2455&gt;0,"xx",IF(N2455&gt;0,"xy",""))</f>
        <v/>
      </c>
      <c r="Q2457" s="317" t="str">
        <f t="shared" si="241"/>
        <v/>
      </c>
      <c r="R2457" s="317" t="str">
        <f t="shared" si="242"/>
        <v/>
      </c>
      <c r="S2457" s="317" t="str">
        <f t="shared" si="243"/>
        <v/>
      </c>
      <c r="T2457" s="317" t="str">
        <f>'REF. DE PREÇOS n editavel'!S2457</f>
        <v/>
      </c>
      <c r="W2457" s="577">
        <v>0</v>
      </c>
      <c r="X2457" s="575"/>
      <c r="Y2457" s="578">
        <f>IF('REF. DE PREÇOS n editavel'!W2457=0,0,IF('REF. DE PREÇOS n editavel'!W2457&gt;0,"c","b"))</f>
        <v>0</v>
      </c>
    </row>
    <row r="2458" spans="1:25" ht="15" customHeight="1">
      <c r="A2458" s="317" t="s">
        <v>147</v>
      </c>
      <c r="B2458" s="870" t="s">
        <v>147</v>
      </c>
      <c r="C2458" s="871"/>
      <c r="D2458" s="931" t="s">
        <v>233</v>
      </c>
      <c r="E2458" s="882">
        <f>'REF. DE PREÇOS n editavel'!E2458</f>
        <v>43.1</v>
      </c>
      <c r="F2458" s="883">
        <f>'REF. DE PREÇOS n editavel'!F2458</f>
        <v>0</v>
      </c>
      <c r="G2458" s="923">
        <f>'REF. DE PREÇOS n editavel'!G2458</f>
        <v>0</v>
      </c>
      <c r="H2458" s="876">
        <f>'REF. DE PREÇOS n editavel'!H2458</f>
        <v>0</v>
      </c>
      <c r="I2458" s="876" t="str">
        <f>'REF. DE PREÇOS n editavel'!I2458</f>
        <v/>
      </c>
      <c r="J2458" s="877">
        <f>'REF. DE PREÇOS n editavel'!J2458</f>
        <v>0</v>
      </c>
      <c r="K2458" s="932" t="s">
        <v>506</v>
      </c>
      <c r="L2458" s="933"/>
      <c r="M2458" s="1112">
        <f t="shared" si="244"/>
        <v>0</v>
      </c>
      <c r="N2458" s="1131">
        <f t="shared" si="245"/>
        <v>0</v>
      </c>
      <c r="O2458" s="880"/>
      <c r="P2458" s="58" t="str">
        <f>IF(N2455&gt;0,"xx",IF(N2455&gt;0,"xy",""))</f>
        <v/>
      </c>
      <c r="Q2458" s="317" t="str">
        <f t="shared" si="241"/>
        <v/>
      </c>
      <c r="R2458" s="317" t="str">
        <f t="shared" si="242"/>
        <v/>
      </c>
      <c r="S2458" s="317" t="str">
        <f t="shared" si="243"/>
        <v/>
      </c>
      <c r="T2458" s="317" t="str">
        <f>'REF. DE PREÇOS n editavel'!S2458</f>
        <v/>
      </c>
      <c r="W2458" s="577">
        <v>0</v>
      </c>
      <c r="X2458" s="575"/>
      <c r="Y2458" s="578">
        <f>IF('REF. DE PREÇOS n editavel'!W2458=0,0,IF('REF. DE PREÇOS n editavel'!W2458&gt;0,"c","b"))</f>
        <v>0</v>
      </c>
    </row>
    <row r="2459" spans="1:25" ht="15" customHeight="1">
      <c r="A2459" s="317" t="s">
        <v>147</v>
      </c>
      <c r="B2459" s="870" t="s">
        <v>147</v>
      </c>
      <c r="C2459" s="871"/>
      <c r="D2459" s="931" t="s">
        <v>365</v>
      </c>
      <c r="E2459" s="882">
        <f>'REF. DE PREÇOS n editavel'!E2459</f>
        <v>28</v>
      </c>
      <c r="F2459" s="883">
        <f>'REF. DE PREÇOS n editavel'!F2459</f>
        <v>0</v>
      </c>
      <c r="G2459" s="923">
        <f>'REF. DE PREÇOS n editavel'!G2459</f>
        <v>0</v>
      </c>
      <c r="H2459" s="876">
        <f>'REF. DE PREÇOS n editavel'!H2459</f>
        <v>0</v>
      </c>
      <c r="I2459" s="876" t="str">
        <f>'REF. DE PREÇOS n editavel'!I2459</f>
        <v/>
      </c>
      <c r="J2459" s="877">
        <f>'REF. DE PREÇOS n editavel'!J2459</f>
        <v>0</v>
      </c>
      <c r="K2459" s="932" t="s">
        <v>506</v>
      </c>
      <c r="L2459" s="933"/>
      <c r="M2459" s="1112">
        <f t="shared" si="244"/>
        <v>0</v>
      </c>
      <c r="N2459" s="1131">
        <f t="shared" si="245"/>
        <v>0</v>
      </c>
      <c r="O2459" s="880"/>
      <c r="P2459" s="58" t="str">
        <f>IF(N2455&gt;0,"xx",IF(N2455&gt;0,"xy",""))</f>
        <v/>
      </c>
      <c r="Q2459" s="317" t="str">
        <f t="shared" si="241"/>
        <v/>
      </c>
      <c r="R2459" s="317" t="str">
        <f t="shared" si="242"/>
        <v/>
      </c>
      <c r="S2459" s="317" t="str">
        <f t="shared" si="243"/>
        <v/>
      </c>
      <c r="T2459" s="317" t="str">
        <f>'REF. DE PREÇOS n editavel'!S2459</f>
        <v/>
      </c>
      <c r="W2459" s="577">
        <v>0</v>
      </c>
      <c r="X2459" s="575"/>
      <c r="Y2459" s="578">
        <f>IF('REF. DE PREÇOS n editavel'!W2459=0,0,IF('REF. DE PREÇOS n editavel'!W2459&gt;0,"c","b"))</f>
        <v>0</v>
      </c>
    </row>
    <row r="2460" spans="1:25" ht="15" customHeight="1">
      <c r="A2460" s="317" t="s">
        <v>147</v>
      </c>
      <c r="B2460" s="870" t="s">
        <v>147</v>
      </c>
      <c r="C2460" s="871"/>
      <c r="D2460" s="931" t="s">
        <v>366</v>
      </c>
      <c r="E2460" s="882">
        <f>'REF. DE PREÇOS n editavel'!E2460</f>
        <v>440</v>
      </c>
      <c r="F2460" s="883">
        <f>'REF. DE PREÇOS n editavel'!F2460</f>
        <v>0</v>
      </c>
      <c r="G2460" s="884">
        <f>'REF. DE PREÇOS n editavel'!G2460</f>
        <v>0</v>
      </c>
      <c r="H2460" s="876">
        <f>'REF. DE PREÇOS n editavel'!H2460</f>
        <v>0</v>
      </c>
      <c r="I2460" s="876" t="str">
        <f>'REF. DE PREÇOS n editavel'!I2460</f>
        <v/>
      </c>
      <c r="J2460" s="877">
        <f>'REF. DE PREÇOS n editavel'!J2460</f>
        <v>0</v>
      </c>
      <c r="K2460" s="932" t="s">
        <v>506</v>
      </c>
      <c r="L2460" s="933"/>
      <c r="M2460" s="1112">
        <f t="shared" si="244"/>
        <v>0</v>
      </c>
      <c r="N2460" s="1131">
        <f t="shared" si="245"/>
        <v>0</v>
      </c>
      <c r="O2460" s="880"/>
      <c r="P2460" s="58" t="str">
        <f>IF(N2455&gt;0,"xx",IF(N2455&gt;0,"xy",""))</f>
        <v/>
      </c>
      <c r="Q2460" s="317" t="str">
        <f t="shared" si="241"/>
        <v/>
      </c>
      <c r="R2460" s="317" t="str">
        <f t="shared" si="242"/>
        <v/>
      </c>
      <c r="S2460" s="317" t="str">
        <f t="shared" si="243"/>
        <v/>
      </c>
      <c r="T2460" s="317" t="str">
        <f>'REF. DE PREÇOS n editavel'!S2460</f>
        <v/>
      </c>
      <c r="W2460" s="577">
        <v>0</v>
      </c>
      <c r="X2460" s="575"/>
      <c r="Y2460" s="578">
        <f>IF('REF. DE PREÇOS n editavel'!W2460=0,0,IF('REF. DE PREÇOS n editavel'!W2460&gt;0,"c","b"))</f>
        <v>0</v>
      </c>
    </row>
    <row r="2461" spans="1:25" ht="15" customHeight="1">
      <c r="A2461" s="317" t="s">
        <v>402</v>
      </c>
      <c r="B2461" s="870" t="s">
        <v>402</v>
      </c>
      <c r="C2461" s="871" t="s">
        <v>184</v>
      </c>
      <c r="D2461" s="881" t="str">
        <f>'ENSAIOS DE ORÇAMENTO'!C81</f>
        <v>ENSAIO DE ORÇAMENTO 10</v>
      </c>
      <c r="E2461" s="882">
        <f>'REF. DE PREÇOS n editavel'!E2461</f>
        <v>0</v>
      </c>
      <c r="F2461" s="883">
        <f>'REF. DE PREÇOS n editavel'!F2461</f>
        <v>0</v>
      </c>
      <c r="G2461" s="887">
        <f>'REF. DE PREÇOS n editavel'!G2461</f>
        <v>0</v>
      </c>
      <c r="H2461" s="876">
        <f>'REF. DE PREÇOS n editavel'!H2461</f>
        <v>0</v>
      </c>
      <c r="I2461" s="876">
        <f>'REF. DE PREÇOS n editavel'!I2461</f>
        <v>0</v>
      </c>
      <c r="J2461" s="877">
        <f>'REF. DE PREÇOS n editavel'!J2461</f>
        <v>0</v>
      </c>
      <c r="K2461" s="878" t="s">
        <v>15</v>
      </c>
      <c r="L2461" s="1092"/>
      <c r="M2461" s="1093">
        <f t="shared" si="244"/>
        <v>0</v>
      </c>
      <c r="N2461" s="1131">
        <f t="shared" si="245"/>
        <v>0</v>
      </c>
      <c r="O2461" s="880"/>
      <c r="Q2461" s="317" t="str">
        <f t="shared" si="241"/>
        <v/>
      </c>
      <c r="R2461" s="317" t="str">
        <f t="shared" si="242"/>
        <v/>
      </c>
      <c r="S2461" s="317" t="str">
        <f t="shared" si="243"/>
        <v/>
      </c>
      <c r="T2461" s="317" t="str">
        <f>'REF. DE PREÇOS n editavel'!S2461</f>
        <v/>
      </c>
      <c r="W2461" s="577">
        <v>0</v>
      </c>
      <c r="X2461" s="575"/>
      <c r="Y2461" s="578">
        <f>IF('REF. DE PREÇOS n editavel'!W2461=0,0,IF('REF. DE PREÇOS n editavel'!W2461&gt;0,"c","b"))</f>
        <v>0</v>
      </c>
    </row>
    <row r="2462" spans="1:25" ht="15" customHeight="1">
      <c r="A2462" s="317" t="s">
        <v>147</v>
      </c>
      <c r="B2462" s="870" t="s">
        <v>147</v>
      </c>
      <c r="C2462" s="871"/>
      <c r="D2462" s="931" t="s">
        <v>190</v>
      </c>
      <c r="E2462" s="882">
        <f>'REF. DE PREÇOS n editavel'!E2462</f>
        <v>445</v>
      </c>
      <c r="F2462" s="883">
        <f>'REF. DE PREÇOS n editavel'!F2462</f>
        <v>0</v>
      </c>
      <c r="G2462" s="884">
        <f>'REF. DE PREÇOS n editavel'!G2462</f>
        <v>0</v>
      </c>
      <c r="H2462" s="876">
        <f>'REF. DE PREÇOS n editavel'!H2462</f>
        <v>0</v>
      </c>
      <c r="I2462" s="876" t="str">
        <f>'REF. DE PREÇOS n editavel'!I2462</f>
        <v/>
      </c>
      <c r="J2462" s="877">
        <f>'REF. DE PREÇOS n editavel'!J2462</f>
        <v>0</v>
      </c>
      <c r="K2462" s="932" t="s">
        <v>506</v>
      </c>
      <c r="L2462" s="933"/>
      <c r="M2462" s="1112">
        <f t="shared" si="244"/>
        <v>0</v>
      </c>
      <c r="N2462" s="1131">
        <f t="shared" si="245"/>
        <v>0</v>
      </c>
      <c r="O2462" s="880"/>
      <c r="P2462" s="58" t="str">
        <f>IF(N2461&gt;0,"xx",IF(N2461&gt;0,"xy",""))</f>
        <v/>
      </c>
      <c r="Q2462" s="317" t="str">
        <f t="shared" si="241"/>
        <v/>
      </c>
      <c r="R2462" s="317" t="str">
        <f t="shared" si="242"/>
        <v/>
      </c>
      <c r="S2462" s="317" t="str">
        <f t="shared" si="243"/>
        <v/>
      </c>
      <c r="T2462" s="317" t="str">
        <f>'REF. DE PREÇOS n editavel'!S2462</f>
        <v/>
      </c>
      <c r="W2462" s="577">
        <v>0</v>
      </c>
      <c r="X2462" s="575"/>
      <c r="Y2462" s="578">
        <f>IF('REF. DE PREÇOS n editavel'!W2462=0,0,IF('REF. DE PREÇOS n editavel'!W2462&gt;0,"c","b"))</f>
        <v>0</v>
      </c>
    </row>
    <row r="2463" spans="1:25" ht="15" customHeight="1">
      <c r="A2463" s="317" t="s">
        <v>147</v>
      </c>
      <c r="B2463" s="870" t="s">
        <v>147</v>
      </c>
      <c r="C2463" s="871"/>
      <c r="D2463" s="931" t="s">
        <v>229</v>
      </c>
      <c r="E2463" s="882">
        <f>'REF. DE PREÇOS n editavel'!E2463</f>
        <v>290</v>
      </c>
      <c r="F2463" s="883">
        <f>'REF. DE PREÇOS n editavel'!F2463</f>
        <v>0</v>
      </c>
      <c r="G2463" s="923">
        <f>'REF. DE PREÇOS n editavel'!G2463</f>
        <v>0</v>
      </c>
      <c r="H2463" s="876">
        <f>'REF. DE PREÇOS n editavel'!H2463</f>
        <v>0</v>
      </c>
      <c r="I2463" s="876" t="str">
        <f>'REF. DE PREÇOS n editavel'!I2463</f>
        <v/>
      </c>
      <c r="J2463" s="877">
        <f>'REF. DE PREÇOS n editavel'!J2463</f>
        <v>0</v>
      </c>
      <c r="K2463" s="932" t="s">
        <v>506</v>
      </c>
      <c r="L2463" s="933"/>
      <c r="M2463" s="1112">
        <f t="shared" si="244"/>
        <v>0</v>
      </c>
      <c r="N2463" s="1131">
        <f t="shared" si="245"/>
        <v>0</v>
      </c>
      <c r="O2463" s="880"/>
      <c r="P2463" s="58" t="str">
        <f>IF(N2461&gt;0,"xx",IF(N2461&gt;0,"xy",""))</f>
        <v/>
      </c>
      <c r="Q2463" s="317" t="str">
        <f t="shared" si="241"/>
        <v/>
      </c>
      <c r="R2463" s="317" t="str">
        <f t="shared" si="242"/>
        <v/>
      </c>
      <c r="S2463" s="317" t="str">
        <f t="shared" si="243"/>
        <v/>
      </c>
      <c r="T2463" s="317" t="str">
        <f>'REF. DE PREÇOS n editavel'!S2463</f>
        <v/>
      </c>
      <c r="W2463" s="577">
        <v>0</v>
      </c>
      <c r="X2463" s="575"/>
      <c r="Y2463" s="578">
        <f>IF('REF. DE PREÇOS n editavel'!W2463=0,0,IF('REF. DE PREÇOS n editavel'!W2463&gt;0,"c","b"))</f>
        <v>0</v>
      </c>
    </row>
    <row r="2464" spans="1:25" ht="15" customHeight="1">
      <c r="A2464" s="317" t="s">
        <v>147</v>
      </c>
      <c r="B2464" s="870" t="s">
        <v>147</v>
      </c>
      <c r="C2464" s="871"/>
      <c r="D2464" s="931" t="s">
        <v>233</v>
      </c>
      <c r="E2464" s="882">
        <f>'REF. DE PREÇOS n editavel'!E2464</f>
        <v>43.1</v>
      </c>
      <c r="F2464" s="883">
        <f>'REF. DE PREÇOS n editavel'!F2464</f>
        <v>0</v>
      </c>
      <c r="G2464" s="923">
        <f>'REF. DE PREÇOS n editavel'!G2464</f>
        <v>0</v>
      </c>
      <c r="H2464" s="876">
        <f>'REF. DE PREÇOS n editavel'!H2464</f>
        <v>0</v>
      </c>
      <c r="I2464" s="876" t="str">
        <f>'REF. DE PREÇOS n editavel'!I2464</f>
        <v/>
      </c>
      <c r="J2464" s="877">
        <f>'REF. DE PREÇOS n editavel'!J2464</f>
        <v>0</v>
      </c>
      <c r="K2464" s="932" t="s">
        <v>506</v>
      </c>
      <c r="L2464" s="933"/>
      <c r="M2464" s="1112">
        <f t="shared" si="244"/>
        <v>0</v>
      </c>
      <c r="N2464" s="1131">
        <f t="shared" si="245"/>
        <v>0</v>
      </c>
      <c r="O2464" s="880"/>
      <c r="P2464" s="58" t="str">
        <f>IF(N2461&gt;0,"xx",IF(N2461&gt;0,"xy",""))</f>
        <v/>
      </c>
      <c r="Q2464" s="317" t="str">
        <f t="shared" si="241"/>
        <v/>
      </c>
      <c r="R2464" s="317" t="str">
        <f t="shared" si="242"/>
        <v/>
      </c>
      <c r="S2464" s="317" t="str">
        <f t="shared" si="243"/>
        <v/>
      </c>
      <c r="T2464" s="317" t="str">
        <f>'REF. DE PREÇOS n editavel'!S2464</f>
        <v/>
      </c>
      <c r="W2464" s="577">
        <v>0</v>
      </c>
      <c r="X2464" s="575"/>
      <c r="Y2464" s="578">
        <f>IF('REF. DE PREÇOS n editavel'!W2464=0,0,IF('REF. DE PREÇOS n editavel'!W2464&gt;0,"c","b"))</f>
        <v>0</v>
      </c>
    </row>
    <row r="2465" spans="1:25" ht="15" customHeight="1">
      <c r="A2465" s="317" t="s">
        <v>147</v>
      </c>
      <c r="B2465" s="870" t="s">
        <v>147</v>
      </c>
      <c r="C2465" s="871"/>
      <c r="D2465" s="931" t="s">
        <v>365</v>
      </c>
      <c r="E2465" s="882">
        <f>'REF. DE PREÇOS n editavel'!E2465</f>
        <v>28</v>
      </c>
      <c r="F2465" s="883">
        <f>'REF. DE PREÇOS n editavel'!F2465</f>
        <v>0</v>
      </c>
      <c r="G2465" s="923">
        <f>'REF. DE PREÇOS n editavel'!G2465</f>
        <v>0</v>
      </c>
      <c r="H2465" s="876">
        <f>'REF. DE PREÇOS n editavel'!H2465</f>
        <v>0</v>
      </c>
      <c r="I2465" s="876" t="str">
        <f>'REF. DE PREÇOS n editavel'!I2465</f>
        <v/>
      </c>
      <c r="J2465" s="877">
        <f>'REF. DE PREÇOS n editavel'!J2465</f>
        <v>0</v>
      </c>
      <c r="K2465" s="932" t="s">
        <v>506</v>
      </c>
      <c r="L2465" s="933"/>
      <c r="M2465" s="1112">
        <f t="shared" si="244"/>
        <v>0</v>
      </c>
      <c r="N2465" s="1131">
        <f t="shared" si="245"/>
        <v>0</v>
      </c>
      <c r="O2465" s="880"/>
      <c r="P2465" s="58" t="str">
        <f>IF(N2461&gt;0,"xx",IF(N2461&gt;0,"xy",""))</f>
        <v/>
      </c>
      <c r="Q2465" s="317" t="str">
        <f t="shared" si="241"/>
        <v/>
      </c>
      <c r="R2465" s="317" t="str">
        <f t="shared" si="242"/>
        <v/>
      </c>
      <c r="S2465" s="317" t="str">
        <f t="shared" si="243"/>
        <v/>
      </c>
      <c r="T2465" s="317" t="str">
        <f>'REF. DE PREÇOS n editavel'!S2465</f>
        <v/>
      </c>
      <c r="W2465" s="577">
        <v>0</v>
      </c>
      <c r="X2465" s="575"/>
      <c r="Y2465" s="578">
        <f>IF('REF. DE PREÇOS n editavel'!W2465=0,0,IF('REF. DE PREÇOS n editavel'!W2465&gt;0,"c","b"))</f>
        <v>0</v>
      </c>
    </row>
    <row r="2466" spans="1:25" ht="15" customHeight="1">
      <c r="A2466" s="317" t="s">
        <v>147</v>
      </c>
      <c r="B2466" s="870" t="s">
        <v>147</v>
      </c>
      <c r="C2466" s="871"/>
      <c r="D2466" s="931" t="s">
        <v>366</v>
      </c>
      <c r="E2466" s="882">
        <f>'REF. DE PREÇOS n editavel'!E2466</f>
        <v>440</v>
      </c>
      <c r="F2466" s="883">
        <f>'REF. DE PREÇOS n editavel'!F2466</f>
        <v>0</v>
      </c>
      <c r="G2466" s="884">
        <f>'REF. DE PREÇOS n editavel'!G2466</f>
        <v>0</v>
      </c>
      <c r="H2466" s="876">
        <f>'REF. DE PREÇOS n editavel'!H2466</f>
        <v>0</v>
      </c>
      <c r="I2466" s="876" t="str">
        <f>'REF. DE PREÇOS n editavel'!I2466</f>
        <v/>
      </c>
      <c r="J2466" s="877">
        <f>'REF. DE PREÇOS n editavel'!J2466</f>
        <v>0</v>
      </c>
      <c r="K2466" s="932" t="s">
        <v>506</v>
      </c>
      <c r="L2466" s="933"/>
      <c r="M2466" s="1112">
        <f t="shared" si="244"/>
        <v>0</v>
      </c>
      <c r="N2466" s="1131">
        <f t="shared" si="245"/>
        <v>0</v>
      </c>
      <c r="O2466" s="880"/>
      <c r="P2466" s="58" t="str">
        <f>IF(N2461&gt;0,"xx",IF(N2461&gt;0,"xy",""))</f>
        <v/>
      </c>
      <c r="Q2466" s="317" t="str">
        <f t="shared" si="241"/>
        <v/>
      </c>
      <c r="R2466" s="317" t="str">
        <f t="shared" si="242"/>
        <v/>
      </c>
      <c r="S2466" s="317" t="str">
        <f t="shared" si="243"/>
        <v/>
      </c>
      <c r="T2466" s="317" t="str">
        <f>'REF. DE PREÇOS n editavel'!S2466</f>
        <v/>
      </c>
      <c r="W2466" s="577">
        <v>0</v>
      </c>
      <c r="X2466" s="575"/>
      <c r="Y2466" s="578">
        <f>IF('REF. DE PREÇOS n editavel'!W2466=0,0,IF('REF. DE PREÇOS n editavel'!W2466&gt;0,"c","b"))</f>
        <v>0</v>
      </c>
    </row>
    <row r="2467" spans="1:25" ht="15" customHeight="1">
      <c r="A2467" s="634" t="s">
        <v>165</v>
      </c>
      <c r="B2467" s="888" t="s">
        <v>165</v>
      </c>
      <c r="C2467" s="889"/>
      <c r="D2467" s="890" t="s">
        <v>413</v>
      </c>
      <c r="E2467" s="891">
        <f>'REF. DE PREÇOS n editavel'!E2467</f>
        <v>0</v>
      </c>
      <c r="F2467" s="892">
        <f>'REF. DE PREÇOS n editavel'!F2467</f>
        <v>0</v>
      </c>
      <c r="G2467" s="893">
        <f>'REF. DE PREÇOS n editavel'!G2467</f>
        <v>0</v>
      </c>
      <c r="H2467" s="894">
        <f>'REF. DE PREÇOS n editavel'!H2467</f>
        <v>0</v>
      </c>
      <c r="I2467" s="894">
        <f>'REF. DE PREÇOS n editavel'!I2467</f>
        <v>0</v>
      </c>
      <c r="J2467" s="894">
        <f>'REF. DE PREÇOS n editavel'!J2467</f>
        <v>0</v>
      </c>
      <c r="K2467" s="895" t="s">
        <v>506</v>
      </c>
      <c r="L2467" s="896"/>
      <c r="M2467" s="1130">
        <f t="shared" si="244"/>
        <v>0</v>
      </c>
      <c r="N2467" s="1133">
        <f t="shared" si="245"/>
        <v>0</v>
      </c>
      <c r="O2467" s="880"/>
      <c r="P2467" s="58" t="str">
        <f>IF(OR(SUM(N2468:N2498)&gt;0,SUM(N2468:N2498)&gt;0),"y","")</f>
        <v>y</v>
      </c>
      <c r="Q2467" s="317" t="str">
        <f t="shared" si="241"/>
        <v>x</v>
      </c>
      <c r="R2467" s="317" t="str">
        <f t="shared" si="242"/>
        <v>x</v>
      </c>
      <c r="S2467" s="317" t="str">
        <f t="shared" si="243"/>
        <v/>
      </c>
      <c r="T2467" s="317" t="str">
        <f>'REF. DE PREÇOS n editavel'!S2467</f>
        <v/>
      </c>
      <c r="W2467" s="577">
        <v>0</v>
      </c>
      <c r="X2467" s="575"/>
      <c r="Y2467" s="578">
        <f>IF('REF. DE PREÇOS n editavel'!W2467=0,0,IF('REF. DE PREÇOS n editavel'!W2467&gt;0,"c","b"))</f>
        <v>0</v>
      </c>
    </row>
    <row r="2468" spans="1:25" ht="15" customHeight="1">
      <c r="A2468" s="634" t="s">
        <v>165</v>
      </c>
      <c r="B2468" s="1010" t="str">
        <f>'REF. DE PREÇOS n editavel'!B2468</f>
        <v>650000</v>
      </c>
      <c r="C2468" s="1045" t="str">
        <f>'REF. DE PREÇOS n editavel'!C2468</f>
        <v>DER</v>
      </c>
      <c r="D2468" s="1096" t="str">
        <f>'REF. DE PREÇOS n editavel'!D2468</f>
        <v>SARJETA TRIANGULAR CONCRETO - TIPO 1</v>
      </c>
      <c r="E2468" s="882">
        <f>'REF. DE PREÇOS n editavel'!E2468</f>
        <v>0</v>
      </c>
      <c r="F2468" s="883">
        <f>'REF. DE PREÇOS n editavel'!F2468</f>
        <v>0</v>
      </c>
      <c r="G2468" s="887">
        <f>'REF. DE PREÇOS n editavel'!G2468</f>
        <v>0</v>
      </c>
      <c r="H2468" s="876">
        <f>'REF. DE PREÇOS n editavel'!H2468</f>
        <v>130.34</v>
      </c>
      <c r="I2468" s="876">
        <f>'REF. DE PREÇOS n editavel'!I2468</f>
        <v>130.34</v>
      </c>
      <c r="J2468" s="865">
        <f>'REF. DE PREÇOS n editavel'!J2468</f>
        <v>159.30000000000001</v>
      </c>
      <c r="K2468" s="878" t="str">
        <f>'REF. DE PREÇOS n editavel'!K2468</f>
        <v>m</v>
      </c>
      <c r="L2468" s="1092">
        <v>2838</v>
      </c>
      <c r="M2468" s="1130">
        <f t="shared" si="244"/>
        <v>159.30000000000001</v>
      </c>
      <c r="N2468" s="1122">
        <f t="shared" si="245"/>
        <v>452093.4</v>
      </c>
      <c r="O2468" s="1120"/>
      <c r="Q2468" s="317" t="str">
        <f t="shared" si="241"/>
        <v>x</v>
      </c>
      <c r="R2468" s="317" t="str">
        <f t="shared" si="242"/>
        <v>x</v>
      </c>
      <c r="S2468" s="317" t="str">
        <f t="shared" si="243"/>
        <v>x</v>
      </c>
      <c r="T2468" s="317" t="str">
        <f>'REF. DE PREÇOS n editavel'!S2468</f>
        <v>x</v>
      </c>
      <c r="W2468" s="577">
        <v>0</v>
      </c>
      <c r="X2468" s="575"/>
      <c r="Y2468" s="578">
        <f>IF('REF. DE PREÇOS n editavel'!W2468=0,0,IF('REF. DE PREÇOS n editavel'!W2468&gt;0,"c","b"))</f>
        <v>0</v>
      </c>
    </row>
    <row r="2469" spans="1:25" ht="15" customHeight="1">
      <c r="A2469" s="634" t="s">
        <v>165</v>
      </c>
      <c r="B2469" s="1010" t="str">
        <f>'REF. DE PREÇOS n editavel'!B2469</f>
        <v>641800</v>
      </c>
      <c r="C2469" s="1045" t="str">
        <f>'REF. DE PREÇOS n editavel'!C2469</f>
        <v>DER</v>
      </c>
      <c r="D2469" s="1096" t="str">
        <f>'REF. DE PREÇOS n editavel'!D2469</f>
        <v>DRENO PROFUNDO EM SOLO - TIPO 6A (GNT)</v>
      </c>
      <c r="E2469" s="882">
        <f>'REF. DE PREÇOS n editavel'!E2469</f>
        <v>0</v>
      </c>
      <c r="F2469" s="883">
        <f>'REF. DE PREÇOS n editavel'!F2469</f>
        <v>0</v>
      </c>
      <c r="G2469" s="887">
        <f>'REF. DE PREÇOS n editavel'!G2469</f>
        <v>0</v>
      </c>
      <c r="H2469" s="876">
        <f>'REF. DE PREÇOS n editavel'!H2469</f>
        <v>182</v>
      </c>
      <c r="I2469" s="876">
        <f>'REF. DE PREÇOS n editavel'!I2469</f>
        <v>182</v>
      </c>
      <c r="J2469" s="865">
        <f>'REF. DE PREÇOS n editavel'!J2469</f>
        <v>222.44</v>
      </c>
      <c r="K2469" s="878" t="str">
        <f>'REF. DE PREÇOS n editavel'!K2469</f>
        <v>m</v>
      </c>
      <c r="L2469" s="1092">
        <v>1860</v>
      </c>
      <c r="M2469" s="1130">
        <f t="shared" si="244"/>
        <v>222.44</v>
      </c>
      <c r="N2469" s="1122">
        <f t="shared" si="245"/>
        <v>413738.4</v>
      </c>
      <c r="O2469" s="1120"/>
      <c r="Q2469" s="317" t="str">
        <f t="shared" si="241"/>
        <v>x</v>
      </c>
      <c r="R2469" s="317" t="str">
        <f t="shared" si="242"/>
        <v>x</v>
      </c>
      <c r="S2469" s="317" t="str">
        <f t="shared" si="243"/>
        <v>x</v>
      </c>
      <c r="T2469" s="317" t="str">
        <f>'REF. DE PREÇOS n editavel'!S2469</f>
        <v>x</v>
      </c>
      <c r="W2469" s="577">
        <v>0</v>
      </c>
      <c r="X2469" s="575"/>
      <c r="Y2469" s="578">
        <f>IF('REF. DE PREÇOS n editavel'!W2469=0,0,IF('REF. DE PREÇOS n editavel'!W2469&gt;0,"c","b"))</f>
        <v>0</v>
      </c>
    </row>
    <row r="2470" spans="1:25" ht="15" customHeight="1">
      <c r="A2470" s="634" t="s">
        <v>165</v>
      </c>
      <c r="B2470" s="1010" t="str">
        <f>'REF. DE PREÇOS n editavel'!B2470</f>
        <v>531000A</v>
      </c>
      <c r="C2470" s="1045" t="str">
        <f>'REF. DE PREÇOS n editavel'!C2470</f>
        <v>DER</v>
      </c>
      <c r="D2470" s="1096" t="str">
        <f>'REF. DE PREÇOS n editavel'!D2470</f>
        <v>Brita Graduada</v>
      </c>
      <c r="E2470" s="882">
        <f>'REF. DE PREÇOS n editavel'!E2470</f>
        <v>43.1</v>
      </c>
      <c r="F2470" s="883">
        <f>'REF. DE PREÇOS n editavel'!F2470</f>
        <v>2.4</v>
      </c>
      <c r="G2470" s="887">
        <f>'REF. DE PREÇOS n editavel'!G2470</f>
        <v>117.11280000000001</v>
      </c>
      <c r="H2470" s="876">
        <f>'REF. DE PREÇOS n editavel'!H2470</f>
        <v>132.22999999999999</v>
      </c>
      <c r="I2470" s="876">
        <f>'REF. DE PREÇOS n editavel'!I2470</f>
        <v>249.34280000000001</v>
      </c>
      <c r="J2470" s="865">
        <f>'REF. DE PREÇOS n editavel'!J2470</f>
        <v>304.75</v>
      </c>
      <c r="K2470" s="878" t="str">
        <f>'REF. DE PREÇOS n editavel'!K2470</f>
        <v>m3</v>
      </c>
      <c r="L2470" s="1092">
        <v>14.77</v>
      </c>
      <c r="M2470" s="1130">
        <f t="shared" si="244"/>
        <v>304.75</v>
      </c>
      <c r="N2470" s="1122">
        <f t="shared" si="245"/>
        <v>4501.16</v>
      </c>
      <c r="O2470" s="1120"/>
      <c r="Q2470" s="317" t="str">
        <f t="shared" si="241"/>
        <v>x</v>
      </c>
      <c r="R2470" s="317" t="str">
        <f t="shared" si="242"/>
        <v>x</v>
      </c>
      <c r="S2470" s="317" t="str">
        <f t="shared" si="243"/>
        <v>x</v>
      </c>
      <c r="T2470" s="317" t="str">
        <f>'REF. DE PREÇOS n editavel'!S2470</f>
        <v>x</v>
      </c>
      <c r="W2470" s="577">
        <v>0</v>
      </c>
      <c r="X2470" s="575"/>
      <c r="Y2470" s="578">
        <f>IF('REF. DE PREÇOS n editavel'!W2470=0,0,IF('REF. DE PREÇOS n editavel'!W2470&gt;0,"c","b"))</f>
        <v>0</v>
      </c>
    </row>
    <row r="2471" spans="1:25" ht="15" customHeight="1">
      <c r="A2471" s="634" t="s">
        <v>165</v>
      </c>
      <c r="B2471" s="1010">
        <f>'REF. DE PREÇOS n editavel'!B2471</f>
        <v>531300</v>
      </c>
      <c r="C2471" s="1045" t="str">
        <f>'REF. DE PREÇOS n editavel'!C2471</f>
        <v>DER</v>
      </c>
      <c r="D2471" s="1096" t="str">
        <f>'REF. DE PREÇOS n editavel'!D2471</f>
        <v>Macadame Seco c/ Brita Graduada</v>
      </c>
      <c r="E2471" s="882">
        <f>'REF. DE PREÇOS n editavel'!E2471</f>
        <v>0</v>
      </c>
      <c r="F2471" s="883">
        <f>'REF. DE PREÇOS n editavel'!F2471</f>
        <v>0</v>
      </c>
      <c r="G2471" s="887">
        <f>'REF. DE PREÇOS n editavel'!G2471</f>
        <v>99.057910000000007</v>
      </c>
      <c r="H2471" s="876">
        <f>'REF. DE PREÇOS n editavel'!H2471</f>
        <v>108.49</v>
      </c>
      <c r="I2471" s="876">
        <f>'REF. DE PREÇOS n editavel'!I2471</f>
        <v>207.54791</v>
      </c>
      <c r="J2471" s="865">
        <f>'REF. DE PREÇOS n editavel'!J2471</f>
        <v>253.67</v>
      </c>
      <c r="K2471" s="878" t="str">
        <f>'REF. DE PREÇOS n editavel'!K2471</f>
        <v>m3</v>
      </c>
      <c r="L2471" s="1092">
        <v>24.96</v>
      </c>
      <c r="M2471" s="1130">
        <f t="shared" si="244"/>
        <v>253.67</v>
      </c>
      <c r="N2471" s="1122">
        <f t="shared" si="245"/>
        <v>6331.6</v>
      </c>
      <c r="O2471" s="1120"/>
      <c r="Q2471" s="317" t="str">
        <f t="shared" si="241"/>
        <v>x</v>
      </c>
      <c r="R2471" s="317" t="str">
        <f t="shared" si="242"/>
        <v>x</v>
      </c>
      <c r="S2471" s="317" t="str">
        <f t="shared" si="243"/>
        <v>x</v>
      </c>
      <c r="T2471" s="317" t="str">
        <f>'REF. DE PREÇOS n editavel'!S2471</f>
        <v>x</v>
      </c>
      <c r="W2471" s="577">
        <v>0</v>
      </c>
      <c r="X2471" s="575"/>
      <c r="Y2471" s="578">
        <f>IF('REF. DE PREÇOS n editavel'!W2471=0,0,IF('REF. DE PREÇOS n editavel'!W2471&gt;0,"c","b"))</f>
        <v>0</v>
      </c>
    </row>
    <row r="2472" spans="1:25" ht="15" customHeight="1">
      <c r="A2472" s="634" t="s">
        <v>165</v>
      </c>
      <c r="B2472" s="1010" t="str">
        <f>'REF. DE PREÇOS n editavel'!B2472</f>
        <v>transporte</v>
      </c>
      <c r="C2472" s="1045">
        <f>'REF. DE PREÇOS n editavel'!C2472</f>
        <v>0</v>
      </c>
      <c r="D2472" s="1096" t="str">
        <f>'REF. DE PREÇOS n editavel'!D2472</f>
        <v>Rachão</v>
      </c>
      <c r="E2472" s="882">
        <f>'REF. DE PREÇOS n editavel'!E2472</f>
        <v>43.1</v>
      </c>
      <c r="F2472" s="883">
        <f>'REF. DE PREÇOS n editavel'!F2472</f>
        <v>1.35</v>
      </c>
      <c r="G2472" s="887">
        <f>'REF. DE PREÇOS n editavel'!G2472</f>
        <v>65.875950000000003</v>
      </c>
      <c r="H2472" s="876">
        <f>'REF. DE PREÇOS n editavel'!H2472</f>
        <v>0</v>
      </c>
      <c r="I2472" s="876">
        <f>'REF. DE PREÇOS n editavel'!I2472</f>
        <v>0</v>
      </c>
      <c r="J2472" s="865">
        <f>'REF. DE PREÇOS n editavel'!J2472</f>
        <v>0</v>
      </c>
      <c r="K2472" s="878" t="str">
        <f>'REF. DE PREÇOS n editavel'!K2472</f>
        <v xml:space="preserve">     </v>
      </c>
      <c r="L2472" s="1092"/>
      <c r="M2472" s="1130">
        <f t="shared" si="244"/>
        <v>0</v>
      </c>
      <c r="N2472" s="1122">
        <f t="shared" si="245"/>
        <v>0</v>
      </c>
      <c r="O2472" s="1120"/>
      <c r="Q2472" s="317" t="str">
        <f t="shared" si="241"/>
        <v/>
      </c>
      <c r="R2472" s="317" t="str">
        <f t="shared" si="242"/>
        <v/>
      </c>
      <c r="S2472" s="317" t="str">
        <f t="shared" si="243"/>
        <v/>
      </c>
      <c r="T2472" s="317" t="str">
        <f>'REF. DE PREÇOS n editavel'!S2472</f>
        <v>x</v>
      </c>
      <c r="W2472" s="577">
        <v>0</v>
      </c>
      <c r="X2472" s="575"/>
      <c r="Y2472" s="578">
        <f>IF('REF. DE PREÇOS n editavel'!W2472=0,0,IF('REF. DE PREÇOS n editavel'!W2472&gt;0,"c","b"))</f>
        <v>0</v>
      </c>
    </row>
    <row r="2473" spans="1:25" ht="15" customHeight="1">
      <c r="A2473" s="634" t="s">
        <v>165</v>
      </c>
      <c r="B2473" s="1010" t="str">
        <f>'REF. DE PREÇOS n editavel'!B2473</f>
        <v>transporte</v>
      </c>
      <c r="C2473" s="1045">
        <f>'REF. DE PREÇOS n editavel'!C2473</f>
        <v>0</v>
      </c>
      <c r="D2473" s="1096" t="str">
        <f>'REF. DE PREÇOS n editavel'!D2473</f>
        <v>Bica corrida</v>
      </c>
      <c r="E2473" s="882">
        <f>'REF. DE PREÇOS n editavel'!E2473</f>
        <v>43.1</v>
      </c>
      <c r="F2473" s="883">
        <f>'REF. DE PREÇOS n editavel'!F2473</f>
        <v>0.68</v>
      </c>
      <c r="G2473" s="887">
        <f>'REF. DE PREÇOS n editavel'!G2473</f>
        <v>33.181960000000004</v>
      </c>
      <c r="H2473" s="876">
        <f>'REF. DE PREÇOS n editavel'!H2473</f>
        <v>0</v>
      </c>
      <c r="I2473" s="876">
        <f>'REF. DE PREÇOS n editavel'!I2473</f>
        <v>0</v>
      </c>
      <c r="J2473" s="865">
        <f>'REF. DE PREÇOS n editavel'!J2473</f>
        <v>0</v>
      </c>
      <c r="K2473" s="878" t="str">
        <f>'REF. DE PREÇOS n editavel'!K2473</f>
        <v xml:space="preserve">     </v>
      </c>
      <c r="L2473" s="1092"/>
      <c r="M2473" s="1130">
        <f t="shared" si="244"/>
        <v>0</v>
      </c>
      <c r="N2473" s="1122">
        <f t="shared" si="245"/>
        <v>0</v>
      </c>
      <c r="O2473" s="1120"/>
      <c r="Q2473" s="317" t="str">
        <f t="shared" si="241"/>
        <v/>
      </c>
      <c r="R2473" s="317" t="str">
        <f t="shared" si="242"/>
        <v/>
      </c>
      <c r="S2473" s="317" t="str">
        <f t="shared" si="243"/>
        <v/>
      </c>
      <c r="T2473" s="317" t="str">
        <f>'REF. DE PREÇOS n editavel'!S2473</f>
        <v>x</v>
      </c>
      <c r="W2473" s="577">
        <v>0</v>
      </c>
      <c r="X2473" s="575"/>
      <c r="Y2473" s="578">
        <f>IF('REF. DE PREÇOS n editavel'!W2473=0,0,IF('REF. DE PREÇOS n editavel'!W2473&gt;0,"c","b"))</f>
        <v>0</v>
      </c>
    </row>
    <row r="2474" spans="1:25" ht="15" customHeight="1">
      <c r="A2474" s="634" t="s">
        <v>165</v>
      </c>
      <c r="B2474" s="1010" t="str">
        <f>'REF. DE PREÇOS n editavel'!B2474</f>
        <v>511100A</v>
      </c>
      <c r="C2474" s="1045" t="str">
        <f>'REF. DE PREÇOS n editavel'!C2474</f>
        <v>DER</v>
      </c>
      <c r="D2474" s="1096" t="str">
        <f>'REF. DE PREÇOS n editavel'!D2474</f>
        <v>Regularização compac.subleito 100% PN</v>
      </c>
      <c r="E2474" s="882">
        <f>'REF. DE PREÇOS n editavel'!E2474</f>
        <v>0</v>
      </c>
      <c r="F2474" s="883">
        <f>'REF. DE PREÇOS n editavel'!F2474</f>
        <v>0</v>
      </c>
      <c r="G2474" s="887">
        <f>'REF. DE PREÇOS n editavel'!G2474</f>
        <v>0</v>
      </c>
      <c r="H2474" s="876">
        <f>'REF. DE PREÇOS n editavel'!H2474</f>
        <v>4.25</v>
      </c>
      <c r="I2474" s="876">
        <f>'REF. DE PREÇOS n editavel'!I2474</f>
        <v>4.25</v>
      </c>
      <c r="J2474" s="865">
        <f>'REF. DE PREÇOS n editavel'!J2474</f>
        <v>5.19</v>
      </c>
      <c r="K2474" s="878" t="str">
        <f>'REF. DE PREÇOS n editavel'!K2474</f>
        <v>m2</v>
      </c>
      <c r="L2474" s="1092">
        <v>138</v>
      </c>
      <c r="M2474" s="1130">
        <f t="shared" si="244"/>
        <v>5.19</v>
      </c>
      <c r="N2474" s="1122">
        <f t="shared" si="245"/>
        <v>716.22</v>
      </c>
      <c r="O2474" s="1120"/>
      <c r="Q2474" s="317" t="str">
        <f t="shared" si="241"/>
        <v>x</v>
      </c>
      <c r="R2474" s="317" t="str">
        <f t="shared" si="242"/>
        <v>x</v>
      </c>
      <c r="S2474" s="317" t="str">
        <f t="shared" si="243"/>
        <v>x</v>
      </c>
      <c r="T2474" s="317" t="str">
        <f>'REF. DE PREÇOS n editavel'!S2474</f>
        <v>x</v>
      </c>
      <c r="W2474" s="577">
        <v>0</v>
      </c>
      <c r="X2474" s="575"/>
      <c r="Y2474" s="578">
        <f>IF('REF. DE PREÇOS n editavel'!W2474=0,0,IF('REF. DE PREÇOS n editavel'!W2474&gt;0,"c","b"))</f>
        <v>0</v>
      </c>
    </row>
    <row r="2475" spans="1:25" ht="15" customHeight="1">
      <c r="A2475" s="634" t="s">
        <v>165</v>
      </c>
      <c r="B2475" s="1010">
        <f>'REF. DE PREÇOS n editavel'!B2475</f>
        <v>0</v>
      </c>
      <c r="C2475" s="1045">
        <f>'REF. DE PREÇOS n editavel'!C2475</f>
        <v>0</v>
      </c>
      <c r="D2475" s="1096">
        <f>'REF. DE PREÇOS n editavel'!D2475</f>
        <v>0</v>
      </c>
      <c r="E2475" s="882">
        <f>'REF. DE PREÇOS n editavel'!E2475</f>
        <v>0</v>
      </c>
      <c r="F2475" s="883">
        <f>'REF. DE PREÇOS n editavel'!F2475</f>
        <v>0</v>
      </c>
      <c r="G2475" s="887">
        <f>'REF. DE PREÇOS n editavel'!G2475</f>
        <v>0</v>
      </c>
      <c r="H2475" s="876">
        <f>'REF. DE PREÇOS n editavel'!H2475</f>
        <v>0</v>
      </c>
      <c r="I2475" s="876">
        <f>'REF. DE PREÇOS n editavel'!I2475</f>
        <v>0</v>
      </c>
      <c r="J2475" s="865">
        <f>'REF. DE PREÇOS n editavel'!J2475</f>
        <v>0</v>
      </c>
      <c r="K2475" s="878">
        <f>'REF. DE PREÇOS n editavel'!K2475</f>
        <v>0</v>
      </c>
      <c r="L2475" s="1092"/>
      <c r="M2475" s="1130">
        <f t="shared" si="244"/>
        <v>0</v>
      </c>
      <c r="N2475" s="1122">
        <f t="shared" si="245"/>
        <v>0</v>
      </c>
      <c r="O2475" s="1120"/>
      <c r="Q2475" s="317" t="str">
        <f t="shared" si="241"/>
        <v/>
      </c>
      <c r="R2475" s="317" t="str">
        <f t="shared" si="242"/>
        <v/>
      </c>
      <c r="S2475" s="317" t="str">
        <f t="shared" si="243"/>
        <v/>
      </c>
      <c r="T2475" s="317" t="str">
        <f>'REF. DE PREÇOS n editavel'!S2475</f>
        <v/>
      </c>
      <c r="W2475" s="577">
        <v>0</v>
      </c>
      <c r="X2475" s="575"/>
      <c r="Y2475" s="578">
        <f>IF('REF. DE PREÇOS n editavel'!W2475=0,0,IF('REF. DE PREÇOS n editavel'!W2475&gt;0,"c","b"))</f>
        <v>0</v>
      </c>
    </row>
    <row r="2476" spans="1:25" ht="15" customHeight="1">
      <c r="A2476" s="634" t="s">
        <v>165</v>
      </c>
      <c r="B2476" s="1010" t="str">
        <f>'REF. DE PREÇOS n editavel'!B2476</f>
        <v/>
      </c>
      <c r="C2476" s="1045" t="str">
        <f>'REF. DE PREÇOS n editavel'!C2476</f>
        <v/>
      </c>
      <c r="D2476" s="1096">
        <f>'REF. DE PREÇOS n editavel'!D2476</f>
        <v>0</v>
      </c>
      <c r="E2476" s="882">
        <f>'REF. DE PREÇOS n editavel'!E2476</f>
        <v>0</v>
      </c>
      <c r="F2476" s="883">
        <f>'REF. DE PREÇOS n editavel'!F2476</f>
        <v>0</v>
      </c>
      <c r="G2476" s="887">
        <f>'REF. DE PREÇOS n editavel'!G2476</f>
        <v>0</v>
      </c>
      <c r="H2476" s="876">
        <f>'REF. DE PREÇOS n editavel'!H2476</f>
        <v>0</v>
      </c>
      <c r="I2476" s="876" t="str">
        <f>'REF. DE PREÇOS n editavel'!I2476</f>
        <v/>
      </c>
      <c r="J2476" s="865">
        <f>'REF. DE PREÇOS n editavel'!J2476</f>
        <v>0</v>
      </c>
      <c r="K2476" s="878" t="str">
        <f>'REF. DE PREÇOS n editavel'!K2476</f>
        <v xml:space="preserve">     </v>
      </c>
      <c r="L2476" s="1092"/>
      <c r="M2476" s="1130">
        <f t="shared" si="244"/>
        <v>0</v>
      </c>
      <c r="N2476" s="1122">
        <f t="shared" si="245"/>
        <v>0</v>
      </c>
      <c r="O2476" s="1120"/>
      <c r="Q2476" s="317" t="str">
        <f t="shared" si="241"/>
        <v/>
      </c>
      <c r="R2476" s="317" t="str">
        <f t="shared" si="242"/>
        <v/>
      </c>
      <c r="S2476" s="317" t="str">
        <f t="shared" si="243"/>
        <v/>
      </c>
      <c r="T2476" s="317" t="str">
        <f>'REF. DE PREÇOS n editavel'!S2476</f>
        <v/>
      </c>
      <c r="W2476" s="577">
        <v>0</v>
      </c>
      <c r="X2476" s="575"/>
      <c r="Y2476" s="578">
        <f>IF('REF. DE PREÇOS n editavel'!W2476=0,0,IF('REF. DE PREÇOS n editavel'!W2476&gt;0,"c","b"))</f>
        <v>0</v>
      </c>
    </row>
    <row r="2477" spans="1:25" ht="15" customHeight="1">
      <c r="A2477" s="634" t="s">
        <v>165</v>
      </c>
      <c r="B2477" s="1010" t="str">
        <f>'REF. DE PREÇOS n editavel'!B2477</f>
        <v/>
      </c>
      <c r="C2477" s="1045" t="str">
        <f>'REF. DE PREÇOS n editavel'!C2477</f>
        <v/>
      </c>
      <c r="D2477" s="1096">
        <f>'REF. DE PREÇOS n editavel'!D2477</f>
        <v>0</v>
      </c>
      <c r="E2477" s="882">
        <f>'REF. DE PREÇOS n editavel'!E2477</f>
        <v>0</v>
      </c>
      <c r="F2477" s="883">
        <f>'REF. DE PREÇOS n editavel'!F2477</f>
        <v>0</v>
      </c>
      <c r="G2477" s="887">
        <f>'REF. DE PREÇOS n editavel'!G2477</f>
        <v>0</v>
      </c>
      <c r="H2477" s="876">
        <f>'REF. DE PREÇOS n editavel'!H2477</f>
        <v>0</v>
      </c>
      <c r="I2477" s="876" t="str">
        <f>'REF. DE PREÇOS n editavel'!I2477</f>
        <v/>
      </c>
      <c r="J2477" s="865">
        <f>'REF. DE PREÇOS n editavel'!J2477</f>
        <v>0</v>
      </c>
      <c r="K2477" s="878" t="str">
        <f>'REF. DE PREÇOS n editavel'!K2477</f>
        <v xml:space="preserve">     </v>
      </c>
      <c r="L2477" s="1092"/>
      <c r="M2477" s="1130">
        <f t="shared" si="244"/>
        <v>0</v>
      </c>
      <c r="N2477" s="1122">
        <f t="shared" si="245"/>
        <v>0</v>
      </c>
      <c r="O2477" s="1120"/>
      <c r="Q2477" s="317" t="str">
        <f t="shared" si="241"/>
        <v/>
      </c>
      <c r="R2477" s="317" t="str">
        <f t="shared" si="242"/>
        <v/>
      </c>
      <c r="S2477" s="317" t="str">
        <f t="shared" si="243"/>
        <v/>
      </c>
      <c r="T2477" s="317" t="str">
        <f>'REF. DE PREÇOS n editavel'!S2477</f>
        <v/>
      </c>
      <c r="W2477" s="577">
        <v>0</v>
      </c>
      <c r="X2477" s="575"/>
      <c r="Y2477" s="578">
        <f>IF('REF. DE PREÇOS n editavel'!W2477=0,0,IF('REF. DE PREÇOS n editavel'!W2477&gt;0,"c","b"))</f>
        <v>0</v>
      </c>
    </row>
    <row r="2478" spans="1:25" ht="15" customHeight="1">
      <c r="A2478" s="634" t="s">
        <v>165</v>
      </c>
      <c r="B2478" s="1010" t="str">
        <f>'REF. DE PREÇOS n editavel'!B2478</f>
        <v/>
      </c>
      <c r="C2478" s="1045" t="str">
        <f>'REF. DE PREÇOS n editavel'!C2478</f>
        <v/>
      </c>
      <c r="D2478" s="1096">
        <f>'REF. DE PREÇOS n editavel'!D2478</f>
        <v>0</v>
      </c>
      <c r="E2478" s="882">
        <f>'REF. DE PREÇOS n editavel'!E2478</f>
        <v>0</v>
      </c>
      <c r="F2478" s="883">
        <f>'REF. DE PREÇOS n editavel'!F2478</f>
        <v>0</v>
      </c>
      <c r="G2478" s="887">
        <f>'REF. DE PREÇOS n editavel'!G2478</f>
        <v>0</v>
      </c>
      <c r="H2478" s="876">
        <f>'REF. DE PREÇOS n editavel'!H2478</f>
        <v>0</v>
      </c>
      <c r="I2478" s="876" t="str">
        <f>'REF. DE PREÇOS n editavel'!I2478</f>
        <v/>
      </c>
      <c r="J2478" s="865">
        <f>'REF. DE PREÇOS n editavel'!J2478</f>
        <v>0</v>
      </c>
      <c r="K2478" s="878" t="str">
        <f>'REF. DE PREÇOS n editavel'!K2478</f>
        <v xml:space="preserve">     </v>
      </c>
      <c r="L2478" s="1092"/>
      <c r="M2478" s="1130">
        <f t="shared" si="244"/>
        <v>0</v>
      </c>
      <c r="N2478" s="1122">
        <f t="shared" si="245"/>
        <v>0</v>
      </c>
      <c r="O2478" s="1120"/>
      <c r="Q2478" s="317" t="str">
        <f t="shared" si="241"/>
        <v/>
      </c>
      <c r="R2478" s="317" t="str">
        <f t="shared" si="242"/>
        <v/>
      </c>
      <c r="S2478" s="317" t="str">
        <f t="shared" si="243"/>
        <v/>
      </c>
      <c r="T2478" s="317" t="str">
        <f>'REF. DE PREÇOS n editavel'!S2478</f>
        <v/>
      </c>
      <c r="W2478" s="577">
        <v>0</v>
      </c>
      <c r="X2478" s="575"/>
      <c r="Y2478" s="578">
        <f>IF('REF. DE PREÇOS n editavel'!W2478=0,0,IF('REF. DE PREÇOS n editavel'!W2478&gt;0,"c","b"))</f>
        <v>0</v>
      </c>
    </row>
    <row r="2479" spans="1:25" ht="15" customHeight="1">
      <c r="A2479" s="634" t="s">
        <v>165</v>
      </c>
      <c r="B2479" s="1010" t="str">
        <f>'REF. DE PREÇOS n editavel'!B2479</f>
        <v/>
      </c>
      <c r="C2479" s="1045" t="str">
        <f>'REF. DE PREÇOS n editavel'!C2479</f>
        <v/>
      </c>
      <c r="D2479" s="1096">
        <f>'REF. DE PREÇOS n editavel'!D2479</f>
        <v>0</v>
      </c>
      <c r="E2479" s="882">
        <f>'REF. DE PREÇOS n editavel'!E2479</f>
        <v>0</v>
      </c>
      <c r="F2479" s="883">
        <f>'REF. DE PREÇOS n editavel'!F2479</f>
        <v>0</v>
      </c>
      <c r="G2479" s="887">
        <f>'REF. DE PREÇOS n editavel'!G2479</f>
        <v>0</v>
      </c>
      <c r="H2479" s="876">
        <f>'REF. DE PREÇOS n editavel'!H2479</f>
        <v>0</v>
      </c>
      <c r="I2479" s="876" t="str">
        <f>'REF. DE PREÇOS n editavel'!I2479</f>
        <v/>
      </c>
      <c r="J2479" s="865">
        <f>'REF. DE PREÇOS n editavel'!J2479</f>
        <v>0</v>
      </c>
      <c r="K2479" s="878" t="str">
        <f>'REF. DE PREÇOS n editavel'!K2479</f>
        <v xml:space="preserve">     </v>
      </c>
      <c r="L2479" s="1092"/>
      <c r="M2479" s="1130">
        <f t="shared" si="244"/>
        <v>0</v>
      </c>
      <c r="N2479" s="1122">
        <f t="shared" si="245"/>
        <v>0</v>
      </c>
      <c r="O2479" s="1120"/>
      <c r="Q2479" s="317" t="str">
        <f t="shared" ref="Q2479:Q2542" si="246">IF(P2479="X","x",IF(P2479="xx","x",IF(P2479="xy","x",IF(P2479="y","x",IF(OR(N2479&gt;0,N2479&gt;0),"x","")))))</f>
        <v/>
      </c>
      <c r="R2479" s="317" t="str">
        <f t="shared" si="242"/>
        <v/>
      </c>
      <c r="S2479" s="317" t="str">
        <f t="shared" si="243"/>
        <v/>
      </c>
      <c r="T2479" s="317" t="str">
        <f>'REF. DE PREÇOS n editavel'!S2479</f>
        <v/>
      </c>
      <c r="W2479" s="577">
        <v>0</v>
      </c>
      <c r="X2479" s="575"/>
      <c r="Y2479" s="578">
        <f>IF('REF. DE PREÇOS n editavel'!W2479=0,0,IF('REF. DE PREÇOS n editavel'!W2479&gt;0,"c","b"))</f>
        <v>0</v>
      </c>
    </row>
    <row r="2480" spans="1:25" ht="15" customHeight="1">
      <c r="A2480" s="634" t="s">
        <v>165</v>
      </c>
      <c r="B2480" s="1010" t="str">
        <f>'REF. DE PREÇOS n editavel'!B2480</f>
        <v/>
      </c>
      <c r="C2480" s="1045" t="str">
        <f>'REF. DE PREÇOS n editavel'!C2480</f>
        <v/>
      </c>
      <c r="D2480" s="1096">
        <f>'REF. DE PREÇOS n editavel'!D2480</f>
        <v>0</v>
      </c>
      <c r="E2480" s="882">
        <f>'REF. DE PREÇOS n editavel'!E2480</f>
        <v>0</v>
      </c>
      <c r="F2480" s="883">
        <f>'REF. DE PREÇOS n editavel'!F2480</f>
        <v>0</v>
      </c>
      <c r="G2480" s="887">
        <f>'REF. DE PREÇOS n editavel'!G2480</f>
        <v>0</v>
      </c>
      <c r="H2480" s="876">
        <f>'REF. DE PREÇOS n editavel'!H2480</f>
        <v>0</v>
      </c>
      <c r="I2480" s="876" t="str">
        <f>'REF. DE PREÇOS n editavel'!I2480</f>
        <v/>
      </c>
      <c r="J2480" s="865">
        <f>'REF. DE PREÇOS n editavel'!J2480</f>
        <v>0</v>
      </c>
      <c r="K2480" s="878" t="str">
        <f>'REF. DE PREÇOS n editavel'!K2480</f>
        <v xml:space="preserve">     </v>
      </c>
      <c r="L2480" s="1092"/>
      <c r="M2480" s="1130">
        <f t="shared" si="244"/>
        <v>0</v>
      </c>
      <c r="N2480" s="1122">
        <f t="shared" si="245"/>
        <v>0</v>
      </c>
      <c r="O2480" s="1120"/>
      <c r="Q2480" s="317" t="str">
        <f t="shared" si="246"/>
        <v/>
      </c>
      <c r="R2480" s="317" t="str">
        <f t="shared" si="242"/>
        <v/>
      </c>
      <c r="S2480" s="317" t="str">
        <f t="shared" si="243"/>
        <v/>
      </c>
      <c r="T2480" s="317" t="str">
        <f>'REF. DE PREÇOS n editavel'!S2480</f>
        <v/>
      </c>
      <c r="W2480" s="577">
        <v>0</v>
      </c>
      <c r="X2480" s="575"/>
      <c r="Y2480" s="578">
        <f>IF('REF. DE PREÇOS n editavel'!W2480=0,0,IF('REF. DE PREÇOS n editavel'!W2480&gt;0,"c","b"))</f>
        <v>0</v>
      </c>
    </row>
    <row r="2481" spans="1:25" ht="15" customHeight="1">
      <c r="A2481" s="634" t="s">
        <v>165</v>
      </c>
      <c r="B2481" s="1010" t="str">
        <f>'REF. DE PREÇOS n editavel'!B2481</f>
        <v/>
      </c>
      <c r="C2481" s="1045" t="str">
        <f>'REF. DE PREÇOS n editavel'!C2481</f>
        <v/>
      </c>
      <c r="D2481" s="1096">
        <f>'REF. DE PREÇOS n editavel'!D2481</f>
        <v>0</v>
      </c>
      <c r="E2481" s="882">
        <f>'REF. DE PREÇOS n editavel'!E2481</f>
        <v>0</v>
      </c>
      <c r="F2481" s="883">
        <f>'REF. DE PREÇOS n editavel'!F2481</f>
        <v>0</v>
      </c>
      <c r="G2481" s="887">
        <f>'REF. DE PREÇOS n editavel'!G2481</f>
        <v>0</v>
      </c>
      <c r="H2481" s="876">
        <f>'REF. DE PREÇOS n editavel'!H2481</f>
        <v>0</v>
      </c>
      <c r="I2481" s="876" t="str">
        <f>'REF. DE PREÇOS n editavel'!I2481</f>
        <v/>
      </c>
      <c r="J2481" s="865">
        <f>'REF. DE PREÇOS n editavel'!J2481</f>
        <v>0</v>
      </c>
      <c r="K2481" s="878" t="str">
        <f>'REF. DE PREÇOS n editavel'!K2481</f>
        <v xml:space="preserve">     </v>
      </c>
      <c r="L2481" s="1092"/>
      <c r="M2481" s="1130">
        <f t="shared" si="244"/>
        <v>0</v>
      </c>
      <c r="N2481" s="1122">
        <f t="shared" si="245"/>
        <v>0</v>
      </c>
      <c r="O2481" s="1120"/>
      <c r="Q2481" s="317" t="str">
        <f t="shared" si="246"/>
        <v/>
      </c>
      <c r="R2481" s="317" t="str">
        <f t="shared" ref="R2481:R2544" si="247">IF(P2481="X","x",IF(P2481="y","x",IF(P2481="xx","x",IF(N2481&gt;0,"x",""))))</f>
        <v/>
      </c>
      <c r="S2481" s="317" t="str">
        <f t="shared" ref="S2481:S2544" si="248">IF(P2481="X","x",IF(N2481&gt;0,"x",""))</f>
        <v/>
      </c>
      <c r="T2481" s="317" t="str">
        <f>'REF. DE PREÇOS n editavel'!S2481</f>
        <v/>
      </c>
      <c r="W2481" s="577">
        <v>0</v>
      </c>
      <c r="X2481" s="575"/>
      <c r="Y2481" s="578">
        <f>IF('REF. DE PREÇOS n editavel'!W2481=0,0,IF('REF. DE PREÇOS n editavel'!W2481&gt;0,"c","b"))</f>
        <v>0</v>
      </c>
    </row>
    <row r="2482" spans="1:25" ht="15" customHeight="1">
      <c r="A2482" s="634" t="s">
        <v>165</v>
      </c>
      <c r="B2482" s="1010" t="str">
        <f>'REF. DE PREÇOS n editavel'!B2482</f>
        <v/>
      </c>
      <c r="C2482" s="1045" t="str">
        <f>'REF. DE PREÇOS n editavel'!C2482</f>
        <v/>
      </c>
      <c r="D2482" s="1096">
        <f>'REF. DE PREÇOS n editavel'!D2482</f>
        <v>0</v>
      </c>
      <c r="E2482" s="882">
        <f>'REF. DE PREÇOS n editavel'!E2482</f>
        <v>0</v>
      </c>
      <c r="F2482" s="883">
        <f>'REF. DE PREÇOS n editavel'!F2482</f>
        <v>0</v>
      </c>
      <c r="G2482" s="887">
        <f>'REF. DE PREÇOS n editavel'!G2482</f>
        <v>0</v>
      </c>
      <c r="H2482" s="876">
        <f>'REF. DE PREÇOS n editavel'!H2482</f>
        <v>0</v>
      </c>
      <c r="I2482" s="876" t="str">
        <f>'REF. DE PREÇOS n editavel'!I2482</f>
        <v/>
      </c>
      <c r="J2482" s="865">
        <f>'REF. DE PREÇOS n editavel'!J2482</f>
        <v>0</v>
      </c>
      <c r="K2482" s="878" t="str">
        <f>'REF. DE PREÇOS n editavel'!K2482</f>
        <v xml:space="preserve">     </v>
      </c>
      <c r="L2482" s="1092"/>
      <c r="M2482" s="1130">
        <f t="shared" si="244"/>
        <v>0</v>
      </c>
      <c r="N2482" s="1122">
        <f t="shared" si="245"/>
        <v>0</v>
      </c>
      <c r="O2482" s="1120"/>
      <c r="Q2482" s="317" t="str">
        <f t="shared" si="246"/>
        <v/>
      </c>
      <c r="R2482" s="317" t="str">
        <f t="shared" si="247"/>
        <v/>
      </c>
      <c r="S2482" s="317" t="str">
        <f t="shared" si="248"/>
        <v/>
      </c>
      <c r="T2482" s="317" t="str">
        <f>'REF. DE PREÇOS n editavel'!S2482</f>
        <v/>
      </c>
      <c r="W2482" s="577">
        <v>0</v>
      </c>
      <c r="X2482" s="575"/>
      <c r="Y2482" s="578">
        <f>IF('REF. DE PREÇOS n editavel'!W2482=0,0,IF('REF. DE PREÇOS n editavel'!W2482&gt;0,"c","b"))</f>
        <v>0</v>
      </c>
    </row>
    <row r="2483" spans="1:25" ht="15" customHeight="1">
      <c r="A2483" s="634" t="s">
        <v>165</v>
      </c>
      <c r="B2483" s="1010" t="str">
        <f>'REF. DE PREÇOS n editavel'!B2483</f>
        <v/>
      </c>
      <c r="C2483" s="1045" t="str">
        <f>'REF. DE PREÇOS n editavel'!C2483</f>
        <v/>
      </c>
      <c r="D2483" s="1096">
        <f>'REF. DE PREÇOS n editavel'!D2483</f>
        <v>0</v>
      </c>
      <c r="E2483" s="882">
        <f>'REF. DE PREÇOS n editavel'!E2483</f>
        <v>0</v>
      </c>
      <c r="F2483" s="883">
        <f>'REF. DE PREÇOS n editavel'!F2483</f>
        <v>0</v>
      </c>
      <c r="G2483" s="887">
        <f>'REF. DE PREÇOS n editavel'!G2483</f>
        <v>0</v>
      </c>
      <c r="H2483" s="876">
        <f>'REF. DE PREÇOS n editavel'!H2483</f>
        <v>0</v>
      </c>
      <c r="I2483" s="876" t="str">
        <f>'REF. DE PREÇOS n editavel'!I2483</f>
        <v/>
      </c>
      <c r="J2483" s="865">
        <f>'REF. DE PREÇOS n editavel'!J2483</f>
        <v>0</v>
      </c>
      <c r="K2483" s="878" t="str">
        <f>'REF. DE PREÇOS n editavel'!K2483</f>
        <v xml:space="preserve">     </v>
      </c>
      <c r="L2483" s="1092"/>
      <c r="M2483" s="1130">
        <f t="shared" si="244"/>
        <v>0</v>
      </c>
      <c r="N2483" s="1122">
        <f t="shared" si="245"/>
        <v>0</v>
      </c>
      <c r="O2483" s="1120"/>
      <c r="Q2483" s="317" t="str">
        <f t="shared" si="246"/>
        <v/>
      </c>
      <c r="R2483" s="317" t="str">
        <f t="shared" si="247"/>
        <v/>
      </c>
      <c r="S2483" s="317" t="str">
        <f t="shared" si="248"/>
        <v/>
      </c>
      <c r="T2483" s="317" t="str">
        <f>'REF. DE PREÇOS n editavel'!S2483</f>
        <v/>
      </c>
      <c r="W2483" s="577">
        <v>0</v>
      </c>
      <c r="X2483" s="575"/>
      <c r="Y2483" s="578">
        <f>IF('REF. DE PREÇOS n editavel'!W2483=0,0,IF('REF. DE PREÇOS n editavel'!W2483&gt;0,"c","b"))</f>
        <v>0</v>
      </c>
    </row>
    <row r="2484" spans="1:25" ht="15" customHeight="1">
      <c r="A2484" s="634" t="s">
        <v>165</v>
      </c>
      <c r="B2484" s="1010" t="str">
        <f>'REF. DE PREÇOS n editavel'!B2484</f>
        <v/>
      </c>
      <c r="C2484" s="1045" t="str">
        <f>'REF. DE PREÇOS n editavel'!C2484</f>
        <v/>
      </c>
      <c r="D2484" s="1096">
        <f>'REF. DE PREÇOS n editavel'!D2484</f>
        <v>0</v>
      </c>
      <c r="E2484" s="882">
        <f>'REF. DE PREÇOS n editavel'!E2484</f>
        <v>0</v>
      </c>
      <c r="F2484" s="883">
        <f>'REF. DE PREÇOS n editavel'!F2484</f>
        <v>0</v>
      </c>
      <c r="G2484" s="887">
        <f>'REF. DE PREÇOS n editavel'!G2484</f>
        <v>0</v>
      </c>
      <c r="H2484" s="876">
        <f>'REF. DE PREÇOS n editavel'!H2484</f>
        <v>0</v>
      </c>
      <c r="I2484" s="876" t="str">
        <f>'REF. DE PREÇOS n editavel'!I2484</f>
        <v/>
      </c>
      <c r="J2484" s="865">
        <f>'REF. DE PREÇOS n editavel'!J2484</f>
        <v>0</v>
      </c>
      <c r="K2484" s="878" t="str">
        <f>'REF. DE PREÇOS n editavel'!K2484</f>
        <v xml:space="preserve">     </v>
      </c>
      <c r="L2484" s="1092"/>
      <c r="M2484" s="1130">
        <f t="shared" si="244"/>
        <v>0</v>
      </c>
      <c r="N2484" s="1122">
        <f t="shared" si="245"/>
        <v>0</v>
      </c>
      <c r="O2484" s="1120"/>
      <c r="Q2484" s="317" t="str">
        <f t="shared" si="246"/>
        <v/>
      </c>
      <c r="R2484" s="317" t="str">
        <f t="shared" si="247"/>
        <v/>
      </c>
      <c r="S2484" s="317" t="str">
        <f t="shared" si="248"/>
        <v/>
      </c>
      <c r="T2484" s="317" t="str">
        <f>'REF. DE PREÇOS n editavel'!S2484</f>
        <v/>
      </c>
      <c r="W2484" s="577">
        <v>0</v>
      </c>
      <c r="X2484" s="575"/>
      <c r="Y2484" s="578">
        <f>IF('REF. DE PREÇOS n editavel'!W2484=0,0,IF('REF. DE PREÇOS n editavel'!W2484&gt;0,"c","b"))</f>
        <v>0</v>
      </c>
    </row>
    <row r="2485" spans="1:25" ht="15" customHeight="1">
      <c r="A2485" s="634" t="s">
        <v>165</v>
      </c>
      <c r="B2485" s="1010" t="str">
        <f>'REF. DE PREÇOS n editavel'!B2485</f>
        <v/>
      </c>
      <c r="C2485" s="1045" t="str">
        <f>'REF. DE PREÇOS n editavel'!C2485</f>
        <v/>
      </c>
      <c r="D2485" s="1096">
        <f>'REF. DE PREÇOS n editavel'!D2485</f>
        <v>0</v>
      </c>
      <c r="E2485" s="882">
        <f>'REF. DE PREÇOS n editavel'!E2485</f>
        <v>0</v>
      </c>
      <c r="F2485" s="883">
        <f>'REF. DE PREÇOS n editavel'!F2485</f>
        <v>0</v>
      </c>
      <c r="G2485" s="887">
        <f>'REF. DE PREÇOS n editavel'!G2485</f>
        <v>0</v>
      </c>
      <c r="H2485" s="876">
        <f>'REF. DE PREÇOS n editavel'!H2485</f>
        <v>0</v>
      </c>
      <c r="I2485" s="876" t="str">
        <f>'REF. DE PREÇOS n editavel'!I2485</f>
        <v/>
      </c>
      <c r="J2485" s="865">
        <f>'REF. DE PREÇOS n editavel'!J2485</f>
        <v>0</v>
      </c>
      <c r="K2485" s="878" t="str">
        <f>'REF. DE PREÇOS n editavel'!K2485</f>
        <v xml:space="preserve">     </v>
      </c>
      <c r="L2485" s="1092"/>
      <c r="M2485" s="1130">
        <f t="shared" si="244"/>
        <v>0</v>
      </c>
      <c r="N2485" s="1122">
        <f t="shared" si="245"/>
        <v>0</v>
      </c>
      <c r="O2485" s="1120"/>
      <c r="Q2485" s="317" t="str">
        <f t="shared" si="246"/>
        <v/>
      </c>
      <c r="R2485" s="317" t="str">
        <f t="shared" si="247"/>
        <v/>
      </c>
      <c r="S2485" s="317" t="str">
        <f t="shared" si="248"/>
        <v/>
      </c>
      <c r="T2485" s="317" t="str">
        <f>'REF. DE PREÇOS n editavel'!S2485</f>
        <v/>
      </c>
      <c r="W2485" s="577">
        <v>0</v>
      </c>
      <c r="X2485" s="575"/>
      <c r="Y2485" s="578">
        <f>IF('REF. DE PREÇOS n editavel'!W2485=0,0,IF('REF. DE PREÇOS n editavel'!W2485&gt;0,"c","b"))</f>
        <v>0</v>
      </c>
    </row>
    <row r="2486" spans="1:25" ht="15" customHeight="1">
      <c r="A2486" s="634" t="s">
        <v>165</v>
      </c>
      <c r="B2486" s="1010" t="str">
        <f>'REF. DE PREÇOS n editavel'!B2486</f>
        <v/>
      </c>
      <c r="C2486" s="1045" t="str">
        <f>'REF. DE PREÇOS n editavel'!C2486</f>
        <v/>
      </c>
      <c r="D2486" s="1096">
        <f>'REF. DE PREÇOS n editavel'!D2486</f>
        <v>0</v>
      </c>
      <c r="E2486" s="882">
        <f>'REF. DE PREÇOS n editavel'!E2486</f>
        <v>0</v>
      </c>
      <c r="F2486" s="883">
        <f>'REF. DE PREÇOS n editavel'!F2486</f>
        <v>0</v>
      </c>
      <c r="G2486" s="887">
        <f>'REF. DE PREÇOS n editavel'!G2486</f>
        <v>0</v>
      </c>
      <c r="H2486" s="876">
        <f>'REF. DE PREÇOS n editavel'!H2486</f>
        <v>0</v>
      </c>
      <c r="I2486" s="876" t="str">
        <f>'REF. DE PREÇOS n editavel'!I2486</f>
        <v/>
      </c>
      <c r="J2486" s="865">
        <f>'REF. DE PREÇOS n editavel'!J2486</f>
        <v>0</v>
      </c>
      <c r="K2486" s="878" t="str">
        <f>'REF. DE PREÇOS n editavel'!K2486</f>
        <v xml:space="preserve">     </v>
      </c>
      <c r="L2486" s="1092"/>
      <c r="M2486" s="1130">
        <f t="shared" si="244"/>
        <v>0</v>
      </c>
      <c r="N2486" s="1122">
        <f t="shared" si="245"/>
        <v>0</v>
      </c>
      <c r="O2486" s="1120"/>
      <c r="Q2486" s="317" t="str">
        <f t="shared" si="246"/>
        <v/>
      </c>
      <c r="R2486" s="317" t="str">
        <f t="shared" si="247"/>
        <v/>
      </c>
      <c r="S2486" s="317" t="str">
        <f t="shared" si="248"/>
        <v/>
      </c>
      <c r="T2486" s="317" t="str">
        <f>'REF. DE PREÇOS n editavel'!S2486</f>
        <v/>
      </c>
      <c r="W2486" s="577">
        <v>0</v>
      </c>
      <c r="X2486" s="575"/>
      <c r="Y2486" s="578">
        <f>IF('REF. DE PREÇOS n editavel'!W2486=0,0,IF('REF. DE PREÇOS n editavel'!W2486&gt;0,"c","b"))</f>
        <v>0</v>
      </c>
    </row>
    <row r="2487" spans="1:25" ht="15" customHeight="1">
      <c r="A2487" s="634" t="s">
        <v>165</v>
      </c>
      <c r="B2487" s="1010" t="str">
        <f>'REF. DE PREÇOS n editavel'!B2487</f>
        <v/>
      </c>
      <c r="C2487" s="1045" t="str">
        <f>'REF. DE PREÇOS n editavel'!C2487</f>
        <v/>
      </c>
      <c r="D2487" s="1096">
        <f>'REF. DE PREÇOS n editavel'!D2487</f>
        <v>0</v>
      </c>
      <c r="E2487" s="882">
        <f>'REF. DE PREÇOS n editavel'!E2487</f>
        <v>0</v>
      </c>
      <c r="F2487" s="883">
        <f>'REF. DE PREÇOS n editavel'!F2487</f>
        <v>0</v>
      </c>
      <c r="G2487" s="887">
        <f>'REF. DE PREÇOS n editavel'!G2487</f>
        <v>0</v>
      </c>
      <c r="H2487" s="876">
        <f>'REF. DE PREÇOS n editavel'!H2487</f>
        <v>0</v>
      </c>
      <c r="I2487" s="876" t="str">
        <f>'REF. DE PREÇOS n editavel'!I2487</f>
        <v/>
      </c>
      <c r="J2487" s="865">
        <f>'REF. DE PREÇOS n editavel'!J2487</f>
        <v>0</v>
      </c>
      <c r="K2487" s="878" t="str">
        <f>'REF. DE PREÇOS n editavel'!K2487</f>
        <v xml:space="preserve">     </v>
      </c>
      <c r="L2487" s="1092"/>
      <c r="M2487" s="1130">
        <f t="shared" si="244"/>
        <v>0</v>
      </c>
      <c r="N2487" s="1122">
        <f t="shared" si="245"/>
        <v>0</v>
      </c>
      <c r="O2487" s="1120"/>
      <c r="Q2487" s="317" t="str">
        <f t="shared" si="246"/>
        <v/>
      </c>
      <c r="R2487" s="317" t="str">
        <f t="shared" si="247"/>
        <v/>
      </c>
      <c r="S2487" s="317" t="str">
        <f t="shared" si="248"/>
        <v/>
      </c>
      <c r="T2487" s="317" t="str">
        <f>'REF. DE PREÇOS n editavel'!S2487</f>
        <v/>
      </c>
      <c r="W2487" s="577">
        <v>0</v>
      </c>
      <c r="X2487" s="575"/>
      <c r="Y2487" s="578">
        <f>IF('REF. DE PREÇOS n editavel'!W2487=0,0,IF('REF. DE PREÇOS n editavel'!W2487&gt;0,"c","b"))</f>
        <v>0</v>
      </c>
    </row>
    <row r="2488" spans="1:25" ht="15" customHeight="1">
      <c r="A2488" s="634" t="s">
        <v>165</v>
      </c>
      <c r="B2488" s="1010" t="str">
        <f>'REF. DE PREÇOS n editavel'!B2488</f>
        <v/>
      </c>
      <c r="C2488" s="1045" t="str">
        <f>'REF. DE PREÇOS n editavel'!C2488</f>
        <v/>
      </c>
      <c r="D2488" s="1096">
        <f>'REF. DE PREÇOS n editavel'!D2488</f>
        <v>0</v>
      </c>
      <c r="E2488" s="882">
        <f>'REF. DE PREÇOS n editavel'!E2488</f>
        <v>0</v>
      </c>
      <c r="F2488" s="883">
        <f>'REF. DE PREÇOS n editavel'!F2488</f>
        <v>0</v>
      </c>
      <c r="G2488" s="887">
        <f>'REF. DE PREÇOS n editavel'!G2488</f>
        <v>0</v>
      </c>
      <c r="H2488" s="876">
        <f>'REF. DE PREÇOS n editavel'!H2488</f>
        <v>0</v>
      </c>
      <c r="I2488" s="876" t="str">
        <f>'REF. DE PREÇOS n editavel'!I2488</f>
        <v/>
      </c>
      <c r="J2488" s="865">
        <f>'REF. DE PREÇOS n editavel'!J2488</f>
        <v>0</v>
      </c>
      <c r="K2488" s="878" t="str">
        <f>'REF. DE PREÇOS n editavel'!K2488</f>
        <v xml:space="preserve">     </v>
      </c>
      <c r="L2488" s="1092"/>
      <c r="M2488" s="1130">
        <f t="shared" si="244"/>
        <v>0</v>
      </c>
      <c r="N2488" s="1122">
        <f t="shared" si="245"/>
        <v>0</v>
      </c>
      <c r="O2488" s="1120"/>
      <c r="Q2488" s="317" t="str">
        <f t="shared" si="246"/>
        <v/>
      </c>
      <c r="R2488" s="317" t="str">
        <f t="shared" si="247"/>
        <v/>
      </c>
      <c r="S2488" s="317" t="str">
        <f t="shared" si="248"/>
        <v/>
      </c>
      <c r="T2488" s="317" t="str">
        <f>'REF. DE PREÇOS n editavel'!S2488</f>
        <v/>
      </c>
      <c r="W2488" s="577">
        <v>0</v>
      </c>
      <c r="X2488" s="575"/>
      <c r="Y2488" s="578">
        <f>IF('REF. DE PREÇOS n editavel'!W2488=0,0,IF('REF. DE PREÇOS n editavel'!W2488&gt;0,"c","b"))</f>
        <v>0</v>
      </c>
    </row>
    <row r="2489" spans="1:25" ht="15" customHeight="1">
      <c r="A2489" s="634" t="s">
        <v>165</v>
      </c>
      <c r="B2489" s="1010" t="str">
        <f>'REF. DE PREÇOS n editavel'!B2489</f>
        <v/>
      </c>
      <c r="C2489" s="1045" t="str">
        <f>'REF. DE PREÇOS n editavel'!C2489</f>
        <v/>
      </c>
      <c r="D2489" s="1096">
        <f>'REF. DE PREÇOS n editavel'!D2489</f>
        <v>0</v>
      </c>
      <c r="E2489" s="882">
        <f>'REF. DE PREÇOS n editavel'!E2489</f>
        <v>0</v>
      </c>
      <c r="F2489" s="883">
        <f>'REF. DE PREÇOS n editavel'!F2489</f>
        <v>0</v>
      </c>
      <c r="G2489" s="887">
        <f>'REF. DE PREÇOS n editavel'!G2489</f>
        <v>0</v>
      </c>
      <c r="H2489" s="876">
        <f>'REF. DE PREÇOS n editavel'!H2489</f>
        <v>0</v>
      </c>
      <c r="I2489" s="876" t="str">
        <f>'REF. DE PREÇOS n editavel'!I2489</f>
        <v/>
      </c>
      <c r="J2489" s="865">
        <f>'REF. DE PREÇOS n editavel'!J2489</f>
        <v>0</v>
      </c>
      <c r="K2489" s="878" t="str">
        <f>'REF. DE PREÇOS n editavel'!K2489</f>
        <v xml:space="preserve">     </v>
      </c>
      <c r="L2489" s="1092"/>
      <c r="M2489" s="1130">
        <f t="shared" si="244"/>
        <v>0</v>
      </c>
      <c r="N2489" s="1122">
        <f t="shared" si="245"/>
        <v>0</v>
      </c>
      <c r="O2489" s="1120"/>
      <c r="Q2489" s="317" t="str">
        <f t="shared" si="246"/>
        <v/>
      </c>
      <c r="R2489" s="317" t="str">
        <f t="shared" si="247"/>
        <v/>
      </c>
      <c r="S2489" s="317" t="str">
        <f t="shared" si="248"/>
        <v/>
      </c>
      <c r="T2489" s="317" t="str">
        <f>'REF. DE PREÇOS n editavel'!S2489</f>
        <v/>
      </c>
      <c r="W2489" s="577">
        <v>0</v>
      </c>
      <c r="X2489" s="575"/>
      <c r="Y2489" s="578">
        <f>IF('REF. DE PREÇOS n editavel'!W2489=0,0,IF('REF. DE PREÇOS n editavel'!W2489&gt;0,"c","b"))</f>
        <v>0</v>
      </c>
    </row>
    <row r="2490" spans="1:25" ht="15" customHeight="1">
      <c r="A2490" s="634" t="s">
        <v>165</v>
      </c>
      <c r="B2490" s="1010" t="str">
        <f>'REF. DE PREÇOS n editavel'!B2490</f>
        <v/>
      </c>
      <c r="C2490" s="1045" t="str">
        <f>'REF. DE PREÇOS n editavel'!C2490</f>
        <v/>
      </c>
      <c r="D2490" s="1096">
        <f>'REF. DE PREÇOS n editavel'!D2490</f>
        <v>0</v>
      </c>
      <c r="E2490" s="882">
        <f>'REF. DE PREÇOS n editavel'!E2490</f>
        <v>0</v>
      </c>
      <c r="F2490" s="883">
        <f>'REF. DE PREÇOS n editavel'!F2490</f>
        <v>0</v>
      </c>
      <c r="G2490" s="887">
        <f>'REF. DE PREÇOS n editavel'!G2490</f>
        <v>0</v>
      </c>
      <c r="H2490" s="876">
        <f>'REF. DE PREÇOS n editavel'!H2490</f>
        <v>0</v>
      </c>
      <c r="I2490" s="876" t="str">
        <f>'REF. DE PREÇOS n editavel'!I2490</f>
        <v/>
      </c>
      <c r="J2490" s="865">
        <f>'REF. DE PREÇOS n editavel'!J2490</f>
        <v>0</v>
      </c>
      <c r="K2490" s="878" t="str">
        <f>'REF. DE PREÇOS n editavel'!K2490</f>
        <v xml:space="preserve">     </v>
      </c>
      <c r="L2490" s="1092"/>
      <c r="M2490" s="1130">
        <f t="shared" si="244"/>
        <v>0</v>
      </c>
      <c r="N2490" s="1122">
        <f t="shared" si="245"/>
        <v>0</v>
      </c>
      <c r="O2490" s="1120"/>
      <c r="Q2490" s="317" t="str">
        <f t="shared" si="246"/>
        <v/>
      </c>
      <c r="R2490" s="317" t="str">
        <f t="shared" si="247"/>
        <v/>
      </c>
      <c r="S2490" s="317" t="str">
        <f t="shared" si="248"/>
        <v/>
      </c>
      <c r="T2490" s="317" t="str">
        <f>'REF. DE PREÇOS n editavel'!S2490</f>
        <v/>
      </c>
      <c r="W2490" s="577">
        <v>0</v>
      </c>
      <c r="X2490" s="575"/>
      <c r="Y2490" s="578">
        <f>IF('REF. DE PREÇOS n editavel'!W2490=0,0,IF('REF. DE PREÇOS n editavel'!W2490&gt;0,"c","b"))</f>
        <v>0</v>
      </c>
    </row>
    <row r="2491" spans="1:25" ht="15" customHeight="1">
      <c r="A2491" s="634" t="s">
        <v>165</v>
      </c>
      <c r="B2491" s="1010" t="str">
        <f>'REF. DE PREÇOS n editavel'!B2491</f>
        <v/>
      </c>
      <c r="C2491" s="1045" t="str">
        <f>'REF. DE PREÇOS n editavel'!C2491</f>
        <v/>
      </c>
      <c r="D2491" s="1096">
        <f>'REF. DE PREÇOS n editavel'!D2491</f>
        <v>0</v>
      </c>
      <c r="E2491" s="882">
        <f>'REF. DE PREÇOS n editavel'!E2491</f>
        <v>0</v>
      </c>
      <c r="F2491" s="883">
        <f>'REF. DE PREÇOS n editavel'!F2491</f>
        <v>0</v>
      </c>
      <c r="G2491" s="887">
        <f>'REF. DE PREÇOS n editavel'!G2491</f>
        <v>0</v>
      </c>
      <c r="H2491" s="876">
        <f>'REF. DE PREÇOS n editavel'!H2491</f>
        <v>0</v>
      </c>
      <c r="I2491" s="876" t="str">
        <f>'REF. DE PREÇOS n editavel'!I2491</f>
        <v/>
      </c>
      <c r="J2491" s="865">
        <f>'REF. DE PREÇOS n editavel'!J2491</f>
        <v>0</v>
      </c>
      <c r="K2491" s="878" t="str">
        <f>'REF. DE PREÇOS n editavel'!K2491</f>
        <v xml:space="preserve">     </v>
      </c>
      <c r="L2491" s="1092"/>
      <c r="M2491" s="1130">
        <f t="shared" si="244"/>
        <v>0</v>
      </c>
      <c r="N2491" s="1122">
        <f t="shared" si="245"/>
        <v>0</v>
      </c>
      <c r="O2491" s="1120"/>
      <c r="Q2491" s="317" t="str">
        <f t="shared" si="246"/>
        <v/>
      </c>
      <c r="R2491" s="317" t="str">
        <f t="shared" si="247"/>
        <v/>
      </c>
      <c r="S2491" s="317" t="str">
        <f t="shared" si="248"/>
        <v/>
      </c>
      <c r="T2491" s="317" t="str">
        <f>'REF. DE PREÇOS n editavel'!S2491</f>
        <v/>
      </c>
      <c r="W2491" s="577">
        <v>0</v>
      </c>
      <c r="X2491" s="575"/>
      <c r="Y2491" s="578">
        <f>IF('REF. DE PREÇOS n editavel'!W2491=0,0,IF('REF. DE PREÇOS n editavel'!W2491&gt;0,"c","b"))</f>
        <v>0</v>
      </c>
    </row>
    <row r="2492" spans="1:25" ht="15" customHeight="1">
      <c r="A2492" s="634" t="s">
        <v>165</v>
      </c>
      <c r="B2492" s="1010" t="str">
        <f>'REF. DE PREÇOS n editavel'!B2492</f>
        <v/>
      </c>
      <c r="C2492" s="1045" t="str">
        <f>'REF. DE PREÇOS n editavel'!C2492</f>
        <v/>
      </c>
      <c r="D2492" s="1096">
        <f>'REF. DE PREÇOS n editavel'!D2492</f>
        <v>0</v>
      </c>
      <c r="E2492" s="882">
        <f>'REF. DE PREÇOS n editavel'!E2492</f>
        <v>0</v>
      </c>
      <c r="F2492" s="883">
        <f>'REF. DE PREÇOS n editavel'!F2492</f>
        <v>0</v>
      </c>
      <c r="G2492" s="887">
        <f>'REF. DE PREÇOS n editavel'!G2492</f>
        <v>0</v>
      </c>
      <c r="H2492" s="876">
        <f>'REF. DE PREÇOS n editavel'!H2492</f>
        <v>0</v>
      </c>
      <c r="I2492" s="876" t="str">
        <f>'REF. DE PREÇOS n editavel'!I2492</f>
        <v/>
      </c>
      <c r="J2492" s="865">
        <f>'REF. DE PREÇOS n editavel'!J2492</f>
        <v>0</v>
      </c>
      <c r="K2492" s="878" t="str">
        <f>'REF. DE PREÇOS n editavel'!K2492</f>
        <v xml:space="preserve">     </v>
      </c>
      <c r="L2492" s="1092"/>
      <c r="M2492" s="1130">
        <f t="shared" si="244"/>
        <v>0</v>
      </c>
      <c r="N2492" s="1122">
        <f t="shared" si="245"/>
        <v>0</v>
      </c>
      <c r="O2492" s="1120"/>
      <c r="Q2492" s="317" t="str">
        <f t="shared" si="246"/>
        <v/>
      </c>
      <c r="R2492" s="317" t="str">
        <f t="shared" si="247"/>
        <v/>
      </c>
      <c r="S2492" s="317" t="str">
        <f t="shared" si="248"/>
        <v/>
      </c>
      <c r="T2492" s="317" t="str">
        <f>'REF. DE PREÇOS n editavel'!S2492</f>
        <v/>
      </c>
      <c r="W2492" s="577">
        <v>0</v>
      </c>
      <c r="X2492" s="575"/>
      <c r="Y2492" s="578">
        <f>IF('REF. DE PREÇOS n editavel'!W2492=0,0,IF('REF. DE PREÇOS n editavel'!W2492&gt;0,"c","b"))</f>
        <v>0</v>
      </c>
    </row>
    <row r="2493" spans="1:25" ht="15" customHeight="1">
      <c r="A2493" s="634" t="s">
        <v>165</v>
      </c>
      <c r="B2493" s="1010" t="str">
        <f>'REF. DE PREÇOS n editavel'!B2493</f>
        <v/>
      </c>
      <c r="C2493" s="1045" t="str">
        <f>'REF. DE PREÇOS n editavel'!C2493</f>
        <v/>
      </c>
      <c r="D2493" s="1096">
        <f>'REF. DE PREÇOS n editavel'!D2493</f>
        <v>0</v>
      </c>
      <c r="E2493" s="882">
        <f>'REF. DE PREÇOS n editavel'!E2493</f>
        <v>0</v>
      </c>
      <c r="F2493" s="883">
        <f>'REF. DE PREÇOS n editavel'!F2493</f>
        <v>0</v>
      </c>
      <c r="G2493" s="887">
        <f>'REF. DE PREÇOS n editavel'!G2493</f>
        <v>0</v>
      </c>
      <c r="H2493" s="876">
        <f>'REF. DE PREÇOS n editavel'!H2493</f>
        <v>0</v>
      </c>
      <c r="I2493" s="876" t="str">
        <f>'REF. DE PREÇOS n editavel'!I2493</f>
        <v/>
      </c>
      <c r="J2493" s="865">
        <f>'REF. DE PREÇOS n editavel'!J2493</f>
        <v>0</v>
      </c>
      <c r="K2493" s="878" t="str">
        <f>'REF. DE PREÇOS n editavel'!K2493</f>
        <v xml:space="preserve">     </v>
      </c>
      <c r="L2493" s="1092"/>
      <c r="M2493" s="1130">
        <f t="shared" si="244"/>
        <v>0</v>
      </c>
      <c r="N2493" s="1122">
        <f t="shared" si="245"/>
        <v>0</v>
      </c>
      <c r="O2493" s="1120"/>
      <c r="Q2493" s="317" t="str">
        <f t="shared" si="246"/>
        <v/>
      </c>
      <c r="R2493" s="317" t="str">
        <f t="shared" si="247"/>
        <v/>
      </c>
      <c r="S2493" s="317" t="str">
        <f t="shared" si="248"/>
        <v/>
      </c>
      <c r="T2493" s="317" t="str">
        <f>'REF. DE PREÇOS n editavel'!S2493</f>
        <v/>
      </c>
      <c r="W2493" s="577">
        <v>0</v>
      </c>
      <c r="X2493" s="575"/>
      <c r="Y2493" s="578">
        <f>IF('REF. DE PREÇOS n editavel'!W2493=0,0,IF('REF. DE PREÇOS n editavel'!W2493&gt;0,"c","b"))</f>
        <v>0</v>
      </c>
    </row>
    <row r="2494" spans="1:25" ht="15" customHeight="1">
      <c r="A2494" s="634" t="s">
        <v>165</v>
      </c>
      <c r="B2494" s="1010" t="str">
        <f>'REF. DE PREÇOS n editavel'!B2494</f>
        <v/>
      </c>
      <c r="C2494" s="1045" t="str">
        <f>'REF. DE PREÇOS n editavel'!C2494</f>
        <v/>
      </c>
      <c r="D2494" s="1096">
        <f>'REF. DE PREÇOS n editavel'!D2494</f>
        <v>0</v>
      </c>
      <c r="E2494" s="882">
        <f>'REF. DE PREÇOS n editavel'!E2494</f>
        <v>0</v>
      </c>
      <c r="F2494" s="883">
        <f>'REF. DE PREÇOS n editavel'!F2494</f>
        <v>0</v>
      </c>
      <c r="G2494" s="887">
        <f>'REF. DE PREÇOS n editavel'!G2494</f>
        <v>0</v>
      </c>
      <c r="H2494" s="876">
        <f>'REF. DE PREÇOS n editavel'!H2494</f>
        <v>0</v>
      </c>
      <c r="I2494" s="876" t="str">
        <f>'REF. DE PREÇOS n editavel'!I2494</f>
        <v/>
      </c>
      <c r="J2494" s="865">
        <f>'REF. DE PREÇOS n editavel'!J2494</f>
        <v>0</v>
      </c>
      <c r="K2494" s="878" t="str">
        <f>'REF. DE PREÇOS n editavel'!K2494</f>
        <v xml:space="preserve">     </v>
      </c>
      <c r="L2494" s="1092"/>
      <c r="M2494" s="1130">
        <f t="shared" si="244"/>
        <v>0</v>
      </c>
      <c r="N2494" s="1122">
        <f t="shared" si="245"/>
        <v>0</v>
      </c>
      <c r="O2494" s="1120"/>
      <c r="Q2494" s="317" t="str">
        <f t="shared" si="246"/>
        <v/>
      </c>
      <c r="R2494" s="317" t="str">
        <f t="shared" si="247"/>
        <v/>
      </c>
      <c r="S2494" s="317" t="str">
        <f t="shared" si="248"/>
        <v/>
      </c>
      <c r="T2494" s="317" t="str">
        <f>'REF. DE PREÇOS n editavel'!S2494</f>
        <v/>
      </c>
      <c r="W2494" s="577">
        <v>0</v>
      </c>
      <c r="X2494" s="575"/>
      <c r="Y2494" s="578">
        <f>IF('REF. DE PREÇOS n editavel'!W2494=0,0,IF('REF. DE PREÇOS n editavel'!W2494&gt;0,"c","b"))</f>
        <v>0</v>
      </c>
    </row>
    <row r="2495" spans="1:25" ht="15" customHeight="1">
      <c r="A2495" s="634" t="s">
        <v>165</v>
      </c>
      <c r="B2495" s="1010" t="str">
        <f>'REF. DE PREÇOS n editavel'!B2495</f>
        <v/>
      </c>
      <c r="C2495" s="1045" t="str">
        <f>'REF. DE PREÇOS n editavel'!C2495</f>
        <v/>
      </c>
      <c r="D2495" s="1096">
        <f>'REF. DE PREÇOS n editavel'!D2495</f>
        <v>0</v>
      </c>
      <c r="E2495" s="882">
        <f>'REF. DE PREÇOS n editavel'!E2495</f>
        <v>0</v>
      </c>
      <c r="F2495" s="883">
        <f>'REF. DE PREÇOS n editavel'!F2495</f>
        <v>0</v>
      </c>
      <c r="G2495" s="887">
        <f>'REF. DE PREÇOS n editavel'!G2495</f>
        <v>0</v>
      </c>
      <c r="H2495" s="876">
        <f>'REF. DE PREÇOS n editavel'!H2495</f>
        <v>0</v>
      </c>
      <c r="I2495" s="876" t="str">
        <f>'REF. DE PREÇOS n editavel'!I2495</f>
        <v/>
      </c>
      <c r="J2495" s="865">
        <f>'REF. DE PREÇOS n editavel'!J2495</f>
        <v>0</v>
      </c>
      <c r="K2495" s="878" t="str">
        <f>'REF. DE PREÇOS n editavel'!K2495</f>
        <v xml:space="preserve">     </v>
      </c>
      <c r="L2495" s="1092"/>
      <c r="M2495" s="1130">
        <f t="shared" si="244"/>
        <v>0</v>
      </c>
      <c r="N2495" s="1122">
        <f t="shared" si="245"/>
        <v>0</v>
      </c>
      <c r="O2495" s="1120"/>
      <c r="Q2495" s="317" t="str">
        <f t="shared" si="246"/>
        <v/>
      </c>
      <c r="R2495" s="317" t="str">
        <f t="shared" si="247"/>
        <v/>
      </c>
      <c r="S2495" s="317" t="str">
        <f t="shared" si="248"/>
        <v/>
      </c>
      <c r="T2495" s="317" t="str">
        <f>'REF. DE PREÇOS n editavel'!S2495</f>
        <v/>
      </c>
      <c r="W2495" s="577">
        <v>0</v>
      </c>
      <c r="X2495" s="575"/>
      <c r="Y2495" s="578">
        <f>IF('REF. DE PREÇOS n editavel'!W2495=0,0,IF('REF. DE PREÇOS n editavel'!W2495&gt;0,"c","b"))</f>
        <v>0</v>
      </c>
    </row>
    <row r="2496" spans="1:25" ht="15" customHeight="1">
      <c r="A2496" s="634" t="s">
        <v>165</v>
      </c>
      <c r="B2496" s="1010" t="str">
        <f>'REF. DE PREÇOS n editavel'!B2496</f>
        <v/>
      </c>
      <c r="C2496" s="1045" t="str">
        <f>'REF. DE PREÇOS n editavel'!C2496</f>
        <v/>
      </c>
      <c r="D2496" s="1096">
        <f>'REF. DE PREÇOS n editavel'!D2496</f>
        <v>0</v>
      </c>
      <c r="E2496" s="882">
        <f>'REF. DE PREÇOS n editavel'!E2496</f>
        <v>0</v>
      </c>
      <c r="F2496" s="883">
        <f>'REF. DE PREÇOS n editavel'!F2496</f>
        <v>0</v>
      </c>
      <c r="G2496" s="887">
        <f>'REF. DE PREÇOS n editavel'!G2496</f>
        <v>0</v>
      </c>
      <c r="H2496" s="876">
        <f>'REF. DE PREÇOS n editavel'!H2496</f>
        <v>0</v>
      </c>
      <c r="I2496" s="876" t="str">
        <f>'REF. DE PREÇOS n editavel'!I2496</f>
        <v/>
      </c>
      <c r="J2496" s="865">
        <f>'REF. DE PREÇOS n editavel'!J2496</f>
        <v>0</v>
      </c>
      <c r="K2496" s="878" t="str">
        <f>'REF. DE PREÇOS n editavel'!K2496</f>
        <v xml:space="preserve">     </v>
      </c>
      <c r="L2496" s="1092"/>
      <c r="M2496" s="1130">
        <f t="shared" si="244"/>
        <v>0</v>
      </c>
      <c r="N2496" s="1122">
        <f t="shared" si="245"/>
        <v>0</v>
      </c>
      <c r="O2496" s="1120"/>
      <c r="Q2496" s="317" t="str">
        <f t="shared" si="246"/>
        <v/>
      </c>
      <c r="R2496" s="317" t="str">
        <f t="shared" si="247"/>
        <v/>
      </c>
      <c r="S2496" s="317" t="str">
        <f t="shared" si="248"/>
        <v/>
      </c>
      <c r="T2496" s="317" t="str">
        <f>'REF. DE PREÇOS n editavel'!S2496</f>
        <v/>
      </c>
      <c r="W2496" s="577">
        <v>0</v>
      </c>
      <c r="X2496" s="575"/>
      <c r="Y2496" s="578">
        <f>IF('REF. DE PREÇOS n editavel'!W2496=0,0,IF('REF. DE PREÇOS n editavel'!W2496&gt;0,"c","b"))</f>
        <v>0</v>
      </c>
    </row>
    <row r="2497" spans="1:25" ht="15" customHeight="1">
      <c r="A2497" s="634" t="s">
        <v>165</v>
      </c>
      <c r="B2497" s="1010" t="str">
        <f>'REF. DE PREÇOS n editavel'!B2497</f>
        <v/>
      </c>
      <c r="C2497" s="1045" t="str">
        <f>'REF. DE PREÇOS n editavel'!C2497</f>
        <v/>
      </c>
      <c r="D2497" s="1096">
        <f>'REF. DE PREÇOS n editavel'!D2497</f>
        <v>0</v>
      </c>
      <c r="E2497" s="882">
        <f>'REF. DE PREÇOS n editavel'!E2497</f>
        <v>0</v>
      </c>
      <c r="F2497" s="883">
        <f>'REF. DE PREÇOS n editavel'!F2497</f>
        <v>0</v>
      </c>
      <c r="G2497" s="887">
        <f>'REF. DE PREÇOS n editavel'!G2497</f>
        <v>0</v>
      </c>
      <c r="H2497" s="876">
        <f>'REF. DE PREÇOS n editavel'!H2497</f>
        <v>0</v>
      </c>
      <c r="I2497" s="876" t="str">
        <f>'REF. DE PREÇOS n editavel'!I2497</f>
        <v/>
      </c>
      <c r="J2497" s="865">
        <f>'REF. DE PREÇOS n editavel'!J2497</f>
        <v>0</v>
      </c>
      <c r="K2497" s="878" t="str">
        <f>'REF. DE PREÇOS n editavel'!K2497</f>
        <v xml:space="preserve">     </v>
      </c>
      <c r="L2497" s="1092"/>
      <c r="M2497" s="1130">
        <f t="shared" si="244"/>
        <v>0</v>
      </c>
      <c r="N2497" s="1122">
        <f t="shared" si="245"/>
        <v>0</v>
      </c>
      <c r="O2497" s="1120"/>
      <c r="Q2497" s="317" t="str">
        <f t="shared" si="246"/>
        <v/>
      </c>
      <c r="R2497" s="317" t="str">
        <f t="shared" si="247"/>
        <v/>
      </c>
      <c r="S2497" s="317" t="str">
        <f t="shared" si="248"/>
        <v/>
      </c>
      <c r="T2497" s="317" t="str">
        <f>'REF. DE PREÇOS n editavel'!S2497</f>
        <v/>
      </c>
      <c r="W2497" s="577">
        <v>0</v>
      </c>
      <c r="X2497" s="575"/>
      <c r="Y2497" s="578">
        <f>IF('REF. DE PREÇOS n editavel'!W2497=0,0,IF('REF. DE PREÇOS n editavel'!W2497&gt;0,"c","b"))</f>
        <v>0</v>
      </c>
    </row>
    <row r="2498" spans="1:25" ht="15" customHeight="1" thickBot="1">
      <c r="A2498" s="634" t="s">
        <v>165</v>
      </c>
      <c r="B2498" s="1010" t="str">
        <f>'REF. DE PREÇOS n editavel'!B2498</f>
        <v/>
      </c>
      <c r="C2498" s="1045" t="str">
        <f>'REF. DE PREÇOS n editavel'!C2498</f>
        <v/>
      </c>
      <c r="D2498" s="1096">
        <f>'REF. DE PREÇOS n editavel'!D2498</f>
        <v>0</v>
      </c>
      <c r="E2498" s="882">
        <f>'REF. DE PREÇOS n editavel'!E2498</f>
        <v>0</v>
      </c>
      <c r="F2498" s="883">
        <f>'REF. DE PREÇOS n editavel'!F2498</f>
        <v>0</v>
      </c>
      <c r="G2498" s="887">
        <f>'REF. DE PREÇOS n editavel'!G2498</f>
        <v>0</v>
      </c>
      <c r="H2498" s="876">
        <f>'REF. DE PREÇOS n editavel'!H2498</f>
        <v>0</v>
      </c>
      <c r="I2498" s="876" t="str">
        <f>'REF. DE PREÇOS n editavel'!I2498</f>
        <v/>
      </c>
      <c r="J2498" s="865">
        <f>'REF. DE PREÇOS n editavel'!J2498</f>
        <v>0</v>
      </c>
      <c r="K2498" s="878" t="str">
        <f>'REF. DE PREÇOS n editavel'!K2498</f>
        <v xml:space="preserve">     </v>
      </c>
      <c r="L2498" s="1092"/>
      <c r="M2498" s="1130">
        <f t="shared" si="244"/>
        <v>0</v>
      </c>
      <c r="N2498" s="1122">
        <f t="shared" si="245"/>
        <v>0</v>
      </c>
      <c r="O2498" s="1120"/>
      <c r="Q2498" s="317" t="str">
        <f t="shared" si="246"/>
        <v/>
      </c>
      <c r="R2498" s="317" t="str">
        <f t="shared" si="247"/>
        <v/>
      </c>
      <c r="S2498" s="317" t="str">
        <f t="shared" si="248"/>
        <v/>
      </c>
      <c r="T2498" s="317" t="str">
        <f>'REF. DE PREÇOS n editavel'!S2498</f>
        <v/>
      </c>
      <c r="W2498" s="577">
        <v>0</v>
      </c>
      <c r="X2498" s="575"/>
      <c r="Y2498" s="578">
        <f>IF('REF. DE PREÇOS n editavel'!W2498=0,0,IF('REF. DE PREÇOS n editavel'!W2498&gt;0,"c","b"))</f>
        <v>0</v>
      </c>
    </row>
    <row r="2499" spans="1:25" ht="15" customHeight="1">
      <c r="A2499" s="634" t="s">
        <v>165</v>
      </c>
      <c r="B2499" s="1020" t="s">
        <v>487</v>
      </c>
      <c r="C2499" s="1021"/>
      <c r="D2499" s="1022" t="s">
        <v>524</v>
      </c>
      <c r="E2499" s="1023">
        <f>'REF. DE PREÇOS n editavel'!E2499</f>
        <v>0</v>
      </c>
      <c r="F2499" s="1024">
        <f>'REF. DE PREÇOS n editavel'!F2499</f>
        <v>0</v>
      </c>
      <c r="G2499" s="1025"/>
      <c r="H2499" s="1026">
        <f>'REF. DE PREÇOS n editavel'!H2499</f>
        <v>0</v>
      </c>
      <c r="I2499" s="1026">
        <f>'REF. DE PREÇOS n editavel'!I2499</f>
        <v>0</v>
      </c>
      <c r="J2499" s="1026">
        <f>'REF. DE PREÇOS n editavel'!J2499</f>
        <v>0</v>
      </c>
      <c r="K2499" s="1027" t="s">
        <v>506</v>
      </c>
      <c r="L2499" s="1134"/>
      <c r="M2499" s="1135">
        <f t="shared" si="244"/>
        <v>0</v>
      </c>
      <c r="N2499" s="1030">
        <f t="shared" si="245"/>
        <v>0</v>
      </c>
      <c r="O2499" s="1031">
        <f>SUM(N2501:N2546)</f>
        <v>135836.03</v>
      </c>
      <c r="P2499" s="58" t="str">
        <f>IF(OR(O2499&gt;0,O2499&gt;0),"X","")</f>
        <v>X</v>
      </c>
      <c r="Q2499" s="317" t="str">
        <f t="shared" si="246"/>
        <v>x</v>
      </c>
      <c r="R2499" s="317" t="str">
        <f t="shared" si="247"/>
        <v>x</v>
      </c>
      <c r="S2499" s="317" t="str">
        <f t="shared" si="248"/>
        <v>x</v>
      </c>
      <c r="T2499" s="317" t="str">
        <f>'REF. DE PREÇOS n editavel'!S2499</f>
        <v>x</v>
      </c>
      <c r="W2499" s="577">
        <v>0</v>
      </c>
      <c r="X2499" s="575"/>
      <c r="Y2499" s="578">
        <f>IF('REF. DE PREÇOS n editavel'!W2499=0,0,IF('REF. DE PREÇOS n editavel'!W2499&gt;0,"c","b"))</f>
        <v>0</v>
      </c>
    </row>
    <row r="2500" spans="1:25" ht="39.950000000000003" customHeight="1" thickBot="1">
      <c r="A2500" s="634"/>
      <c r="B2500" s="1032"/>
      <c r="C2500" s="1033"/>
      <c r="D2500" s="1034" t="s">
        <v>1994</v>
      </c>
      <c r="E2500" s="1035">
        <f>'REF. DE PREÇOS n editavel'!E2500</f>
        <v>0</v>
      </c>
      <c r="F2500" s="1036">
        <f>'REF. DE PREÇOS n editavel'!F2500</f>
        <v>0</v>
      </c>
      <c r="G2500" s="1037"/>
      <c r="H2500" s="1038">
        <f>'REF. DE PREÇOS n editavel'!H2500</f>
        <v>0</v>
      </c>
      <c r="I2500" s="1038">
        <f>'REF. DE PREÇOS n editavel'!I2500</f>
        <v>0</v>
      </c>
      <c r="J2500" s="1038">
        <f>'REF. DE PREÇOS n editavel'!J2500</f>
        <v>0</v>
      </c>
      <c r="K2500" s="1039"/>
      <c r="L2500" s="1068"/>
      <c r="M2500" s="1068">
        <f t="shared" si="244"/>
        <v>0</v>
      </c>
      <c r="N2500" s="1041">
        <f t="shared" si="245"/>
        <v>0</v>
      </c>
      <c r="O2500" s="1042"/>
      <c r="P2500" s="572" t="str">
        <f>P2499</f>
        <v>X</v>
      </c>
      <c r="Q2500" s="317" t="str">
        <f t="shared" si="246"/>
        <v>x</v>
      </c>
      <c r="R2500" s="317" t="str">
        <f t="shared" si="247"/>
        <v>x</v>
      </c>
      <c r="S2500" s="317" t="str">
        <f t="shared" si="248"/>
        <v>x</v>
      </c>
      <c r="T2500" s="317" t="str">
        <f>'REF. DE PREÇOS n editavel'!S2500</f>
        <v>x</v>
      </c>
      <c r="W2500" s="577">
        <v>0</v>
      </c>
      <c r="X2500" s="575"/>
      <c r="Y2500" s="578">
        <f>IF('REF. DE PREÇOS n editavel'!W2500=0,0,IF('REF. DE PREÇOS n editavel'!W2500&gt;0,"c","b"))</f>
        <v>0</v>
      </c>
    </row>
    <row r="2501" spans="1:25" s="77" customFormat="1" ht="22.5">
      <c r="A2501" s="634" t="s">
        <v>165</v>
      </c>
      <c r="B2501" s="858" t="str">
        <f>'REF. DE PREÇOS n editavel'!B2501</f>
        <v>09.02.11</v>
      </c>
      <c r="C2501" s="859" t="str">
        <f>'REF. DE PREÇOS n editavel'!C2501</f>
        <v>DAER/RS</v>
      </c>
      <c r="D2501" s="920" t="str">
        <f>'REF. DE PREÇOS n editavel'!D2501</f>
        <v xml:space="preserve">Ensaio de Massa Específica - In Situ - Método Frasco de Areia (Grau de Compactação) - Terraplenagem </v>
      </c>
      <c r="E2501" s="1005">
        <f>'REF. DE PREÇOS n editavel'!E2501</f>
        <v>0</v>
      </c>
      <c r="F2501" s="921">
        <f>'REF. DE PREÇOS n editavel'!F2501</f>
        <v>0</v>
      </c>
      <c r="G2501" s="923">
        <f>'REF. DE PREÇOS n editavel'!G2501</f>
        <v>0</v>
      </c>
      <c r="H2501" s="864">
        <f>'REF. DE PREÇOS n editavel'!H2501</f>
        <v>143.56</v>
      </c>
      <c r="I2501" s="864">
        <f>'REF. DE PREÇOS n editavel'!I2501</f>
        <v>143.56</v>
      </c>
      <c r="J2501" s="865">
        <f>'REF. DE PREÇOS n editavel'!J2501</f>
        <v>175.46</v>
      </c>
      <c r="K2501" s="866" t="s">
        <v>15</v>
      </c>
      <c r="L2501" s="1092"/>
      <c r="M2501" s="1093">
        <f t="shared" si="244"/>
        <v>0</v>
      </c>
      <c r="N2501" s="907">
        <f t="shared" si="245"/>
        <v>0</v>
      </c>
      <c r="O2501" s="880"/>
      <c r="P2501" s="76"/>
      <c r="Q2501" s="317" t="str">
        <f t="shared" si="246"/>
        <v/>
      </c>
      <c r="R2501" s="317" t="str">
        <f t="shared" si="247"/>
        <v/>
      </c>
      <c r="S2501" s="317" t="str">
        <f t="shared" si="248"/>
        <v/>
      </c>
      <c r="T2501" s="317" t="str">
        <f>'REF. DE PREÇOS n editavel'!S2501</f>
        <v/>
      </c>
      <c r="V2501" s="37"/>
      <c r="W2501" s="577">
        <v>0</v>
      </c>
      <c r="X2501" s="575"/>
      <c r="Y2501" s="578">
        <f>IF('REF. DE PREÇOS n editavel'!W2501=0,0,IF('REF. DE PREÇOS n editavel'!W2501&gt;0,"c","b"))</f>
        <v>0</v>
      </c>
    </row>
    <row r="2502" spans="1:25" s="77" customFormat="1" ht="22.5">
      <c r="A2502" s="634" t="s">
        <v>165</v>
      </c>
      <c r="B2502" s="870" t="str">
        <f>'REF. DE PREÇOS n editavel'!B2502</f>
        <v>09.02.11</v>
      </c>
      <c r="C2502" s="871" t="str">
        <f>'REF. DE PREÇOS n editavel'!C2502</f>
        <v>DAER/RS</v>
      </c>
      <c r="D2502" s="881" t="str">
        <f>'REF. DE PREÇOS n editavel'!D2502</f>
        <v xml:space="preserve">Ensaio de Massa Específica - In Situ - Método Frasco de Areia (Grau de Compactação) - Reforço do Subleito </v>
      </c>
      <c r="E2502" s="882">
        <f>'REF. DE PREÇOS n editavel'!E2502</f>
        <v>0</v>
      </c>
      <c r="F2502" s="883">
        <f>'REF. DE PREÇOS n editavel'!F2502</f>
        <v>0</v>
      </c>
      <c r="G2502" s="887">
        <f>'REF. DE PREÇOS n editavel'!G2502</f>
        <v>0</v>
      </c>
      <c r="H2502" s="876">
        <f>'REF. DE PREÇOS n editavel'!H2502</f>
        <v>143.56</v>
      </c>
      <c r="I2502" s="876">
        <f>'REF. DE PREÇOS n editavel'!I2502</f>
        <v>143.56</v>
      </c>
      <c r="J2502" s="877">
        <f>'REF. DE PREÇOS n editavel'!J2502</f>
        <v>175.46</v>
      </c>
      <c r="K2502" s="878" t="s">
        <v>15</v>
      </c>
      <c r="L2502" s="1092"/>
      <c r="M2502" s="1093">
        <f t="shared" ref="M2502:M2546" si="249">IF(L2502=0,0,ROUND(J2502,2))</f>
        <v>0</v>
      </c>
      <c r="N2502" s="868">
        <f t="shared" si="245"/>
        <v>0</v>
      </c>
      <c r="O2502" s="880"/>
      <c r="P2502" s="76"/>
      <c r="Q2502" s="317" t="str">
        <f t="shared" si="246"/>
        <v/>
      </c>
      <c r="R2502" s="317" t="str">
        <f t="shared" si="247"/>
        <v/>
      </c>
      <c r="S2502" s="317" t="str">
        <f t="shared" si="248"/>
        <v/>
      </c>
      <c r="T2502" s="317" t="str">
        <f>'REF. DE PREÇOS n editavel'!S2502</f>
        <v/>
      </c>
      <c r="V2502" s="37"/>
      <c r="W2502" s="577">
        <v>0</v>
      </c>
      <c r="X2502" s="575"/>
      <c r="Y2502" s="578">
        <f>IF('REF. DE PREÇOS n editavel'!W2502=0,0,IF('REF. DE PREÇOS n editavel'!W2502&gt;0,"c","b"))</f>
        <v>0</v>
      </c>
    </row>
    <row r="2503" spans="1:25" s="77" customFormat="1" ht="22.5">
      <c r="A2503" s="634" t="s">
        <v>165</v>
      </c>
      <c r="B2503" s="870" t="str">
        <f>'REF. DE PREÇOS n editavel'!B2503</f>
        <v>09.02.11</v>
      </c>
      <c r="C2503" s="871" t="str">
        <f>'REF. DE PREÇOS n editavel'!C2503</f>
        <v>DAER/RS</v>
      </c>
      <c r="D2503" s="881" t="str">
        <f>'REF. DE PREÇOS n editavel'!D2503</f>
        <v>Ensaio de Massa Específica - In Situ - Método Frasco de Areia (Grau de Compactação) - Regularização e Compactação do Subleito</v>
      </c>
      <c r="E2503" s="882">
        <f>'REF. DE PREÇOS n editavel'!E2503</f>
        <v>0</v>
      </c>
      <c r="F2503" s="883">
        <f>'REF. DE PREÇOS n editavel'!F2503</f>
        <v>0</v>
      </c>
      <c r="G2503" s="887">
        <f>'REF. DE PREÇOS n editavel'!G2503</f>
        <v>0</v>
      </c>
      <c r="H2503" s="876">
        <f>'REF. DE PREÇOS n editavel'!H2503</f>
        <v>143.56</v>
      </c>
      <c r="I2503" s="876">
        <f>'REF. DE PREÇOS n editavel'!I2503</f>
        <v>143.56</v>
      </c>
      <c r="J2503" s="877">
        <f>'REF. DE PREÇOS n editavel'!J2503</f>
        <v>175.46</v>
      </c>
      <c r="K2503" s="878" t="s">
        <v>15</v>
      </c>
      <c r="L2503" s="1092"/>
      <c r="M2503" s="1093">
        <f t="shared" si="249"/>
        <v>0</v>
      </c>
      <c r="N2503" s="868">
        <f t="shared" si="245"/>
        <v>0</v>
      </c>
      <c r="O2503" s="880"/>
      <c r="P2503" s="76"/>
      <c r="Q2503" s="317" t="str">
        <f t="shared" si="246"/>
        <v/>
      </c>
      <c r="R2503" s="317" t="str">
        <f t="shared" si="247"/>
        <v/>
      </c>
      <c r="S2503" s="317" t="str">
        <f t="shared" si="248"/>
        <v/>
      </c>
      <c r="T2503" s="317" t="str">
        <f>'REF. DE PREÇOS n editavel'!S2503</f>
        <v/>
      </c>
      <c r="V2503" s="37"/>
      <c r="W2503" s="577">
        <v>0</v>
      </c>
      <c r="X2503" s="575"/>
      <c r="Y2503" s="578">
        <f>IF('REF. DE PREÇOS n editavel'!W2503=0,0,IF('REF. DE PREÇOS n editavel'!W2503&gt;0,"c","b"))</f>
        <v>0</v>
      </c>
    </row>
    <row r="2504" spans="1:25" s="77" customFormat="1" ht="22.5">
      <c r="A2504" s="634" t="s">
        <v>165</v>
      </c>
      <c r="B2504" s="870" t="str">
        <f>'REF. DE PREÇOS n editavel'!B2504</f>
        <v>09.02.11</v>
      </c>
      <c r="C2504" s="871" t="str">
        <f>'REF. DE PREÇOS n editavel'!C2504</f>
        <v>DAER/RS</v>
      </c>
      <c r="D2504" s="881" t="str">
        <f>'REF. DE PREÇOS n editavel'!D2504</f>
        <v>Ensaio de Massa Específica - In Situ - Método Frasco de Areia (Grau de Compactação) - 
Sub-base</v>
      </c>
      <c r="E2504" s="882">
        <f>'REF. DE PREÇOS n editavel'!E2504</f>
        <v>0</v>
      </c>
      <c r="F2504" s="883">
        <f>'REF. DE PREÇOS n editavel'!F2504</f>
        <v>0</v>
      </c>
      <c r="G2504" s="887">
        <f>'REF. DE PREÇOS n editavel'!G2504</f>
        <v>0</v>
      </c>
      <c r="H2504" s="876">
        <f>'REF. DE PREÇOS n editavel'!H2504</f>
        <v>143.56</v>
      </c>
      <c r="I2504" s="876">
        <f>'REF. DE PREÇOS n editavel'!I2504</f>
        <v>143.56</v>
      </c>
      <c r="J2504" s="877">
        <f>'REF. DE PREÇOS n editavel'!J2504</f>
        <v>175.46</v>
      </c>
      <c r="K2504" s="878" t="s">
        <v>15</v>
      </c>
      <c r="L2504" s="1092"/>
      <c r="M2504" s="1093">
        <f t="shared" si="249"/>
        <v>0</v>
      </c>
      <c r="N2504" s="868">
        <f t="shared" si="245"/>
        <v>0</v>
      </c>
      <c r="O2504" s="880"/>
      <c r="P2504" s="76"/>
      <c r="Q2504" s="317" t="str">
        <f t="shared" si="246"/>
        <v/>
      </c>
      <c r="R2504" s="317" t="str">
        <f t="shared" si="247"/>
        <v/>
      </c>
      <c r="S2504" s="317" t="str">
        <f t="shared" si="248"/>
        <v/>
      </c>
      <c r="T2504" s="317" t="str">
        <f>'REF. DE PREÇOS n editavel'!S2504</f>
        <v/>
      </c>
      <c r="V2504" s="37"/>
      <c r="W2504" s="577">
        <v>0</v>
      </c>
      <c r="X2504" s="575"/>
      <c r="Y2504" s="578">
        <f>IF('REF. DE PREÇOS n editavel'!W2504=0,0,IF('REF. DE PREÇOS n editavel'!W2504&gt;0,"c","b"))</f>
        <v>0</v>
      </c>
    </row>
    <row r="2505" spans="1:25" s="77" customFormat="1" ht="22.5">
      <c r="A2505" s="634" t="s">
        <v>165</v>
      </c>
      <c r="B2505" s="870" t="str">
        <f>'REF. DE PREÇOS n editavel'!B2505</f>
        <v>09.02.11</v>
      </c>
      <c r="C2505" s="871" t="str">
        <f>'REF. DE PREÇOS n editavel'!C2505</f>
        <v>DAER/RS</v>
      </c>
      <c r="D2505" s="881" t="str">
        <f>'REF. DE PREÇOS n editavel'!D2505</f>
        <v>Ensaio de Massa Específica - In Situ - Método Frasco de Areia (Grau de Compactação) - Base</v>
      </c>
      <c r="E2505" s="882">
        <f>'REF. DE PREÇOS n editavel'!E2505</f>
        <v>0</v>
      </c>
      <c r="F2505" s="883">
        <f>'REF. DE PREÇOS n editavel'!F2505</f>
        <v>0</v>
      </c>
      <c r="G2505" s="887">
        <f>'REF. DE PREÇOS n editavel'!G2505</f>
        <v>0</v>
      </c>
      <c r="H2505" s="876">
        <f>'REF. DE PREÇOS n editavel'!H2505</f>
        <v>143.56</v>
      </c>
      <c r="I2505" s="876">
        <f>'REF. DE PREÇOS n editavel'!I2505</f>
        <v>143.56</v>
      </c>
      <c r="J2505" s="877">
        <f>'REF. DE PREÇOS n editavel'!J2505</f>
        <v>175.46</v>
      </c>
      <c r="K2505" s="878" t="s">
        <v>15</v>
      </c>
      <c r="L2505" s="1092"/>
      <c r="M2505" s="1093">
        <f t="shared" si="249"/>
        <v>0</v>
      </c>
      <c r="N2505" s="868">
        <f t="shared" si="245"/>
        <v>0</v>
      </c>
      <c r="O2505" s="880"/>
      <c r="P2505" s="76"/>
      <c r="Q2505" s="317" t="str">
        <f t="shared" si="246"/>
        <v/>
      </c>
      <c r="R2505" s="317" t="str">
        <f t="shared" si="247"/>
        <v/>
      </c>
      <c r="S2505" s="317" t="str">
        <f t="shared" si="248"/>
        <v/>
      </c>
      <c r="T2505" s="317" t="str">
        <f>'REF. DE PREÇOS n editavel'!S2505</f>
        <v/>
      </c>
      <c r="V2505" s="37"/>
      <c r="W2505" s="577">
        <v>0</v>
      </c>
      <c r="X2505" s="575"/>
      <c r="Y2505" s="578">
        <f>IF('REF. DE PREÇOS n editavel'!W2505=0,0,IF('REF. DE PREÇOS n editavel'!W2505&gt;0,"c","b"))</f>
        <v>0</v>
      </c>
    </row>
    <row r="2506" spans="1:25" s="77" customFormat="1">
      <c r="A2506" s="634" t="s">
        <v>165</v>
      </c>
      <c r="B2506" s="870" t="str">
        <f>'REF. DE PREÇOS n editavel'!B2506</f>
        <v>09.02.01</v>
      </c>
      <c r="C2506" s="871" t="str">
        <f>'REF. DE PREÇOS n editavel'!C2506</f>
        <v>DAER/RS</v>
      </c>
      <c r="D2506" s="881" t="str">
        <f>'REF. DE PREÇOS n editavel'!D2506</f>
        <v>Ensaio de Granulometria do Agregado</v>
      </c>
      <c r="E2506" s="882">
        <f>'REF. DE PREÇOS n editavel'!E2506</f>
        <v>0</v>
      </c>
      <c r="F2506" s="883">
        <f>'REF. DE PREÇOS n editavel'!F2506</f>
        <v>0</v>
      </c>
      <c r="G2506" s="887">
        <f>'REF. DE PREÇOS n editavel'!G2506</f>
        <v>0</v>
      </c>
      <c r="H2506" s="876">
        <f>'REF. DE PREÇOS n editavel'!H2506</f>
        <v>148.02000000000001</v>
      </c>
      <c r="I2506" s="876">
        <f>'REF. DE PREÇOS n editavel'!I2506</f>
        <v>148.02000000000001</v>
      </c>
      <c r="J2506" s="877">
        <f>'REF. DE PREÇOS n editavel'!J2506</f>
        <v>180.91</v>
      </c>
      <c r="K2506" s="878" t="s">
        <v>15</v>
      </c>
      <c r="L2506" s="1092">
        <v>130</v>
      </c>
      <c r="M2506" s="1093">
        <f t="shared" si="249"/>
        <v>180.91</v>
      </c>
      <c r="N2506" s="868">
        <f t="shared" si="245"/>
        <v>23518.3</v>
      </c>
      <c r="O2506" s="880"/>
      <c r="P2506" s="76"/>
      <c r="Q2506" s="317" t="str">
        <f t="shared" si="246"/>
        <v>x</v>
      </c>
      <c r="R2506" s="317" t="str">
        <f t="shared" si="247"/>
        <v>x</v>
      </c>
      <c r="S2506" s="317" t="str">
        <f t="shared" si="248"/>
        <v>x</v>
      </c>
      <c r="T2506" s="317" t="str">
        <f>'REF. DE PREÇOS n editavel'!S2506</f>
        <v>x</v>
      </c>
      <c r="V2506" s="37"/>
      <c r="W2506" s="577">
        <v>0</v>
      </c>
      <c r="X2506" s="575"/>
      <c r="Y2506" s="578">
        <f>IF('REF. DE PREÇOS n editavel'!W2506=0,0,IF('REF. DE PREÇOS n editavel'!W2506&gt;0,"c","b"))</f>
        <v>0</v>
      </c>
    </row>
    <row r="2507" spans="1:25" s="77" customFormat="1">
      <c r="A2507" s="634" t="s">
        <v>165</v>
      </c>
      <c r="B2507" s="870" t="str">
        <f>'REF. DE PREÇOS n editavel'!B2507</f>
        <v>74022/27</v>
      </c>
      <c r="C2507" s="871" t="str">
        <f>'REF. DE PREÇOS n editavel'!C2507</f>
        <v>SINAPI</v>
      </c>
      <c r="D2507" s="931" t="str">
        <f>'REF. DE PREÇOS n editavel'!D2507</f>
        <v>Ensaio de Controle de Taxa de Aplicação de Ligante Betuminoso</v>
      </c>
      <c r="E2507" s="882">
        <f>'REF. DE PREÇOS n editavel'!E2507</f>
        <v>0</v>
      </c>
      <c r="F2507" s="883">
        <f>'REF. DE PREÇOS n editavel'!F2507</f>
        <v>0</v>
      </c>
      <c r="G2507" s="887">
        <f>'REF. DE PREÇOS n editavel'!G2507</f>
        <v>0</v>
      </c>
      <c r="H2507" s="876">
        <f>'REF. DE PREÇOS n editavel'!H2507</f>
        <v>104.8</v>
      </c>
      <c r="I2507" s="876">
        <f>'REF. DE PREÇOS n editavel'!I2507</f>
        <v>104.8</v>
      </c>
      <c r="J2507" s="877">
        <f>'REF. DE PREÇOS n editavel'!J2507</f>
        <v>128.09</v>
      </c>
      <c r="K2507" s="878" t="s">
        <v>15</v>
      </c>
      <c r="L2507" s="1092">
        <v>130</v>
      </c>
      <c r="M2507" s="1093">
        <f t="shared" si="249"/>
        <v>128.09</v>
      </c>
      <c r="N2507" s="868">
        <f t="shared" si="245"/>
        <v>16651.7</v>
      </c>
      <c r="O2507" s="880"/>
      <c r="P2507" s="76"/>
      <c r="Q2507" s="317" t="str">
        <f t="shared" si="246"/>
        <v>x</v>
      </c>
      <c r="R2507" s="317" t="str">
        <f t="shared" si="247"/>
        <v>x</v>
      </c>
      <c r="S2507" s="317" t="str">
        <f t="shared" si="248"/>
        <v>x</v>
      </c>
      <c r="T2507" s="317" t="str">
        <f>'REF. DE PREÇOS n editavel'!S2507</f>
        <v>x</v>
      </c>
      <c r="V2507" s="37"/>
      <c r="W2507" s="577">
        <v>0</v>
      </c>
      <c r="X2507" s="575"/>
      <c r="Y2507" s="578">
        <f>IF('REF. DE PREÇOS n editavel'!W2507=0,0,IF('REF. DE PREÇOS n editavel'!W2507&gt;0,"c","b"))</f>
        <v>0</v>
      </c>
    </row>
    <row r="2508" spans="1:25" s="77" customFormat="1">
      <c r="A2508" s="634" t="s">
        <v>165</v>
      </c>
      <c r="B2508" s="870" t="str">
        <f>'REF. DE PREÇOS n editavel'!B2508</f>
        <v>74022/50</v>
      </c>
      <c r="C2508" s="871" t="str">
        <f>'REF. DE PREÇOS n editavel'!C2508</f>
        <v>SINAPI</v>
      </c>
      <c r="D2508" s="931" t="str">
        <f>'REF. DE PREÇOS n editavel'!D2508</f>
        <v>Ensaio de Determinação da Taxa de Espalhamento do Agregado</v>
      </c>
      <c r="E2508" s="882">
        <f>'REF. DE PREÇOS n editavel'!E2508</f>
        <v>0</v>
      </c>
      <c r="F2508" s="883">
        <f>'REF. DE PREÇOS n editavel'!F2508</f>
        <v>0</v>
      </c>
      <c r="G2508" s="887">
        <f>'REF. DE PREÇOS n editavel'!G2508</f>
        <v>0</v>
      </c>
      <c r="H2508" s="876">
        <f>'REF. DE PREÇOS n editavel'!H2508</f>
        <v>74.86</v>
      </c>
      <c r="I2508" s="876">
        <f>'REF. DE PREÇOS n editavel'!I2508</f>
        <v>74.86</v>
      </c>
      <c r="J2508" s="877">
        <f>'REF. DE PREÇOS n editavel'!J2508</f>
        <v>91.49</v>
      </c>
      <c r="K2508" s="878" t="s">
        <v>15</v>
      </c>
      <c r="L2508" s="1092"/>
      <c r="M2508" s="1093">
        <f t="shared" si="249"/>
        <v>0</v>
      </c>
      <c r="N2508" s="868">
        <f t="shared" si="245"/>
        <v>0</v>
      </c>
      <c r="O2508" s="880"/>
      <c r="P2508" s="76"/>
      <c r="Q2508" s="317" t="str">
        <f t="shared" si="246"/>
        <v/>
      </c>
      <c r="R2508" s="317" t="str">
        <f t="shared" si="247"/>
        <v/>
      </c>
      <c r="S2508" s="317" t="str">
        <f t="shared" si="248"/>
        <v/>
      </c>
      <c r="T2508" s="317" t="str">
        <f>'REF. DE PREÇOS n editavel'!S2508</f>
        <v/>
      </c>
      <c r="V2508" s="37"/>
      <c r="W2508" s="577">
        <v>0</v>
      </c>
      <c r="X2508" s="575"/>
      <c r="Y2508" s="578">
        <f>IF('REF. DE PREÇOS n editavel'!W2508=0,0,IF('REF. DE PREÇOS n editavel'!W2508&gt;0,"c","b"))</f>
        <v>0</v>
      </c>
    </row>
    <row r="2509" spans="1:25" s="77" customFormat="1">
      <c r="A2509" s="634" t="s">
        <v>165</v>
      </c>
      <c r="B2509" s="870" t="str">
        <f>'REF. DE PREÇOS n editavel'!B2509</f>
        <v>09.04.04</v>
      </c>
      <c r="C2509" s="871" t="str">
        <f>'REF. DE PREÇOS n editavel'!C2509</f>
        <v>DAER/RS</v>
      </c>
      <c r="D2509" s="931" t="str">
        <f>'REF. DE PREÇOS n editavel'!D2509</f>
        <v>Ensaio de Percentagem de Betume - Misturas Betuminosas</v>
      </c>
      <c r="E2509" s="882">
        <f>'REF. DE PREÇOS n editavel'!E2509</f>
        <v>0</v>
      </c>
      <c r="F2509" s="883">
        <f>'REF. DE PREÇOS n editavel'!F2509</f>
        <v>0</v>
      </c>
      <c r="G2509" s="887">
        <f>'REF. DE PREÇOS n editavel'!G2509</f>
        <v>0</v>
      </c>
      <c r="H2509" s="876">
        <f>'REF. DE PREÇOS n editavel'!H2509</f>
        <v>175.82</v>
      </c>
      <c r="I2509" s="876">
        <f>'REF. DE PREÇOS n editavel'!I2509</f>
        <v>175.82</v>
      </c>
      <c r="J2509" s="877">
        <f>'REF. DE PREÇOS n editavel'!J2509</f>
        <v>214.89</v>
      </c>
      <c r="K2509" s="878" t="s">
        <v>15</v>
      </c>
      <c r="L2509" s="1092">
        <v>130</v>
      </c>
      <c r="M2509" s="1093">
        <f t="shared" si="249"/>
        <v>214.89</v>
      </c>
      <c r="N2509" s="868">
        <f t="shared" si="245"/>
        <v>27935.7</v>
      </c>
      <c r="O2509" s="880"/>
      <c r="P2509" s="76"/>
      <c r="Q2509" s="317" t="str">
        <f t="shared" si="246"/>
        <v>x</v>
      </c>
      <c r="R2509" s="317" t="str">
        <f t="shared" si="247"/>
        <v>x</v>
      </c>
      <c r="S2509" s="317" t="str">
        <f t="shared" si="248"/>
        <v>x</v>
      </c>
      <c r="T2509" s="317" t="str">
        <f>'REF. DE PREÇOS n editavel'!S2509</f>
        <v>x</v>
      </c>
      <c r="V2509" s="37"/>
      <c r="W2509" s="577">
        <v>0</v>
      </c>
      <c r="X2509" s="575"/>
      <c r="Y2509" s="578">
        <f>IF('REF. DE PREÇOS n editavel'!W2509=0,0,IF('REF. DE PREÇOS n editavel'!W2509&gt;0,"c","b"))</f>
        <v>0</v>
      </c>
    </row>
    <row r="2510" spans="1:25" s="77" customFormat="1">
      <c r="A2510" s="634" t="s">
        <v>165</v>
      </c>
      <c r="B2510" s="870" t="str">
        <f>'REF. DE PREÇOS n editavel'!B2510</f>
        <v>74022/53</v>
      </c>
      <c r="C2510" s="871" t="str">
        <f>'REF. DE PREÇOS n editavel'!C2510</f>
        <v>SINAPI</v>
      </c>
      <c r="D2510" s="881" t="str">
        <f>'REF. DE PREÇOS n editavel'!D2510</f>
        <v>Ensaio de Controle do Grau de Compactação da Mistura Asfáltica</v>
      </c>
      <c r="E2510" s="882">
        <f>'REF. DE PREÇOS n editavel'!E2510</f>
        <v>0</v>
      </c>
      <c r="F2510" s="883">
        <f>'REF. DE PREÇOS n editavel'!F2510</f>
        <v>0</v>
      </c>
      <c r="G2510" s="887">
        <f>'REF. DE PREÇOS n editavel'!G2510</f>
        <v>0</v>
      </c>
      <c r="H2510" s="876">
        <f>'REF. DE PREÇOS n editavel'!H2510</f>
        <v>134.76</v>
      </c>
      <c r="I2510" s="876">
        <f>'REF. DE PREÇOS n editavel'!I2510</f>
        <v>134.76</v>
      </c>
      <c r="J2510" s="877">
        <f>'REF. DE PREÇOS n editavel'!J2510</f>
        <v>164.7</v>
      </c>
      <c r="K2510" s="878" t="s">
        <v>15</v>
      </c>
      <c r="L2510" s="1092">
        <v>130</v>
      </c>
      <c r="M2510" s="1093">
        <f t="shared" si="249"/>
        <v>164.7</v>
      </c>
      <c r="N2510" s="868">
        <f t="shared" si="245"/>
        <v>21411</v>
      </c>
      <c r="O2510" s="880"/>
      <c r="P2510" s="76"/>
      <c r="Q2510" s="317" t="str">
        <f t="shared" si="246"/>
        <v>x</v>
      </c>
      <c r="R2510" s="317" t="str">
        <f t="shared" si="247"/>
        <v>x</v>
      </c>
      <c r="S2510" s="317" t="str">
        <f t="shared" si="248"/>
        <v>x</v>
      </c>
      <c r="T2510" s="317" t="str">
        <f>'REF. DE PREÇOS n editavel'!S2510</f>
        <v>x</v>
      </c>
      <c r="V2510" s="37"/>
      <c r="W2510" s="577">
        <v>0</v>
      </c>
      <c r="X2510" s="575"/>
      <c r="Y2510" s="578">
        <f>IF('REF. DE PREÇOS n editavel'!W2510=0,0,IF('REF. DE PREÇOS n editavel'!W2510&gt;0,"c","b"))</f>
        <v>0</v>
      </c>
    </row>
    <row r="2511" spans="1:25" s="77" customFormat="1">
      <c r="A2511" s="634" t="s">
        <v>165</v>
      </c>
      <c r="B2511" s="870" t="str">
        <f>'REF. DE PREÇOS n editavel'!B2511</f>
        <v>09.05.02</v>
      </c>
      <c r="C2511" s="871" t="str">
        <f>'REF. DE PREÇOS n editavel'!C2511</f>
        <v>DAER/RS</v>
      </c>
      <c r="D2511" s="881" t="str">
        <f>'REF. DE PREÇOS n editavel'!D2511</f>
        <v>Ensaio de Densidade do Material Betuminoso</v>
      </c>
      <c r="E2511" s="882">
        <f>'REF. DE PREÇOS n editavel'!E2511</f>
        <v>0</v>
      </c>
      <c r="F2511" s="883">
        <f>'REF. DE PREÇOS n editavel'!F2511</f>
        <v>0</v>
      </c>
      <c r="G2511" s="887">
        <f>'REF. DE PREÇOS n editavel'!G2511</f>
        <v>0</v>
      </c>
      <c r="H2511" s="876">
        <f>'REF. DE PREÇOS n editavel'!H2511</f>
        <v>48.16</v>
      </c>
      <c r="I2511" s="876">
        <f>'REF. DE PREÇOS n editavel'!I2511</f>
        <v>48.16</v>
      </c>
      <c r="J2511" s="877">
        <f>'REF. DE PREÇOS n editavel'!J2511</f>
        <v>58.86</v>
      </c>
      <c r="K2511" s="878" t="s">
        <v>15</v>
      </c>
      <c r="L2511" s="1092">
        <v>130</v>
      </c>
      <c r="M2511" s="1093">
        <f t="shared" si="249"/>
        <v>58.86</v>
      </c>
      <c r="N2511" s="868">
        <f t="shared" si="245"/>
        <v>7651.8</v>
      </c>
      <c r="O2511" s="880"/>
      <c r="P2511" s="76"/>
      <c r="Q2511" s="317" t="str">
        <f t="shared" si="246"/>
        <v>x</v>
      </c>
      <c r="R2511" s="317" t="str">
        <f t="shared" si="247"/>
        <v>x</v>
      </c>
      <c r="S2511" s="317" t="str">
        <f t="shared" si="248"/>
        <v>x</v>
      </c>
      <c r="T2511" s="317" t="str">
        <f>'REF. DE PREÇOS n editavel'!S2511</f>
        <v>x</v>
      </c>
      <c r="V2511" s="37"/>
      <c r="W2511" s="577">
        <v>0</v>
      </c>
      <c r="X2511" s="575"/>
      <c r="Y2511" s="578">
        <f>IF('REF. DE PREÇOS n editavel'!W2511=0,0,IF('REF. DE PREÇOS n editavel'!W2511&gt;0,"c","b"))</f>
        <v>0</v>
      </c>
    </row>
    <row r="2512" spans="1:25" s="77" customFormat="1">
      <c r="A2512" s="634" t="s">
        <v>165</v>
      </c>
      <c r="B2512" s="870" t="str">
        <f>'REF. DE PREÇOS n editavel'!B2512</f>
        <v>09.04.03</v>
      </c>
      <c r="C2512" s="871" t="str">
        <f>'REF. DE PREÇOS n editavel'!C2512</f>
        <v>DAER/RS</v>
      </c>
      <c r="D2512" s="881" t="str">
        <f>'REF. DE PREÇOS n editavel'!D2512</f>
        <v>Ensaio de tracao por compressao diametral - misturas betuminosas</v>
      </c>
      <c r="E2512" s="882">
        <f>'REF. DE PREÇOS n editavel'!E2512</f>
        <v>0</v>
      </c>
      <c r="F2512" s="883">
        <f>'REF. DE PREÇOS n editavel'!F2512</f>
        <v>0</v>
      </c>
      <c r="G2512" s="887">
        <f>'REF. DE PREÇOS n editavel'!G2512</f>
        <v>0</v>
      </c>
      <c r="H2512" s="876">
        <f>'REF. DE PREÇOS n editavel'!H2512</f>
        <v>99.15</v>
      </c>
      <c r="I2512" s="876">
        <f>'REF. DE PREÇOS n editavel'!I2512</f>
        <v>99.15</v>
      </c>
      <c r="J2512" s="877">
        <f>'REF. DE PREÇOS n editavel'!J2512</f>
        <v>121.18</v>
      </c>
      <c r="K2512" s="878" t="s">
        <v>15</v>
      </c>
      <c r="L2512" s="1092">
        <v>130</v>
      </c>
      <c r="M2512" s="1093">
        <f t="shared" si="249"/>
        <v>121.18</v>
      </c>
      <c r="N2512" s="868">
        <f t="shared" si="245"/>
        <v>15753.4</v>
      </c>
      <c r="O2512" s="880"/>
      <c r="P2512" s="76"/>
      <c r="Q2512" s="317" t="str">
        <f t="shared" si="246"/>
        <v>x</v>
      </c>
      <c r="R2512" s="317" t="str">
        <f t="shared" si="247"/>
        <v>x</v>
      </c>
      <c r="S2512" s="317" t="str">
        <f t="shared" si="248"/>
        <v>x</v>
      </c>
      <c r="T2512" s="317" t="str">
        <f>'REF. DE PREÇOS n editavel'!S2512</f>
        <v>x</v>
      </c>
      <c r="V2512" s="37"/>
      <c r="W2512" s="577">
        <v>0</v>
      </c>
      <c r="X2512" s="575"/>
      <c r="Y2512" s="578">
        <f>IF('REF. DE PREÇOS n editavel'!W2512=0,0,IF('REF. DE PREÇOS n editavel'!W2512&gt;0,"c","b"))</f>
        <v>0</v>
      </c>
    </row>
    <row r="2513" spans="1:25" s="77" customFormat="1">
      <c r="A2513" s="634" t="s">
        <v>165</v>
      </c>
      <c r="B2513" s="1043" t="str">
        <f>'REF. DE PREÇOS n editavel'!B2513</f>
        <v>09.04.01</v>
      </c>
      <c r="C2513" s="871" t="str">
        <f>'REF. DE PREÇOS n editavel'!C2513</f>
        <v>DAER/RS</v>
      </c>
      <c r="D2513" s="881" t="str">
        <f>'REF. DE PREÇOS n editavel'!D2513</f>
        <v>Extração de corpo de prova de concreto asfáltico com sonda rotativa</v>
      </c>
      <c r="E2513" s="882">
        <f>'REF. DE PREÇOS n editavel'!E2513</f>
        <v>0</v>
      </c>
      <c r="F2513" s="883">
        <f>'REF. DE PREÇOS n editavel'!F2513</f>
        <v>0</v>
      </c>
      <c r="G2513" s="887">
        <f>'REF. DE PREÇOS n editavel'!G2513</f>
        <v>0</v>
      </c>
      <c r="H2513" s="876">
        <f>'REF. DE PREÇOS n editavel'!H2513</f>
        <v>97.91</v>
      </c>
      <c r="I2513" s="876">
        <f>'REF. DE PREÇOS n editavel'!I2513</f>
        <v>97.91</v>
      </c>
      <c r="J2513" s="877">
        <f>'REF. DE PREÇOS n editavel'!J2513</f>
        <v>119.67</v>
      </c>
      <c r="K2513" s="878" t="s">
        <v>15</v>
      </c>
      <c r="L2513" s="1092">
        <v>130</v>
      </c>
      <c r="M2513" s="1093">
        <f t="shared" si="249"/>
        <v>119.67</v>
      </c>
      <c r="N2513" s="868">
        <f t="shared" si="245"/>
        <v>15557.1</v>
      </c>
      <c r="O2513" s="880"/>
      <c r="P2513" s="76"/>
      <c r="Q2513" s="317" t="str">
        <f t="shared" si="246"/>
        <v>x</v>
      </c>
      <c r="R2513" s="317" t="str">
        <f t="shared" si="247"/>
        <v>x</v>
      </c>
      <c r="S2513" s="317" t="str">
        <f t="shared" si="248"/>
        <v>x</v>
      </c>
      <c r="T2513" s="317" t="str">
        <f>'REF. DE PREÇOS n editavel'!S2513</f>
        <v>x</v>
      </c>
      <c r="V2513" s="37"/>
      <c r="W2513" s="577">
        <v>0</v>
      </c>
      <c r="X2513" s="575"/>
      <c r="Y2513" s="578">
        <f>IF('REF. DE PREÇOS n editavel'!W2513=0,0,IF('REF. DE PREÇOS n editavel'!W2513&gt;0,"c","b"))</f>
        <v>0</v>
      </c>
    </row>
    <row r="2514" spans="1:25" s="77" customFormat="1" ht="22.5">
      <c r="A2514" s="634" t="s">
        <v>165</v>
      </c>
      <c r="B2514" s="870" t="str">
        <f>'REF. DE PREÇOS n editavel'!B2514</f>
        <v>09.01.18</v>
      </c>
      <c r="C2514" s="871" t="str">
        <f>'REF. DE PREÇOS n editavel'!C2514</f>
        <v>DAER/RS</v>
      </c>
      <c r="D2514" s="881" t="str">
        <f>'REF. DE PREÇOS n editavel'!D2514</f>
        <v>Mobilização e desmobilização de equipamento e equipe para extração de corpos de prova da capa asfáltica.</v>
      </c>
      <c r="E2514" s="882">
        <f>'REF. DE PREÇOS n editavel'!E2514</f>
        <v>0</v>
      </c>
      <c r="F2514" s="883">
        <f>'REF. DE PREÇOS n editavel'!F2514</f>
        <v>0</v>
      </c>
      <c r="G2514" s="923">
        <f>'REF. DE PREÇOS n editavel'!G2514</f>
        <v>0</v>
      </c>
      <c r="H2514" s="876">
        <f>'REF. DE PREÇOS n editavel'!H2514</f>
        <v>6019.5</v>
      </c>
      <c r="I2514" s="876">
        <f>'REF. DE PREÇOS n editavel'!I2514</f>
        <v>6019.5</v>
      </c>
      <c r="J2514" s="877">
        <f>'REF. DE PREÇOS n editavel'!J2514</f>
        <v>7357.03</v>
      </c>
      <c r="K2514" s="878" t="s">
        <v>501</v>
      </c>
      <c r="L2514" s="1092">
        <v>1</v>
      </c>
      <c r="M2514" s="1093">
        <f t="shared" si="249"/>
        <v>7357.03</v>
      </c>
      <c r="N2514" s="868">
        <f t="shared" si="245"/>
        <v>7357.03</v>
      </c>
      <c r="O2514" s="880"/>
      <c r="P2514" s="76"/>
      <c r="Q2514" s="317" t="str">
        <f t="shared" si="246"/>
        <v>x</v>
      </c>
      <c r="R2514" s="317" t="str">
        <f t="shared" si="247"/>
        <v>x</v>
      </c>
      <c r="S2514" s="317" t="str">
        <f t="shared" si="248"/>
        <v>x</v>
      </c>
      <c r="T2514" s="317" t="str">
        <f>'REF. DE PREÇOS n editavel'!S2514</f>
        <v>x</v>
      </c>
      <c r="V2514" s="37"/>
      <c r="W2514" s="577">
        <v>0</v>
      </c>
      <c r="X2514" s="575"/>
      <c r="Y2514" s="578">
        <f>IF('REF. DE PREÇOS n editavel'!W2514=0,0,IF('REF. DE PREÇOS n editavel'!W2514&gt;0,"c","b"))</f>
        <v>0</v>
      </c>
    </row>
    <row r="2515" spans="1:25">
      <c r="A2515" s="634" t="s">
        <v>165</v>
      </c>
      <c r="B2515" s="888" t="s">
        <v>165</v>
      </c>
      <c r="C2515" s="889"/>
      <c r="D2515" s="890" t="s">
        <v>500</v>
      </c>
      <c r="E2515" s="891">
        <f>'REF. DE PREÇOS n editavel'!E2515</f>
        <v>0</v>
      </c>
      <c r="F2515" s="892">
        <f>'REF. DE PREÇOS n editavel'!F2515</f>
        <v>0</v>
      </c>
      <c r="G2515" s="1044">
        <f>'REF. DE PREÇOS n editavel'!G2515</f>
        <v>0</v>
      </c>
      <c r="H2515" s="895">
        <f>'REF. DE PREÇOS n editavel'!H2515</f>
        <v>0</v>
      </c>
      <c r="I2515" s="895">
        <f>'REF. DE PREÇOS n editavel'!I2515</f>
        <v>0</v>
      </c>
      <c r="J2515" s="895">
        <f>'REF. DE PREÇOS n editavel'!J2515</f>
        <v>0</v>
      </c>
      <c r="K2515" s="895" t="s">
        <v>506</v>
      </c>
      <c r="L2515" s="896"/>
      <c r="M2515" s="897">
        <f t="shared" si="249"/>
        <v>0</v>
      </c>
      <c r="N2515" s="898">
        <f t="shared" si="245"/>
        <v>0</v>
      </c>
      <c r="O2515" s="880"/>
      <c r="P2515" s="58" t="str">
        <f>IF(OR(SUM(N2516:N2546)&gt;0,SUM(N2516:N2546)&gt;0),"y","")</f>
        <v/>
      </c>
      <c r="Q2515" s="317" t="str">
        <f t="shared" si="246"/>
        <v/>
      </c>
      <c r="R2515" s="317" t="str">
        <f t="shared" si="247"/>
        <v/>
      </c>
      <c r="S2515" s="317" t="str">
        <f t="shared" si="248"/>
        <v/>
      </c>
      <c r="T2515" s="317" t="str">
        <f>'REF. DE PREÇOS n editavel'!S2515</f>
        <v/>
      </c>
      <c r="W2515" s="577">
        <v>0</v>
      </c>
      <c r="X2515" s="575"/>
      <c r="Y2515" s="578">
        <f>IF('REF. DE PREÇOS n editavel'!W2515=0,0,IF('REF. DE PREÇOS n editavel'!W2515&gt;0,"c","b"))</f>
        <v>0</v>
      </c>
    </row>
    <row r="2516" spans="1:25">
      <c r="A2516" s="634" t="s">
        <v>165</v>
      </c>
      <c r="B2516" s="1136" t="str">
        <f>'REF. DE PREÇOS n editavel'!B2516</f>
        <v>09.03.02</v>
      </c>
      <c r="C2516" s="1137" t="str">
        <f>'REF. DE PREÇOS n editavel'!C2516</f>
        <v>DAER/RS</v>
      </c>
      <c r="D2516" s="1096" t="str">
        <f>'REF. DE PREÇOS n editavel'!D2516</f>
        <v>Ensaio de Abrasão Los Angeles - Macadame seco com brita graduada</v>
      </c>
      <c r="E2516" s="882">
        <f>'REF. DE PREÇOS n editavel'!E2516</f>
        <v>0</v>
      </c>
      <c r="F2516" s="883">
        <f>'REF. DE PREÇOS n editavel'!F2516</f>
        <v>0</v>
      </c>
      <c r="G2516" s="887">
        <f>'REF. DE PREÇOS n editavel'!G2516</f>
        <v>0</v>
      </c>
      <c r="H2516" s="876">
        <f>'REF. DE PREÇOS n editavel'!H2516</f>
        <v>310.23</v>
      </c>
      <c r="I2516" s="876">
        <f>'REF. DE PREÇOS n editavel'!I2516</f>
        <v>310.23</v>
      </c>
      <c r="J2516" s="877">
        <f>'REF. DE PREÇOS n editavel'!J2516</f>
        <v>379.16</v>
      </c>
      <c r="K2516" s="878" t="str">
        <f>'REF. DE PREÇOS n editavel'!K2516</f>
        <v>un</v>
      </c>
      <c r="L2516" s="1092"/>
      <c r="M2516" s="1130">
        <f t="shared" si="249"/>
        <v>0</v>
      </c>
      <c r="N2516" s="1122">
        <f t="shared" si="245"/>
        <v>0</v>
      </c>
      <c r="O2516" s="1120"/>
      <c r="Q2516" s="317" t="str">
        <f t="shared" si="246"/>
        <v/>
      </c>
      <c r="R2516" s="317" t="str">
        <f t="shared" si="247"/>
        <v/>
      </c>
      <c r="S2516" s="317" t="str">
        <f t="shared" si="248"/>
        <v/>
      </c>
      <c r="T2516" s="317" t="str">
        <f>'REF. DE PREÇOS n editavel'!S2516</f>
        <v/>
      </c>
      <c r="W2516" s="577">
        <v>0</v>
      </c>
      <c r="X2516" s="575"/>
      <c r="Y2516" s="578">
        <f>IF('REF. DE PREÇOS n editavel'!W2516=0,0,IF('REF. DE PREÇOS n editavel'!W2516&gt;0,"c","b"))</f>
        <v>0</v>
      </c>
    </row>
    <row r="2517" spans="1:25">
      <c r="A2517" s="634" t="s">
        <v>165</v>
      </c>
      <c r="B2517" s="1136" t="str">
        <f>'REF. DE PREÇOS n editavel'!B2517</f>
        <v>09.03.02a</v>
      </c>
      <c r="C2517" s="1137" t="str">
        <f>'REF. DE PREÇOS n editavel'!C2517</f>
        <v>DAER/RS</v>
      </c>
      <c r="D2517" s="1096" t="str">
        <f>'REF. DE PREÇOS n editavel'!D2517</f>
        <v>Ensaio de Abrasão Los Angeles - rachão sem britagem</v>
      </c>
      <c r="E2517" s="882">
        <f>'REF. DE PREÇOS n editavel'!E2517</f>
        <v>0</v>
      </c>
      <c r="F2517" s="883">
        <f>'REF. DE PREÇOS n editavel'!F2517</f>
        <v>0</v>
      </c>
      <c r="G2517" s="887">
        <f>'REF. DE PREÇOS n editavel'!G2517</f>
        <v>0</v>
      </c>
      <c r="H2517" s="876">
        <f>'REF. DE PREÇOS n editavel'!H2517</f>
        <v>310.23</v>
      </c>
      <c r="I2517" s="876">
        <f>'REF. DE PREÇOS n editavel'!I2517</f>
        <v>310.23</v>
      </c>
      <c r="J2517" s="877">
        <f>'REF. DE PREÇOS n editavel'!J2517</f>
        <v>379.16</v>
      </c>
      <c r="K2517" s="878" t="str">
        <f>'REF. DE PREÇOS n editavel'!K2517</f>
        <v>un</v>
      </c>
      <c r="L2517" s="1092"/>
      <c r="M2517" s="1130">
        <f t="shared" si="249"/>
        <v>0</v>
      </c>
      <c r="N2517" s="1122">
        <f t="shared" si="245"/>
        <v>0</v>
      </c>
      <c r="O2517" s="1120"/>
      <c r="Q2517" s="317" t="str">
        <f t="shared" si="246"/>
        <v/>
      </c>
      <c r="R2517" s="317" t="str">
        <f t="shared" si="247"/>
        <v/>
      </c>
      <c r="S2517" s="317" t="str">
        <f t="shared" si="248"/>
        <v/>
      </c>
      <c r="T2517" s="317" t="str">
        <f>'REF. DE PREÇOS n editavel'!S2517</f>
        <v/>
      </c>
      <c r="W2517" s="577">
        <v>0</v>
      </c>
      <c r="X2517" s="575"/>
      <c r="Y2517" s="578">
        <f>IF('REF. DE PREÇOS n editavel'!W2517=0,0,IF('REF. DE PREÇOS n editavel'!W2517&gt;0,"c","b"))</f>
        <v>0</v>
      </c>
    </row>
    <row r="2518" spans="1:25">
      <c r="A2518" s="634" t="s">
        <v>165</v>
      </c>
      <c r="B2518" s="1136" t="str">
        <f>'REF. DE PREÇOS n editavel'!B2518</f>
        <v>09.07.01</v>
      </c>
      <c r="C2518" s="1137" t="str">
        <f>'REF. DE PREÇOS n editavel'!C2518</f>
        <v>DAER/RS</v>
      </c>
      <c r="D2518" s="1096" t="str">
        <f>'REF. DE PREÇOS n editavel'!D2518</f>
        <v>Viga Benkelman (levantamento por pista de 20m em 20m alternando a faixa) - (km.pista)</v>
      </c>
      <c r="E2518" s="882">
        <f>'REF. DE PREÇOS n editavel'!E2518</f>
        <v>0</v>
      </c>
      <c r="F2518" s="883">
        <f>'REF. DE PREÇOS n editavel'!F2518</f>
        <v>0</v>
      </c>
      <c r="G2518" s="887">
        <f>'REF. DE PREÇOS n editavel'!G2518</f>
        <v>0</v>
      </c>
      <c r="H2518" s="876">
        <f>'REF. DE PREÇOS n editavel'!H2518</f>
        <v>82.89</v>
      </c>
      <c r="I2518" s="876">
        <f>'REF. DE PREÇOS n editavel'!I2518</f>
        <v>82.89</v>
      </c>
      <c r="J2518" s="877">
        <f>'REF. DE PREÇOS n editavel'!J2518</f>
        <v>101.31</v>
      </c>
      <c r="K2518" s="878" t="str">
        <f>'REF. DE PREÇOS n editavel'!K2518</f>
        <v>km</v>
      </c>
      <c r="L2518" s="1092"/>
      <c r="M2518" s="1130">
        <f t="shared" si="249"/>
        <v>0</v>
      </c>
      <c r="N2518" s="1122">
        <f t="shared" si="245"/>
        <v>0</v>
      </c>
      <c r="O2518" s="1120"/>
      <c r="Q2518" s="317" t="str">
        <f t="shared" si="246"/>
        <v/>
      </c>
      <c r="R2518" s="317" t="str">
        <f t="shared" si="247"/>
        <v/>
      </c>
      <c r="S2518" s="317" t="str">
        <f t="shared" si="248"/>
        <v/>
      </c>
      <c r="T2518" s="317" t="str">
        <f>'REF. DE PREÇOS n editavel'!S2518</f>
        <v/>
      </c>
      <c r="W2518" s="577">
        <v>0</v>
      </c>
      <c r="X2518" s="575"/>
      <c r="Y2518" s="578">
        <f>IF('REF. DE PREÇOS n editavel'!W2518=0,0,IF('REF. DE PREÇOS n editavel'!W2518&gt;0,"c","b"))</f>
        <v>0</v>
      </c>
    </row>
    <row r="2519" spans="1:25" ht="22.5">
      <c r="A2519" s="634" t="s">
        <v>165</v>
      </c>
      <c r="B2519" s="1136" t="str">
        <f>'REF. DE PREÇOS n editavel'!B2519</f>
        <v>Fazer Cotação</v>
      </c>
      <c r="C2519" s="1137" t="str">
        <f>'REF. DE PREÇOS n editavel'!C2519</f>
        <v>fonte da cotação</v>
      </c>
      <c r="D2519" s="1096" t="str">
        <f>'REF. DE PREÇOS n editavel'!D2519</f>
        <v>Determinação do Abatimento (Slump Test) - aproximadamente 1 teste por caminhão betoneira. Considerando caminhão de 8m3</v>
      </c>
      <c r="E2519" s="882">
        <f>'REF. DE PREÇOS n editavel'!E2519</f>
        <v>0</v>
      </c>
      <c r="F2519" s="883">
        <f>'REF. DE PREÇOS n editavel'!F2519</f>
        <v>0</v>
      </c>
      <c r="G2519" s="887">
        <f>'REF. DE PREÇOS n editavel'!G2519</f>
        <v>0</v>
      </c>
      <c r="H2519" s="876">
        <f>'REF. DE PREÇOS n editavel'!H2519</f>
        <v>0</v>
      </c>
      <c r="I2519" s="876" t="str">
        <f>'REF. DE PREÇOS n editavel'!I2519</f>
        <v/>
      </c>
      <c r="J2519" s="877">
        <f>'REF. DE PREÇOS n editavel'!J2519</f>
        <v>0</v>
      </c>
      <c r="K2519" s="878" t="str">
        <f>'REF. DE PREÇOS n editavel'!K2519</f>
        <v>un</v>
      </c>
      <c r="L2519" s="1092"/>
      <c r="M2519" s="1130">
        <f t="shared" si="249"/>
        <v>0</v>
      </c>
      <c r="N2519" s="1122">
        <f t="shared" ref="N2519:N2546" si="250">IF(ISBLANK(L2519),0,IF(W2519=0,ROUND(L2519*M2519,2),IF(W2519="b",ROUNDDOWN(L2519*M2519,2),ROUNDUP(L2519*M2519,2))))</f>
        <v>0</v>
      </c>
      <c r="O2519" s="1120"/>
      <c r="Q2519" s="317" t="str">
        <f t="shared" si="246"/>
        <v/>
      </c>
      <c r="R2519" s="317" t="str">
        <f t="shared" si="247"/>
        <v/>
      </c>
      <c r="S2519" s="317" t="str">
        <f t="shared" si="248"/>
        <v/>
      </c>
      <c r="T2519" s="317" t="str">
        <f>'REF. DE PREÇOS n editavel'!S2519</f>
        <v/>
      </c>
      <c r="W2519" s="577">
        <v>0</v>
      </c>
      <c r="X2519" s="575"/>
      <c r="Y2519" s="578">
        <f>IF('REF. DE PREÇOS n editavel'!W2519=0,0,IF('REF. DE PREÇOS n editavel'!W2519&gt;0,"c","b"))</f>
        <v>0</v>
      </c>
    </row>
    <row r="2520" spans="1:25" ht="22.5">
      <c r="A2520" s="634" t="s">
        <v>165</v>
      </c>
      <c r="B2520" s="1136" t="str">
        <f>'REF. DE PREÇOS n editavel'!B2520</f>
        <v>Fazer Cotação</v>
      </c>
      <c r="C2520" s="1137" t="str">
        <f>'REF. DE PREÇOS n editavel'!C2520</f>
        <v>fonte da cotação</v>
      </c>
      <c r="D2520" s="1096" t="str">
        <f>'REF. DE PREÇOS n editavel'!D2520</f>
        <v>Determinação de Resistência a Compressão por Moldagem, Cura e Ruptura de Corpos de Provas Cilíndricos. Moldagem de 4 corpos de prova por caminhão.</v>
      </c>
      <c r="E2520" s="882">
        <f>'REF. DE PREÇOS n editavel'!E2520</f>
        <v>0</v>
      </c>
      <c r="F2520" s="883">
        <f>'REF. DE PREÇOS n editavel'!F2520</f>
        <v>0</v>
      </c>
      <c r="G2520" s="887">
        <f>'REF. DE PREÇOS n editavel'!G2520</f>
        <v>0</v>
      </c>
      <c r="H2520" s="876">
        <f>'REF. DE PREÇOS n editavel'!H2520</f>
        <v>0</v>
      </c>
      <c r="I2520" s="876" t="str">
        <f>'REF. DE PREÇOS n editavel'!I2520</f>
        <v/>
      </c>
      <c r="J2520" s="877">
        <f>'REF. DE PREÇOS n editavel'!J2520</f>
        <v>0</v>
      </c>
      <c r="K2520" s="878" t="str">
        <f>'REF. DE PREÇOS n editavel'!K2520</f>
        <v>un</v>
      </c>
      <c r="L2520" s="1092"/>
      <c r="M2520" s="1130">
        <f t="shared" si="249"/>
        <v>0</v>
      </c>
      <c r="N2520" s="1122">
        <f t="shared" si="250"/>
        <v>0</v>
      </c>
      <c r="O2520" s="1120"/>
      <c r="Q2520" s="317" t="str">
        <f t="shared" si="246"/>
        <v/>
      </c>
      <c r="R2520" s="317" t="str">
        <f t="shared" si="247"/>
        <v/>
      </c>
      <c r="S2520" s="317" t="str">
        <f t="shared" si="248"/>
        <v/>
      </c>
      <c r="T2520" s="317" t="str">
        <f>'REF. DE PREÇOS n editavel'!S2520</f>
        <v/>
      </c>
      <c r="W2520" s="577">
        <v>0</v>
      </c>
      <c r="X2520" s="575"/>
      <c r="Y2520" s="578">
        <f>IF('REF. DE PREÇOS n editavel'!W2520=0,0,IF('REF. DE PREÇOS n editavel'!W2520&gt;0,"c","b"))</f>
        <v>0</v>
      </c>
    </row>
    <row r="2521" spans="1:25" ht="22.5">
      <c r="A2521" s="634" t="s">
        <v>165</v>
      </c>
      <c r="B2521" s="1136" t="str">
        <f>'REF. DE PREÇOS n editavel'!B2521</f>
        <v>Fazer Cotação</v>
      </c>
      <c r="C2521" s="1137" t="str">
        <f>'REF. DE PREÇOS n editavel'!C2521</f>
        <v>fonte da cotação</v>
      </c>
      <c r="D2521" s="1096" t="str">
        <f>'REF. DE PREÇOS n editavel'!D2521</f>
        <v>Determinação de Resistência a Tração na Flexão por Moldagem, Cura e Ruptura de Corpos de Provas Prismáticos (estimativa 2 corpos de prova a cada 50m3)</v>
      </c>
      <c r="E2521" s="882">
        <f>'REF. DE PREÇOS n editavel'!E2521</f>
        <v>0</v>
      </c>
      <c r="F2521" s="883">
        <f>'REF. DE PREÇOS n editavel'!F2521</f>
        <v>0</v>
      </c>
      <c r="G2521" s="887">
        <f>'REF. DE PREÇOS n editavel'!G2521</f>
        <v>0</v>
      </c>
      <c r="H2521" s="876">
        <f>'REF. DE PREÇOS n editavel'!H2521</f>
        <v>0</v>
      </c>
      <c r="I2521" s="876" t="str">
        <f>'REF. DE PREÇOS n editavel'!I2521</f>
        <v/>
      </c>
      <c r="J2521" s="877">
        <f>'REF. DE PREÇOS n editavel'!J2521</f>
        <v>0</v>
      </c>
      <c r="K2521" s="878" t="str">
        <f>'REF. DE PREÇOS n editavel'!K2521</f>
        <v>un</v>
      </c>
      <c r="L2521" s="1092"/>
      <c r="M2521" s="1130">
        <f t="shared" si="249"/>
        <v>0</v>
      </c>
      <c r="N2521" s="1122">
        <f t="shared" si="250"/>
        <v>0</v>
      </c>
      <c r="O2521" s="1120"/>
      <c r="Q2521" s="317" t="str">
        <f t="shared" si="246"/>
        <v/>
      </c>
      <c r="R2521" s="317" t="str">
        <f t="shared" si="247"/>
        <v/>
      </c>
      <c r="S2521" s="317" t="str">
        <f t="shared" si="248"/>
        <v/>
      </c>
      <c r="T2521" s="317" t="str">
        <f>'REF. DE PREÇOS n editavel'!S2521</f>
        <v/>
      </c>
      <c r="W2521" s="577">
        <v>0</v>
      </c>
      <c r="X2521" s="575"/>
      <c r="Y2521" s="578">
        <f>IF('REF. DE PREÇOS n editavel'!W2521=0,0,IF('REF. DE PREÇOS n editavel'!W2521&gt;0,"c","b"))</f>
        <v>0</v>
      </c>
    </row>
    <row r="2522" spans="1:25" ht="33.75">
      <c r="A2522" s="634" t="s">
        <v>165</v>
      </c>
      <c r="B2522" s="1136" t="str">
        <f>'REF. DE PREÇOS n editavel'!B2522</f>
        <v>Fazer Cotação</v>
      </c>
      <c r="C2522" s="1137" t="str">
        <f>'REF. DE PREÇOS n editavel'!C2522</f>
        <v>fonte da cotação</v>
      </c>
      <c r="D2522" s="1096" t="str">
        <f>'REF. DE PREÇOS n editavel'!D2522</f>
        <v>Mobilização e Desmobilização de Equipamento e Equipe para as concretagens, rompimento dos corpos de prova moldados na obra e coletas de corpos de prova. (sendo considerado 4 diárias)</v>
      </c>
      <c r="E2522" s="882">
        <f>'REF. DE PREÇOS n editavel'!E2522</f>
        <v>0</v>
      </c>
      <c r="F2522" s="883">
        <f>'REF. DE PREÇOS n editavel'!F2522</f>
        <v>0</v>
      </c>
      <c r="G2522" s="887">
        <f>'REF. DE PREÇOS n editavel'!G2522</f>
        <v>0</v>
      </c>
      <c r="H2522" s="876">
        <f>'REF. DE PREÇOS n editavel'!H2522</f>
        <v>0</v>
      </c>
      <c r="I2522" s="876" t="str">
        <f>'REF. DE PREÇOS n editavel'!I2522</f>
        <v/>
      </c>
      <c r="J2522" s="877">
        <f>'REF. DE PREÇOS n editavel'!J2522</f>
        <v>0</v>
      </c>
      <c r="K2522" s="878" t="str">
        <f>'REF. DE PREÇOS n editavel'!K2522</f>
        <v>gb</v>
      </c>
      <c r="L2522" s="1092"/>
      <c r="M2522" s="1130">
        <f t="shared" si="249"/>
        <v>0</v>
      </c>
      <c r="N2522" s="1122">
        <f t="shared" si="250"/>
        <v>0</v>
      </c>
      <c r="O2522" s="1120"/>
      <c r="Q2522" s="317" t="str">
        <f t="shared" si="246"/>
        <v/>
      </c>
      <c r="R2522" s="317" t="str">
        <f t="shared" si="247"/>
        <v/>
      </c>
      <c r="S2522" s="317" t="str">
        <f t="shared" si="248"/>
        <v/>
      </c>
      <c r="T2522" s="317" t="str">
        <f>'REF. DE PREÇOS n editavel'!S2522</f>
        <v/>
      </c>
      <c r="W2522" s="577">
        <v>0</v>
      </c>
      <c r="X2522" s="575"/>
      <c r="Y2522" s="578">
        <f>IF('REF. DE PREÇOS n editavel'!W2522=0,0,IF('REF. DE PREÇOS n editavel'!W2522&gt;0,"c","b"))</f>
        <v>0</v>
      </c>
    </row>
    <row r="2523" spans="1:25">
      <c r="A2523" s="634" t="s">
        <v>165</v>
      </c>
      <c r="B2523" s="1138">
        <f>'REF. DE PREÇOS n editavel'!B2523</f>
        <v>0</v>
      </c>
      <c r="C2523" s="1139">
        <f>'REF. DE PREÇOS n editavel'!C2523</f>
        <v>0</v>
      </c>
      <c r="D2523" s="1096">
        <f>'REF. DE PREÇOS n editavel'!D2523</f>
        <v>0</v>
      </c>
      <c r="E2523" s="882">
        <f>'REF. DE PREÇOS n editavel'!E2523</f>
        <v>0</v>
      </c>
      <c r="F2523" s="883">
        <f>'REF. DE PREÇOS n editavel'!F2523</f>
        <v>0</v>
      </c>
      <c r="G2523" s="887">
        <f>'REF. DE PREÇOS n editavel'!G2523</f>
        <v>0</v>
      </c>
      <c r="H2523" s="876">
        <f>'REF. DE PREÇOS n editavel'!H2523</f>
        <v>0</v>
      </c>
      <c r="I2523" s="876" t="str">
        <f>'REF. DE PREÇOS n editavel'!I2523</f>
        <v/>
      </c>
      <c r="J2523" s="877">
        <f>'REF. DE PREÇOS n editavel'!J2523</f>
        <v>0</v>
      </c>
      <c r="K2523" s="878">
        <f>'REF. DE PREÇOS n editavel'!K2523</f>
        <v>0</v>
      </c>
      <c r="L2523" s="1092"/>
      <c r="M2523" s="1130">
        <f t="shared" si="249"/>
        <v>0</v>
      </c>
      <c r="N2523" s="1122">
        <f t="shared" si="250"/>
        <v>0</v>
      </c>
      <c r="O2523" s="1120"/>
      <c r="Q2523" s="317" t="str">
        <f t="shared" si="246"/>
        <v/>
      </c>
      <c r="R2523" s="317" t="str">
        <f t="shared" si="247"/>
        <v/>
      </c>
      <c r="S2523" s="317" t="str">
        <f t="shared" si="248"/>
        <v/>
      </c>
      <c r="T2523" s="317" t="str">
        <f>'REF. DE PREÇOS n editavel'!S2523</f>
        <v/>
      </c>
      <c r="W2523" s="577">
        <v>0</v>
      </c>
      <c r="X2523" s="575"/>
      <c r="Y2523" s="578">
        <f>IF('REF. DE PREÇOS n editavel'!W2523=0,0,IF('REF. DE PREÇOS n editavel'!W2523&gt;0,"c","b"))</f>
        <v>0</v>
      </c>
    </row>
    <row r="2524" spans="1:25">
      <c r="A2524" s="634" t="s">
        <v>165</v>
      </c>
      <c r="B2524" s="1138">
        <f>'REF. DE PREÇOS n editavel'!B2524</f>
        <v>0</v>
      </c>
      <c r="C2524" s="1139">
        <f>'REF. DE PREÇOS n editavel'!C2524</f>
        <v>0</v>
      </c>
      <c r="D2524" s="1096">
        <f>'REF. DE PREÇOS n editavel'!D2524</f>
        <v>0</v>
      </c>
      <c r="E2524" s="882">
        <f>'REF. DE PREÇOS n editavel'!E2524</f>
        <v>0</v>
      </c>
      <c r="F2524" s="883">
        <f>'REF. DE PREÇOS n editavel'!F2524</f>
        <v>0</v>
      </c>
      <c r="G2524" s="887">
        <f>'REF. DE PREÇOS n editavel'!G2524</f>
        <v>0</v>
      </c>
      <c r="H2524" s="876">
        <f>'REF. DE PREÇOS n editavel'!H2524</f>
        <v>0</v>
      </c>
      <c r="I2524" s="876" t="str">
        <f>'REF. DE PREÇOS n editavel'!I2524</f>
        <v/>
      </c>
      <c r="J2524" s="877">
        <f>'REF. DE PREÇOS n editavel'!J2524</f>
        <v>0</v>
      </c>
      <c r="K2524" s="878">
        <f>'REF. DE PREÇOS n editavel'!K2524</f>
        <v>0</v>
      </c>
      <c r="L2524" s="1092"/>
      <c r="M2524" s="1130">
        <f t="shared" si="249"/>
        <v>0</v>
      </c>
      <c r="N2524" s="1122">
        <f t="shared" si="250"/>
        <v>0</v>
      </c>
      <c r="O2524" s="1120"/>
      <c r="Q2524" s="317" t="str">
        <f t="shared" si="246"/>
        <v/>
      </c>
      <c r="R2524" s="317" t="str">
        <f t="shared" si="247"/>
        <v/>
      </c>
      <c r="S2524" s="317" t="str">
        <f t="shared" si="248"/>
        <v/>
      </c>
      <c r="T2524" s="317" t="str">
        <f>'REF. DE PREÇOS n editavel'!S2524</f>
        <v/>
      </c>
      <c r="W2524" s="577">
        <v>0</v>
      </c>
      <c r="X2524" s="575"/>
      <c r="Y2524" s="578">
        <f>IF('REF. DE PREÇOS n editavel'!W2524=0,0,IF('REF. DE PREÇOS n editavel'!W2524&gt;0,"c","b"))</f>
        <v>0</v>
      </c>
    </row>
    <row r="2525" spans="1:25">
      <c r="A2525" s="634" t="s">
        <v>165</v>
      </c>
      <c r="B2525" s="1138" t="str">
        <f>'REF. DE PREÇOS n editavel'!B2525</f>
        <v/>
      </c>
      <c r="C2525" s="1139" t="str">
        <f>'REF. DE PREÇOS n editavel'!C2525</f>
        <v/>
      </c>
      <c r="D2525" s="1096">
        <f>'REF. DE PREÇOS n editavel'!D2525</f>
        <v>0</v>
      </c>
      <c r="E2525" s="882">
        <f>'REF. DE PREÇOS n editavel'!E2525</f>
        <v>0</v>
      </c>
      <c r="F2525" s="883">
        <f>'REF. DE PREÇOS n editavel'!F2525</f>
        <v>0</v>
      </c>
      <c r="G2525" s="887">
        <f>'REF. DE PREÇOS n editavel'!G2525</f>
        <v>0</v>
      </c>
      <c r="H2525" s="876">
        <f>'REF. DE PREÇOS n editavel'!H2525</f>
        <v>0</v>
      </c>
      <c r="I2525" s="876" t="str">
        <f>'REF. DE PREÇOS n editavel'!I2525</f>
        <v/>
      </c>
      <c r="J2525" s="877">
        <f>'REF. DE PREÇOS n editavel'!J2525</f>
        <v>0</v>
      </c>
      <c r="K2525" s="878" t="str">
        <f>'REF. DE PREÇOS n editavel'!K2525</f>
        <v xml:space="preserve">     </v>
      </c>
      <c r="L2525" s="1092"/>
      <c r="M2525" s="1130">
        <f t="shared" si="249"/>
        <v>0</v>
      </c>
      <c r="N2525" s="1122">
        <f t="shared" si="250"/>
        <v>0</v>
      </c>
      <c r="O2525" s="1120"/>
      <c r="Q2525" s="317" t="str">
        <f t="shared" si="246"/>
        <v/>
      </c>
      <c r="R2525" s="317" t="str">
        <f t="shared" si="247"/>
        <v/>
      </c>
      <c r="S2525" s="317" t="str">
        <f t="shared" si="248"/>
        <v/>
      </c>
      <c r="T2525" s="317" t="str">
        <f>'REF. DE PREÇOS n editavel'!S2525</f>
        <v/>
      </c>
      <c r="W2525" s="577">
        <v>0</v>
      </c>
      <c r="X2525" s="575"/>
      <c r="Y2525" s="578">
        <f>IF('REF. DE PREÇOS n editavel'!W2525=0,0,IF('REF. DE PREÇOS n editavel'!W2525&gt;0,"c","b"))</f>
        <v>0</v>
      </c>
    </row>
    <row r="2526" spans="1:25">
      <c r="A2526" s="634" t="s">
        <v>165</v>
      </c>
      <c r="B2526" s="1138" t="str">
        <f>'REF. DE PREÇOS n editavel'!B2526</f>
        <v/>
      </c>
      <c r="C2526" s="1139" t="str">
        <f>'REF. DE PREÇOS n editavel'!C2526</f>
        <v/>
      </c>
      <c r="D2526" s="1096">
        <f>'REF. DE PREÇOS n editavel'!D2526</f>
        <v>0</v>
      </c>
      <c r="E2526" s="882">
        <f>'REF. DE PREÇOS n editavel'!E2526</f>
        <v>0</v>
      </c>
      <c r="F2526" s="883">
        <f>'REF. DE PREÇOS n editavel'!F2526</f>
        <v>0</v>
      </c>
      <c r="G2526" s="887">
        <f>'REF. DE PREÇOS n editavel'!G2526</f>
        <v>0</v>
      </c>
      <c r="H2526" s="876">
        <f>'REF. DE PREÇOS n editavel'!H2526</f>
        <v>0</v>
      </c>
      <c r="I2526" s="876" t="str">
        <f>'REF. DE PREÇOS n editavel'!I2526</f>
        <v/>
      </c>
      <c r="J2526" s="877">
        <f>'REF. DE PREÇOS n editavel'!J2526</f>
        <v>0</v>
      </c>
      <c r="K2526" s="878" t="str">
        <f>'REF. DE PREÇOS n editavel'!K2526</f>
        <v xml:space="preserve">     </v>
      </c>
      <c r="L2526" s="1092"/>
      <c r="M2526" s="1130">
        <f t="shared" si="249"/>
        <v>0</v>
      </c>
      <c r="N2526" s="1122">
        <f t="shared" si="250"/>
        <v>0</v>
      </c>
      <c r="O2526" s="1120"/>
      <c r="Q2526" s="317" t="str">
        <f t="shared" si="246"/>
        <v/>
      </c>
      <c r="R2526" s="317" t="str">
        <f t="shared" si="247"/>
        <v/>
      </c>
      <c r="S2526" s="317" t="str">
        <f t="shared" si="248"/>
        <v/>
      </c>
      <c r="T2526" s="317" t="str">
        <f>'REF. DE PREÇOS n editavel'!S2526</f>
        <v/>
      </c>
      <c r="W2526" s="577">
        <v>0</v>
      </c>
      <c r="X2526" s="575"/>
      <c r="Y2526" s="578">
        <f>IF('REF. DE PREÇOS n editavel'!W2526=0,0,IF('REF. DE PREÇOS n editavel'!W2526&gt;0,"c","b"))</f>
        <v>0</v>
      </c>
    </row>
    <row r="2527" spans="1:25">
      <c r="A2527" s="324" t="s">
        <v>152</v>
      </c>
      <c r="B2527" s="1138" t="str">
        <f>'REF. DE PREÇOS n editavel'!B2527</f>
        <v/>
      </c>
      <c r="C2527" s="1139" t="str">
        <f>'REF. DE PREÇOS n editavel'!C2527</f>
        <v/>
      </c>
      <c r="D2527" s="1096">
        <f>'REF. DE PREÇOS n editavel'!D2527</f>
        <v>0</v>
      </c>
      <c r="E2527" s="882">
        <f>'REF. DE PREÇOS n editavel'!E2527</f>
        <v>0</v>
      </c>
      <c r="F2527" s="883">
        <f>'REF. DE PREÇOS n editavel'!F2527</f>
        <v>0</v>
      </c>
      <c r="G2527" s="887">
        <f>'REF. DE PREÇOS n editavel'!G2527</f>
        <v>0</v>
      </c>
      <c r="H2527" s="876">
        <f>'REF. DE PREÇOS n editavel'!H2527</f>
        <v>0</v>
      </c>
      <c r="I2527" s="876" t="str">
        <f>'REF. DE PREÇOS n editavel'!I2527</f>
        <v/>
      </c>
      <c r="J2527" s="877">
        <f>'REF. DE PREÇOS n editavel'!J2527</f>
        <v>0</v>
      </c>
      <c r="K2527" s="878" t="str">
        <f>'REF. DE PREÇOS n editavel'!K2527</f>
        <v xml:space="preserve">     </v>
      </c>
      <c r="L2527" s="1092"/>
      <c r="M2527" s="1130">
        <f t="shared" si="249"/>
        <v>0</v>
      </c>
      <c r="N2527" s="1122">
        <f t="shared" si="250"/>
        <v>0</v>
      </c>
      <c r="O2527" s="1120"/>
      <c r="Q2527" s="317" t="str">
        <f t="shared" si="246"/>
        <v/>
      </c>
      <c r="R2527" s="317" t="str">
        <f t="shared" si="247"/>
        <v/>
      </c>
      <c r="S2527" s="317" t="str">
        <f t="shared" si="248"/>
        <v/>
      </c>
      <c r="T2527" s="317" t="str">
        <f>'REF. DE PREÇOS n editavel'!S2527</f>
        <v/>
      </c>
      <c r="W2527" s="577">
        <v>0</v>
      </c>
      <c r="X2527" s="575"/>
      <c r="Y2527" s="578">
        <f>IF('REF. DE PREÇOS n editavel'!W2527=0,0,IF('REF. DE PREÇOS n editavel'!W2527&gt;0,"c","b"))</f>
        <v>0</v>
      </c>
    </row>
    <row r="2528" spans="1:25">
      <c r="A2528" s="324" t="s">
        <v>152</v>
      </c>
      <c r="B2528" s="1138" t="str">
        <f>'REF. DE PREÇOS n editavel'!B2528</f>
        <v/>
      </c>
      <c r="C2528" s="1139" t="str">
        <f>'REF. DE PREÇOS n editavel'!C2528</f>
        <v/>
      </c>
      <c r="D2528" s="1096">
        <f>'REF. DE PREÇOS n editavel'!D2528</f>
        <v>0</v>
      </c>
      <c r="E2528" s="882">
        <f>'REF. DE PREÇOS n editavel'!E2528</f>
        <v>0</v>
      </c>
      <c r="F2528" s="883">
        <f>'REF. DE PREÇOS n editavel'!F2528</f>
        <v>0</v>
      </c>
      <c r="G2528" s="887">
        <f>'REF. DE PREÇOS n editavel'!G2528</f>
        <v>0</v>
      </c>
      <c r="H2528" s="876">
        <f>'REF. DE PREÇOS n editavel'!H2528</f>
        <v>0</v>
      </c>
      <c r="I2528" s="876" t="str">
        <f>'REF. DE PREÇOS n editavel'!I2528</f>
        <v/>
      </c>
      <c r="J2528" s="877">
        <f>'REF. DE PREÇOS n editavel'!J2528</f>
        <v>0</v>
      </c>
      <c r="K2528" s="878" t="str">
        <f>'REF. DE PREÇOS n editavel'!K2528</f>
        <v xml:space="preserve">     </v>
      </c>
      <c r="L2528" s="1092"/>
      <c r="M2528" s="1130">
        <f t="shared" si="249"/>
        <v>0</v>
      </c>
      <c r="N2528" s="1122">
        <f t="shared" si="250"/>
        <v>0</v>
      </c>
      <c r="O2528" s="1120"/>
      <c r="Q2528" s="317" t="str">
        <f t="shared" si="246"/>
        <v/>
      </c>
      <c r="R2528" s="317" t="str">
        <f t="shared" si="247"/>
        <v/>
      </c>
      <c r="S2528" s="317" t="str">
        <f t="shared" si="248"/>
        <v/>
      </c>
      <c r="T2528" s="317" t="str">
        <f>'REF. DE PREÇOS n editavel'!S2528</f>
        <v/>
      </c>
      <c r="W2528" s="577">
        <v>0</v>
      </c>
      <c r="X2528" s="575"/>
      <c r="Y2528" s="578">
        <f>IF('REF. DE PREÇOS n editavel'!W2528=0,0,IF('REF. DE PREÇOS n editavel'!W2528&gt;0,"c","b"))</f>
        <v>0</v>
      </c>
    </row>
    <row r="2529" spans="1:25">
      <c r="A2529" s="324" t="s">
        <v>152</v>
      </c>
      <c r="B2529" s="1138" t="str">
        <f>'REF. DE PREÇOS n editavel'!B2529</f>
        <v/>
      </c>
      <c r="C2529" s="1139" t="str">
        <f>'REF. DE PREÇOS n editavel'!C2529</f>
        <v/>
      </c>
      <c r="D2529" s="1096">
        <f>'REF. DE PREÇOS n editavel'!D2529</f>
        <v>0</v>
      </c>
      <c r="E2529" s="882">
        <f>'REF. DE PREÇOS n editavel'!E2529</f>
        <v>0</v>
      </c>
      <c r="F2529" s="883">
        <f>'REF. DE PREÇOS n editavel'!F2529</f>
        <v>0</v>
      </c>
      <c r="G2529" s="887">
        <f>'REF. DE PREÇOS n editavel'!G2529</f>
        <v>0</v>
      </c>
      <c r="H2529" s="876">
        <f>'REF. DE PREÇOS n editavel'!H2529</f>
        <v>0</v>
      </c>
      <c r="I2529" s="876" t="str">
        <f>'REF. DE PREÇOS n editavel'!I2529</f>
        <v/>
      </c>
      <c r="J2529" s="877">
        <f>'REF. DE PREÇOS n editavel'!J2529</f>
        <v>0</v>
      </c>
      <c r="K2529" s="878" t="str">
        <f>'REF. DE PREÇOS n editavel'!K2529</f>
        <v xml:space="preserve">     </v>
      </c>
      <c r="L2529" s="1092"/>
      <c r="M2529" s="1130">
        <f t="shared" si="249"/>
        <v>0</v>
      </c>
      <c r="N2529" s="1122">
        <f t="shared" si="250"/>
        <v>0</v>
      </c>
      <c r="O2529" s="1120"/>
      <c r="Q2529" s="317" t="str">
        <f t="shared" si="246"/>
        <v/>
      </c>
      <c r="R2529" s="317" t="str">
        <f t="shared" si="247"/>
        <v/>
      </c>
      <c r="S2529" s="317" t="str">
        <f t="shared" si="248"/>
        <v/>
      </c>
      <c r="T2529" s="317" t="str">
        <f>'REF. DE PREÇOS n editavel'!S2529</f>
        <v/>
      </c>
      <c r="W2529" s="577">
        <v>0</v>
      </c>
      <c r="X2529" s="575"/>
      <c r="Y2529" s="578">
        <f>IF('REF. DE PREÇOS n editavel'!W2529=0,0,IF('REF. DE PREÇOS n editavel'!W2529&gt;0,"c","b"))</f>
        <v>0</v>
      </c>
    </row>
    <row r="2530" spans="1:25">
      <c r="A2530" s="324" t="s">
        <v>152</v>
      </c>
      <c r="B2530" s="1138" t="str">
        <f>'REF. DE PREÇOS n editavel'!B2530</f>
        <v/>
      </c>
      <c r="C2530" s="1139" t="str">
        <f>'REF. DE PREÇOS n editavel'!C2530</f>
        <v/>
      </c>
      <c r="D2530" s="1096">
        <f>'REF. DE PREÇOS n editavel'!D2530</f>
        <v>0</v>
      </c>
      <c r="E2530" s="882">
        <f>'REF. DE PREÇOS n editavel'!E2530</f>
        <v>0</v>
      </c>
      <c r="F2530" s="883">
        <f>'REF. DE PREÇOS n editavel'!F2530</f>
        <v>0</v>
      </c>
      <c r="G2530" s="887">
        <f>'REF. DE PREÇOS n editavel'!G2530</f>
        <v>0</v>
      </c>
      <c r="H2530" s="876">
        <f>'REF. DE PREÇOS n editavel'!H2530</f>
        <v>0</v>
      </c>
      <c r="I2530" s="876" t="str">
        <f>'REF. DE PREÇOS n editavel'!I2530</f>
        <v/>
      </c>
      <c r="J2530" s="877">
        <f>'REF. DE PREÇOS n editavel'!J2530</f>
        <v>0</v>
      </c>
      <c r="K2530" s="878" t="str">
        <f>'REF. DE PREÇOS n editavel'!K2530</f>
        <v xml:space="preserve">     </v>
      </c>
      <c r="L2530" s="1092"/>
      <c r="M2530" s="1130">
        <f t="shared" si="249"/>
        <v>0</v>
      </c>
      <c r="N2530" s="1122">
        <f t="shared" si="250"/>
        <v>0</v>
      </c>
      <c r="O2530" s="1120"/>
      <c r="Q2530" s="317" t="str">
        <f t="shared" si="246"/>
        <v/>
      </c>
      <c r="R2530" s="317" t="str">
        <f t="shared" si="247"/>
        <v/>
      </c>
      <c r="S2530" s="317" t="str">
        <f t="shared" si="248"/>
        <v/>
      </c>
      <c r="T2530" s="317" t="str">
        <f>'REF. DE PREÇOS n editavel'!S2530</f>
        <v/>
      </c>
      <c r="W2530" s="577">
        <v>0</v>
      </c>
      <c r="X2530" s="575"/>
      <c r="Y2530" s="578">
        <f>IF('REF. DE PREÇOS n editavel'!W2530=0,0,IF('REF. DE PREÇOS n editavel'!W2530&gt;0,"c","b"))</f>
        <v>0</v>
      </c>
    </row>
    <row r="2531" spans="1:25">
      <c r="A2531" s="324" t="s">
        <v>152</v>
      </c>
      <c r="B2531" s="1138" t="str">
        <f>'REF. DE PREÇOS n editavel'!B2531</f>
        <v/>
      </c>
      <c r="C2531" s="1139" t="str">
        <f>'REF. DE PREÇOS n editavel'!C2531</f>
        <v/>
      </c>
      <c r="D2531" s="1096">
        <f>'REF. DE PREÇOS n editavel'!D2531</f>
        <v>0</v>
      </c>
      <c r="E2531" s="882">
        <f>'REF. DE PREÇOS n editavel'!E2531</f>
        <v>0</v>
      </c>
      <c r="F2531" s="883">
        <f>'REF. DE PREÇOS n editavel'!F2531</f>
        <v>0</v>
      </c>
      <c r="G2531" s="887">
        <f>'REF. DE PREÇOS n editavel'!G2531</f>
        <v>0</v>
      </c>
      <c r="H2531" s="876">
        <f>'REF. DE PREÇOS n editavel'!H2531</f>
        <v>0</v>
      </c>
      <c r="I2531" s="876" t="str">
        <f>'REF. DE PREÇOS n editavel'!I2531</f>
        <v/>
      </c>
      <c r="J2531" s="877">
        <f>'REF. DE PREÇOS n editavel'!J2531</f>
        <v>0</v>
      </c>
      <c r="K2531" s="878" t="str">
        <f>'REF. DE PREÇOS n editavel'!K2531</f>
        <v xml:space="preserve">     </v>
      </c>
      <c r="L2531" s="1092"/>
      <c r="M2531" s="1130">
        <f t="shared" si="249"/>
        <v>0</v>
      </c>
      <c r="N2531" s="1122">
        <f t="shared" si="250"/>
        <v>0</v>
      </c>
      <c r="O2531" s="1120"/>
      <c r="Q2531" s="317" t="str">
        <f t="shared" si="246"/>
        <v/>
      </c>
      <c r="R2531" s="317" t="str">
        <f t="shared" si="247"/>
        <v/>
      </c>
      <c r="S2531" s="317" t="str">
        <f t="shared" si="248"/>
        <v/>
      </c>
      <c r="T2531" s="317" t="str">
        <f>'REF. DE PREÇOS n editavel'!S2531</f>
        <v/>
      </c>
      <c r="W2531" s="577">
        <v>0</v>
      </c>
      <c r="X2531" s="575"/>
      <c r="Y2531" s="578">
        <f>IF('REF. DE PREÇOS n editavel'!W2531=0,0,IF('REF. DE PREÇOS n editavel'!W2531&gt;0,"c","b"))</f>
        <v>0</v>
      </c>
    </row>
    <row r="2532" spans="1:25">
      <c r="A2532" s="324" t="s">
        <v>152</v>
      </c>
      <c r="B2532" s="1138" t="str">
        <f>'REF. DE PREÇOS n editavel'!B2532</f>
        <v/>
      </c>
      <c r="C2532" s="1139" t="str">
        <f>'REF. DE PREÇOS n editavel'!C2532</f>
        <v/>
      </c>
      <c r="D2532" s="1096">
        <f>'REF. DE PREÇOS n editavel'!D2532</f>
        <v>0</v>
      </c>
      <c r="E2532" s="882">
        <f>'REF. DE PREÇOS n editavel'!E2532</f>
        <v>0</v>
      </c>
      <c r="F2532" s="883">
        <f>'REF. DE PREÇOS n editavel'!F2532</f>
        <v>0</v>
      </c>
      <c r="G2532" s="887">
        <f>'REF. DE PREÇOS n editavel'!G2532</f>
        <v>0</v>
      </c>
      <c r="H2532" s="876">
        <f>'REF. DE PREÇOS n editavel'!H2532</f>
        <v>0</v>
      </c>
      <c r="I2532" s="876" t="str">
        <f>'REF. DE PREÇOS n editavel'!I2532</f>
        <v/>
      </c>
      <c r="J2532" s="877">
        <f>'REF. DE PREÇOS n editavel'!J2532</f>
        <v>0</v>
      </c>
      <c r="K2532" s="878" t="str">
        <f>'REF. DE PREÇOS n editavel'!K2532</f>
        <v xml:space="preserve">     </v>
      </c>
      <c r="L2532" s="1092"/>
      <c r="M2532" s="1130">
        <f t="shared" si="249"/>
        <v>0</v>
      </c>
      <c r="N2532" s="1122">
        <f t="shared" si="250"/>
        <v>0</v>
      </c>
      <c r="O2532" s="1120"/>
      <c r="Q2532" s="317" t="str">
        <f t="shared" si="246"/>
        <v/>
      </c>
      <c r="R2532" s="317" t="str">
        <f t="shared" si="247"/>
        <v/>
      </c>
      <c r="S2532" s="317" t="str">
        <f t="shared" si="248"/>
        <v/>
      </c>
      <c r="T2532" s="317" t="str">
        <f>'REF. DE PREÇOS n editavel'!S2532</f>
        <v/>
      </c>
      <c r="W2532" s="577">
        <v>0</v>
      </c>
      <c r="X2532" s="575"/>
      <c r="Y2532" s="578">
        <f>IF('REF. DE PREÇOS n editavel'!W2532=0,0,IF('REF. DE PREÇOS n editavel'!W2532&gt;0,"c","b"))</f>
        <v>0</v>
      </c>
    </row>
    <row r="2533" spans="1:25">
      <c r="A2533" s="324" t="s">
        <v>152</v>
      </c>
      <c r="B2533" s="1138" t="str">
        <f>'REF. DE PREÇOS n editavel'!B2533</f>
        <v/>
      </c>
      <c r="C2533" s="1139" t="str">
        <f>'REF. DE PREÇOS n editavel'!C2533</f>
        <v/>
      </c>
      <c r="D2533" s="1096">
        <f>'REF. DE PREÇOS n editavel'!D2533</f>
        <v>0</v>
      </c>
      <c r="E2533" s="882">
        <f>'REF. DE PREÇOS n editavel'!E2533</f>
        <v>0</v>
      </c>
      <c r="F2533" s="883">
        <f>'REF. DE PREÇOS n editavel'!F2533</f>
        <v>0</v>
      </c>
      <c r="G2533" s="887">
        <f>'REF. DE PREÇOS n editavel'!G2533</f>
        <v>0</v>
      </c>
      <c r="H2533" s="876">
        <f>'REF. DE PREÇOS n editavel'!H2533</f>
        <v>0</v>
      </c>
      <c r="I2533" s="876" t="str">
        <f>'REF. DE PREÇOS n editavel'!I2533</f>
        <v/>
      </c>
      <c r="J2533" s="877">
        <f>'REF. DE PREÇOS n editavel'!J2533</f>
        <v>0</v>
      </c>
      <c r="K2533" s="878" t="str">
        <f>'REF. DE PREÇOS n editavel'!K2533</f>
        <v xml:space="preserve">     </v>
      </c>
      <c r="L2533" s="1092"/>
      <c r="M2533" s="1130">
        <f t="shared" si="249"/>
        <v>0</v>
      </c>
      <c r="N2533" s="1122">
        <f t="shared" si="250"/>
        <v>0</v>
      </c>
      <c r="O2533" s="1120"/>
      <c r="Q2533" s="317" t="str">
        <f t="shared" si="246"/>
        <v/>
      </c>
      <c r="R2533" s="317" t="str">
        <f t="shared" si="247"/>
        <v/>
      </c>
      <c r="S2533" s="317" t="str">
        <f t="shared" si="248"/>
        <v/>
      </c>
      <c r="T2533" s="317" t="str">
        <f>'REF. DE PREÇOS n editavel'!S2533</f>
        <v/>
      </c>
      <c r="W2533" s="577">
        <v>0</v>
      </c>
      <c r="X2533" s="575"/>
      <c r="Y2533" s="578">
        <f>IF('REF. DE PREÇOS n editavel'!W2533=0,0,IF('REF. DE PREÇOS n editavel'!W2533&gt;0,"c","b"))</f>
        <v>0</v>
      </c>
    </row>
    <row r="2534" spans="1:25">
      <c r="A2534" s="324" t="s">
        <v>152</v>
      </c>
      <c r="B2534" s="1138" t="str">
        <f>'REF. DE PREÇOS n editavel'!B2534</f>
        <v/>
      </c>
      <c r="C2534" s="1139" t="str">
        <f>'REF. DE PREÇOS n editavel'!C2534</f>
        <v/>
      </c>
      <c r="D2534" s="1096">
        <f>'REF. DE PREÇOS n editavel'!D2534</f>
        <v>0</v>
      </c>
      <c r="E2534" s="882">
        <f>'REF. DE PREÇOS n editavel'!E2534</f>
        <v>0</v>
      </c>
      <c r="F2534" s="883">
        <f>'REF. DE PREÇOS n editavel'!F2534</f>
        <v>0</v>
      </c>
      <c r="G2534" s="887">
        <f>'REF. DE PREÇOS n editavel'!G2534</f>
        <v>0</v>
      </c>
      <c r="H2534" s="876">
        <f>'REF. DE PREÇOS n editavel'!H2534</f>
        <v>0</v>
      </c>
      <c r="I2534" s="876" t="str">
        <f>'REF. DE PREÇOS n editavel'!I2534</f>
        <v/>
      </c>
      <c r="J2534" s="877">
        <f>'REF. DE PREÇOS n editavel'!J2534</f>
        <v>0</v>
      </c>
      <c r="K2534" s="878" t="str">
        <f>'REF. DE PREÇOS n editavel'!K2534</f>
        <v xml:space="preserve">     </v>
      </c>
      <c r="L2534" s="1092"/>
      <c r="M2534" s="1130">
        <f t="shared" si="249"/>
        <v>0</v>
      </c>
      <c r="N2534" s="1122">
        <f t="shared" si="250"/>
        <v>0</v>
      </c>
      <c r="O2534" s="1120"/>
      <c r="Q2534" s="317" t="str">
        <f t="shared" si="246"/>
        <v/>
      </c>
      <c r="R2534" s="317" t="str">
        <f t="shared" si="247"/>
        <v/>
      </c>
      <c r="S2534" s="317" t="str">
        <f t="shared" si="248"/>
        <v/>
      </c>
      <c r="T2534" s="317" t="str">
        <f>'REF. DE PREÇOS n editavel'!S2534</f>
        <v/>
      </c>
      <c r="W2534" s="577">
        <v>0</v>
      </c>
      <c r="X2534" s="575"/>
      <c r="Y2534" s="578">
        <f>IF('REF. DE PREÇOS n editavel'!W2534=0,0,IF('REF. DE PREÇOS n editavel'!W2534&gt;0,"c","b"))</f>
        <v>0</v>
      </c>
    </row>
    <row r="2535" spans="1:25">
      <c r="A2535" s="324" t="s">
        <v>152</v>
      </c>
      <c r="B2535" s="1138" t="str">
        <f>'REF. DE PREÇOS n editavel'!B2535</f>
        <v/>
      </c>
      <c r="C2535" s="1139" t="str">
        <f>'REF. DE PREÇOS n editavel'!C2535</f>
        <v/>
      </c>
      <c r="D2535" s="1096">
        <f>'REF. DE PREÇOS n editavel'!D2535</f>
        <v>0</v>
      </c>
      <c r="E2535" s="882">
        <f>'REF. DE PREÇOS n editavel'!E2535</f>
        <v>0</v>
      </c>
      <c r="F2535" s="883">
        <f>'REF. DE PREÇOS n editavel'!F2535</f>
        <v>0</v>
      </c>
      <c r="G2535" s="887">
        <f>'REF. DE PREÇOS n editavel'!G2535</f>
        <v>0</v>
      </c>
      <c r="H2535" s="876">
        <f>'REF. DE PREÇOS n editavel'!H2535</f>
        <v>0</v>
      </c>
      <c r="I2535" s="876" t="str">
        <f>'REF. DE PREÇOS n editavel'!I2535</f>
        <v/>
      </c>
      <c r="J2535" s="877">
        <f>'REF. DE PREÇOS n editavel'!J2535</f>
        <v>0</v>
      </c>
      <c r="K2535" s="878" t="str">
        <f>'REF. DE PREÇOS n editavel'!K2535</f>
        <v xml:space="preserve">     </v>
      </c>
      <c r="L2535" s="1092"/>
      <c r="M2535" s="1130">
        <f t="shared" si="249"/>
        <v>0</v>
      </c>
      <c r="N2535" s="1122">
        <f t="shared" si="250"/>
        <v>0</v>
      </c>
      <c r="O2535" s="1120"/>
      <c r="Q2535" s="317" t="str">
        <f t="shared" si="246"/>
        <v/>
      </c>
      <c r="R2535" s="317" t="str">
        <f t="shared" si="247"/>
        <v/>
      </c>
      <c r="S2535" s="317" t="str">
        <f t="shared" si="248"/>
        <v/>
      </c>
      <c r="T2535" s="317" t="str">
        <f>'REF. DE PREÇOS n editavel'!S2535</f>
        <v/>
      </c>
      <c r="W2535" s="577">
        <v>0</v>
      </c>
      <c r="X2535" s="575"/>
      <c r="Y2535" s="578">
        <f>IF('REF. DE PREÇOS n editavel'!W2535=0,0,IF('REF. DE PREÇOS n editavel'!W2535&gt;0,"c","b"))</f>
        <v>0</v>
      </c>
    </row>
    <row r="2536" spans="1:25">
      <c r="A2536" s="324" t="s">
        <v>152</v>
      </c>
      <c r="B2536" s="1138" t="str">
        <f>'REF. DE PREÇOS n editavel'!B2536</f>
        <v/>
      </c>
      <c r="C2536" s="1139" t="str">
        <f>'REF. DE PREÇOS n editavel'!C2536</f>
        <v/>
      </c>
      <c r="D2536" s="1096">
        <f>'REF. DE PREÇOS n editavel'!D2536</f>
        <v>0</v>
      </c>
      <c r="E2536" s="882">
        <f>'REF. DE PREÇOS n editavel'!E2536</f>
        <v>0</v>
      </c>
      <c r="F2536" s="883">
        <f>'REF. DE PREÇOS n editavel'!F2536</f>
        <v>0</v>
      </c>
      <c r="G2536" s="887">
        <f>'REF. DE PREÇOS n editavel'!G2536</f>
        <v>0</v>
      </c>
      <c r="H2536" s="876">
        <f>'REF. DE PREÇOS n editavel'!H2536</f>
        <v>0</v>
      </c>
      <c r="I2536" s="876" t="str">
        <f>'REF. DE PREÇOS n editavel'!I2536</f>
        <v/>
      </c>
      <c r="J2536" s="877">
        <f>'REF. DE PREÇOS n editavel'!J2536</f>
        <v>0</v>
      </c>
      <c r="K2536" s="878" t="str">
        <f>'REF. DE PREÇOS n editavel'!K2536</f>
        <v xml:space="preserve">     </v>
      </c>
      <c r="L2536" s="1092"/>
      <c r="M2536" s="1130">
        <f t="shared" si="249"/>
        <v>0</v>
      </c>
      <c r="N2536" s="1122">
        <f t="shared" si="250"/>
        <v>0</v>
      </c>
      <c r="O2536" s="1120"/>
      <c r="Q2536" s="317" t="str">
        <f t="shared" si="246"/>
        <v/>
      </c>
      <c r="R2536" s="317" t="str">
        <f t="shared" si="247"/>
        <v/>
      </c>
      <c r="S2536" s="317" t="str">
        <f t="shared" si="248"/>
        <v/>
      </c>
      <c r="T2536" s="317" t="str">
        <f>'REF. DE PREÇOS n editavel'!S2536</f>
        <v/>
      </c>
      <c r="W2536" s="577">
        <v>0</v>
      </c>
      <c r="X2536" s="575"/>
      <c r="Y2536" s="578">
        <f>IF('REF. DE PREÇOS n editavel'!W2536=0,0,IF('REF. DE PREÇOS n editavel'!W2536&gt;0,"c","b"))</f>
        <v>0</v>
      </c>
    </row>
    <row r="2537" spans="1:25">
      <c r="A2537" s="324" t="s">
        <v>152</v>
      </c>
      <c r="B2537" s="1138" t="str">
        <f>'REF. DE PREÇOS n editavel'!B2537</f>
        <v/>
      </c>
      <c r="C2537" s="1139" t="str">
        <f>'REF. DE PREÇOS n editavel'!C2537</f>
        <v/>
      </c>
      <c r="D2537" s="1096">
        <f>'REF. DE PREÇOS n editavel'!D2537</f>
        <v>0</v>
      </c>
      <c r="E2537" s="882">
        <f>'REF. DE PREÇOS n editavel'!E2537</f>
        <v>0</v>
      </c>
      <c r="F2537" s="883">
        <f>'REF. DE PREÇOS n editavel'!F2537</f>
        <v>0</v>
      </c>
      <c r="G2537" s="887">
        <f>'REF. DE PREÇOS n editavel'!G2537</f>
        <v>0</v>
      </c>
      <c r="H2537" s="876">
        <f>'REF. DE PREÇOS n editavel'!H2537</f>
        <v>0</v>
      </c>
      <c r="I2537" s="876" t="str">
        <f>'REF. DE PREÇOS n editavel'!I2537</f>
        <v/>
      </c>
      <c r="J2537" s="877">
        <f>'REF. DE PREÇOS n editavel'!J2537</f>
        <v>0</v>
      </c>
      <c r="K2537" s="878" t="str">
        <f>'REF. DE PREÇOS n editavel'!K2537</f>
        <v xml:space="preserve">     </v>
      </c>
      <c r="L2537" s="1092"/>
      <c r="M2537" s="1130">
        <f t="shared" si="249"/>
        <v>0</v>
      </c>
      <c r="N2537" s="1122">
        <f t="shared" si="250"/>
        <v>0</v>
      </c>
      <c r="O2537" s="1120"/>
      <c r="Q2537" s="317" t="str">
        <f t="shared" si="246"/>
        <v/>
      </c>
      <c r="R2537" s="317" t="str">
        <f t="shared" si="247"/>
        <v/>
      </c>
      <c r="S2537" s="317" t="str">
        <f t="shared" si="248"/>
        <v/>
      </c>
      <c r="T2537" s="317" t="str">
        <f>'REF. DE PREÇOS n editavel'!S2537</f>
        <v/>
      </c>
      <c r="W2537" s="577">
        <v>0</v>
      </c>
      <c r="X2537" s="575"/>
      <c r="Y2537" s="578">
        <f>IF('REF. DE PREÇOS n editavel'!W2537=0,0,IF('REF. DE PREÇOS n editavel'!W2537&gt;0,"c","b"))</f>
        <v>0</v>
      </c>
    </row>
    <row r="2538" spans="1:25">
      <c r="A2538" s="634" t="s">
        <v>165</v>
      </c>
      <c r="B2538" s="1138" t="str">
        <f>'REF. DE PREÇOS n editavel'!B2538</f>
        <v/>
      </c>
      <c r="C2538" s="1139" t="str">
        <f>'REF. DE PREÇOS n editavel'!C2538</f>
        <v/>
      </c>
      <c r="D2538" s="1096">
        <f>'REF. DE PREÇOS n editavel'!D2538</f>
        <v>0</v>
      </c>
      <c r="E2538" s="882">
        <f>'REF. DE PREÇOS n editavel'!E2538</f>
        <v>0</v>
      </c>
      <c r="F2538" s="883">
        <f>'REF. DE PREÇOS n editavel'!F2538</f>
        <v>0</v>
      </c>
      <c r="G2538" s="887">
        <f>'REF. DE PREÇOS n editavel'!G2538</f>
        <v>0</v>
      </c>
      <c r="H2538" s="876">
        <f>'REF. DE PREÇOS n editavel'!H2538</f>
        <v>0</v>
      </c>
      <c r="I2538" s="876" t="str">
        <f>'REF. DE PREÇOS n editavel'!I2538</f>
        <v/>
      </c>
      <c r="J2538" s="877">
        <f>'REF. DE PREÇOS n editavel'!J2538</f>
        <v>0</v>
      </c>
      <c r="K2538" s="878" t="str">
        <f>'REF. DE PREÇOS n editavel'!K2538</f>
        <v xml:space="preserve">     </v>
      </c>
      <c r="L2538" s="1092"/>
      <c r="M2538" s="1130">
        <f t="shared" si="249"/>
        <v>0</v>
      </c>
      <c r="N2538" s="1122">
        <f t="shared" si="250"/>
        <v>0</v>
      </c>
      <c r="O2538" s="1120"/>
      <c r="Q2538" s="317" t="str">
        <f t="shared" si="246"/>
        <v/>
      </c>
      <c r="R2538" s="317" t="str">
        <f t="shared" si="247"/>
        <v/>
      </c>
      <c r="S2538" s="317" t="str">
        <f t="shared" si="248"/>
        <v/>
      </c>
      <c r="T2538" s="317" t="str">
        <f>'REF. DE PREÇOS n editavel'!S2538</f>
        <v/>
      </c>
      <c r="W2538" s="577">
        <v>0</v>
      </c>
      <c r="X2538" s="575"/>
      <c r="Y2538" s="578">
        <f>IF('REF. DE PREÇOS n editavel'!W2538=0,0,IF('REF. DE PREÇOS n editavel'!W2538&gt;0,"c","b"))</f>
        <v>0</v>
      </c>
    </row>
    <row r="2539" spans="1:25">
      <c r="A2539" s="634" t="s">
        <v>165</v>
      </c>
      <c r="B2539" s="1138" t="str">
        <f>'REF. DE PREÇOS n editavel'!B2539</f>
        <v/>
      </c>
      <c r="C2539" s="1139" t="str">
        <f>'REF. DE PREÇOS n editavel'!C2539</f>
        <v/>
      </c>
      <c r="D2539" s="1096">
        <f>'REF. DE PREÇOS n editavel'!D2539</f>
        <v>0</v>
      </c>
      <c r="E2539" s="882">
        <f>'REF. DE PREÇOS n editavel'!E2539</f>
        <v>0</v>
      </c>
      <c r="F2539" s="883">
        <f>'REF. DE PREÇOS n editavel'!F2539</f>
        <v>0</v>
      </c>
      <c r="G2539" s="887">
        <f>'REF. DE PREÇOS n editavel'!G2539</f>
        <v>0</v>
      </c>
      <c r="H2539" s="876">
        <f>'REF. DE PREÇOS n editavel'!H2539</f>
        <v>0</v>
      </c>
      <c r="I2539" s="876" t="str">
        <f>'REF. DE PREÇOS n editavel'!I2539</f>
        <v/>
      </c>
      <c r="J2539" s="877">
        <f>'REF. DE PREÇOS n editavel'!J2539</f>
        <v>0</v>
      </c>
      <c r="K2539" s="878" t="str">
        <f>'REF. DE PREÇOS n editavel'!K2539</f>
        <v xml:space="preserve">     </v>
      </c>
      <c r="L2539" s="1092"/>
      <c r="M2539" s="1130">
        <f t="shared" si="249"/>
        <v>0</v>
      </c>
      <c r="N2539" s="1122">
        <f t="shared" si="250"/>
        <v>0</v>
      </c>
      <c r="O2539" s="1120"/>
      <c r="Q2539" s="317" t="str">
        <f t="shared" si="246"/>
        <v/>
      </c>
      <c r="R2539" s="317" t="str">
        <f t="shared" si="247"/>
        <v/>
      </c>
      <c r="S2539" s="317" t="str">
        <f t="shared" si="248"/>
        <v/>
      </c>
      <c r="T2539" s="317" t="str">
        <f>'REF. DE PREÇOS n editavel'!S2539</f>
        <v/>
      </c>
      <c r="W2539" s="577">
        <v>0</v>
      </c>
      <c r="X2539" s="575"/>
      <c r="Y2539" s="578">
        <f>IF('REF. DE PREÇOS n editavel'!W2539=0,0,IF('REF. DE PREÇOS n editavel'!W2539&gt;0,"c","b"))</f>
        <v>0</v>
      </c>
    </row>
    <row r="2540" spans="1:25">
      <c r="A2540" s="634" t="s">
        <v>165</v>
      </c>
      <c r="B2540" s="1138" t="str">
        <f>'REF. DE PREÇOS n editavel'!B2540</f>
        <v/>
      </c>
      <c r="C2540" s="1139" t="str">
        <f>'REF. DE PREÇOS n editavel'!C2540</f>
        <v/>
      </c>
      <c r="D2540" s="1096">
        <f>'REF. DE PREÇOS n editavel'!D2540</f>
        <v>0</v>
      </c>
      <c r="E2540" s="882">
        <f>'REF. DE PREÇOS n editavel'!E2540</f>
        <v>0</v>
      </c>
      <c r="F2540" s="883">
        <f>'REF. DE PREÇOS n editavel'!F2540</f>
        <v>0</v>
      </c>
      <c r="G2540" s="887">
        <f>'REF. DE PREÇOS n editavel'!G2540</f>
        <v>0</v>
      </c>
      <c r="H2540" s="876">
        <f>'REF. DE PREÇOS n editavel'!H2540</f>
        <v>0</v>
      </c>
      <c r="I2540" s="876" t="str">
        <f>'REF. DE PREÇOS n editavel'!I2540</f>
        <v/>
      </c>
      <c r="J2540" s="877">
        <f>'REF. DE PREÇOS n editavel'!J2540</f>
        <v>0</v>
      </c>
      <c r="K2540" s="878" t="str">
        <f>'REF. DE PREÇOS n editavel'!K2540</f>
        <v xml:space="preserve">     </v>
      </c>
      <c r="L2540" s="1092"/>
      <c r="M2540" s="1130">
        <f t="shared" si="249"/>
        <v>0</v>
      </c>
      <c r="N2540" s="1122">
        <f t="shared" si="250"/>
        <v>0</v>
      </c>
      <c r="O2540" s="1120"/>
      <c r="Q2540" s="317" t="str">
        <f t="shared" si="246"/>
        <v/>
      </c>
      <c r="R2540" s="317" t="str">
        <f t="shared" si="247"/>
        <v/>
      </c>
      <c r="S2540" s="317" t="str">
        <f t="shared" si="248"/>
        <v/>
      </c>
      <c r="T2540" s="317" t="str">
        <f>'REF. DE PREÇOS n editavel'!S2540</f>
        <v/>
      </c>
      <c r="W2540" s="577">
        <v>0</v>
      </c>
      <c r="X2540" s="575"/>
      <c r="Y2540" s="578">
        <f>IF('REF. DE PREÇOS n editavel'!W2540=0,0,IF('REF. DE PREÇOS n editavel'!W2540&gt;0,"c","b"))</f>
        <v>0</v>
      </c>
    </row>
    <row r="2541" spans="1:25">
      <c r="A2541" s="634" t="s">
        <v>165</v>
      </c>
      <c r="B2541" s="1138" t="str">
        <f>'REF. DE PREÇOS n editavel'!B2541</f>
        <v/>
      </c>
      <c r="C2541" s="1139" t="str">
        <f>'REF. DE PREÇOS n editavel'!C2541</f>
        <v/>
      </c>
      <c r="D2541" s="1096">
        <f>'REF. DE PREÇOS n editavel'!D2541</f>
        <v>0</v>
      </c>
      <c r="E2541" s="882">
        <f>'REF. DE PREÇOS n editavel'!E2541</f>
        <v>0</v>
      </c>
      <c r="F2541" s="883">
        <f>'REF. DE PREÇOS n editavel'!F2541</f>
        <v>0</v>
      </c>
      <c r="G2541" s="887">
        <f>'REF. DE PREÇOS n editavel'!G2541</f>
        <v>0</v>
      </c>
      <c r="H2541" s="876">
        <f>'REF. DE PREÇOS n editavel'!H2541</f>
        <v>0</v>
      </c>
      <c r="I2541" s="876" t="str">
        <f>'REF. DE PREÇOS n editavel'!I2541</f>
        <v/>
      </c>
      <c r="J2541" s="877">
        <f>'REF. DE PREÇOS n editavel'!J2541</f>
        <v>0</v>
      </c>
      <c r="K2541" s="878" t="str">
        <f>'REF. DE PREÇOS n editavel'!K2541</f>
        <v xml:space="preserve">     </v>
      </c>
      <c r="L2541" s="1092"/>
      <c r="M2541" s="1130">
        <f t="shared" si="249"/>
        <v>0</v>
      </c>
      <c r="N2541" s="1122">
        <f t="shared" si="250"/>
        <v>0</v>
      </c>
      <c r="O2541" s="1120"/>
      <c r="Q2541" s="317" t="str">
        <f t="shared" si="246"/>
        <v/>
      </c>
      <c r="R2541" s="317" t="str">
        <f t="shared" si="247"/>
        <v/>
      </c>
      <c r="S2541" s="317" t="str">
        <f t="shared" si="248"/>
        <v/>
      </c>
      <c r="T2541" s="317" t="str">
        <f>'REF. DE PREÇOS n editavel'!S2541</f>
        <v/>
      </c>
      <c r="W2541" s="577">
        <v>0</v>
      </c>
      <c r="X2541" s="575"/>
      <c r="Y2541" s="578">
        <f>IF('REF. DE PREÇOS n editavel'!W2541=0,0,IF('REF. DE PREÇOS n editavel'!W2541&gt;0,"c","b"))</f>
        <v>0</v>
      </c>
    </row>
    <row r="2542" spans="1:25">
      <c r="A2542" s="634" t="s">
        <v>165</v>
      </c>
      <c r="B2542" s="1138" t="str">
        <f>'REF. DE PREÇOS n editavel'!B2542</f>
        <v/>
      </c>
      <c r="C2542" s="1139" t="str">
        <f>'REF. DE PREÇOS n editavel'!C2542</f>
        <v/>
      </c>
      <c r="D2542" s="1096">
        <f>'REF. DE PREÇOS n editavel'!D2542</f>
        <v>0</v>
      </c>
      <c r="E2542" s="882">
        <f>'REF. DE PREÇOS n editavel'!E2542</f>
        <v>0</v>
      </c>
      <c r="F2542" s="883">
        <f>'REF. DE PREÇOS n editavel'!F2542</f>
        <v>0</v>
      </c>
      <c r="G2542" s="887">
        <f>'REF. DE PREÇOS n editavel'!G2542</f>
        <v>0</v>
      </c>
      <c r="H2542" s="876">
        <f>'REF. DE PREÇOS n editavel'!H2542</f>
        <v>0</v>
      </c>
      <c r="I2542" s="876" t="str">
        <f>'REF. DE PREÇOS n editavel'!I2542</f>
        <v/>
      </c>
      <c r="J2542" s="877">
        <f>'REF. DE PREÇOS n editavel'!J2542</f>
        <v>0</v>
      </c>
      <c r="K2542" s="878" t="str">
        <f>'REF. DE PREÇOS n editavel'!K2542</f>
        <v xml:space="preserve">     </v>
      </c>
      <c r="L2542" s="1092"/>
      <c r="M2542" s="1130">
        <f t="shared" si="249"/>
        <v>0</v>
      </c>
      <c r="N2542" s="1122">
        <f t="shared" si="250"/>
        <v>0</v>
      </c>
      <c r="O2542" s="1120"/>
      <c r="Q2542" s="317" t="str">
        <f t="shared" si="246"/>
        <v/>
      </c>
      <c r="R2542" s="317" t="str">
        <f t="shared" si="247"/>
        <v/>
      </c>
      <c r="S2542" s="317" t="str">
        <f t="shared" si="248"/>
        <v/>
      </c>
      <c r="T2542" s="317" t="str">
        <f>'REF. DE PREÇOS n editavel'!S2542</f>
        <v/>
      </c>
      <c r="W2542" s="577">
        <v>0</v>
      </c>
      <c r="X2542" s="575"/>
      <c r="Y2542" s="578">
        <f>IF('REF. DE PREÇOS n editavel'!W2542=0,0,IF('REF. DE PREÇOS n editavel'!W2542&gt;0,"c","b"))</f>
        <v>0</v>
      </c>
    </row>
    <row r="2543" spans="1:25">
      <c r="A2543" s="634" t="s">
        <v>165</v>
      </c>
      <c r="B2543" s="1138" t="str">
        <f>'REF. DE PREÇOS n editavel'!B2543</f>
        <v/>
      </c>
      <c r="C2543" s="1139" t="str">
        <f>'REF. DE PREÇOS n editavel'!C2543</f>
        <v/>
      </c>
      <c r="D2543" s="1096">
        <f>'REF. DE PREÇOS n editavel'!D2543</f>
        <v>0</v>
      </c>
      <c r="E2543" s="882">
        <f>'REF. DE PREÇOS n editavel'!E2543</f>
        <v>0</v>
      </c>
      <c r="F2543" s="883">
        <f>'REF. DE PREÇOS n editavel'!F2543</f>
        <v>0</v>
      </c>
      <c r="G2543" s="887">
        <f>'REF. DE PREÇOS n editavel'!G2543</f>
        <v>0</v>
      </c>
      <c r="H2543" s="876">
        <f>'REF. DE PREÇOS n editavel'!H2543</f>
        <v>0</v>
      </c>
      <c r="I2543" s="876" t="str">
        <f>'REF. DE PREÇOS n editavel'!I2543</f>
        <v/>
      </c>
      <c r="J2543" s="877">
        <f>'REF. DE PREÇOS n editavel'!J2543</f>
        <v>0</v>
      </c>
      <c r="K2543" s="878" t="str">
        <f>'REF. DE PREÇOS n editavel'!K2543</f>
        <v xml:space="preserve">     </v>
      </c>
      <c r="L2543" s="1092"/>
      <c r="M2543" s="1130">
        <f t="shared" si="249"/>
        <v>0</v>
      </c>
      <c r="N2543" s="1122">
        <f t="shared" si="250"/>
        <v>0</v>
      </c>
      <c r="O2543" s="1120"/>
      <c r="Q2543" s="317" t="str">
        <f t="shared" ref="Q2543:Q2547" si="251">IF(P2543="X","x",IF(P2543="xx","x",IF(P2543="xy","x",IF(P2543="y","x",IF(OR(N2543&gt;0,N2543&gt;0),"x","")))))</f>
        <v/>
      </c>
      <c r="R2543" s="317" t="str">
        <f t="shared" si="247"/>
        <v/>
      </c>
      <c r="S2543" s="317" t="str">
        <f t="shared" si="248"/>
        <v/>
      </c>
      <c r="T2543" s="317" t="str">
        <f>'REF. DE PREÇOS n editavel'!S2543</f>
        <v/>
      </c>
      <c r="W2543" s="577">
        <v>0</v>
      </c>
      <c r="X2543" s="575"/>
      <c r="Y2543" s="578">
        <f>IF('REF. DE PREÇOS n editavel'!W2543=0,0,IF('REF. DE PREÇOS n editavel'!W2543&gt;0,"c","b"))</f>
        <v>0</v>
      </c>
    </row>
    <row r="2544" spans="1:25">
      <c r="A2544" s="634" t="s">
        <v>165</v>
      </c>
      <c r="B2544" s="1138" t="str">
        <f>'REF. DE PREÇOS n editavel'!B2544</f>
        <v/>
      </c>
      <c r="C2544" s="1139" t="str">
        <f>'REF. DE PREÇOS n editavel'!C2544</f>
        <v/>
      </c>
      <c r="D2544" s="1096">
        <f>'REF. DE PREÇOS n editavel'!D2544</f>
        <v>0</v>
      </c>
      <c r="E2544" s="882">
        <f>'REF. DE PREÇOS n editavel'!E2544</f>
        <v>0</v>
      </c>
      <c r="F2544" s="883">
        <f>'REF. DE PREÇOS n editavel'!F2544</f>
        <v>0</v>
      </c>
      <c r="G2544" s="887">
        <f>'REF. DE PREÇOS n editavel'!G2544</f>
        <v>0</v>
      </c>
      <c r="H2544" s="876">
        <f>'REF. DE PREÇOS n editavel'!H2544</f>
        <v>0</v>
      </c>
      <c r="I2544" s="876" t="str">
        <f>'REF. DE PREÇOS n editavel'!I2544</f>
        <v/>
      </c>
      <c r="J2544" s="877">
        <f>'REF. DE PREÇOS n editavel'!J2544</f>
        <v>0</v>
      </c>
      <c r="K2544" s="878" t="str">
        <f>'REF. DE PREÇOS n editavel'!K2544</f>
        <v xml:space="preserve">     </v>
      </c>
      <c r="L2544" s="1092"/>
      <c r="M2544" s="1130">
        <f t="shared" si="249"/>
        <v>0</v>
      </c>
      <c r="N2544" s="1122">
        <f t="shared" si="250"/>
        <v>0</v>
      </c>
      <c r="O2544" s="1120"/>
      <c r="Q2544" s="317" t="str">
        <f t="shared" si="251"/>
        <v/>
      </c>
      <c r="R2544" s="317" t="str">
        <f t="shared" si="247"/>
        <v/>
      </c>
      <c r="S2544" s="317" t="str">
        <f t="shared" si="248"/>
        <v/>
      </c>
      <c r="T2544" s="317" t="str">
        <f>'REF. DE PREÇOS n editavel'!S2544</f>
        <v/>
      </c>
      <c r="W2544" s="577">
        <v>0</v>
      </c>
      <c r="X2544" s="575"/>
      <c r="Y2544" s="578">
        <f>IF('REF. DE PREÇOS n editavel'!W2544=0,0,IF('REF. DE PREÇOS n editavel'!W2544&gt;0,"c","b"))</f>
        <v>0</v>
      </c>
    </row>
    <row r="2545" spans="1:25">
      <c r="A2545" s="634" t="s">
        <v>165</v>
      </c>
      <c r="B2545" s="1138" t="str">
        <f>'REF. DE PREÇOS n editavel'!B2545</f>
        <v/>
      </c>
      <c r="C2545" s="1139" t="str">
        <f>'REF. DE PREÇOS n editavel'!C2545</f>
        <v/>
      </c>
      <c r="D2545" s="1096">
        <f>'REF. DE PREÇOS n editavel'!D2545</f>
        <v>0</v>
      </c>
      <c r="E2545" s="882">
        <f>'REF. DE PREÇOS n editavel'!E2545</f>
        <v>0</v>
      </c>
      <c r="F2545" s="883">
        <f>'REF. DE PREÇOS n editavel'!F2545</f>
        <v>0</v>
      </c>
      <c r="G2545" s="887">
        <f>'REF. DE PREÇOS n editavel'!G2545</f>
        <v>0</v>
      </c>
      <c r="H2545" s="876">
        <f>'REF. DE PREÇOS n editavel'!H2545</f>
        <v>0</v>
      </c>
      <c r="I2545" s="876" t="str">
        <f>'REF. DE PREÇOS n editavel'!I2545</f>
        <v/>
      </c>
      <c r="J2545" s="877">
        <f>'REF. DE PREÇOS n editavel'!J2545</f>
        <v>0</v>
      </c>
      <c r="K2545" s="878" t="str">
        <f>'REF. DE PREÇOS n editavel'!K2545</f>
        <v xml:space="preserve">     </v>
      </c>
      <c r="L2545" s="1092"/>
      <c r="M2545" s="1130">
        <f t="shared" si="249"/>
        <v>0</v>
      </c>
      <c r="N2545" s="1122">
        <f t="shared" si="250"/>
        <v>0</v>
      </c>
      <c r="O2545" s="1120"/>
      <c r="Q2545" s="317" t="str">
        <f t="shared" si="251"/>
        <v/>
      </c>
      <c r="R2545" s="317" t="str">
        <f t="shared" ref="R2545:R2547" si="252">IF(P2545="X","x",IF(P2545="y","x",IF(P2545="xx","x",IF(N2545&gt;0,"x",""))))</f>
        <v/>
      </c>
      <c r="S2545" s="317" t="str">
        <f t="shared" ref="S2545:S2547" si="253">IF(P2545="X","x",IF(N2545&gt;0,"x",""))</f>
        <v/>
      </c>
      <c r="T2545" s="317" t="str">
        <f>'REF. DE PREÇOS n editavel'!S2545</f>
        <v/>
      </c>
      <c r="W2545" s="577">
        <v>0</v>
      </c>
      <c r="X2545" s="575"/>
      <c r="Y2545" s="578">
        <f>IF('REF. DE PREÇOS n editavel'!W2545=0,0,IF('REF. DE PREÇOS n editavel'!W2545&gt;0,"c","b"))</f>
        <v>0</v>
      </c>
    </row>
    <row r="2546" spans="1:25" ht="13.5" thickBot="1">
      <c r="A2546" s="634" t="s">
        <v>165</v>
      </c>
      <c r="B2546" s="1138" t="str">
        <f>'REF. DE PREÇOS n editavel'!B2546</f>
        <v/>
      </c>
      <c r="C2546" s="1139" t="str">
        <f>'REF. DE PREÇOS n editavel'!C2546</f>
        <v/>
      </c>
      <c r="D2546" s="1096">
        <f>'REF. DE PREÇOS n editavel'!D2546</f>
        <v>0</v>
      </c>
      <c r="E2546" s="882">
        <f>'REF. DE PREÇOS n editavel'!E2546</f>
        <v>0</v>
      </c>
      <c r="F2546" s="883">
        <f>'REF. DE PREÇOS n editavel'!F2546</f>
        <v>0</v>
      </c>
      <c r="G2546" s="887">
        <f>'REF. DE PREÇOS n editavel'!G2546</f>
        <v>0</v>
      </c>
      <c r="H2546" s="876">
        <f>'REF. DE PREÇOS n editavel'!H2546</f>
        <v>0</v>
      </c>
      <c r="I2546" s="876" t="str">
        <f>'REF. DE PREÇOS n editavel'!I2546</f>
        <v/>
      </c>
      <c r="J2546" s="877">
        <f>'REF. DE PREÇOS n editavel'!J2546</f>
        <v>0</v>
      </c>
      <c r="K2546" s="878" t="str">
        <f>'REF. DE PREÇOS n editavel'!K2546</f>
        <v xml:space="preserve">     </v>
      </c>
      <c r="L2546" s="1092"/>
      <c r="M2546" s="1130">
        <f t="shared" si="249"/>
        <v>0</v>
      </c>
      <c r="N2546" s="1122">
        <f t="shared" si="250"/>
        <v>0</v>
      </c>
      <c r="O2546" s="1120"/>
      <c r="Q2546" s="317" t="str">
        <f t="shared" si="251"/>
        <v/>
      </c>
      <c r="R2546" s="317" t="str">
        <f t="shared" si="252"/>
        <v/>
      </c>
      <c r="S2546" s="317" t="str">
        <f t="shared" si="253"/>
        <v/>
      </c>
      <c r="T2546" s="317" t="str">
        <f>'REF. DE PREÇOS n editavel'!S2546</f>
        <v/>
      </c>
      <c r="W2546" s="577">
        <v>0</v>
      </c>
      <c r="X2546" s="575"/>
      <c r="Y2546" s="578">
        <f>IF('REF. DE PREÇOS n editavel'!W2546=0,0,IF('REF. DE PREÇOS n editavel'!W2546&gt;0,"c","b"))</f>
        <v>0</v>
      </c>
    </row>
    <row r="2547" spans="1:25" ht="9.75" customHeight="1" thickBot="1">
      <c r="A2547" s="634" t="s">
        <v>165</v>
      </c>
      <c r="B2547" s="1051" t="s">
        <v>152</v>
      </c>
      <c r="C2547" s="1140"/>
      <c r="D2547" s="1053"/>
      <c r="E2547" s="1054"/>
      <c r="F2547" s="1055"/>
      <c r="G2547" s="1056"/>
      <c r="H2547" s="1056"/>
      <c r="I2547" s="1056"/>
      <c r="J2547" s="1057"/>
      <c r="K2547" s="1054"/>
      <c r="L2547" s="1058"/>
      <c r="M2547" s="1058"/>
      <c r="N2547" s="1059"/>
      <c r="O2547" s="1060"/>
      <c r="P2547" s="60" t="s">
        <v>152</v>
      </c>
      <c r="Q2547" s="317" t="str">
        <f t="shared" si="251"/>
        <v>x</v>
      </c>
      <c r="R2547" s="317" t="str">
        <f t="shared" si="252"/>
        <v>x</v>
      </c>
      <c r="S2547" s="317" t="str">
        <f t="shared" si="253"/>
        <v>x</v>
      </c>
      <c r="T2547" s="317" t="str">
        <f>'REF. DE PREÇOS n editavel'!S2547</f>
        <v>x</v>
      </c>
    </row>
    <row r="2548" spans="1:25" ht="21" customHeight="1" thickBot="1">
      <c r="A2548" s="634" t="s">
        <v>165</v>
      </c>
      <c r="B2548" s="1061" t="str">
        <f ca="1">'REF. DE PREÇOS n editavel'!B2548</f>
        <v>Data Base da aprovação do Orçamento (Decreto 10.086/22 do Paraná, que regulamenta a Lei 14.133/21):  9/4/2024</v>
      </c>
      <c r="C2548" s="1141"/>
      <c r="D2548" s="1063"/>
      <c r="E2548" s="1064"/>
      <c r="F2548" s="1065"/>
      <c r="G2548" s="1066"/>
      <c r="H2548" s="1066"/>
      <c r="I2548" s="1066"/>
      <c r="J2548" s="1066"/>
      <c r="K2548" s="1064"/>
      <c r="L2548" s="855"/>
      <c r="M2548" s="855"/>
      <c r="N2548" s="1067" t="s">
        <v>2126</v>
      </c>
      <c r="O2548" s="857">
        <f>SUBTOTAL(9,O19:O2546)</f>
        <v>16924557.140000001</v>
      </c>
      <c r="P2548" s="60" t="s">
        <v>152</v>
      </c>
      <c r="Q2548" s="317" t="s">
        <v>152</v>
      </c>
      <c r="R2548" s="317" t="s">
        <v>152</v>
      </c>
      <c r="S2548" s="317" t="s">
        <v>152</v>
      </c>
      <c r="T2548" s="317" t="s">
        <v>152</v>
      </c>
    </row>
    <row r="2549" spans="1:25" ht="14.45" customHeight="1">
      <c r="A2549" s="634" t="s">
        <v>165</v>
      </c>
      <c r="B2549" s="565" t="s">
        <v>152</v>
      </c>
      <c r="C2549" s="570"/>
      <c r="D2549" s="537"/>
      <c r="E2549" s="538"/>
      <c r="F2549" s="539"/>
      <c r="G2549" s="540"/>
      <c r="H2549" s="540"/>
      <c r="I2549" s="540"/>
      <c r="J2549" s="541"/>
      <c r="K2549" s="538"/>
      <c r="L2549" s="542"/>
      <c r="M2549" s="542"/>
      <c r="N2549" s="543"/>
      <c r="O2549" s="543"/>
      <c r="P2549" s="60" t="s">
        <v>152</v>
      </c>
      <c r="Q2549" s="324" t="s">
        <v>152</v>
      </c>
      <c r="R2549" s="317" t="s">
        <v>152</v>
      </c>
      <c r="S2549" s="317" t="s">
        <v>152</v>
      </c>
      <c r="T2549" s="317" t="s">
        <v>152</v>
      </c>
    </row>
    <row r="2550" spans="1:25" ht="13.5" thickBot="1">
      <c r="A2550" s="634"/>
      <c r="B2550" s="566"/>
      <c r="C2550" s="571"/>
      <c r="D2550" s="544"/>
      <c r="E2550" s="545"/>
      <c r="F2550" s="546"/>
      <c r="G2550" s="547"/>
      <c r="H2550" s="547"/>
      <c r="I2550" s="547"/>
      <c r="J2550" s="548"/>
      <c r="K2550" s="545"/>
      <c r="L2550" s="535"/>
      <c r="M2550" s="535"/>
      <c r="N2550" s="531">
        <f>SUBTOTAL(9,N19:N2546)</f>
        <v>16924557.139999997</v>
      </c>
      <c r="O2550" s="536"/>
      <c r="P2550" s="60"/>
      <c r="Q2550" s="324"/>
      <c r="R2550" s="317"/>
      <c r="S2550" s="317"/>
      <c r="T2550" s="317"/>
    </row>
    <row r="2551" spans="1:25" ht="18" customHeight="1" thickBot="1">
      <c r="A2551" s="634" t="s">
        <v>165</v>
      </c>
      <c r="B2551" s="564" t="s">
        <v>152</v>
      </c>
      <c r="C2551" s="503"/>
      <c r="D2551" s="75" t="s">
        <v>477</v>
      </c>
      <c r="E2551" s="62"/>
      <c r="F2551" s="70"/>
      <c r="G2551" s="320"/>
      <c r="H2551" s="320"/>
      <c r="I2551" s="320" t="str">
        <f t="shared" ref="I2551:I2556" si="254">IF(ISBLANK(H2551),"",SUM(G2551:H2551))</f>
        <v/>
      </c>
      <c r="J2551" s="320"/>
      <c r="K2551" s="62"/>
      <c r="L2551" s="528"/>
      <c r="M2551" s="531"/>
      <c r="N2551" s="532">
        <f>SUM(N19:N643)</f>
        <v>14929218.699999999</v>
      </c>
      <c r="O2551" s="532">
        <f>SUM(O19:O643)</f>
        <v>14929218.700000001</v>
      </c>
      <c r="P2551" s="60"/>
      <c r="Q2551" s="317" t="s">
        <v>152</v>
      </c>
      <c r="R2551" s="317" t="s">
        <v>152</v>
      </c>
      <c r="S2551" s="317" t="s">
        <v>152</v>
      </c>
      <c r="T2551" s="317" t="s">
        <v>152</v>
      </c>
    </row>
    <row r="2552" spans="1:25" ht="18" customHeight="1" thickBot="1">
      <c r="A2552" s="634" t="s">
        <v>165</v>
      </c>
      <c r="B2552" s="564" t="s">
        <v>152</v>
      </c>
      <c r="C2552" s="503"/>
      <c r="D2552" s="75" t="s">
        <v>481</v>
      </c>
      <c r="E2552" s="62"/>
      <c r="F2552" s="70"/>
      <c r="G2552" s="320"/>
      <c r="H2552" s="320"/>
      <c r="I2552" s="320" t="str">
        <f t="shared" si="254"/>
        <v/>
      </c>
      <c r="J2552" s="320"/>
      <c r="K2552" s="62"/>
      <c r="L2552" s="528"/>
      <c r="M2552" s="529"/>
      <c r="N2552" s="530">
        <f>SUM(N644:N912)</f>
        <v>733766.36</v>
      </c>
      <c r="O2552" s="530">
        <f>SUM(O644:O912)</f>
        <v>733766.36</v>
      </c>
      <c r="P2552" s="60" t="s">
        <v>152</v>
      </c>
      <c r="Q2552" s="317" t="s">
        <v>152</v>
      </c>
      <c r="R2552" s="317" t="s">
        <v>152</v>
      </c>
      <c r="S2552" s="317" t="s">
        <v>152</v>
      </c>
      <c r="T2552" s="317" t="s">
        <v>152</v>
      </c>
    </row>
    <row r="2553" spans="1:25" ht="18" customHeight="1" thickBot="1">
      <c r="A2553" s="634" t="s">
        <v>165</v>
      </c>
      <c r="B2553" s="564" t="s">
        <v>152</v>
      </c>
      <c r="C2553" s="503"/>
      <c r="D2553" s="75" t="s">
        <v>478</v>
      </c>
      <c r="E2553" s="62"/>
      <c r="F2553" s="70"/>
      <c r="G2553" s="320"/>
      <c r="H2553" s="320"/>
      <c r="I2553" s="320" t="str">
        <f t="shared" si="254"/>
        <v/>
      </c>
      <c r="J2553" s="320"/>
      <c r="K2553" s="62"/>
      <c r="L2553" s="528"/>
      <c r="M2553" s="529"/>
      <c r="N2553" s="530">
        <f>SUM(N913:N1624)</f>
        <v>0</v>
      </c>
      <c r="O2553" s="530">
        <f>SUM(O913:O1624)</f>
        <v>0</v>
      </c>
      <c r="P2553" s="60" t="s">
        <v>152</v>
      </c>
      <c r="Q2553" s="317" t="s">
        <v>152</v>
      </c>
      <c r="R2553" s="317" t="s">
        <v>152</v>
      </c>
      <c r="S2553" s="317" t="s">
        <v>152</v>
      </c>
      <c r="T2553" s="317" t="s">
        <v>152</v>
      </c>
    </row>
    <row r="2554" spans="1:25" ht="18" customHeight="1" thickBot="1">
      <c r="A2554" s="634" t="s">
        <v>165</v>
      </c>
      <c r="B2554" s="564" t="s">
        <v>152</v>
      </c>
      <c r="C2554" s="503"/>
      <c r="D2554" s="75" t="s">
        <v>479</v>
      </c>
      <c r="E2554" s="62"/>
      <c r="F2554" s="70"/>
      <c r="G2554" s="320"/>
      <c r="H2554" s="320"/>
      <c r="I2554" s="320" t="str">
        <f t="shared" si="254"/>
        <v/>
      </c>
      <c r="J2554" s="320"/>
      <c r="K2554" s="62"/>
      <c r="L2554" s="528"/>
      <c r="M2554" s="529"/>
      <c r="N2554" s="530">
        <f>SUM(N1625:N1719)</f>
        <v>32567.4</v>
      </c>
      <c r="O2554" s="530">
        <f>SUM(O1625:O1719)</f>
        <v>32567.4</v>
      </c>
      <c r="P2554" s="60" t="s">
        <v>152</v>
      </c>
      <c r="Q2554" s="317" t="s">
        <v>152</v>
      </c>
      <c r="R2554" s="317" t="s">
        <v>152</v>
      </c>
      <c r="S2554" s="317" t="s">
        <v>152</v>
      </c>
      <c r="T2554" s="317" t="s">
        <v>152</v>
      </c>
    </row>
    <row r="2555" spans="1:25" ht="18" customHeight="1" thickBot="1">
      <c r="A2555" s="634" t="s">
        <v>165</v>
      </c>
      <c r="B2555" s="564" t="s">
        <v>152</v>
      </c>
      <c r="C2555" s="503"/>
      <c r="D2555" s="75" t="s">
        <v>480</v>
      </c>
      <c r="E2555" s="62"/>
      <c r="F2555" s="70"/>
      <c r="G2555" s="320"/>
      <c r="H2555" s="320"/>
      <c r="I2555" s="320" t="str">
        <f t="shared" si="254"/>
        <v/>
      </c>
      <c r="J2555" s="320"/>
      <c r="K2555" s="62"/>
      <c r="L2555" s="528"/>
      <c r="M2555" s="529"/>
      <c r="N2555" s="530">
        <f>SUM(N1720:N2498)</f>
        <v>1093168.6499999999</v>
      </c>
      <c r="O2555" s="530">
        <f>SUM(O1720:O2498)</f>
        <v>1093168.6499999999</v>
      </c>
      <c r="P2555" s="60" t="s">
        <v>152</v>
      </c>
      <c r="Q2555" s="317" t="s">
        <v>152</v>
      </c>
      <c r="R2555" s="317" t="s">
        <v>152</v>
      </c>
      <c r="S2555" s="317" t="s">
        <v>152</v>
      </c>
      <c r="T2555" s="317" t="s">
        <v>152</v>
      </c>
    </row>
    <row r="2556" spans="1:25" ht="18" customHeight="1" thickBot="1">
      <c r="A2556" s="634" t="s">
        <v>165</v>
      </c>
      <c r="B2556" s="564" t="s">
        <v>152</v>
      </c>
      <c r="C2556" s="503"/>
      <c r="D2556" s="75" t="s">
        <v>503</v>
      </c>
      <c r="E2556" s="62"/>
      <c r="F2556" s="70"/>
      <c r="G2556" s="320"/>
      <c r="H2556" s="320"/>
      <c r="I2556" s="320" t="str">
        <f t="shared" si="254"/>
        <v/>
      </c>
      <c r="J2556" s="320"/>
      <c r="K2556" s="62"/>
      <c r="L2556" s="528"/>
      <c r="M2556" s="529"/>
      <c r="N2556" s="530">
        <f>SUM(N2499:N2546)</f>
        <v>135836.03</v>
      </c>
      <c r="O2556" s="530">
        <f>SUM(O2499:O2546)</f>
        <v>135836.03</v>
      </c>
      <c r="P2556" s="60" t="s">
        <v>152</v>
      </c>
      <c r="Q2556" s="317" t="s">
        <v>152</v>
      </c>
      <c r="R2556" s="317" t="s">
        <v>152</v>
      </c>
      <c r="S2556" s="317" t="s">
        <v>152</v>
      </c>
      <c r="T2556" s="317" t="s">
        <v>152</v>
      </c>
    </row>
    <row r="2557" spans="1:25" ht="18" customHeight="1" thickBot="1">
      <c r="A2557" s="634" t="s">
        <v>165</v>
      </c>
      <c r="B2557" s="324" t="s">
        <v>152</v>
      </c>
      <c r="E2557" s="64"/>
      <c r="G2557" s="321"/>
      <c r="H2557" s="321"/>
      <c r="I2557" s="321"/>
      <c r="J2557" s="321"/>
      <c r="L2557" s="1506" t="s">
        <v>2081</v>
      </c>
      <c r="M2557" s="1507"/>
      <c r="N2557" s="66">
        <v>85100</v>
      </c>
      <c r="O2557" s="68">
        <f>IF(N2557=0,0,O2548/N2557)</f>
        <v>198.87846227967097</v>
      </c>
      <c r="P2557" s="60" t="s">
        <v>152</v>
      </c>
      <c r="Q2557" s="317" t="s">
        <v>152</v>
      </c>
      <c r="R2557" s="317" t="s">
        <v>152</v>
      </c>
      <c r="S2557" s="317" t="s">
        <v>152</v>
      </c>
      <c r="T2557" s="317" t="s">
        <v>152</v>
      </c>
    </row>
    <row r="2558" spans="1:25">
      <c r="A2558" s="634" t="s">
        <v>165</v>
      </c>
      <c r="B2558" s="324" t="s">
        <v>152</v>
      </c>
      <c r="G2558" s="321"/>
      <c r="H2558" s="321"/>
      <c r="K2558" s="67"/>
      <c r="L2558" s="67"/>
      <c r="M2558" s="67"/>
      <c r="N2558" s="67"/>
      <c r="O2558" s="67"/>
      <c r="P2558" s="318" t="s">
        <v>152</v>
      </c>
      <c r="Q2558" s="317" t="s">
        <v>152</v>
      </c>
      <c r="R2558" s="317" t="s">
        <v>152</v>
      </c>
      <c r="S2558" s="317" t="s">
        <v>152</v>
      </c>
      <c r="T2558" s="317" t="s">
        <v>152</v>
      </c>
    </row>
    <row r="2559" spans="1:25" ht="13.5" thickBot="1">
      <c r="A2559" s="634" t="s">
        <v>165</v>
      </c>
      <c r="B2559" s="324" t="s">
        <v>152</v>
      </c>
      <c r="G2559" s="321"/>
      <c r="H2559" s="321"/>
      <c r="K2559" s="67"/>
      <c r="L2559" s="534">
        <f>SUM(L20:L2546)</f>
        <v>335885.43000000005</v>
      </c>
      <c r="M2559" s="67"/>
      <c r="N2559" s="67"/>
      <c r="O2559" s="67"/>
      <c r="P2559" s="318" t="s">
        <v>152</v>
      </c>
      <c r="Q2559" s="317" t="s">
        <v>152</v>
      </c>
      <c r="R2559" s="317" t="s">
        <v>152</v>
      </c>
      <c r="S2559" s="317" t="s">
        <v>152</v>
      </c>
      <c r="T2559" s="317" t="s">
        <v>152</v>
      </c>
    </row>
    <row r="2560" spans="1:25" ht="18" customHeight="1" thickBot="1">
      <c r="A2560" s="634" t="s">
        <v>165</v>
      </c>
      <c r="B2560" s="324" t="s">
        <v>152</v>
      </c>
      <c r="K2560" s="67"/>
      <c r="L2560" s="1506"/>
      <c r="M2560" s="1508"/>
      <c r="N2560" s="61">
        <f>SUM(N19:N2546)</f>
        <v>16924557.139999997</v>
      </c>
      <c r="O2560" s="61">
        <f>SUM(O19:O2546)</f>
        <v>16924557.140000001</v>
      </c>
      <c r="P2560" s="318" t="s">
        <v>152</v>
      </c>
      <c r="Q2560" s="317" t="s">
        <v>152</v>
      </c>
      <c r="R2560" s="317" t="s">
        <v>152</v>
      </c>
      <c r="S2560" s="317" t="s">
        <v>152</v>
      </c>
      <c r="T2560" s="317" t="s">
        <v>152</v>
      </c>
    </row>
    <row r="2561" spans="1:10">
      <c r="A2561" s="634" t="s">
        <v>165</v>
      </c>
    </row>
    <row r="2563" spans="1:10">
      <c r="H2563" s="81"/>
      <c r="I2563" s="249"/>
      <c r="J2563" s="249"/>
    </row>
    <row r="2566" spans="1:10">
      <c r="D2566" s="258"/>
      <c r="J2566" s="65"/>
    </row>
    <row r="2567" spans="1:10">
      <c r="D2567" s="258" t="s">
        <v>165</v>
      </c>
      <c r="J2567" s="65"/>
    </row>
    <row r="2568" spans="1:10">
      <c r="D2568" s="258"/>
      <c r="J2568" s="65"/>
    </row>
    <row r="2569" spans="1:10">
      <c r="J2569" s="65"/>
    </row>
    <row r="2570" spans="1:10">
      <c r="J2570" s="65"/>
    </row>
    <row r="2571" spans="1:10">
      <c r="J2571" s="65"/>
    </row>
    <row r="2572" spans="1:10">
      <c r="J2572" s="65"/>
    </row>
    <row r="2573" spans="1:10">
      <c r="J2573" s="65"/>
    </row>
    <row r="2574" spans="1:10">
      <c r="D2574" s="80" t="s">
        <v>165</v>
      </c>
      <c r="J2574" s="65"/>
    </row>
    <row r="2575" spans="1:10" ht="9" customHeight="1"/>
    <row r="2576" spans="1:10">
      <c r="D2576" s="80" t="s">
        <v>1589</v>
      </c>
    </row>
    <row r="2578" spans="6:6">
      <c r="F2578" s="37" t="s">
        <v>1701</v>
      </c>
    </row>
  </sheetData>
  <sheetProtection algorithmName="SHA-512" hashValue="B0aJWnllWbZDy7c4t00RgoxCdWvfPLZU+WUOH/Bp2pP2luci8oBK5ZKTlpcy/EprrgdiJeyfuziaX7Qk35a5OQ==" saltValue="BOA2V8f0R/Ek1WxkQD3+gw==" spinCount="100000" sheet="1" objects="1" scenarios="1" formatColumns="0" formatRows="0" autoFilter="0"/>
  <autoFilter ref="A18:AY2561" xr:uid="{00000000-0009-0000-0000-000007000000}">
    <filterColumn colId="22" showButton="0"/>
  </autoFilter>
  <mergeCells count="3">
    <mergeCell ref="L2557:M2557"/>
    <mergeCell ref="L2560:M2560"/>
    <mergeCell ref="W18:X18"/>
  </mergeCells>
  <printOptions horizontalCentered="1" verticalCentered="1"/>
  <pageMargins left="0.39370078740157483" right="0.39370078740157483" top="0.98425196850393704" bottom="0.39370078740157483" header="0.31496062992125984" footer="0.51181102362204722"/>
  <pageSetup paperSize="9" scale="64" fitToHeight="0" orientation="landscape" r:id="rId1"/>
  <headerFooter alignWithMargins="0">
    <oddHeader>&amp;C&amp;"Arial,Negrito"&amp;12&amp;F</oddHeader>
  </headerFooter>
  <ignoredErrors>
    <ignoredError sqref="M20:M42 M70:M90 M118:M201 M492:M562 M590:M617 M645:M702 M854:M879 M914:M1590 M1625:M1686 M1720:M2466 M2499 M420:M437 M468:M485 M396:M407 M229:M383" unlocked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6"/>
  <dimension ref="A1:AJ582"/>
  <sheetViews>
    <sheetView view="pageBreakPreview" zoomScale="93" zoomScaleNormal="100" zoomScaleSheetLayoutView="93" workbookViewId="0">
      <selection activeCell="H28" sqref="H28"/>
    </sheetView>
  </sheetViews>
  <sheetFormatPr defaultColWidth="14.6640625" defaultRowHeight="12.75"/>
  <cols>
    <col min="1" max="1" width="56.33203125" style="390" customWidth="1"/>
    <col min="2" max="2" width="33.5" style="390" customWidth="1"/>
    <col min="3" max="3" width="19.83203125" style="390" customWidth="1"/>
    <col min="4" max="257" width="14.6640625" style="327"/>
    <col min="258" max="258" width="47.6640625" style="327" customWidth="1"/>
    <col min="259" max="259" width="43.83203125" style="327" customWidth="1"/>
    <col min="260" max="513" width="14.6640625" style="327"/>
    <col min="514" max="514" width="47.6640625" style="327" customWidth="1"/>
    <col min="515" max="515" width="43.83203125" style="327" customWidth="1"/>
    <col min="516" max="769" width="14.6640625" style="327"/>
    <col min="770" max="770" width="47.6640625" style="327" customWidth="1"/>
    <col min="771" max="771" width="43.83203125" style="327" customWidth="1"/>
    <col min="772" max="1025" width="14.6640625" style="327"/>
    <col min="1026" max="1026" width="47.6640625" style="327" customWidth="1"/>
    <col min="1027" max="1027" width="43.83203125" style="327" customWidth="1"/>
    <col min="1028" max="1281" width="14.6640625" style="327"/>
    <col min="1282" max="1282" width="47.6640625" style="327" customWidth="1"/>
    <col min="1283" max="1283" width="43.83203125" style="327" customWidth="1"/>
    <col min="1284" max="1537" width="14.6640625" style="327"/>
    <col min="1538" max="1538" width="47.6640625" style="327" customWidth="1"/>
    <col min="1539" max="1539" width="43.83203125" style="327" customWidth="1"/>
    <col min="1540" max="1793" width="14.6640625" style="327"/>
    <col min="1794" max="1794" width="47.6640625" style="327" customWidth="1"/>
    <col min="1795" max="1795" width="43.83203125" style="327" customWidth="1"/>
    <col min="1796" max="2049" width="14.6640625" style="327"/>
    <col min="2050" max="2050" width="47.6640625" style="327" customWidth="1"/>
    <col min="2051" max="2051" width="43.83203125" style="327" customWidth="1"/>
    <col min="2052" max="2305" width="14.6640625" style="327"/>
    <col min="2306" max="2306" width="47.6640625" style="327" customWidth="1"/>
    <col min="2307" max="2307" width="43.83203125" style="327" customWidth="1"/>
    <col min="2308" max="2561" width="14.6640625" style="327"/>
    <col min="2562" max="2562" width="47.6640625" style="327" customWidth="1"/>
    <col min="2563" max="2563" width="43.83203125" style="327" customWidth="1"/>
    <col min="2564" max="2817" width="14.6640625" style="327"/>
    <col min="2818" max="2818" width="47.6640625" style="327" customWidth="1"/>
    <col min="2819" max="2819" width="43.83203125" style="327" customWidth="1"/>
    <col min="2820" max="3073" width="14.6640625" style="327"/>
    <col min="3074" max="3074" width="47.6640625" style="327" customWidth="1"/>
    <col min="3075" max="3075" width="43.83203125" style="327" customWidth="1"/>
    <col min="3076" max="3329" width="14.6640625" style="327"/>
    <col min="3330" max="3330" width="47.6640625" style="327" customWidth="1"/>
    <col min="3331" max="3331" width="43.83203125" style="327" customWidth="1"/>
    <col min="3332" max="3585" width="14.6640625" style="327"/>
    <col min="3586" max="3586" width="47.6640625" style="327" customWidth="1"/>
    <col min="3587" max="3587" width="43.83203125" style="327" customWidth="1"/>
    <col min="3588" max="3841" width="14.6640625" style="327"/>
    <col min="3842" max="3842" width="47.6640625" style="327" customWidth="1"/>
    <col min="3843" max="3843" width="43.83203125" style="327" customWidth="1"/>
    <col min="3844" max="4097" width="14.6640625" style="327"/>
    <col min="4098" max="4098" width="47.6640625" style="327" customWidth="1"/>
    <col min="4099" max="4099" width="43.83203125" style="327" customWidth="1"/>
    <col min="4100" max="4353" width="14.6640625" style="327"/>
    <col min="4354" max="4354" width="47.6640625" style="327" customWidth="1"/>
    <col min="4355" max="4355" width="43.83203125" style="327" customWidth="1"/>
    <col min="4356" max="4609" width="14.6640625" style="327"/>
    <col min="4610" max="4610" width="47.6640625" style="327" customWidth="1"/>
    <col min="4611" max="4611" width="43.83203125" style="327" customWidth="1"/>
    <col min="4612" max="4865" width="14.6640625" style="327"/>
    <col min="4866" max="4866" width="47.6640625" style="327" customWidth="1"/>
    <col min="4867" max="4867" width="43.83203125" style="327" customWidth="1"/>
    <col min="4868" max="5121" width="14.6640625" style="327"/>
    <col min="5122" max="5122" width="47.6640625" style="327" customWidth="1"/>
    <col min="5123" max="5123" width="43.83203125" style="327" customWidth="1"/>
    <col min="5124" max="5377" width="14.6640625" style="327"/>
    <col min="5378" max="5378" width="47.6640625" style="327" customWidth="1"/>
    <col min="5379" max="5379" width="43.83203125" style="327" customWidth="1"/>
    <col min="5380" max="5633" width="14.6640625" style="327"/>
    <col min="5634" max="5634" width="47.6640625" style="327" customWidth="1"/>
    <col min="5635" max="5635" width="43.83203125" style="327" customWidth="1"/>
    <col min="5636" max="5889" width="14.6640625" style="327"/>
    <col min="5890" max="5890" width="47.6640625" style="327" customWidth="1"/>
    <col min="5891" max="5891" width="43.83203125" style="327" customWidth="1"/>
    <col min="5892" max="6145" width="14.6640625" style="327"/>
    <col min="6146" max="6146" width="47.6640625" style="327" customWidth="1"/>
    <col min="6147" max="6147" width="43.83203125" style="327" customWidth="1"/>
    <col min="6148" max="6401" width="14.6640625" style="327"/>
    <col min="6402" max="6402" width="47.6640625" style="327" customWidth="1"/>
    <col min="6403" max="6403" width="43.83203125" style="327" customWidth="1"/>
    <col min="6404" max="6657" width="14.6640625" style="327"/>
    <col min="6658" max="6658" width="47.6640625" style="327" customWidth="1"/>
    <col min="6659" max="6659" width="43.83203125" style="327" customWidth="1"/>
    <col min="6660" max="6913" width="14.6640625" style="327"/>
    <col min="6914" max="6914" width="47.6640625" style="327" customWidth="1"/>
    <col min="6915" max="6915" width="43.83203125" style="327" customWidth="1"/>
    <col min="6916" max="7169" width="14.6640625" style="327"/>
    <col min="7170" max="7170" width="47.6640625" style="327" customWidth="1"/>
    <col min="7171" max="7171" width="43.83203125" style="327" customWidth="1"/>
    <col min="7172" max="7425" width="14.6640625" style="327"/>
    <col min="7426" max="7426" width="47.6640625" style="327" customWidth="1"/>
    <col min="7427" max="7427" width="43.83203125" style="327" customWidth="1"/>
    <col min="7428" max="7681" width="14.6640625" style="327"/>
    <col min="7682" max="7682" width="47.6640625" style="327" customWidth="1"/>
    <col min="7683" max="7683" width="43.83203125" style="327" customWidth="1"/>
    <col min="7684" max="7937" width="14.6640625" style="327"/>
    <col min="7938" max="7938" width="47.6640625" style="327" customWidth="1"/>
    <col min="7939" max="7939" width="43.83203125" style="327" customWidth="1"/>
    <col min="7940" max="8193" width="14.6640625" style="327"/>
    <col min="8194" max="8194" width="47.6640625" style="327" customWidth="1"/>
    <col min="8195" max="8195" width="43.83203125" style="327" customWidth="1"/>
    <col min="8196" max="8449" width="14.6640625" style="327"/>
    <col min="8450" max="8450" width="47.6640625" style="327" customWidth="1"/>
    <col min="8451" max="8451" width="43.83203125" style="327" customWidth="1"/>
    <col min="8452" max="8705" width="14.6640625" style="327"/>
    <col min="8706" max="8706" width="47.6640625" style="327" customWidth="1"/>
    <col min="8707" max="8707" width="43.83203125" style="327" customWidth="1"/>
    <col min="8708" max="8961" width="14.6640625" style="327"/>
    <col min="8962" max="8962" width="47.6640625" style="327" customWidth="1"/>
    <col min="8963" max="8963" width="43.83203125" style="327" customWidth="1"/>
    <col min="8964" max="9217" width="14.6640625" style="327"/>
    <col min="9218" max="9218" width="47.6640625" style="327" customWidth="1"/>
    <col min="9219" max="9219" width="43.83203125" style="327" customWidth="1"/>
    <col min="9220" max="9473" width="14.6640625" style="327"/>
    <col min="9474" max="9474" width="47.6640625" style="327" customWidth="1"/>
    <col min="9475" max="9475" width="43.83203125" style="327" customWidth="1"/>
    <col min="9476" max="9729" width="14.6640625" style="327"/>
    <col min="9730" max="9730" width="47.6640625" style="327" customWidth="1"/>
    <col min="9731" max="9731" width="43.83203125" style="327" customWidth="1"/>
    <col min="9732" max="9985" width="14.6640625" style="327"/>
    <col min="9986" max="9986" width="47.6640625" style="327" customWidth="1"/>
    <col min="9987" max="9987" width="43.83203125" style="327" customWidth="1"/>
    <col min="9988" max="10241" width="14.6640625" style="327"/>
    <col min="10242" max="10242" width="47.6640625" style="327" customWidth="1"/>
    <col min="10243" max="10243" width="43.83203125" style="327" customWidth="1"/>
    <col min="10244" max="10497" width="14.6640625" style="327"/>
    <col min="10498" max="10498" width="47.6640625" style="327" customWidth="1"/>
    <col min="10499" max="10499" width="43.83203125" style="327" customWidth="1"/>
    <col min="10500" max="10753" width="14.6640625" style="327"/>
    <col min="10754" max="10754" width="47.6640625" style="327" customWidth="1"/>
    <col min="10755" max="10755" width="43.83203125" style="327" customWidth="1"/>
    <col min="10756" max="11009" width="14.6640625" style="327"/>
    <col min="11010" max="11010" width="47.6640625" style="327" customWidth="1"/>
    <col min="11011" max="11011" width="43.83203125" style="327" customWidth="1"/>
    <col min="11012" max="11265" width="14.6640625" style="327"/>
    <col min="11266" max="11266" width="47.6640625" style="327" customWidth="1"/>
    <col min="11267" max="11267" width="43.83203125" style="327" customWidth="1"/>
    <col min="11268" max="11521" width="14.6640625" style="327"/>
    <col min="11522" max="11522" width="47.6640625" style="327" customWidth="1"/>
    <col min="11523" max="11523" width="43.83203125" style="327" customWidth="1"/>
    <col min="11524" max="11777" width="14.6640625" style="327"/>
    <col min="11778" max="11778" width="47.6640625" style="327" customWidth="1"/>
    <col min="11779" max="11779" width="43.83203125" style="327" customWidth="1"/>
    <col min="11780" max="12033" width="14.6640625" style="327"/>
    <col min="12034" max="12034" width="47.6640625" style="327" customWidth="1"/>
    <col min="12035" max="12035" width="43.83203125" style="327" customWidth="1"/>
    <col min="12036" max="12289" width="14.6640625" style="327"/>
    <col min="12290" max="12290" width="47.6640625" style="327" customWidth="1"/>
    <col min="12291" max="12291" width="43.83203125" style="327" customWidth="1"/>
    <col min="12292" max="12545" width="14.6640625" style="327"/>
    <col min="12546" max="12546" width="47.6640625" style="327" customWidth="1"/>
    <col min="12547" max="12547" width="43.83203125" style="327" customWidth="1"/>
    <col min="12548" max="12801" width="14.6640625" style="327"/>
    <col min="12802" max="12802" width="47.6640625" style="327" customWidth="1"/>
    <col min="12803" max="12803" width="43.83203125" style="327" customWidth="1"/>
    <col min="12804" max="13057" width="14.6640625" style="327"/>
    <col min="13058" max="13058" width="47.6640625" style="327" customWidth="1"/>
    <col min="13059" max="13059" width="43.83203125" style="327" customWidth="1"/>
    <col min="13060" max="13313" width="14.6640625" style="327"/>
    <col min="13314" max="13314" width="47.6640625" style="327" customWidth="1"/>
    <col min="13315" max="13315" width="43.83203125" style="327" customWidth="1"/>
    <col min="13316" max="13569" width="14.6640625" style="327"/>
    <col min="13570" max="13570" width="47.6640625" style="327" customWidth="1"/>
    <col min="13571" max="13571" width="43.83203125" style="327" customWidth="1"/>
    <col min="13572" max="13825" width="14.6640625" style="327"/>
    <col min="13826" max="13826" width="47.6640625" style="327" customWidth="1"/>
    <col min="13827" max="13827" width="43.83203125" style="327" customWidth="1"/>
    <col min="13828" max="14081" width="14.6640625" style="327"/>
    <col min="14082" max="14082" width="47.6640625" style="327" customWidth="1"/>
    <col min="14083" max="14083" width="43.83203125" style="327" customWidth="1"/>
    <col min="14084" max="14337" width="14.6640625" style="327"/>
    <col min="14338" max="14338" width="47.6640625" style="327" customWidth="1"/>
    <col min="14339" max="14339" width="43.83203125" style="327" customWidth="1"/>
    <col min="14340" max="14593" width="14.6640625" style="327"/>
    <col min="14594" max="14594" width="47.6640625" style="327" customWidth="1"/>
    <col min="14595" max="14595" width="43.83203125" style="327" customWidth="1"/>
    <col min="14596" max="14849" width="14.6640625" style="327"/>
    <col min="14850" max="14850" width="47.6640625" style="327" customWidth="1"/>
    <col min="14851" max="14851" width="43.83203125" style="327" customWidth="1"/>
    <col min="14852" max="15105" width="14.6640625" style="327"/>
    <col min="15106" max="15106" width="47.6640625" style="327" customWidth="1"/>
    <col min="15107" max="15107" width="43.83203125" style="327" customWidth="1"/>
    <col min="15108" max="15361" width="14.6640625" style="327"/>
    <col min="15362" max="15362" width="47.6640625" style="327" customWidth="1"/>
    <col min="15363" max="15363" width="43.83203125" style="327" customWidth="1"/>
    <col min="15364" max="15617" width="14.6640625" style="327"/>
    <col min="15618" max="15618" width="47.6640625" style="327" customWidth="1"/>
    <col min="15619" max="15619" width="43.83203125" style="327" customWidth="1"/>
    <col min="15620" max="15873" width="14.6640625" style="327"/>
    <col min="15874" max="15874" width="47.6640625" style="327" customWidth="1"/>
    <col min="15875" max="15875" width="43.83203125" style="327" customWidth="1"/>
    <col min="15876" max="16129" width="14.6640625" style="327"/>
    <col min="16130" max="16130" width="47.6640625" style="327" customWidth="1"/>
    <col min="16131" max="16131" width="43.83203125" style="327" customWidth="1"/>
    <col min="16132" max="16384" width="14.6640625" style="327"/>
  </cols>
  <sheetData>
    <row r="1" spans="1:11" ht="54" customHeight="1" thickBot="1">
      <c r="A1" s="1550" t="s">
        <v>1896</v>
      </c>
      <c r="B1" s="1551"/>
      <c r="C1" s="1552"/>
      <c r="D1" s="325"/>
      <c r="E1" s="326"/>
      <c r="F1" s="326"/>
      <c r="G1" s="326"/>
      <c r="H1" s="326"/>
    </row>
    <row r="2" spans="1:11" ht="18">
      <c r="A2" s="1553" t="s">
        <v>467</v>
      </c>
      <c r="B2" s="328" t="s">
        <v>756</v>
      </c>
      <c r="C2" s="391">
        <f>B24</f>
        <v>0.6</v>
      </c>
      <c r="D2" s="326"/>
      <c r="E2" s="330"/>
      <c r="F2" s="326"/>
      <c r="G2" s="326"/>
      <c r="H2" s="326"/>
    </row>
    <row r="3" spans="1:11" ht="18">
      <c r="A3" s="1554"/>
      <c r="B3" s="328" t="s">
        <v>757</v>
      </c>
      <c r="C3" s="329">
        <v>0.65</v>
      </c>
      <c r="D3" s="326"/>
      <c r="E3" s="326" t="s">
        <v>11</v>
      </c>
      <c r="F3" s="326"/>
      <c r="G3" s="326"/>
      <c r="H3" s="326"/>
    </row>
    <row r="4" spans="1:11" ht="18">
      <c r="A4" s="1554"/>
      <c r="B4" s="328" t="s">
        <v>758</v>
      </c>
      <c r="C4" s="329">
        <v>3</v>
      </c>
      <c r="D4" s="326"/>
      <c r="E4" s="326"/>
      <c r="F4" s="326"/>
      <c r="G4" s="326"/>
      <c r="H4" s="326"/>
    </row>
    <row r="5" spans="1:11" ht="18.75" thickBot="1">
      <c r="A5" s="1554"/>
      <c r="B5" s="331" t="s">
        <v>759</v>
      </c>
      <c r="C5" s="332">
        <v>0</v>
      </c>
      <c r="D5" s="326"/>
      <c r="E5" s="326" t="s">
        <v>11</v>
      </c>
      <c r="F5" s="326"/>
      <c r="G5" s="326"/>
      <c r="H5" s="326"/>
    </row>
    <row r="6" spans="1:11" ht="18.75" thickBot="1">
      <c r="A6" s="1555"/>
      <c r="B6" s="333" t="s">
        <v>760</v>
      </c>
      <c r="C6" s="334">
        <f>SUM(C2:C5)</f>
        <v>4.25</v>
      </c>
      <c r="D6" s="326"/>
      <c r="E6" s="326"/>
      <c r="F6" s="335"/>
      <c r="G6" s="326"/>
      <c r="H6" s="326"/>
    </row>
    <row r="7" spans="1:11" ht="18.75" thickBot="1">
      <c r="A7" s="336" t="s">
        <v>761</v>
      </c>
      <c r="B7" s="337" t="s">
        <v>762</v>
      </c>
      <c r="C7" s="338" t="s">
        <v>763</v>
      </c>
      <c r="D7" s="326"/>
      <c r="E7" s="326"/>
      <c r="F7" s="326"/>
      <c r="G7" s="339" t="s">
        <v>165</v>
      </c>
      <c r="H7" s="326"/>
    </row>
    <row r="8" spans="1:11" ht="18">
      <c r="A8" s="336" t="s">
        <v>744</v>
      </c>
      <c r="B8" s="239">
        <v>4.67</v>
      </c>
      <c r="C8" s="240">
        <v>4.49</v>
      </c>
      <c r="D8" s="326"/>
      <c r="E8" s="1561" t="s">
        <v>1914</v>
      </c>
      <c r="F8" s="1562"/>
      <c r="G8" s="1562"/>
      <c r="H8" s="1562"/>
      <c r="I8" s="1563"/>
      <c r="J8" s="629">
        <v>4.01</v>
      </c>
      <c r="K8" s="630">
        <v>3.45</v>
      </c>
    </row>
    <row r="9" spans="1:11" ht="18">
      <c r="A9" s="340" t="s">
        <v>745</v>
      </c>
      <c r="B9" s="242">
        <v>0.97</v>
      </c>
      <c r="C9" s="243">
        <v>0.89</v>
      </c>
      <c r="D9" s="326"/>
      <c r="E9" s="1564"/>
      <c r="F9" s="1565"/>
      <c r="G9" s="1565"/>
      <c r="H9" s="1565"/>
      <c r="I9" s="1566"/>
      <c r="J9" s="242">
        <v>0.56000000000000005</v>
      </c>
      <c r="K9" s="243">
        <v>0.85</v>
      </c>
    </row>
    <row r="10" spans="1:11" ht="18.75" thickBot="1">
      <c r="A10" s="340" t="s">
        <v>746</v>
      </c>
      <c r="B10" s="242">
        <v>0.74</v>
      </c>
      <c r="C10" s="243">
        <v>0.82</v>
      </c>
      <c r="D10" s="326"/>
      <c r="E10" s="1567"/>
      <c r="F10" s="1568"/>
      <c r="G10" s="1568"/>
      <c r="H10" s="1568"/>
      <c r="I10" s="1569"/>
      <c r="J10" s="242">
        <v>0.4</v>
      </c>
      <c r="K10" s="243">
        <v>0.48</v>
      </c>
    </row>
    <row r="11" spans="1:11" ht="18">
      <c r="A11" s="340" t="s">
        <v>747</v>
      </c>
      <c r="B11" s="242">
        <v>1.21</v>
      </c>
      <c r="C11" s="243">
        <v>1.1100000000000001</v>
      </c>
      <c r="D11" s="326"/>
      <c r="E11" s="241"/>
      <c r="F11" s="326"/>
      <c r="G11" s="326"/>
      <c r="H11" s="326"/>
      <c r="J11" s="242">
        <v>1.1100000000000001</v>
      </c>
      <c r="K11" s="243">
        <v>0.85</v>
      </c>
    </row>
    <row r="12" spans="1:11" ht="18.75" thickBot="1">
      <c r="A12" s="341" t="s">
        <v>469</v>
      </c>
      <c r="B12" s="244">
        <v>8.69</v>
      </c>
      <c r="C12" s="245">
        <v>6.22</v>
      </c>
      <c r="D12" s="326"/>
      <c r="E12" s="241"/>
      <c r="F12" s="326"/>
      <c r="G12" s="326"/>
      <c r="H12" s="326"/>
      <c r="J12" s="244">
        <v>7.3</v>
      </c>
      <c r="K12" s="245">
        <v>5.1100000000000003</v>
      </c>
    </row>
    <row r="13" spans="1:11" ht="18.75" thickBot="1">
      <c r="A13" s="342" t="s">
        <v>764</v>
      </c>
      <c r="B13" s="343">
        <f>(((((1+(B8+B9+B10)/100)*(1+B11/100)*(1+B12/100))/(1-C6/100))-1)*100)</f>
        <v>22.217731076971269</v>
      </c>
      <c r="C13" s="334">
        <f>(((((1+(C8+C9+C10)/100)*(1+C11/100)*(1+C12/100))/(1-(C3+C4+C5)/100))-1)*100)</f>
        <v>18.378601560975618</v>
      </c>
      <c r="D13" s="344"/>
      <c r="E13" s="326"/>
      <c r="F13" s="326"/>
      <c r="G13" s="326"/>
      <c r="H13" s="326"/>
    </row>
    <row r="14" spans="1:11" ht="15.75" thickBot="1">
      <c r="A14" s="1547" t="s">
        <v>765</v>
      </c>
      <c r="B14" s="1548"/>
      <c r="C14" s="1549"/>
      <c r="D14" s="344"/>
      <c r="E14" s="326"/>
      <c r="F14" s="326"/>
      <c r="G14" s="326"/>
      <c r="H14" s="326"/>
    </row>
    <row r="15" spans="1:11" ht="18.75" thickBot="1">
      <c r="A15" s="345" t="s">
        <v>766</v>
      </c>
      <c r="B15" s="346">
        <f>IF(D15="X",0,ROUND(B13,2)/100)</f>
        <v>0.22219999999999998</v>
      </c>
      <c r="C15" s="347"/>
      <c r="D15" s="348"/>
      <c r="E15" s="326" t="s">
        <v>531</v>
      </c>
      <c r="G15" s="326"/>
      <c r="H15" s="326"/>
    </row>
    <row r="16" spans="1:11" ht="7.9" customHeight="1" thickBot="1">
      <c r="A16" s="350"/>
      <c r="B16" s="350"/>
      <c r="C16" s="350"/>
      <c r="D16" s="344"/>
      <c r="E16" s="326"/>
      <c r="F16" s="326"/>
      <c r="G16" s="326"/>
      <c r="H16" s="326"/>
    </row>
    <row r="17" spans="1:13" ht="18.75" thickBot="1">
      <c r="A17" s="345" t="s">
        <v>767</v>
      </c>
      <c r="B17" s="346">
        <f>IF(D15="X",0,ROUND(C13,2)/100)</f>
        <v>0.18379999999999999</v>
      </c>
      <c r="C17" s="347"/>
      <c r="D17" s="326"/>
      <c r="E17" s="349"/>
      <c r="F17" s="351"/>
      <c r="G17" s="351"/>
      <c r="H17" s="351"/>
      <c r="I17" s="352"/>
      <c r="J17" s="352"/>
      <c r="K17" s="352"/>
      <c r="L17" s="352"/>
      <c r="M17" s="352"/>
    </row>
    <row r="18" spans="1:13" ht="6.6" customHeight="1">
      <c r="A18" s="353"/>
      <c r="B18" s="353"/>
      <c r="C18" s="353"/>
      <c r="D18" s="326"/>
      <c r="E18" s="326"/>
      <c r="F18" s="326"/>
      <c r="G18" s="326"/>
      <c r="H18" s="326"/>
    </row>
    <row r="19" spans="1:13">
      <c r="A19" s="354"/>
      <c r="B19" s="354"/>
      <c r="C19" s="354"/>
      <c r="D19" s="326"/>
      <c r="E19" s="326"/>
      <c r="F19" s="326"/>
      <c r="G19" s="326"/>
      <c r="H19" s="326"/>
    </row>
    <row r="20" spans="1:13" ht="16.5" thickBot="1">
      <c r="A20" s="355"/>
      <c r="B20" s="356" t="s">
        <v>748</v>
      </c>
      <c r="C20" s="354"/>
      <c r="D20" s="326"/>
      <c r="E20" s="326"/>
      <c r="F20" s="326"/>
      <c r="G20" s="326"/>
      <c r="H20" s="326"/>
    </row>
    <row r="21" spans="1:13" ht="20.45" customHeight="1" thickBot="1">
      <c r="A21" s="357" t="s">
        <v>513</v>
      </c>
      <c r="B21" s="246">
        <v>2</v>
      </c>
      <c r="C21" s="358" t="s">
        <v>507</v>
      </c>
      <c r="D21" s="326"/>
      <c r="E21" s="330"/>
      <c r="F21" s="326"/>
      <c r="G21" s="326"/>
      <c r="H21" s="326"/>
    </row>
    <row r="22" spans="1:13" ht="20.45" customHeight="1" thickBot="1">
      <c r="A22" s="357" t="s">
        <v>514</v>
      </c>
      <c r="B22" s="246">
        <v>30</v>
      </c>
      <c r="C22" s="358" t="s">
        <v>507</v>
      </c>
      <c r="D22" s="326"/>
      <c r="E22" s="330"/>
      <c r="F22" s="326"/>
      <c r="G22" s="326"/>
      <c r="H22" s="326"/>
    </row>
    <row r="23" spans="1:13" ht="18">
      <c r="A23" s="357" t="s">
        <v>749</v>
      </c>
      <c r="B23" s="359" t="s">
        <v>526</v>
      </c>
      <c r="C23" s="358" t="s">
        <v>507</v>
      </c>
      <c r="D23" s="326"/>
      <c r="E23" s="326"/>
      <c r="F23" s="326"/>
      <c r="G23" s="326"/>
      <c r="H23" s="326"/>
    </row>
    <row r="24" spans="1:13" ht="18">
      <c r="A24" s="357" t="s">
        <v>1897</v>
      </c>
      <c r="B24" s="360">
        <f>ROUND(B21*B22/100,4)</f>
        <v>0.6</v>
      </c>
      <c r="C24" s="358" t="s">
        <v>507</v>
      </c>
      <c r="D24" s="326"/>
      <c r="E24" s="326"/>
      <c r="F24" s="326"/>
      <c r="G24" s="326"/>
      <c r="H24" s="326"/>
    </row>
    <row r="25" spans="1:13" ht="13.5" thickBot="1">
      <c r="A25" s="361"/>
      <c r="B25" s="362"/>
      <c r="C25" s="362"/>
      <c r="D25" s="326"/>
      <c r="E25" s="326"/>
      <c r="F25" s="326"/>
      <c r="G25" s="326"/>
      <c r="H25" s="326"/>
    </row>
    <row r="26" spans="1:13" ht="13.5" thickBot="1">
      <c r="A26" s="1556" t="s">
        <v>768</v>
      </c>
      <c r="B26" s="1557"/>
      <c r="C26" s="1557"/>
      <c r="D26" s="1558"/>
      <c r="E26" s="326"/>
      <c r="F26" s="326"/>
      <c r="G26" s="326"/>
      <c r="H26" s="326"/>
    </row>
    <row r="27" spans="1:13" ht="13.5" thickBot="1">
      <c r="A27" s="363" t="s">
        <v>769</v>
      </c>
      <c r="B27" s="364" t="s">
        <v>770</v>
      </c>
      <c r="C27" s="365" t="s">
        <v>771</v>
      </c>
      <c r="D27" s="366" t="s">
        <v>772</v>
      </c>
      <c r="E27" s="326"/>
      <c r="F27" s="326"/>
      <c r="G27" s="326"/>
      <c r="H27" s="326"/>
    </row>
    <row r="28" spans="1:13">
      <c r="A28" s="367" t="s">
        <v>773</v>
      </c>
      <c r="B28" s="368">
        <v>0.2034</v>
      </c>
      <c r="C28" s="369">
        <v>0.22120000000000001</v>
      </c>
      <c r="D28" s="370">
        <v>0.25</v>
      </c>
      <c r="E28" s="326"/>
      <c r="F28" s="326"/>
      <c r="G28" s="326"/>
      <c r="H28" s="326"/>
    </row>
    <row r="29" spans="1:13">
      <c r="A29" s="371" t="s">
        <v>774</v>
      </c>
      <c r="B29" s="372">
        <v>0.19600000000000001</v>
      </c>
      <c r="C29" s="373">
        <v>0.20949999999999999</v>
      </c>
      <c r="D29" s="374">
        <v>0.24229999999999999</v>
      </c>
      <c r="E29" s="326"/>
      <c r="F29" s="326"/>
      <c r="G29" s="326"/>
      <c r="H29" s="326"/>
    </row>
    <row r="30" spans="1:13" ht="38.25">
      <c r="A30" s="371" t="s">
        <v>775</v>
      </c>
      <c r="B30" s="372">
        <v>0.20760000000000001</v>
      </c>
      <c r="C30" s="373">
        <v>0.24179999999999999</v>
      </c>
      <c r="D30" s="374">
        <v>0.26440000000000002</v>
      </c>
      <c r="E30" s="326"/>
      <c r="F30" s="326"/>
      <c r="G30" s="326"/>
      <c r="H30" s="326"/>
    </row>
    <row r="31" spans="1:13" ht="25.5">
      <c r="A31" s="371" t="s">
        <v>776</v>
      </c>
      <c r="B31" s="372">
        <v>0.24</v>
      </c>
      <c r="C31" s="373">
        <v>0.25840000000000002</v>
      </c>
      <c r="D31" s="374">
        <v>0.27860000000000001</v>
      </c>
      <c r="E31" s="326"/>
      <c r="F31" s="326"/>
      <c r="G31" s="326"/>
      <c r="H31" s="326"/>
    </row>
    <row r="32" spans="1:13" ht="13.5" thickBot="1">
      <c r="A32" s="375" t="s">
        <v>777</v>
      </c>
      <c r="B32" s="376">
        <v>0.22800000000000001</v>
      </c>
      <c r="C32" s="377">
        <v>0.27479999999999999</v>
      </c>
      <c r="D32" s="378">
        <v>0.3095</v>
      </c>
      <c r="E32" s="326"/>
      <c r="F32" s="326"/>
      <c r="G32" s="326"/>
      <c r="H32" s="326"/>
    </row>
    <row r="33" spans="1:16">
      <c r="A33" s="379"/>
      <c r="B33" s="362"/>
      <c r="C33" s="362"/>
      <c r="D33" s="326"/>
      <c r="E33" s="326"/>
      <c r="F33" s="326"/>
      <c r="G33" s="326"/>
      <c r="H33" s="326"/>
    </row>
    <row r="34" spans="1:16" ht="13.5" thickBot="1">
      <c r="A34" s="379"/>
      <c r="B34" s="362"/>
      <c r="C34" s="362"/>
      <c r="D34" s="326"/>
      <c r="E34" s="326"/>
      <c r="F34" s="326"/>
      <c r="G34" s="326"/>
      <c r="H34" s="326"/>
    </row>
    <row r="35" spans="1:16" ht="13.5" thickBot="1">
      <c r="A35" s="1559" t="s">
        <v>778</v>
      </c>
      <c r="B35" s="364" t="s">
        <v>770</v>
      </c>
      <c r="C35" s="365" t="s">
        <v>771</v>
      </c>
      <c r="D35" s="366" t="s">
        <v>772</v>
      </c>
      <c r="E35" s="326"/>
      <c r="F35" s="326"/>
      <c r="G35" s="326"/>
      <c r="H35" s="326"/>
    </row>
    <row r="36" spans="1:16" ht="13.5" thickBot="1">
      <c r="A36" s="1560"/>
      <c r="B36" s="380">
        <v>0.111</v>
      </c>
      <c r="C36" s="381">
        <v>0.14019999999999999</v>
      </c>
      <c r="D36" s="382">
        <v>0.16800000000000001</v>
      </c>
      <c r="E36" s="326"/>
      <c r="F36" s="326"/>
      <c r="G36" s="326"/>
      <c r="H36" s="326"/>
    </row>
    <row r="37" spans="1:16">
      <c r="A37" s="379"/>
      <c r="B37" s="362"/>
      <c r="C37" s="362"/>
      <c r="D37" s="326"/>
      <c r="E37" s="326"/>
      <c r="F37" s="326"/>
      <c r="G37" s="326"/>
      <c r="H37" s="326"/>
    </row>
    <row r="38" spans="1:16" ht="13.5" thickBot="1">
      <c r="A38" s="379"/>
      <c r="B38" s="362"/>
      <c r="C38" s="362"/>
      <c r="D38" s="326"/>
      <c r="E38" s="326"/>
      <c r="F38" s="326"/>
      <c r="G38" s="326"/>
      <c r="H38" s="326"/>
    </row>
    <row r="39" spans="1:16" ht="13.5" thickBot="1">
      <c r="A39" s="1572" t="s">
        <v>769</v>
      </c>
      <c r="B39" s="1544" t="s">
        <v>744</v>
      </c>
      <c r="C39" s="1545"/>
      <c r="D39" s="1546"/>
      <c r="E39" s="1544" t="s">
        <v>779</v>
      </c>
      <c r="F39" s="1545"/>
      <c r="G39" s="1546"/>
      <c r="H39" s="1544" t="s">
        <v>780</v>
      </c>
      <c r="I39" s="1545"/>
      <c r="J39" s="1546"/>
      <c r="K39" s="1544" t="s">
        <v>781</v>
      </c>
      <c r="L39" s="1570"/>
      <c r="M39" s="1571"/>
      <c r="N39" s="1544" t="s">
        <v>469</v>
      </c>
      <c r="O39" s="1570"/>
      <c r="P39" s="1571"/>
    </row>
    <row r="40" spans="1:16" ht="13.5" thickBot="1">
      <c r="A40" s="1573"/>
      <c r="B40" s="364" t="s">
        <v>770</v>
      </c>
      <c r="C40" s="365" t="s">
        <v>771</v>
      </c>
      <c r="D40" s="366" t="s">
        <v>772</v>
      </c>
      <c r="E40" s="364" t="s">
        <v>770</v>
      </c>
      <c r="F40" s="365" t="s">
        <v>771</v>
      </c>
      <c r="G40" s="366" t="s">
        <v>772</v>
      </c>
      <c r="H40" s="364" t="s">
        <v>770</v>
      </c>
      <c r="I40" s="365" t="s">
        <v>771</v>
      </c>
      <c r="J40" s="366" t="s">
        <v>772</v>
      </c>
      <c r="K40" s="364" t="s">
        <v>770</v>
      </c>
      <c r="L40" s="365" t="s">
        <v>771</v>
      </c>
      <c r="M40" s="366" t="s">
        <v>772</v>
      </c>
      <c r="N40" s="364" t="s">
        <v>770</v>
      </c>
      <c r="O40" s="365" t="s">
        <v>771</v>
      </c>
      <c r="P40" s="366" t="s">
        <v>772</v>
      </c>
    </row>
    <row r="41" spans="1:16">
      <c r="A41" s="367" t="s">
        <v>773</v>
      </c>
      <c r="B41" s="368">
        <v>0.03</v>
      </c>
      <c r="C41" s="369">
        <v>0.04</v>
      </c>
      <c r="D41" s="370">
        <v>5.5E-2</v>
      </c>
      <c r="E41" s="368">
        <v>9.7000000000000003E-3</v>
      </c>
      <c r="F41" s="369">
        <v>1.2699999999999999E-2</v>
      </c>
      <c r="G41" s="370">
        <v>1.2699999999999999E-2</v>
      </c>
      <c r="H41" s="368">
        <v>8.0000000000000002E-3</v>
      </c>
      <c r="I41" s="369">
        <v>8.0000000000000002E-3</v>
      </c>
      <c r="J41" s="370">
        <v>0.01</v>
      </c>
      <c r="K41" s="368">
        <v>5.8999999999999999E-3</v>
      </c>
      <c r="L41" s="369">
        <v>1.23E-2</v>
      </c>
      <c r="M41" s="370">
        <v>1.3899999999999999E-2</v>
      </c>
      <c r="N41" s="368">
        <v>6.1600000000000002E-2</v>
      </c>
      <c r="O41" s="369">
        <v>7.3999999999999996E-2</v>
      </c>
      <c r="P41" s="370">
        <v>8.9599999999999999E-2</v>
      </c>
    </row>
    <row r="42" spans="1:16">
      <c r="A42" s="371" t="s">
        <v>774</v>
      </c>
      <c r="B42" s="372">
        <v>3.7999999999999999E-2</v>
      </c>
      <c r="C42" s="373">
        <v>4.0099999999999997E-2</v>
      </c>
      <c r="D42" s="374">
        <v>4.6699999999999998E-2</v>
      </c>
      <c r="E42" s="372">
        <v>5.0000000000000001E-3</v>
      </c>
      <c r="F42" s="373">
        <v>5.5999999999999999E-3</v>
      </c>
      <c r="G42" s="374">
        <v>9.7000000000000003E-3</v>
      </c>
      <c r="H42" s="372">
        <v>3.2000000000000002E-3</v>
      </c>
      <c r="I42" s="373">
        <v>4.0000000000000001E-3</v>
      </c>
      <c r="J42" s="374">
        <v>7.4000000000000003E-3</v>
      </c>
      <c r="K42" s="372">
        <v>1.0200000000000001E-2</v>
      </c>
      <c r="L42" s="373">
        <v>1.11E-2</v>
      </c>
      <c r="M42" s="374">
        <v>1.21E-2</v>
      </c>
      <c r="N42" s="372">
        <v>6.6400000000000001E-2</v>
      </c>
      <c r="O42" s="373">
        <v>7.2999999999999995E-2</v>
      </c>
      <c r="P42" s="374">
        <v>8.6900000000000005E-2</v>
      </c>
    </row>
    <row r="43" spans="1:16" ht="38.25">
      <c r="A43" s="371" t="s">
        <v>775</v>
      </c>
      <c r="B43" s="372">
        <v>3.4299999999999997E-2</v>
      </c>
      <c r="C43" s="373">
        <v>4.9299999999999997E-2</v>
      </c>
      <c r="D43" s="374">
        <v>6.7100000000000007E-2</v>
      </c>
      <c r="E43" s="372">
        <v>0.01</v>
      </c>
      <c r="F43" s="373">
        <v>1.3899999999999999E-2</v>
      </c>
      <c r="G43" s="374">
        <v>1.7399999999999999E-2</v>
      </c>
      <c r="H43" s="372">
        <v>2.8E-3</v>
      </c>
      <c r="I43" s="373">
        <v>4.8999999999999998E-3</v>
      </c>
      <c r="J43" s="374">
        <v>7.4999999999999997E-3</v>
      </c>
      <c r="K43" s="372">
        <v>9.4000000000000004E-3</v>
      </c>
      <c r="L43" s="373">
        <v>9.9000000000000008E-3</v>
      </c>
      <c r="M43" s="374">
        <v>1.17E-2</v>
      </c>
      <c r="N43" s="372">
        <v>6.7400000000000002E-2</v>
      </c>
      <c r="O43" s="373">
        <v>8.0399999999999999E-2</v>
      </c>
      <c r="P43" s="374">
        <v>9.4E-2</v>
      </c>
    </row>
    <row r="44" spans="1:16" ht="38.25">
      <c r="A44" s="371" t="s">
        <v>776</v>
      </c>
      <c r="B44" s="372">
        <v>5.2900000000000003E-2</v>
      </c>
      <c r="C44" s="373">
        <v>5.9200000000000003E-2</v>
      </c>
      <c r="D44" s="374">
        <v>7.9299999999999995E-2</v>
      </c>
      <c r="E44" s="372">
        <v>0.01</v>
      </c>
      <c r="F44" s="373">
        <v>1.4800000000000001E-2</v>
      </c>
      <c r="G44" s="374">
        <v>1.9699999999999999E-2</v>
      </c>
      <c r="H44" s="372">
        <v>2.5000000000000001E-3</v>
      </c>
      <c r="I44" s="373">
        <v>5.1000000000000004E-3</v>
      </c>
      <c r="J44" s="374">
        <v>5.5999999999999999E-3</v>
      </c>
      <c r="K44" s="372">
        <v>1.01E-2</v>
      </c>
      <c r="L44" s="373">
        <v>1.0699999999999999E-2</v>
      </c>
      <c r="M44" s="374">
        <v>1.11E-2</v>
      </c>
      <c r="N44" s="372">
        <v>0.08</v>
      </c>
      <c r="O44" s="373">
        <v>8.3099999999999993E-2</v>
      </c>
      <c r="P44" s="374">
        <v>9.5100000000000004E-2</v>
      </c>
    </row>
    <row r="45" spans="1:16" ht="13.5" thickBot="1">
      <c r="A45" s="375" t="s">
        <v>777</v>
      </c>
      <c r="B45" s="376">
        <v>0.04</v>
      </c>
      <c r="C45" s="377">
        <v>5.5199999999999999E-2</v>
      </c>
      <c r="D45" s="378">
        <v>7.85E-2</v>
      </c>
      <c r="E45" s="376">
        <v>1.46E-2</v>
      </c>
      <c r="F45" s="377">
        <v>2.3199999999999998E-2</v>
      </c>
      <c r="G45" s="378">
        <v>3.1600000000000003E-2</v>
      </c>
      <c r="H45" s="376">
        <v>8.0999999999999996E-3</v>
      </c>
      <c r="I45" s="377">
        <v>1.2200000000000001E-2</v>
      </c>
      <c r="J45" s="378">
        <v>1.9900000000000001E-2</v>
      </c>
      <c r="K45" s="376">
        <v>9.4000000000000004E-3</v>
      </c>
      <c r="L45" s="377">
        <v>1.0200000000000001E-2</v>
      </c>
      <c r="M45" s="378">
        <v>1.3299999999999999E-2</v>
      </c>
      <c r="N45" s="376">
        <v>7.1400000000000005E-2</v>
      </c>
      <c r="O45" s="377">
        <v>8.4000000000000005E-2</v>
      </c>
      <c r="P45" s="378">
        <v>0.1043</v>
      </c>
    </row>
    <row r="46" spans="1:16">
      <c r="A46" s="362"/>
      <c r="B46" s="362"/>
      <c r="C46" s="362"/>
      <c r="D46" s="326"/>
      <c r="E46" s="326"/>
      <c r="F46" s="326"/>
      <c r="G46" s="326"/>
      <c r="H46" s="326"/>
    </row>
    <row r="47" spans="1:16" ht="13.5" thickBot="1">
      <c r="A47" s="362"/>
      <c r="B47" s="362"/>
      <c r="C47" s="362"/>
      <c r="D47" s="326"/>
      <c r="E47" s="326"/>
      <c r="F47" s="326"/>
      <c r="G47" s="326"/>
      <c r="H47" s="326"/>
    </row>
    <row r="48" spans="1:16" ht="13.5" thickBot="1">
      <c r="A48" s="1544" t="s">
        <v>782</v>
      </c>
      <c r="B48" s="1551"/>
      <c r="C48" s="1551"/>
      <c r="D48" s="1552"/>
      <c r="E48" s="326"/>
      <c r="F48" s="326"/>
      <c r="G48" s="326"/>
    </row>
    <row r="49" spans="1:36" ht="13.5" thickBot="1">
      <c r="A49" s="383" t="s">
        <v>783</v>
      </c>
      <c r="B49" s="384" t="s">
        <v>770</v>
      </c>
      <c r="C49" s="385" t="s">
        <v>771</v>
      </c>
      <c r="D49" s="386" t="s">
        <v>772</v>
      </c>
      <c r="E49" s="326"/>
      <c r="F49" s="326"/>
      <c r="G49" s="326"/>
    </row>
    <row r="50" spans="1:36">
      <c r="A50" s="367" t="s">
        <v>744</v>
      </c>
      <c r="B50" s="368">
        <v>1.4999999999999999E-2</v>
      </c>
      <c r="C50" s="369">
        <v>3.4500000000000003E-2</v>
      </c>
      <c r="D50" s="370">
        <v>4.4900000000000002E-2</v>
      </c>
      <c r="E50" s="326"/>
      <c r="F50" s="326"/>
      <c r="G50" s="326"/>
    </row>
    <row r="51" spans="1:36">
      <c r="A51" s="371" t="s">
        <v>780</v>
      </c>
      <c r="B51" s="372">
        <v>3.0000000000000001E-3</v>
      </c>
      <c r="C51" s="373">
        <v>4.7999999999999996E-3</v>
      </c>
      <c r="D51" s="374">
        <v>8.2000000000000007E-3</v>
      </c>
      <c r="E51" s="326"/>
      <c r="F51" s="326"/>
      <c r="G51" s="326"/>
    </row>
    <row r="52" spans="1:36">
      <c r="A52" s="371" t="s">
        <v>779</v>
      </c>
      <c r="B52" s="372">
        <v>5.5999999999999999E-3</v>
      </c>
      <c r="C52" s="373">
        <v>8.5000000000000006E-3</v>
      </c>
      <c r="D52" s="374">
        <v>8.8999999999999999E-3</v>
      </c>
      <c r="E52" s="326"/>
      <c r="F52" s="326"/>
      <c r="G52" s="326"/>
    </row>
    <row r="53" spans="1:36">
      <c r="A53" s="371" t="s">
        <v>781</v>
      </c>
      <c r="B53" s="372">
        <v>8.5000000000000006E-3</v>
      </c>
      <c r="C53" s="373">
        <v>8.5000000000000006E-3</v>
      </c>
      <c r="D53" s="374">
        <v>1.11E-2</v>
      </c>
      <c r="E53" s="326"/>
      <c r="F53" s="326"/>
      <c r="G53" s="326"/>
    </row>
    <row r="54" spans="1:36" ht="13.5" thickBot="1">
      <c r="A54" s="375" t="s">
        <v>469</v>
      </c>
      <c r="B54" s="376">
        <v>3.5000000000000003E-2</v>
      </c>
      <c r="C54" s="377">
        <v>5.11E-2</v>
      </c>
      <c r="D54" s="378">
        <v>6.2199999999999998E-2</v>
      </c>
      <c r="E54" s="326"/>
      <c r="F54" s="326"/>
      <c r="G54" s="326"/>
    </row>
    <row r="55" spans="1:36">
      <c r="A55" s="362"/>
      <c r="B55" s="362"/>
      <c r="C55" s="387"/>
      <c r="D55" s="326"/>
      <c r="E55" s="388"/>
      <c r="F55" s="326"/>
      <c r="G55" s="326"/>
      <c r="H55" s="326"/>
    </row>
    <row r="56" spans="1:36" ht="13.5" thickBot="1">
      <c r="A56" s="362"/>
      <c r="B56" s="362"/>
      <c r="C56" s="362"/>
      <c r="D56" s="326"/>
      <c r="E56" s="326"/>
      <c r="F56" s="326"/>
      <c r="G56" s="326"/>
      <c r="H56" s="326"/>
    </row>
    <row r="57" spans="1:36" ht="13.5" thickBot="1">
      <c r="A57" s="1544" t="s">
        <v>784</v>
      </c>
      <c r="B57" s="1551"/>
      <c r="C57" s="1551"/>
      <c r="D57" s="1552"/>
      <c r="E57" s="326"/>
      <c r="F57" s="326"/>
      <c r="G57" s="326"/>
      <c r="H57" s="326"/>
    </row>
    <row r="58" spans="1:36" ht="13.5" thickBot="1">
      <c r="A58" s="389" t="s">
        <v>769</v>
      </c>
      <c r="B58" s="364" t="s">
        <v>770</v>
      </c>
      <c r="C58" s="365" t="s">
        <v>771</v>
      </c>
      <c r="D58" s="366" t="s">
        <v>772</v>
      </c>
      <c r="E58" s="326"/>
      <c r="F58" s="326"/>
      <c r="G58" s="326"/>
      <c r="H58" s="326"/>
    </row>
    <row r="59" spans="1:36">
      <c r="A59" s="367" t="s">
        <v>773</v>
      </c>
      <c r="B59" s="368">
        <v>3.49E-2</v>
      </c>
      <c r="C59" s="369">
        <v>6.2300000000000001E-2</v>
      </c>
      <c r="D59" s="370">
        <v>8.8700000000000001E-2</v>
      </c>
      <c r="E59" s="326"/>
      <c r="F59" s="326"/>
      <c r="G59" s="326"/>
      <c r="H59" s="326"/>
    </row>
    <row r="60" spans="1:36">
      <c r="A60" s="371" t="s">
        <v>774</v>
      </c>
      <c r="B60" s="372">
        <v>1.9800000000000002E-2</v>
      </c>
      <c r="C60" s="373">
        <v>6.9900000000000004E-2</v>
      </c>
      <c r="D60" s="374">
        <v>0.10680000000000001</v>
      </c>
      <c r="E60" s="326"/>
      <c r="F60" s="326"/>
      <c r="G60" s="326"/>
      <c r="H60" s="326"/>
    </row>
    <row r="61" spans="1:36" ht="38.25">
      <c r="A61" s="371" t="s">
        <v>775</v>
      </c>
      <c r="B61" s="372">
        <v>4.1300000000000003E-2</v>
      </c>
      <c r="C61" s="373">
        <v>7.6399999999999996E-2</v>
      </c>
      <c r="D61" s="374">
        <v>0.1089</v>
      </c>
      <c r="E61" s="326"/>
      <c r="F61" s="326"/>
      <c r="G61" s="326"/>
      <c r="H61" s="326"/>
    </row>
    <row r="62" spans="1:36" ht="25.5">
      <c r="A62" s="371" t="s">
        <v>776</v>
      </c>
      <c r="B62" s="372">
        <v>1.8499999999999999E-2</v>
      </c>
      <c r="C62" s="373">
        <v>5.0500000000000003E-2</v>
      </c>
      <c r="D62" s="374">
        <v>7.4499999999999997E-2</v>
      </c>
      <c r="E62" s="326"/>
      <c r="F62" s="326"/>
      <c r="G62" s="326"/>
      <c r="H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  <c r="AD62" s="326"/>
      <c r="AE62" s="326"/>
      <c r="AF62" s="326"/>
      <c r="AG62" s="326"/>
      <c r="AH62" s="326"/>
      <c r="AI62" s="326"/>
      <c r="AJ62" s="326"/>
    </row>
    <row r="63" spans="1:36" ht="13.5" thickBot="1">
      <c r="A63" s="375" t="s">
        <v>777</v>
      </c>
      <c r="B63" s="376">
        <v>6.2300000000000001E-2</v>
      </c>
      <c r="C63" s="377">
        <v>7.4800000000000005E-2</v>
      </c>
      <c r="D63" s="378">
        <v>9.0899999999999995E-2</v>
      </c>
      <c r="E63" s="326"/>
      <c r="F63" s="326"/>
      <c r="G63" s="326"/>
      <c r="H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  <c r="AG63" s="326"/>
      <c r="AH63" s="326"/>
      <c r="AI63" s="326"/>
      <c r="AJ63" s="326"/>
    </row>
    <row r="64" spans="1:36">
      <c r="A64" s="362"/>
      <c r="B64" s="362"/>
      <c r="C64" s="362"/>
      <c r="D64" s="326"/>
      <c r="E64" s="326"/>
      <c r="F64" s="326"/>
      <c r="G64" s="326"/>
      <c r="H64" s="326"/>
    </row>
    <row r="65" spans="1:36">
      <c r="A65" s="1541" t="s">
        <v>785</v>
      </c>
      <c r="B65" s="1542"/>
      <c r="C65" s="1542"/>
      <c r="D65" s="1543"/>
      <c r="E65" s="326"/>
      <c r="F65" s="326"/>
      <c r="G65" s="326"/>
      <c r="H65" s="326"/>
      <c r="Q65" s="326"/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  <c r="AG65" s="326"/>
      <c r="AH65" s="326"/>
      <c r="AI65" s="326"/>
      <c r="AJ65" s="326"/>
    </row>
    <row r="66" spans="1:36">
      <c r="A66" s="362"/>
      <c r="B66" s="362"/>
      <c r="C66" s="362"/>
      <c r="D66" s="326"/>
      <c r="E66" s="326"/>
      <c r="F66" s="326"/>
      <c r="G66" s="326"/>
      <c r="H66" s="326"/>
    </row>
    <row r="67" spans="1:36">
      <c r="A67" s="362"/>
      <c r="B67" s="362"/>
      <c r="C67" s="362"/>
      <c r="D67" s="326"/>
      <c r="E67" s="326"/>
      <c r="F67" s="326"/>
      <c r="G67" s="326"/>
      <c r="H67" s="326"/>
    </row>
    <row r="68" spans="1:36">
      <c r="A68" s="362"/>
      <c r="B68" s="362"/>
      <c r="C68" s="362"/>
      <c r="D68" s="326"/>
      <c r="E68" s="326"/>
      <c r="F68" s="326"/>
      <c r="G68" s="326"/>
      <c r="H68" s="326"/>
    </row>
    <row r="69" spans="1:36">
      <c r="A69" s="362"/>
      <c r="B69" s="362"/>
      <c r="C69" s="362"/>
      <c r="D69" s="326"/>
      <c r="E69" s="326"/>
      <c r="F69" s="326"/>
      <c r="G69" s="326"/>
      <c r="H69" s="326"/>
    </row>
    <row r="70" spans="1:36">
      <c r="A70" s="362"/>
      <c r="B70" s="362"/>
      <c r="C70" s="362"/>
      <c r="D70" s="326"/>
      <c r="E70" s="326"/>
      <c r="F70" s="326"/>
      <c r="G70" s="326"/>
      <c r="H70" s="326"/>
    </row>
    <row r="71" spans="1:36">
      <c r="A71" s="362"/>
      <c r="B71" s="362"/>
      <c r="C71" s="362"/>
      <c r="D71" s="326"/>
      <c r="E71" s="326"/>
      <c r="F71" s="326"/>
      <c r="G71" s="326"/>
      <c r="H71" s="326"/>
    </row>
    <row r="72" spans="1:36">
      <c r="A72" s="362"/>
      <c r="B72" s="362"/>
      <c r="C72" s="362"/>
      <c r="D72" s="326"/>
      <c r="E72" s="326"/>
      <c r="F72" s="326"/>
      <c r="G72" s="326"/>
      <c r="H72" s="326"/>
    </row>
    <row r="73" spans="1:36">
      <c r="A73" s="362"/>
      <c r="B73" s="362"/>
      <c r="C73" s="362"/>
      <c r="D73" s="326"/>
      <c r="E73" s="326"/>
      <c r="F73" s="326"/>
      <c r="G73" s="326"/>
      <c r="H73" s="326"/>
    </row>
    <row r="74" spans="1:36">
      <c r="A74" s="362"/>
      <c r="B74" s="362"/>
      <c r="C74" s="362"/>
      <c r="D74" s="326"/>
      <c r="E74" s="326"/>
      <c r="F74" s="326"/>
      <c r="G74" s="326"/>
      <c r="H74" s="326"/>
    </row>
    <row r="75" spans="1:36">
      <c r="A75" s="362"/>
      <c r="B75" s="362"/>
      <c r="C75" s="362"/>
      <c r="D75" s="326"/>
      <c r="E75" s="326"/>
      <c r="F75" s="326"/>
      <c r="G75" s="326"/>
      <c r="H75" s="326"/>
    </row>
    <row r="76" spans="1:36">
      <c r="A76" s="362"/>
      <c r="B76" s="362"/>
      <c r="C76" s="362"/>
      <c r="D76" s="326"/>
      <c r="E76" s="326"/>
      <c r="F76" s="326"/>
      <c r="G76" s="326"/>
      <c r="H76" s="326"/>
    </row>
    <row r="77" spans="1:36">
      <c r="A77" s="362"/>
      <c r="B77" s="362"/>
      <c r="C77" s="362"/>
      <c r="D77" s="326"/>
      <c r="E77" s="326"/>
      <c r="F77" s="326"/>
      <c r="G77" s="326"/>
      <c r="H77" s="326"/>
    </row>
    <row r="78" spans="1:36">
      <c r="A78" s="362"/>
      <c r="B78" s="362"/>
      <c r="C78" s="362"/>
      <c r="D78" s="326"/>
      <c r="E78" s="326"/>
      <c r="F78" s="326"/>
      <c r="G78" s="326"/>
      <c r="H78" s="326"/>
    </row>
    <row r="79" spans="1:36">
      <c r="A79" s="362"/>
      <c r="B79" s="362"/>
      <c r="C79" s="362"/>
      <c r="D79" s="326"/>
      <c r="E79" s="326"/>
      <c r="F79" s="326"/>
      <c r="G79" s="326"/>
      <c r="H79" s="326"/>
    </row>
    <row r="80" spans="1:36">
      <c r="A80" s="362"/>
      <c r="B80" s="362"/>
      <c r="C80" s="362"/>
      <c r="D80" s="326"/>
      <c r="E80" s="326"/>
      <c r="F80" s="326"/>
      <c r="G80" s="326"/>
      <c r="H80" s="326"/>
    </row>
    <row r="81" spans="1:8">
      <c r="A81" s="362"/>
      <c r="B81" s="362"/>
      <c r="C81" s="362"/>
      <c r="D81" s="326"/>
      <c r="E81" s="326"/>
      <c r="F81" s="326"/>
      <c r="G81" s="326"/>
      <c r="H81" s="326"/>
    </row>
    <row r="82" spans="1:8">
      <c r="A82" s="362"/>
      <c r="B82" s="362"/>
      <c r="C82" s="362"/>
      <c r="D82" s="326"/>
      <c r="E82" s="326"/>
      <c r="F82" s="326"/>
      <c r="G82" s="326"/>
      <c r="H82" s="326"/>
    </row>
    <row r="83" spans="1:8">
      <c r="A83" s="362"/>
      <c r="B83" s="362"/>
      <c r="C83" s="362"/>
      <c r="D83" s="326"/>
      <c r="E83" s="326"/>
      <c r="F83" s="326"/>
      <c r="G83" s="326"/>
      <c r="H83" s="326"/>
    </row>
    <row r="84" spans="1:8">
      <c r="A84" s="362"/>
      <c r="B84" s="362"/>
      <c r="C84" s="362"/>
      <c r="D84" s="326"/>
      <c r="E84" s="326"/>
      <c r="F84" s="326"/>
      <c r="G84" s="326"/>
      <c r="H84" s="326"/>
    </row>
    <row r="85" spans="1:8">
      <c r="A85" s="362"/>
      <c r="B85" s="362"/>
      <c r="C85" s="362"/>
      <c r="D85" s="326"/>
      <c r="E85" s="326"/>
      <c r="F85" s="326"/>
      <c r="G85" s="326"/>
      <c r="H85" s="326"/>
    </row>
    <row r="86" spans="1:8">
      <c r="A86" s="362"/>
      <c r="B86" s="362"/>
      <c r="C86" s="362"/>
      <c r="D86" s="326"/>
      <c r="E86" s="326"/>
      <c r="F86" s="326"/>
      <c r="G86" s="326"/>
      <c r="H86" s="326"/>
    </row>
    <row r="87" spans="1:8">
      <c r="A87" s="362"/>
      <c r="B87" s="362"/>
      <c r="C87" s="362"/>
      <c r="D87" s="326"/>
      <c r="E87" s="326"/>
      <c r="F87" s="326"/>
      <c r="G87" s="326"/>
      <c r="H87" s="326"/>
    </row>
    <row r="88" spans="1:8">
      <c r="A88" s="362"/>
      <c r="B88" s="362"/>
      <c r="C88" s="362"/>
      <c r="D88" s="326"/>
      <c r="E88" s="326"/>
      <c r="F88" s="326"/>
      <c r="G88" s="326"/>
      <c r="H88" s="326"/>
    </row>
    <row r="89" spans="1:8">
      <c r="A89" s="362"/>
      <c r="B89" s="362"/>
      <c r="C89" s="362"/>
      <c r="D89" s="326"/>
      <c r="E89" s="326"/>
      <c r="F89" s="326"/>
      <c r="G89" s="326"/>
      <c r="H89" s="326"/>
    </row>
    <row r="90" spans="1:8">
      <c r="A90" s="362"/>
      <c r="B90" s="362"/>
      <c r="C90" s="362"/>
      <c r="D90" s="326"/>
      <c r="E90" s="326"/>
      <c r="F90" s="326"/>
      <c r="G90" s="326"/>
      <c r="H90" s="326"/>
    </row>
    <row r="91" spans="1:8">
      <c r="A91" s="362"/>
      <c r="B91" s="362"/>
      <c r="C91" s="362"/>
      <c r="D91" s="326"/>
      <c r="E91" s="326"/>
      <c r="F91" s="326"/>
      <c r="G91" s="326"/>
      <c r="H91" s="326"/>
    </row>
    <row r="92" spans="1:8">
      <c r="A92" s="362"/>
      <c r="B92" s="362"/>
      <c r="C92" s="362"/>
      <c r="D92" s="326"/>
      <c r="E92" s="326"/>
      <c r="F92" s="326"/>
      <c r="G92" s="326"/>
      <c r="H92" s="326"/>
    </row>
    <row r="93" spans="1:8">
      <c r="A93" s="362"/>
      <c r="B93" s="362"/>
      <c r="C93" s="362"/>
      <c r="D93" s="326"/>
      <c r="E93" s="326"/>
      <c r="F93" s="326"/>
      <c r="G93" s="326"/>
      <c r="H93" s="326"/>
    </row>
    <row r="94" spans="1:8">
      <c r="A94" s="362"/>
      <c r="B94" s="362"/>
      <c r="C94" s="362"/>
      <c r="D94" s="326"/>
      <c r="E94" s="326"/>
      <c r="F94" s="326"/>
      <c r="G94" s="326"/>
      <c r="H94" s="326"/>
    </row>
    <row r="95" spans="1:8">
      <c r="A95" s="362"/>
      <c r="B95" s="362"/>
      <c r="C95" s="362"/>
      <c r="D95" s="326"/>
      <c r="E95" s="326"/>
      <c r="F95" s="326"/>
      <c r="G95" s="326"/>
      <c r="H95" s="326"/>
    </row>
    <row r="96" spans="1:8">
      <c r="A96" s="362"/>
      <c r="B96" s="362"/>
      <c r="C96" s="362"/>
      <c r="D96" s="326"/>
      <c r="E96" s="326"/>
      <c r="F96" s="326"/>
      <c r="G96" s="326"/>
      <c r="H96" s="326"/>
    </row>
    <row r="97" spans="1:8">
      <c r="A97" s="362"/>
      <c r="B97" s="362"/>
      <c r="C97" s="362"/>
      <c r="D97" s="326"/>
      <c r="E97" s="326"/>
      <c r="F97" s="326"/>
      <c r="G97" s="326"/>
      <c r="H97" s="326"/>
    </row>
    <row r="98" spans="1:8">
      <c r="A98" s="362"/>
      <c r="B98" s="362"/>
      <c r="C98" s="362"/>
      <c r="D98" s="326"/>
      <c r="E98" s="326"/>
      <c r="F98" s="326"/>
      <c r="G98" s="326"/>
      <c r="H98" s="326"/>
    </row>
    <row r="99" spans="1:8">
      <c r="A99" s="362"/>
      <c r="B99" s="362"/>
      <c r="C99" s="362"/>
      <c r="D99" s="326"/>
      <c r="E99" s="326"/>
      <c r="F99" s="326"/>
      <c r="G99" s="326"/>
      <c r="H99" s="326"/>
    </row>
    <row r="100" spans="1:8">
      <c r="A100" s="362"/>
      <c r="B100" s="362"/>
      <c r="C100" s="362"/>
      <c r="D100" s="326"/>
      <c r="E100" s="326"/>
      <c r="F100" s="326"/>
      <c r="G100" s="326"/>
      <c r="H100" s="326"/>
    </row>
    <row r="101" spans="1:8">
      <c r="A101" s="362"/>
      <c r="B101" s="362"/>
      <c r="C101" s="362"/>
      <c r="D101" s="326"/>
      <c r="E101" s="326"/>
      <c r="F101" s="326"/>
      <c r="G101" s="326"/>
      <c r="H101" s="326"/>
    </row>
    <row r="102" spans="1:8">
      <c r="A102" s="362"/>
      <c r="B102" s="362"/>
      <c r="C102" s="362"/>
      <c r="D102" s="326"/>
      <c r="E102" s="326"/>
      <c r="F102" s="326"/>
      <c r="G102" s="326"/>
      <c r="H102" s="326"/>
    </row>
    <row r="103" spans="1:8">
      <c r="A103" s="362"/>
      <c r="B103" s="362"/>
      <c r="C103" s="362"/>
      <c r="D103" s="326"/>
      <c r="E103" s="326"/>
      <c r="F103" s="326"/>
      <c r="G103" s="326"/>
      <c r="H103" s="326"/>
    </row>
    <row r="104" spans="1:8">
      <c r="A104" s="362"/>
      <c r="B104" s="362"/>
      <c r="C104" s="362"/>
      <c r="D104" s="326"/>
      <c r="E104" s="326"/>
      <c r="F104" s="326"/>
      <c r="G104" s="326"/>
      <c r="H104" s="326"/>
    </row>
    <row r="105" spans="1:8">
      <c r="A105" s="362"/>
      <c r="B105" s="362"/>
      <c r="C105" s="362"/>
      <c r="D105" s="326"/>
      <c r="E105" s="326"/>
      <c r="F105" s="326"/>
      <c r="G105" s="326"/>
      <c r="H105" s="326"/>
    </row>
    <row r="106" spans="1:8">
      <c r="A106" s="362"/>
      <c r="B106" s="362"/>
      <c r="C106" s="362"/>
      <c r="D106" s="326"/>
      <c r="E106" s="326"/>
      <c r="F106" s="326"/>
      <c r="G106" s="326"/>
      <c r="H106" s="326"/>
    </row>
    <row r="107" spans="1:8">
      <c r="A107" s="362"/>
      <c r="B107" s="362"/>
      <c r="C107" s="362"/>
      <c r="D107" s="326"/>
      <c r="E107" s="326"/>
      <c r="F107" s="326"/>
      <c r="G107" s="326"/>
      <c r="H107" s="326"/>
    </row>
    <row r="108" spans="1:8">
      <c r="A108" s="362"/>
      <c r="B108" s="362"/>
      <c r="C108" s="362"/>
      <c r="D108" s="326"/>
      <c r="E108" s="326"/>
      <c r="F108" s="326"/>
      <c r="G108" s="326"/>
      <c r="H108" s="326"/>
    </row>
    <row r="109" spans="1:8">
      <c r="A109" s="362"/>
      <c r="B109" s="362"/>
      <c r="C109" s="362"/>
      <c r="D109" s="326"/>
      <c r="E109" s="326"/>
      <c r="F109" s="326"/>
      <c r="G109" s="326"/>
      <c r="H109" s="326"/>
    </row>
    <row r="110" spans="1:8">
      <c r="A110" s="362"/>
      <c r="B110" s="362"/>
      <c r="C110" s="362"/>
      <c r="D110" s="326"/>
      <c r="E110" s="326"/>
      <c r="F110" s="326"/>
      <c r="G110" s="326"/>
      <c r="H110" s="326"/>
    </row>
    <row r="111" spans="1:8">
      <c r="A111" s="362"/>
      <c r="B111" s="362"/>
      <c r="C111" s="362"/>
      <c r="D111" s="326"/>
      <c r="E111" s="326"/>
      <c r="F111" s="326"/>
      <c r="G111" s="326"/>
      <c r="H111" s="326"/>
    </row>
    <row r="112" spans="1:8">
      <c r="A112" s="362"/>
      <c r="B112" s="362"/>
      <c r="C112" s="362"/>
      <c r="D112" s="326"/>
      <c r="E112" s="326"/>
      <c r="F112" s="326"/>
      <c r="G112" s="326"/>
      <c r="H112" s="326"/>
    </row>
    <row r="113" spans="1:8">
      <c r="A113" s="362"/>
      <c r="B113" s="362"/>
      <c r="C113" s="362"/>
      <c r="D113" s="326"/>
      <c r="E113" s="326"/>
      <c r="F113" s="326"/>
      <c r="G113" s="326"/>
      <c r="H113" s="326"/>
    </row>
    <row r="114" spans="1:8">
      <c r="A114" s="362"/>
      <c r="B114" s="362"/>
      <c r="C114" s="362"/>
      <c r="D114" s="326"/>
      <c r="E114" s="326"/>
      <c r="F114" s="326"/>
      <c r="G114" s="326"/>
      <c r="H114" s="326"/>
    </row>
    <row r="115" spans="1:8">
      <c r="A115" s="362"/>
      <c r="B115" s="362"/>
      <c r="C115" s="362"/>
      <c r="D115" s="326"/>
      <c r="E115" s="326"/>
      <c r="F115" s="326"/>
      <c r="G115" s="326"/>
      <c r="H115" s="326"/>
    </row>
    <row r="116" spans="1:8">
      <c r="A116" s="362"/>
      <c r="B116" s="362"/>
      <c r="C116" s="362"/>
      <c r="D116" s="326"/>
      <c r="E116" s="326"/>
      <c r="F116" s="326"/>
      <c r="G116" s="326"/>
      <c r="H116" s="326"/>
    </row>
    <row r="117" spans="1:8">
      <c r="A117" s="362"/>
      <c r="B117" s="362"/>
      <c r="C117" s="362"/>
      <c r="D117" s="326"/>
      <c r="E117" s="326"/>
      <c r="F117" s="326"/>
      <c r="G117" s="326"/>
      <c r="H117" s="326"/>
    </row>
    <row r="118" spans="1:8">
      <c r="A118" s="362"/>
      <c r="B118" s="362"/>
      <c r="C118" s="362"/>
      <c r="D118" s="326"/>
      <c r="E118" s="326"/>
      <c r="F118" s="326"/>
      <c r="G118" s="326"/>
      <c r="H118" s="326"/>
    </row>
    <row r="119" spans="1:8">
      <c r="A119" s="362"/>
      <c r="B119" s="362"/>
      <c r="C119" s="362"/>
      <c r="D119" s="326"/>
      <c r="E119" s="326"/>
      <c r="F119" s="326"/>
      <c r="G119" s="326"/>
      <c r="H119" s="326"/>
    </row>
    <row r="120" spans="1:8">
      <c r="A120" s="362"/>
      <c r="B120" s="362"/>
      <c r="C120" s="362"/>
      <c r="D120" s="326"/>
      <c r="E120" s="326"/>
      <c r="F120" s="326"/>
      <c r="G120" s="326"/>
      <c r="H120" s="326"/>
    </row>
    <row r="121" spans="1:8">
      <c r="A121" s="362"/>
      <c r="B121" s="362"/>
      <c r="C121" s="362"/>
      <c r="D121" s="326"/>
      <c r="E121" s="326"/>
      <c r="F121" s="326"/>
      <c r="G121" s="326"/>
      <c r="H121" s="326"/>
    </row>
    <row r="122" spans="1:8">
      <c r="A122" s="362"/>
      <c r="B122" s="362"/>
      <c r="C122" s="362"/>
      <c r="D122" s="326"/>
      <c r="E122" s="326"/>
      <c r="F122" s="326"/>
      <c r="G122" s="326"/>
      <c r="H122" s="326"/>
    </row>
    <row r="123" spans="1:8">
      <c r="A123" s="362"/>
      <c r="B123" s="362"/>
      <c r="C123" s="362"/>
      <c r="D123" s="326"/>
      <c r="E123" s="326"/>
      <c r="F123" s="326"/>
      <c r="G123" s="326"/>
      <c r="H123" s="326"/>
    </row>
    <row r="124" spans="1:8">
      <c r="A124" s="362"/>
      <c r="B124" s="362"/>
      <c r="C124" s="362"/>
      <c r="D124" s="326"/>
      <c r="E124" s="326"/>
      <c r="F124" s="326"/>
      <c r="G124" s="326"/>
      <c r="H124" s="326"/>
    </row>
    <row r="125" spans="1:8">
      <c r="A125" s="362"/>
      <c r="B125" s="362"/>
      <c r="C125" s="362"/>
      <c r="D125" s="326"/>
      <c r="E125" s="326"/>
      <c r="F125" s="326"/>
      <c r="G125" s="326"/>
      <c r="H125" s="326"/>
    </row>
    <row r="126" spans="1:8">
      <c r="A126" s="362"/>
      <c r="B126" s="362"/>
      <c r="C126" s="362"/>
      <c r="D126" s="326"/>
      <c r="E126" s="326"/>
      <c r="F126" s="326"/>
      <c r="G126" s="326"/>
      <c r="H126" s="326"/>
    </row>
    <row r="127" spans="1:8">
      <c r="A127" s="362"/>
      <c r="B127" s="362"/>
      <c r="C127" s="362"/>
      <c r="D127" s="326"/>
      <c r="E127" s="326"/>
      <c r="F127" s="326"/>
      <c r="G127" s="326"/>
      <c r="H127" s="326"/>
    </row>
    <row r="128" spans="1:8">
      <c r="A128" s="362"/>
      <c r="B128" s="362"/>
      <c r="C128" s="362"/>
      <c r="D128" s="326"/>
      <c r="E128" s="326"/>
      <c r="F128" s="326"/>
      <c r="G128" s="326"/>
      <c r="H128" s="326"/>
    </row>
    <row r="129" spans="1:8">
      <c r="A129" s="362"/>
      <c r="B129" s="362"/>
      <c r="C129" s="362"/>
      <c r="D129" s="326"/>
      <c r="E129" s="326"/>
      <c r="F129" s="326"/>
      <c r="G129" s="326"/>
      <c r="H129" s="326"/>
    </row>
    <row r="130" spans="1:8">
      <c r="A130" s="362"/>
      <c r="B130" s="362"/>
      <c r="C130" s="362"/>
      <c r="D130" s="326"/>
      <c r="E130" s="326"/>
      <c r="F130" s="326"/>
      <c r="G130" s="326"/>
      <c r="H130" s="326"/>
    </row>
    <row r="131" spans="1:8">
      <c r="A131" s="362"/>
      <c r="B131" s="362"/>
      <c r="C131" s="362"/>
      <c r="D131" s="326"/>
      <c r="E131" s="326"/>
      <c r="F131" s="326"/>
      <c r="G131" s="326"/>
      <c r="H131" s="326"/>
    </row>
    <row r="132" spans="1:8">
      <c r="A132" s="362"/>
      <c r="B132" s="362"/>
      <c r="C132" s="362"/>
      <c r="D132" s="326"/>
      <c r="E132" s="326"/>
      <c r="F132" s="326"/>
      <c r="G132" s="326"/>
      <c r="H132" s="326"/>
    </row>
    <row r="133" spans="1:8">
      <c r="A133" s="362"/>
      <c r="B133" s="362"/>
      <c r="C133" s="362"/>
      <c r="D133" s="326"/>
      <c r="E133" s="326"/>
      <c r="F133" s="326"/>
      <c r="G133" s="326"/>
      <c r="H133" s="326"/>
    </row>
    <row r="134" spans="1:8">
      <c r="A134" s="362"/>
      <c r="B134" s="362"/>
      <c r="C134" s="362"/>
      <c r="D134" s="326"/>
      <c r="E134" s="326"/>
      <c r="F134" s="326"/>
      <c r="G134" s="326"/>
      <c r="H134" s="326"/>
    </row>
    <row r="135" spans="1:8">
      <c r="A135" s="362"/>
      <c r="B135" s="362"/>
      <c r="C135" s="362"/>
      <c r="D135" s="326"/>
      <c r="E135" s="326"/>
      <c r="F135" s="326"/>
      <c r="G135" s="326"/>
      <c r="H135" s="326"/>
    </row>
    <row r="136" spans="1:8">
      <c r="A136" s="362"/>
      <c r="B136" s="362"/>
      <c r="C136" s="362"/>
      <c r="D136" s="326"/>
      <c r="E136" s="326"/>
      <c r="F136" s="326"/>
      <c r="G136" s="326"/>
      <c r="H136" s="326"/>
    </row>
    <row r="137" spans="1:8">
      <c r="A137" s="362"/>
      <c r="B137" s="362"/>
      <c r="C137" s="362"/>
      <c r="D137" s="326"/>
      <c r="E137" s="326"/>
      <c r="F137" s="326"/>
      <c r="G137" s="326"/>
      <c r="H137" s="326"/>
    </row>
    <row r="138" spans="1:8">
      <c r="A138" s="362"/>
      <c r="B138" s="362"/>
      <c r="C138" s="362"/>
      <c r="D138" s="326"/>
      <c r="E138" s="326"/>
      <c r="F138" s="326"/>
      <c r="G138" s="326"/>
      <c r="H138" s="326"/>
    </row>
    <row r="139" spans="1:8">
      <c r="A139" s="362"/>
      <c r="B139" s="362"/>
      <c r="C139" s="362"/>
      <c r="D139" s="326"/>
      <c r="E139" s="326"/>
      <c r="F139" s="326"/>
      <c r="G139" s="326"/>
      <c r="H139" s="326"/>
    </row>
    <row r="140" spans="1:8">
      <c r="A140" s="362"/>
      <c r="B140" s="362"/>
      <c r="C140" s="362"/>
      <c r="D140" s="326"/>
      <c r="E140" s="326"/>
      <c r="F140" s="326"/>
      <c r="G140" s="326"/>
      <c r="H140" s="326"/>
    </row>
    <row r="141" spans="1:8">
      <c r="A141" s="362"/>
      <c r="B141" s="362"/>
      <c r="C141" s="362"/>
      <c r="D141" s="326"/>
      <c r="E141" s="326"/>
      <c r="F141" s="326"/>
      <c r="G141" s="326"/>
      <c r="H141" s="326"/>
    </row>
    <row r="142" spans="1:8">
      <c r="A142" s="362"/>
      <c r="B142" s="362"/>
      <c r="C142" s="362"/>
      <c r="D142" s="326"/>
      <c r="E142" s="326"/>
      <c r="F142" s="326"/>
      <c r="G142" s="326"/>
      <c r="H142" s="326"/>
    </row>
    <row r="143" spans="1:8">
      <c r="A143" s="362"/>
      <c r="B143" s="362"/>
      <c r="C143" s="362"/>
      <c r="D143" s="326"/>
      <c r="E143" s="326"/>
      <c r="F143" s="326"/>
      <c r="G143" s="326"/>
      <c r="H143" s="326"/>
    </row>
    <row r="144" spans="1:8">
      <c r="A144" s="362"/>
      <c r="B144" s="362"/>
      <c r="C144" s="362"/>
      <c r="D144" s="326"/>
      <c r="E144" s="326"/>
      <c r="F144" s="326"/>
      <c r="G144" s="326"/>
      <c r="H144" s="326"/>
    </row>
    <row r="145" spans="1:8">
      <c r="A145" s="362"/>
      <c r="B145" s="362"/>
      <c r="C145" s="362"/>
      <c r="D145" s="326"/>
      <c r="E145" s="326"/>
      <c r="F145" s="326"/>
      <c r="G145" s="326"/>
      <c r="H145" s="326"/>
    </row>
    <row r="146" spans="1:8">
      <c r="A146" s="362"/>
      <c r="B146" s="362"/>
      <c r="C146" s="362"/>
      <c r="D146" s="326"/>
      <c r="E146" s="326"/>
      <c r="F146" s="326"/>
      <c r="G146" s="326"/>
      <c r="H146" s="326"/>
    </row>
    <row r="147" spans="1:8">
      <c r="A147" s="362"/>
      <c r="B147" s="362"/>
      <c r="C147" s="362"/>
      <c r="D147" s="326"/>
      <c r="E147" s="326"/>
      <c r="F147" s="326"/>
      <c r="G147" s="326"/>
      <c r="H147" s="326"/>
    </row>
    <row r="148" spans="1:8">
      <c r="A148" s="362"/>
      <c r="B148" s="362"/>
      <c r="C148" s="362"/>
      <c r="D148" s="326"/>
      <c r="E148" s="326"/>
      <c r="F148" s="326"/>
      <c r="G148" s="326"/>
      <c r="H148" s="326"/>
    </row>
    <row r="149" spans="1:8">
      <c r="A149" s="362"/>
      <c r="B149" s="362"/>
      <c r="C149" s="362"/>
      <c r="D149" s="326"/>
      <c r="E149" s="326"/>
      <c r="F149" s="326"/>
      <c r="G149" s="326"/>
      <c r="H149" s="326"/>
    </row>
    <row r="150" spans="1:8">
      <c r="A150" s="362"/>
      <c r="B150" s="362"/>
      <c r="C150" s="362"/>
      <c r="D150" s="326"/>
      <c r="E150" s="326"/>
      <c r="F150" s="326"/>
      <c r="G150" s="326"/>
      <c r="H150" s="326"/>
    </row>
    <row r="151" spans="1:8">
      <c r="A151" s="362"/>
      <c r="B151" s="362"/>
      <c r="C151" s="362"/>
      <c r="D151" s="326"/>
      <c r="E151" s="326"/>
      <c r="F151" s="326"/>
      <c r="G151" s="326"/>
      <c r="H151" s="326"/>
    </row>
    <row r="152" spans="1:8">
      <c r="A152" s="362"/>
      <c r="B152" s="362"/>
      <c r="C152" s="362"/>
      <c r="D152" s="326"/>
      <c r="E152" s="326"/>
      <c r="F152" s="326"/>
      <c r="G152" s="326"/>
      <c r="H152" s="326"/>
    </row>
    <row r="153" spans="1:8">
      <c r="A153" s="362"/>
      <c r="B153" s="362"/>
      <c r="C153" s="362"/>
      <c r="D153" s="326"/>
      <c r="E153" s="326"/>
      <c r="F153" s="326"/>
      <c r="G153" s="326"/>
      <c r="H153" s="326"/>
    </row>
    <row r="154" spans="1:8">
      <c r="A154" s="362"/>
      <c r="B154" s="362"/>
      <c r="C154" s="362"/>
      <c r="D154" s="326"/>
      <c r="E154" s="326"/>
      <c r="F154" s="326"/>
      <c r="G154" s="326"/>
      <c r="H154" s="326"/>
    </row>
    <row r="155" spans="1:8">
      <c r="A155" s="362"/>
      <c r="B155" s="362"/>
      <c r="C155" s="362"/>
      <c r="D155" s="326"/>
      <c r="E155" s="326"/>
      <c r="F155" s="326"/>
      <c r="G155" s="326"/>
      <c r="H155" s="326"/>
    </row>
    <row r="156" spans="1:8">
      <c r="A156" s="362"/>
      <c r="B156" s="362"/>
      <c r="C156" s="362"/>
      <c r="D156" s="326"/>
      <c r="E156" s="326"/>
      <c r="F156" s="326"/>
      <c r="G156" s="326"/>
      <c r="H156" s="326"/>
    </row>
    <row r="157" spans="1:8">
      <c r="A157" s="362"/>
      <c r="B157" s="362"/>
      <c r="C157" s="362"/>
      <c r="D157" s="326"/>
      <c r="E157" s="326"/>
      <c r="F157" s="326"/>
      <c r="G157" s="326"/>
      <c r="H157" s="326"/>
    </row>
    <row r="158" spans="1:8">
      <c r="A158" s="362"/>
      <c r="B158" s="362"/>
      <c r="C158" s="362"/>
      <c r="D158" s="326"/>
      <c r="E158" s="326"/>
      <c r="F158" s="326"/>
      <c r="G158" s="326"/>
      <c r="H158" s="326"/>
    </row>
    <row r="159" spans="1:8">
      <c r="A159" s="362"/>
      <c r="B159" s="362"/>
      <c r="C159" s="362"/>
      <c r="D159" s="326"/>
      <c r="E159" s="326"/>
      <c r="F159" s="326"/>
      <c r="G159" s="326"/>
      <c r="H159" s="326"/>
    </row>
    <row r="160" spans="1:8">
      <c r="A160" s="362"/>
      <c r="B160" s="362"/>
      <c r="C160" s="362"/>
      <c r="D160" s="326"/>
      <c r="E160" s="326"/>
      <c r="F160" s="326"/>
      <c r="G160" s="326"/>
      <c r="H160" s="326"/>
    </row>
    <row r="161" spans="1:8">
      <c r="A161" s="362"/>
      <c r="B161" s="362"/>
      <c r="C161" s="362"/>
      <c r="D161" s="326"/>
      <c r="E161" s="326"/>
      <c r="F161" s="326"/>
      <c r="G161" s="326"/>
      <c r="H161" s="326"/>
    </row>
    <row r="162" spans="1:8">
      <c r="A162" s="362"/>
      <c r="B162" s="362"/>
      <c r="C162" s="362"/>
      <c r="D162" s="326"/>
      <c r="E162" s="326"/>
      <c r="F162" s="326"/>
      <c r="G162" s="326"/>
      <c r="H162" s="326"/>
    </row>
    <row r="163" spans="1:8">
      <c r="A163" s="362"/>
      <c r="B163" s="362"/>
      <c r="C163" s="362"/>
      <c r="D163" s="326"/>
      <c r="E163" s="326"/>
      <c r="F163" s="326"/>
      <c r="G163" s="326"/>
      <c r="H163" s="326"/>
    </row>
    <row r="164" spans="1:8">
      <c r="A164" s="362"/>
      <c r="B164" s="362"/>
      <c r="C164" s="362"/>
      <c r="D164" s="326"/>
      <c r="E164" s="326"/>
      <c r="F164" s="326"/>
      <c r="G164" s="326"/>
      <c r="H164" s="326"/>
    </row>
    <row r="165" spans="1:8">
      <c r="A165" s="362"/>
      <c r="B165" s="362"/>
      <c r="C165" s="362"/>
      <c r="D165" s="326"/>
      <c r="E165" s="326"/>
      <c r="F165" s="326"/>
      <c r="G165" s="326"/>
      <c r="H165" s="326"/>
    </row>
    <row r="166" spans="1:8">
      <c r="A166" s="362"/>
      <c r="B166" s="362"/>
      <c r="C166" s="362"/>
      <c r="D166" s="326"/>
      <c r="E166" s="326"/>
      <c r="F166" s="326"/>
      <c r="G166" s="326"/>
      <c r="H166" s="326"/>
    </row>
    <row r="167" spans="1:8">
      <c r="A167" s="362"/>
      <c r="B167" s="362"/>
      <c r="C167" s="362"/>
      <c r="D167" s="326"/>
      <c r="E167" s="326"/>
      <c r="F167" s="326"/>
      <c r="G167" s="326"/>
      <c r="H167" s="326"/>
    </row>
    <row r="168" spans="1:8">
      <c r="A168" s="362"/>
      <c r="B168" s="362"/>
      <c r="C168" s="362"/>
      <c r="D168" s="326"/>
      <c r="E168" s="326"/>
      <c r="F168" s="326"/>
      <c r="G168" s="326"/>
      <c r="H168" s="326"/>
    </row>
    <row r="169" spans="1:8">
      <c r="A169" s="362"/>
      <c r="B169" s="362"/>
      <c r="C169" s="362"/>
      <c r="D169" s="326"/>
      <c r="E169" s="326"/>
      <c r="F169" s="326"/>
      <c r="G169" s="326"/>
      <c r="H169" s="326"/>
    </row>
    <row r="170" spans="1:8">
      <c r="A170" s="362"/>
      <c r="B170" s="362"/>
      <c r="C170" s="362"/>
      <c r="D170" s="326"/>
      <c r="E170" s="326"/>
      <c r="F170" s="326"/>
      <c r="G170" s="326"/>
      <c r="H170" s="326"/>
    </row>
    <row r="171" spans="1:8">
      <c r="A171" s="362"/>
      <c r="B171" s="362"/>
      <c r="C171" s="362"/>
      <c r="D171" s="326"/>
      <c r="E171" s="326"/>
      <c r="F171" s="326"/>
      <c r="G171" s="326"/>
      <c r="H171" s="326"/>
    </row>
    <row r="172" spans="1:8">
      <c r="A172" s="362"/>
      <c r="B172" s="362"/>
      <c r="C172" s="362"/>
      <c r="D172" s="326"/>
      <c r="E172" s="326"/>
      <c r="F172" s="326"/>
      <c r="G172" s="326"/>
      <c r="H172" s="326"/>
    </row>
    <row r="173" spans="1:8">
      <c r="A173" s="362"/>
      <c r="B173" s="362"/>
      <c r="C173" s="362"/>
      <c r="D173" s="326"/>
      <c r="E173" s="326"/>
      <c r="F173" s="326"/>
      <c r="G173" s="326"/>
      <c r="H173" s="326"/>
    </row>
    <row r="174" spans="1:8">
      <c r="A174" s="362"/>
      <c r="B174" s="362"/>
      <c r="C174" s="362"/>
      <c r="D174" s="326"/>
      <c r="E174" s="326"/>
      <c r="F174" s="326"/>
      <c r="G174" s="326"/>
      <c r="H174" s="326"/>
    </row>
    <row r="175" spans="1:8">
      <c r="A175" s="362"/>
      <c r="B175" s="362"/>
      <c r="C175" s="362"/>
      <c r="D175" s="326"/>
      <c r="E175" s="326"/>
      <c r="F175" s="326"/>
      <c r="G175" s="326"/>
      <c r="H175" s="326"/>
    </row>
    <row r="176" spans="1:8">
      <c r="A176" s="362"/>
      <c r="B176" s="362"/>
      <c r="C176" s="362"/>
      <c r="D176" s="326"/>
      <c r="E176" s="326"/>
      <c r="F176" s="326"/>
      <c r="G176" s="326"/>
      <c r="H176" s="326"/>
    </row>
    <row r="177" spans="1:8">
      <c r="A177" s="362"/>
      <c r="B177" s="362"/>
      <c r="C177" s="362"/>
      <c r="D177" s="326"/>
      <c r="E177" s="326"/>
      <c r="F177" s="326"/>
      <c r="G177" s="326"/>
      <c r="H177" s="326"/>
    </row>
    <row r="178" spans="1:8">
      <c r="A178" s="362"/>
      <c r="B178" s="362"/>
      <c r="C178" s="362"/>
      <c r="D178" s="326"/>
      <c r="E178" s="326"/>
      <c r="F178" s="326"/>
      <c r="G178" s="326"/>
      <c r="H178" s="326"/>
    </row>
    <row r="179" spans="1:8">
      <c r="A179" s="362"/>
      <c r="B179" s="362"/>
      <c r="C179" s="362"/>
      <c r="D179" s="326"/>
      <c r="E179" s="326"/>
      <c r="F179" s="326"/>
      <c r="G179" s="326"/>
      <c r="H179" s="326"/>
    </row>
    <row r="180" spans="1:8">
      <c r="A180" s="362"/>
      <c r="B180" s="362"/>
      <c r="C180" s="362"/>
      <c r="D180" s="326"/>
      <c r="E180" s="326"/>
      <c r="F180" s="326"/>
      <c r="G180" s="326"/>
      <c r="H180" s="326"/>
    </row>
    <row r="181" spans="1:8">
      <c r="A181" s="362"/>
      <c r="B181" s="362"/>
      <c r="C181" s="362"/>
      <c r="D181" s="326"/>
      <c r="E181" s="326"/>
      <c r="F181" s="326"/>
      <c r="G181" s="326"/>
      <c r="H181" s="326"/>
    </row>
    <row r="182" spans="1:8">
      <c r="A182" s="362"/>
      <c r="B182" s="362"/>
      <c r="C182" s="362"/>
      <c r="D182" s="326"/>
      <c r="E182" s="326"/>
      <c r="F182" s="326"/>
      <c r="G182" s="326"/>
      <c r="H182" s="326"/>
    </row>
    <row r="183" spans="1:8">
      <c r="A183" s="362"/>
      <c r="B183" s="362"/>
      <c r="C183" s="362"/>
      <c r="D183" s="326"/>
      <c r="E183" s="326"/>
      <c r="F183" s="326"/>
      <c r="G183" s="326"/>
      <c r="H183" s="326"/>
    </row>
    <row r="184" spans="1:8">
      <c r="A184" s="362"/>
      <c r="B184" s="362"/>
      <c r="C184" s="362"/>
      <c r="D184" s="326"/>
      <c r="E184" s="326"/>
      <c r="F184" s="326"/>
      <c r="G184" s="326"/>
      <c r="H184" s="326"/>
    </row>
    <row r="185" spans="1:8">
      <c r="A185" s="362"/>
      <c r="B185" s="362"/>
      <c r="C185" s="362"/>
      <c r="D185" s="326"/>
      <c r="E185" s="326"/>
      <c r="F185" s="326"/>
      <c r="G185" s="326"/>
      <c r="H185" s="326"/>
    </row>
    <row r="186" spans="1:8">
      <c r="A186" s="362"/>
      <c r="B186" s="362"/>
      <c r="C186" s="362"/>
      <c r="D186" s="326"/>
      <c r="E186" s="326"/>
      <c r="F186" s="326"/>
      <c r="G186" s="326"/>
      <c r="H186" s="326"/>
    </row>
    <row r="187" spans="1:8">
      <c r="A187" s="362"/>
      <c r="B187" s="362"/>
      <c r="C187" s="362"/>
      <c r="D187" s="326"/>
      <c r="E187" s="326"/>
      <c r="F187" s="326"/>
      <c r="G187" s="326"/>
      <c r="H187" s="326"/>
    </row>
    <row r="188" spans="1:8">
      <c r="A188" s="362"/>
      <c r="B188" s="362"/>
      <c r="C188" s="362"/>
      <c r="D188" s="326"/>
      <c r="E188" s="326"/>
      <c r="F188" s="326"/>
      <c r="G188" s="326"/>
      <c r="H188" s="326"/>
    </row>
    <row r="189" spans="1:8">
      <c r="A189" s="362"/>
      <c r="B189" s="362"/>
      <c r="C189" s="362"/>
      <c r="D189" s="326"/>
      <c r="E189" s="326"/>
      <c r="F189" s="326"/>
      <c r="G189" s="326"/>
      <c r="H189" s="326"/>
    </row>
    <row r="190" spans="1:8">
      <c r="A190" s="362"/>
      <c r="B190" s="362"/>
      <c r="C190" s="362"/>
      <c r="D190" s="326"/>
      <c r="E190" s="326"/>
      <c r="F190" s="326"/>
      <c r="G190" s="326"/>
      <c r="H190" s="326"/>
    </row>
    <row r="191" spans="1:8">
      <c r="A191" s="362"/>
      <c r="B191" s="362"/>
      <c r="C191" s="362"/>
      <c r="D191" s="326"/>
      <c r="E191" s="326"/>
      <c r="F191" s="326"/>
      <c r="G191" s="326"/>
      <c r="H191" s="326"/>
    </row>
    <row r="192" spans="1:8">
      <c r="A192" s="362"/>
      <c r="B192" s="362"/>
      <c r="C192" s="362"/>
      <c r="D192" s="326"/>
      <c r="E192" s="326"/>
      <c r="F192" s="326"/>
      <c r="G192" s="326"/>
      <c r="H192" s="326"/>
    </row>
    <row r="193" spans="1:8">
      <c r="A193" s="362"/>
      <c r="B193" s="362"/>
      <c r="C193" s="362"/>
      <c r="D193" s="326"/>
      <c r="E193" s="326"/>
      <c r="F193" s="326"/>
      <c r="G193" s="326"/>
      <c r="H193" s="326"/>
    </row>
    <row r="194" spans="1:8">
      <c r="A194" s="362"/>
      <c r="B194" s="362"/>
      <c r="C194" s="362"/>
      <c r="D194" s="326"/>
      <c r="E194" s="326"/>
      <c r="F194" s="326"/>
      <c r="G194" s="326"/>
      <c r="H194" s="326"/>
    </row>
    <row r="195" spans="1:8">
      <c r="A195" s="362"/>
      <c r="B195" s="362"/>
      <c r="C195" s="362"/>
      <c r="D195" s="326"/>
      <c r="E195" s="326"/>
      <c r="F195" s="326"/>
      <c r="G195" s="326"/>
      <c r="H195" s="326"/>
    </row>
    <row r="196" spans="1:8">
      <c r="A196" s="362"/>
      <c r="B196" s="362"/>
      <c r="C196" s="362"/>
      <c r="D196" s="326"/>
      <c r="E196" s="326"/>
      <c r="F196" s="326"/>
      <c r="G196" s="326"/>
      <c r="H196" s="326"/>
    </row>
    <row r="197" spans="1:8">
      <c r="A197" s="362"/>
      <c r="B197" s="362"/>
      <c r="C197" s="362"/>
      <c r="D197" s="326"/>
      <c r="E197" s="326"/>
      <c r="F197" s="326"/>
      <c r="G197" s="326"/>
      <c r="H197" s="326"/>
    </row>
    <row r="198" spans="1:8">
      <c r="A198" s="362"/>
      <c r="B198" s="362"/>
      <c r="C198" s="362"/>
      <c r="D198" s="326"/>
      <c r="E198" s="326"/>
      <c r="F198" s="326"/>
      <c r="G198" s="326"/>
      <c r="H198" s="326"/>
    </row>
    <row r="199" spans="1:8">
      <c r="A199" s="362"/>
      <c r="B199" s="362"/>
      <c r="C199" s="362"/>
      <c r="D199" s="326"/>
      <c r="E199" s="326"/>
      <c r="F199" s="326"/>
      <c r="G199" s="326"/>
      <c r="H199" s="326"/>
    </row>
    <row r="200" spans="1:8">
      <c r="A200" s="362"/>
      <c r="B200" s="362"/>
      <c r="C200" s="362"/>
      <c r="D200" s="326"/>
      <c r="E200" s="326"/>
      <c r="F200" s="326"/>
      <c r="G200" s="326"/>
      <c r="H200" s="326"/>
    </row>
    <row r="201" spans="1:8">
      <c r="A201" s="362"/>
      <c r="B201" s="362"/>
      <c r="C201" s="362"/>
      <c r="D201" s="326"/>
      <c r="E201" s="326"/>
      <c r="F201" s="326"/>
      <c r="G201" s="326"/>
      <c r="H201" s="326"/>
    </row>
    <row r="202" spans="1:8">
      <c r="A202" s="362"/>
      <c r="B202" s="362"/>
      <c r="C202" s="362"/>
      <c r="D202" s="326"/>
      <c r="E202" s="326"/>
      <c r="F202" s="326"/>
      <c r="G202" s="326"/>
      <c r="H202" s="326"/>
    </row>
    <row r="203" spans="1:8">
      <c r="A203" s="362"/>
      <c r="B203" s="362"/>
      <c r="C203" s="362"/>
      <c r="D203" s="326"/>
      <c r="E203" s="326"/>
      <c r="F203" s="326"/>
      <c r="G203" s="326"/>
      <c r="H203" s="326"/>
    </row>
    <row r="204" spans="1:8">
      <c r="A204" s="362"/>
      <c r="B204" s="362"/>
      <c r="C204" s="362"/>
      <c r="D204" s="326"/>
      <c r="E204" s="326"/>
      <c r="F204" s="326"/>
      <c r="G204" s="326"/>
      <c r="H204" s="326"/>
    </row>
    <row r="205" spans="1:8">
      <c r="A205" s="362"/>
      <c r="B205" s="362"/>
      <c r="C205" s="362"/>
      <c r="D205" s="326"/>
      <c r="E205" s="326"/>
      <c r="F205" s="326"/>
      <c r="G205" s="326"/>
      <c r="H205" s="326"/>
    </row>
    <row r="206" spans="1:8">
      <c r="A206" s="362"/>
      <c r="B206" s="362"/>
      <c r="C206" s="362"/>
      <c r="D206" s="326"/>
      <c r="E206" s="326"/>
      <c r="F206" s="326"/>
      <c r="G206" s="326"/>
      <c r="H206" s="326"/>
    </row>
    <row r="207" spans="1:8">
      <c r="A207" s="362"/>
      <c r="B207" s="362"/>
      <c r="C207" s="362"/>
      <c r="D207" s="326"/>
      <c r="E207" s="326"/>
      <c r="F207" s="326"/>
      <c r="G207" s="326"/>
      <c r="H207" s="326"/>
    </row>
    <row r="208" spans="1:8">
      <c r="A208" s="362"/>
      <c r="B208" s="362"/>
      <c r="C208" s="362"/>
      <c r="D208" s="326"/>
      <c r="E208" s="326"/>
      <c r="F208" s="326"/>
      <c r="G208" s="326"/>
      <c r="H208" s="326"/>
    </row>
    <row r="209" spans="1:8">
      <c r="A209" s="362"/>
      <c r="B209" s="362"/>
      <c r="C209" s="362"/>
      <c r="D209" s="326"/>
      <c r="E209" s="326"/>
      <c r="F209" s="326"/>
      <c r="G209" s="326"/>
      <c r="H209" s="326"/>
    </row>
    <row r="210" spans="1:8">
      <c r="A210" s="362"/>
      <c r="B210" s="362"/>
      <c r="C210" s="362"/>
      <c r="D210" s="326"/>
      <c r="E210" s="326"/>
      <c r="F210" s="326"/>
      <c r="G210" s="326"/>
      <c r="H210" s="326"/>
    </row>
    <row r="211" spans="1:8">
      <c r="A211" s="362"/>
      <c r="B211" s="362"/>
      <c r="C211" s="362"/>
      <c r="D211" s="326"/>
      <c r="E211" s="326"/>
      <c r="F211" s="326"/>
      <c r="G211" s="326"/>
      <c r="H211" s="326"/>
    </row>
    <row r="212" spans="1:8">
      <c r="A212" s="362"/>
      <c r="B212" s="362"/>
      <c r="C212" s="362"/>
      <c r="D212" s="326"/>
      <c r="E212" s="326"/>
      <c r="F212" s="326"/>
      <c r="G212" s="326"/>
      <c r="H212" s="326"/>
    </row>
    <row r="213" spans="1:8">
      <c r="A213" s="362"/>
      <c r="B213" s="362"/>
      <c r="C213" s="362"/>
      <c r="D213" s="326"/>
      <c r="E213" s="326"/>
      <c r="F213" s="326"/>
      <c r="G213" s="326"/>
      <c r="H213" s="326"/>
    </row>
    <row r="214" spans="1:8">
      <c r="A214" s="362"/>
      <c r="B214" s="362"/>
      <c r="C214" s="362"/>
      <c r="D214" s="326"/>
      <c r="E214" s="326"/>
      <c r="F214" s="326"/>
      <c r="G214" s="326"/>
      <c r="H214" s="326"/>
    </row>
    <row r="215" spans="1:8">
      <c r="A215" s="362"/>
      <c r="B215" s="362"/>
      <c r="C215" s="362"/>
      <c r="D215" s="326"/>
      <c r="E215" s="326"/>
      <c r="F215" s="326"/>
      <c r="G215" s="326"/>
      <c r="H215" s="326"/>
    </row>
    <row r="216" spans="1:8">
      <c r="A216" s="362"/>
      <c r="B216" s="362"/>
      <c r="C216" s="362"/>
      <c r="D216" s="326"/>
      <c r="E216" s="326"/>
      <c r="F216" s="326"/>
      <c r="G216" s="326"/>
      <c r="H216" s="326"/>
    </row>
    <row r="217" spans="1:8">
      <c r="A217" s="362"/>
      <c r="B217" s="362"/>
      <c r="C217" s="362"/>
      <c r="D217" s="326"/>
      <c r="E217" s="326"/>
      <c r="F217" s="326"/>
      <c r="G217" s="326"/>
      <c r="H217" s="326"/>
    </row>
    <row r="218" spans="1:8">
      <c r="A218" s="362"/>
      <c r="B218" s="362"/>
      <c r="C218" s="362"/>
      <c r="D218" s="326"/>
      <c r="E218" s="326"/>
      <c r="F218" s="326"/>
      <c r="G218" s="326"/>
      <c r="H218" s="326"/>
    </row>
    <row r="219" spans="1:8">
      <c r="A219" s="362"/>
      <c r="B219" s="362"/>
      <c r="C219" s="362"/>
      <c r="D219" s="326"/>
      <c r="E219" s="326"/>
      <c r="F219" s="326"/>
      <c r="G219" s="326"/>
      <c r="H219" s="326"/>
    </row>
    <row r="220" spans="1:8">
      <c r="A220" s="362"/>
      <c r="B220" s="362"/>
      <c r="C220" s="362"/>
      <c r="D220" s="326"/>
      <c r="E220" s="326"/>
      <c r="F220" s="326"/>
      <c r="G220" s="326"/>
      <c r="H220" s="326"/>
    </row>
    <row r="221" spans="1:8">
      <c r="A221" s="362"/>
      <c r="B221" s="362"/>
      <c r="C221" s="362"/>
      <c r="D221" s="326"/>
      <c r="E221" s="326"/>
      <c r="F221" s="326"/>
      <c r="G221" s="326"/>
      <c r="H221" s="326"/>
    </row>
    <row r="222" spans="1:8">
      <c r="A222" s="362"/>
      <c r="B222" s="362"/>
      <c r="C222" s="362"/>
      <c r="D222" s="326"/>
      <c r="E222" s="326"/>
      <c r="F222" s="326"/>
      <c r="G222" s="326"/>
      <c r="H222" s="326"/>
    </row>
    <row r="223" spans="1:8">
      <c r="A223" s="362"/>
      <c r="B223" s="362"/>
      <c r="C223" s="362"/>
      <c r="D223" s="326"/>
      <c r="E223" s="326"/>
      <c r="F223" s="326"/>
      <c r="G223" s="326"/>
      <c r="H223" s="326"/>
    </row>
    <row r="224" spans="1:8">
      <c r="A224" s="362"/>
      <c r="B224" s="362"/>
      <c r="C224" s="362"/>
      <c r="D224" s="326"/>
      <c r="E224" s="326"/>
      <c r="F224" s="326"/>
      <c r="G224" s="326"/>
      <c r="H224" s="326"/>
    </row>
    <row r="225" spans="1:8">
      <c r="A225" s="362"/>
      <c r="B225" s="362"/>
      <c r="C225" s="362"/>
      <c r="D225" s="326"/>
      <c r="E225" s="326"/>
      <c r="F225" s="326"/>
      <c r="G225" s="326"/>
      <c r="H225" s="326"/>
    </row>
    <row r="226" spans="1:8">
      <c r="A226" s="362"/>
      <c r="B226" s="362"/>
      <c r="C226" s="362"/>
      <c r="D226" s="326"/>
      <c r="E226" s="326"/>
      <c r="F226" s="326"/>
      <c r="G226" s="326"/>
      <c r="H226" s="326"/>
    </row>
    <row r="227" spans="1:8">
      <c r="A227" s="362"/>
      <c r="B227" s="362"/>
      <c r="C227" s="362"/>
      <c r="D227" s="326"/>
      <c r="E227" s="326"/>
      <c r="F227" s="326"/>
      <c r="G227" s="326"/>
      <c r="H227" s="326"/>
    </row>
    <row r="228" spans="1:8">
      <c r="A228" s="362"/>
      <c r="B228" s="362"/>
      <c r="C228" s="362"/>
      <c r="D228" s="326"/>
      <c r="E228" s="326"/>
      <c r="F228" s="326"/>
      <c r="G228" s="326"/>
      <c r="H228" s="326"/>
    </row>
    <row r="229" spans="1:8">
      <c r="A229" s="362"/>
      <c r="B229" s="362"/>
      <c r="C229" s="362"/>
      <c r="D229" s="326"/>
      <c r="E229" s="326"/>
      <c r="F229" s="326"/>
      <c r="G229" s="326"/>
      <c r="H229" s="326"/>
    </row>
    <row r="230" spans="1:8">
      <c r="A230" s="362"/>
      <c r="B230" s="362"/>
      <c r="C230" s="362"/>
      <c r="D230" s="326"/>
      <c r="E230" s="326"/>
      <c r="F230" s="326"/>
      <c r="G230" s="326"/>
      <c r="H230" s="326"/>
    </row>
    <row r="231" spans="1:8">
      <c r="A231" s="362"/>
      <c r="B231" s="362"/>
      <c r="C231" s="362"/>
      <c r="D231" s="326"/>
      <c r="E231" s="326"/>
      <c r="F231" s="326"/>
      <c r="G231" s="326"/>
      <c r="H231" s="326"/>
    </row>
    <row r="232" spans="1:8">
      <c r="A232" s="362"/>
      <c r="B232" s="362"/>
      <c r="C232" s="362"/>
      <c r="D232" s="326"/>
      <c r="E232" s="326"/>
      <c r="F232" s="326"/>
      <c r="G232" s="326"/>
      <c r="H232" s="326"/>
    </row>
    <row r="233" spans="1:8">
      <c r="A233" s="362"/>
      <c r="B233" s="362"/>
      <c r="C233" s="362"/>
      <c r="D233" s="326"/>
      <c r="E233" s="326"/>
      <c r="F233" s="326"/>
      <c r="G233" s="326"/>
      <c r="H233" s="326"/>
    </row>
    <row r="234" spans="1:8">
      <c r="A234" s="362"/>
      <c r="B234" s="362"/>
      <c r="C234" s="362"/>
      <c r="D234" s="326"/>
      <c r="E234" s="326"/>
      <c r="F234" s="326"/>
      <c r="G234" s="326"/>
      <c r="H234" s="326"/>
    </row>
    <row r="235" spans="1:8">
      <c r="A235" s="362"/>
      <c r="B235" s="362"/>
      <c r="C235" s="362"/>
      <c r="D235" s="326"/>
      <c r="E235" s="326"/>
      <c r="F235" s="326"/>
      <c r="G235" s="326"/>
      <c r="H235" s="326"/>
    </row>
    <row r="236" spans="1:8">
      <c r="A236" s="362"/>
      <c r="B236" s="362"/>
      <c r="C236" s="362"/>
      <c r="D236" s="326"/>
      <c r="E236" s="326"/>
      <c r="F236" s="326"/>
      <c r="G236" s="326"/>
      <c r="H236" s="326"/>
    </row>
    <row r="237" spans="1:8">
      <c r="A237" s="362"/>
      <c r="B237" s="362"/>
      <c r="C237" s="362"/>
      <c r="D237" s="326"/>
      <c r="E237" s="326"/>
      <c r="F237" s="326"/>
      <c r="G237" s="326"/>
      <c r="H237" s="326"/>
    </row>
    <row r="238" spans="1:8">
      <c r="A238" s="362"/>
      <c r="B238" s="362"/>
      <c r="C238" s="362"/>
      <c r="D238" s="326"/>
      <c r="E238" s="326"/>
      <c r="F238" s="326"/>
      <c r="G238" s="326"/>
      <c r="H238" s="326"/>
    </row>
    <row r="239" spans="1:8">
      <c r="A239" s="362"/>
      <c r="B239" s="362"/>
      <c r="C239" s="362"/>
      <c r="D239" s="326"/>
      <c r="E239" s="326"/>
      <c r="F239" s="326"/>
      <c r="G239" s="326"/>
      <c r="H239" s="326"/>
    </row>
    <row r="240" spans="1:8">
      <c r="A240" s="362"/>
      <c r="B240" s="362"/>
      <c r="C240" s="362"/>
      <c r="D240" s="326"/>
      <c r="E240" s="326"/>
      <c r="F240" s="326"/>
      <c r="G240" s="326"/>
      <c r="H240" s="326"/>
    </row>
    <row r="241" spans="1:8">
      <c r="A241" s="362"/>
      <c r="B241" s="362"/>
      <c r="C241" s="362"/>
      <c r="D241" s="326"/>
      <c r="E241" s="326"/>
      <c r="F241" s="326"/>
      <c r="G241" s="326"/>
      <c r="H241" s="326"/>
    </row>
    <row r="242" spans="1:8">
      <c r="A242" s="362"/>
      <c r="B242" s="362"/>
      <c r="C242" s="362"/>
      <c r="D242" s="326"/>
      <c r="E242" s="326"/>
      <c r="F242" s="326"/>
      <c r="G242" s="326"/>
      <c r="H242" s="326"/>
    </row>
    <row r="243" spans="1:8">
      <c r="A243" s="362"/>
      <c r="B243" s="362"/>
      <c r="C243" s="362"/>
      <c r="D243" s="326"/>
      <c r="E243" s="326"/>
      <c r="F243" s="326"/>
      <c r="G243" s="326"/>
      <c r="H243" s="326"/>
    </row>
    <row r="244" spans="1:8">
      <c r="A244" s="362"/>
      <c r="B244" s="362"/>
      <c r="C244" s="362"/>
      <c r="D244" s="326"/>
      <c r="E244" s="326"/>
      <c r="F244" s="326"/>
      <c r="G244" s="326"/>
      <c r="H244" s="326"/>
    </row>
    <row r="245" spans="1:8">
      <c r="A245" s="362"/>
      <c r="B245" s="362"/>
      <c r="C245" s="362"/>
      <c r="D245" s="326"/>
      <c r="E245" s="326"/>
      <c r="F245" s="326"/>
      <c r="G245" s="326"/>
      <c r="H245" s="326"/>
    </row>
    <row r="246" spans="1:8">
      <c r="A246" s="362"/>
      <c r="B246" s="362"/>
      <c r="C246" s="362"/>
      <c r="D246" s="326"/>
      <c r="E246" s="326"/>
      <c r="F246" s="326"/>
      <c r="G246" s="326"/>
      <c r="H246" s="326"/>
    </row>
    <row r="247" spans="1:8">
      <c r="A247" s="362"/>
      <c r="B247" s="362"/>
      <c r="C247" s="362"/>
      <c r="D247" s="326"/>
      <c r="E247" s="326"/>
      <c r="F247" s="326"/>
      <c r="G247" s="326"/>
      <c r="H247" s="326"/>
    </row>
    <row r="248" spans="1:8">
      <c r="A248" s="362"/>
      <c r="B248" s="362"/>
      <c r="C248" s="362"/>
      <c r="D248" s="326"/>
      <c r="E248" s="326"/>
      <c r="F248" s="326"/>
      <c r="G248" s="326"/>
      <c r="H248" s="326"/>
    </row>
    <row r="249" spans="1:8">
      <c r="A249" s="362"/>
      <c r="B249" s="362"/>
      <c r="C249" s="362"/>
      <c r="D249" s="326"/>
      <c r="E249" s="326"/>
      <c r="F249" s="326"/>
      <c r="G249" s="326"/>
      <c r="H249" s="326"/>
    </row>
    <row r="250" spans="1:8">
      <c r="A250" s="362"/>
      <c r="B250" s="362"/>
      <c r="C250" s="362"/>
      <c r="D250" s="326"/>
      <c r="E250" s="326"/>
      <c r="F250" s="326"/>
      <c r="G250" s="326"/>
      <c r="H250" s="326"/>
    </row>
    <row r="251" spans="1:8">
      <c r="A251" s="362"/>
      <c r="B251" s="362"/>
      <c r="C251" s="362"/>
      <c r="D251" s="326"/>
      <c r="E251" s="326"/>
      <c r="F251" s="326"/>
      <c r="G251" s="326"/>
      <c r="H251" s="326"/>
    </row>
    <row r="252" spans="1:8">
      <c r="A252" s="362"/>
      <c r="B252" s="362"/>
      <c r="C252" s="362"/>
      <c r="D252" s="326"/>
      <c r="E252" s="326"/>
      <c r="F252" s="326"/>
      <c r="G252" s="326"/>
      <c r="H252" s="326"/>
    </row>
    <row r="253" spans="1:8">
      <c r="A253" s="362"/>
      <c r="B253" s="362"/>
      <c r="C253" s="362"/>
      <c r="D253" s="326"/>
      <c r="E253" s="326"/>
      <c r="F253" s="326"/>
      <c r="G253" s="326"/>
      <c r="H253" s="326"/>
    </row>
    <row r="254" spans="1:8">
      <c r="A254" s="362"/>
      <c r="B254" s="362"/>
      <c r="C254" s="362"/>
      <c r="D254" s="326"/>
      <c r="E254" s="326"/>
      <c r="F254" s="326"/>
      <c r="G254" s="326"/>
      <c r="H254" s="326"/>
    </row>
    <row r="255" spans="1:8">
      <c r="A255" s="362"/>
      <c r="B255" s="362"/>
      <c r="C255" s="362"/>
      <c r="D255" s="326"/>
      <c r="E255" s="326"/>
      <c r="F255" s="326"/>
      <c r="G255" s="326"/>
      <c r="H255" s="326"/>
    </row>
    <row r="256" spans="1:8">
      <c r="A256" s="362"/>
      <c r="B256" s="362"/>
      <c r="C256" s="362"/>
      <c r="D256" s="326"/>
      <c r="E256" s="326"/>
      <c r="F256" s="326"/>
      <c r="G256" s="326"/>
      <c r="H256" s="326"/>
    </row>
    <row r="257" spans="1:8">
      <c r="A257" s="362"/>
      <c r="B257" s="362"/>
      <c r="C257" s="362"/>
      <c r="D257" s="326"/>
      <c r="E257" s="326"/>
      <c r="F257" s="326"/>
      <c r="G257" s="326"/>
      <c r="H257" s="326"/>
    </row>
    <row r="258" spans="1:8">
      <c r="A258" s="362"/>
      <c r="B258" s="362"/>
      <c r="C258" s="362"/>
      <c r="D258" s="326"/>
      <c r="E258" s="326"/>
      <c r="F258" s="326"/>
      <c r="G258" s="326"/>
      <c r="H258" s="326"/>
    </row>
    <row r="259" spans="1:8">
      <c r="A259" s="362"/>
      <c r="B259" s="362"/>
      <c r="C259" s="362"/>
      <c r="D259" s="326"/>
      <c r="E259" s="326"/>
      <c r="F259" s="326"/>
      <c r="G259" s="326"/>
      <c r="H259" s="326"/>
    </row>
    <row r="260" spans="1:8">
      <c r="A260" s="362"/>
      <c r="B260" s="362"/>
      <c r="C260" s="362"/>
      <c r="D260" s="326"/>
      <c r="E260" s="326"/>
      <c r="F260" s="326"/>
      <c r="G260" s="326"/>
      <c r="H260" s="326"/>
    </row>
    <row r="261" spans="1:8">
      <c r="A261" s="362"/>
      <c r="B261" s="362"/>
      <c r="C261" s="362"/>
      <c r="D261" s="326"/>
      <c r="E261" s="326"/>
      <c r="F261" s="326"/>
      <c r="G261" s="326"/>
      <c r="H261" s="326"/>
    </row>
    <row r="262" spans="1:8">
      <c r="A262" s="362"/>
      <c r="B262" s="362"/>
      <c r="C262" s="362"/>
      <c r="D262" s="326"/>
      <c r="E262" s="326"/>
      <c r="F262" s="326"/>
      <c r="G262" s="326"/>
      <c r="H262" s="326"/>
    </row>
    <row r="263" spans="1:8">
      <c r="A263" s="362"/>
      <c r="B263" s="362"/>
      <c r="C263" s="362"/>
      <c r="D263" s="326"/>
      <c r="E263" s="326"/>
      <c r="F263" s="326"/>
      <c r="G263" s="326"/>
      <c r="H263" s="326"/>
    </row>
    <row r="264" spans="1:8">
      <c r="A264" s="362"/>
      <c r="B264" s="362"/>
      <c r="C264" s="362"/>
      <c r="D264" s="326"/>
      <c r="E264" s="326"/>
      <c r="F264" s="326"/>
      <c r="G264" s="326"/>
      <c r="H264" s="326"/>
    </row>
    <row r="265" spans="1:8">
      <c r="A265" s="362"/>
      <c r="B265" s="362"/>
      <c r="C265" s="362"/>
      <c r="D265" s="326"/>
      <c r="E265" s="326"/>
      <c r="F265" s="326"/>
      <c r="G265" s="326"/>
      <c r="H265" s="326"/>
    </row>
    <row r="266" spans="1:8">
      <c r="A266" s="362"/>
      <c r="B266" s="362"/>
      <c r="C266" s="362"/>
      <c r="D266" s="326"/>
      <c r="E266" s="326"/>
      <c r="F266" s="326"/>
      <c r="G266" s="326"/>
      <c r="H266" s="326"/>
    </row>
    <row r="267" spans="1:8">
      <c r="A267" s="362"/>
      <c r="B267" s="362"/>
      <c r="C267" s="362"/>
      <c r="D267" s="326"/>
      <c r="E267" s="326"/>
      <c r="F267" s="326"/>
      <c r="G267" s="326"/>
      <c r="H267" s="326"/>
    </row>
    <row r="268" spans="1:8">
      <c r="A268" s="362"/>
      <c r="B268" s="362"/>
      <c r="C268" s="362"/>
      <c r="D268" s="326"/>
      <c r="E268" s="326"/>
      <c r="F268" s="326"/>
      <c r="G268" s="326"/>
      <c r="H268" s="326"/>
    </row>
    <row r="269" spans="1:8">
      <c r="A269" s="362"/>
      <c r="B269" s="362"/>
      <c r="C269" s="362"/>
      <c r="D269" s="326"/>
      <c r="E269" s="326"/>
      <c r="F269" s="326"/>
      <c r="G269" s="326"/>
      <c r="H269" s="326"/>
    </row>
    <row r="270" spans="1:8">
      <c r="A270" s="362"/>
      <c r="B270" s="362"/>
      <c r="C270" s="362"/>
      <c r="D270" s="326"/>
      <c r="E270" s="326"/>
      <c r="F270" s="326"/>
      <c r="G270" s="326"/>
      <c r="H270" s="326"/>
    </row>
    <row r="271" spans="1:8">
      <c r="A271" s="362"/>
      <c r="B271" s="362"/>
      <c r="C271" s="362"/>
      <c r="D271" s="326"/>
      <c r="E271" s="326"/>
      <c r="F271" s="326"/>
      <c r="G271" s="326"/>
      <c r="H271" s="326"/>
    </row>
    <row r="272" spans="1:8">
      <c r="A272" s="362"/>
      <c r="B272" s="362"/>
      <c r="C272" s="362"/>
      <c r="D272" s="326"/>
      <c r="E272" s="326"/>
      <c r="F272" s="326"/>
      <c r="G272" s="326"/>
      <c r="H272" s="326"/>
    </row>
    <row r="273" spans="1:8">
      <c r="A273" s="362"/>
      <c r="B273" s="362"/>
      <c r="C273" s="362"/>
      <c r="D273" s="326"/>
      <c r="E273" s="326"/>
      <c r="F273" s="326"/>
      <c r="G273" s="326"/>
      <c r="H273" s="326"/>
    </row>
    <row r="274" spans="1:8">
      <c r="A274" s="362"/>
      <c r="B274" s="362"/>
      <c r="C274" s="362"/>
      <c r="D274" s="326"/>
      <c r="E274" s="326"/>
      <c r="F274" s="326"/>
      <c r="G274" s="326"/>
      <c r="H274" s="326"/>
    </row>
    <row r="275" spans="1:8">
      <c r="A275" s="362"/>
      <c r="B275" s="362"/>
      <c r="C275" s="362"/>
      <c r="D275" s="326"/>
      <c r="E275" s="326"/>
      <c r="F275" s="326"/>
      <c r="G275" s="326"/>
      <c r="H275" s="326"/>
    </row>
    <row r="276" spans="1:8">
      <c r="A276" s="362"/>
      <c r="B276" s="362"/>
      <c r="C276" s="362"/>
      <c r="D276" s="326"/>
      <c r="E276" s="326"/>
      <c r="F276" s="326"/>
      <c r="G276" s="326"/>
      <c r="H276" s="326"/>
    </row>
    <row r="277" spans="1:8">
      <c r="A277" s="362"/>
      <c r="B277" s="362"/>
      <c r="C277" s="362"/>
      <c r="D277" s="326"/>
      <c r="E277" s="326"/>
      <c r="F277" s="326"/>
      <c r="G277" s="326"/>
      <c r="H277" s="326"/>
    </row>
    <row r="278" spans="1:8">
      <c r="A278" s="362"/>
      <c r="B278" s="362"/>
      <c r="C278" s="362"/>
      <c r="D278" s="326"/>
      <c r="E278" s="326"/>
      <c r="F278" s="326"/>
      <c r="G278" s="326"/>
      <c r="H278" s="326"/>
    </row>
    <row r="279" spans="1:8">
      <c r="A279" s="362"/>
      <c r="B279" s="362"/>
      <c r="C279" s="362"/>
      <c r="D279" s="326"/>
      <c r="E279" s="326"/>
      <c r="F279" s="326"/>
      <c r="G279" s="326"/>
      <c r="H279" s="326"/>
    </row>
    <row r="280" spans="1:8">
      <c r="A280" s="362"/>
      <c r="B280" s="362"/>
      <c r="C280" s="362"/>
      <c r="D280" s="326"/>
      <c r="E280" s="326"/>
      <c r="F280" s="326"/>
      <c r="G280" s="326"/>
      <c r="H280" s="326"/>
    </row>
    <row r="281" spans="1:8">
      <c r="A281" s="362"/>
      <c r="B281" s="362"/>
      <c r="C281" s="362"/>
      <c r="D281" s="326"/>
      <c r="E281" s="326"/>
      <c r="F281" s="326"/>
      <c r="G281" s="326"/>
      <c r="H281" s="326"/>
    </row>
    <row r="282" spans="1:8">
      <c r="A282" s="362"/>
      <c r="B282" s="362"/>
      <c r="C282" s="362"/>
      <c r="D282" s="326"/>
      <c r="E282" s="326"/>
      <c r="F282" s="326"/>
      <c r="G282" s="326"/>
      <c r="H282" s="326"/>
    </row>
    <row r="283" spans="1:8">
      <c r="A283" s="362"/>
      <c r="B283" s="362"/>
      <c r="C283" s="362"/>
      <c r="D283" s="326"/>
      <c r="E283" s="326"/>
      <c r="F283" s="326"/>
      <c r="G283" s="326"/>
      <c r="H283" s="326"/>
    </row>
    <row r="284" spans="1:8">
      <c r="A284" s="362"/>
      <c r="B284" s="362"/>
      <c r="C284" s="362"/>
      <c r="D284" s="326"/>
      <c r="E284" s="326"/>
      <c r="F284" s="326"/>
      <c r="G284" s="326"/>
      <c r="H284" s="326"/>
    </row>
    <row r="285" spans="1:8">
      <c r="A285" s="362"/>
      <c r="B285" s="362"/>
      <c r="C285" s="362"/>
      <c r="D285" s="326"/>
      <c r="E285" s="326"/>
      <c r="F285" s="326"/>
      <c r="G285" s="326"/>
      <c r="H285" s="326"/>
    </row>
    <row r="286" spans="1:8">
      <c r="A286" s="362"/>
      <c r="B286" s="362"/>
      <c r="C286" s="362"/>
      <c r="D286" s="326"/>
      <c r="E286" s="326"/>
      <c r="F286" s="326"/>
      <c r="G286" s="326"/>
      <c r="H286" s="326"/>
    </row>
    <row r="287" spans="1:8">
      <c r="A287" s="362"/>
      <c r="B287" s="362"/>
      <c r="C287" s="362"/>
      <c r="D287" s="326"/>
      <c r="E287" s="326"/>
      <c r="F287" s="326"/>
      <c r="G287" s="326"/>
      <c r="H287" s="326"/>
    </row>
    <row r="288" spans="1:8">
      <c r="A288" s="362"/>
      <c r="B288" s="362"/>
      <c r="C288" s="362"/>
      <c r="D288" s="326"/>
      <c r="E288" s="326"/>
      <c r="F288" s="326"/>
      <c r="G288" s="326"/>
      <c r="H288" s="326"/>
    </row>
    <row r="289" spans="1:8">
      <c r="A289" s="362"/>
      <c r="B289" s="362"/>
      <c r="C289" s="362"/>
      <c r="D289" s="326"/>
      <c r="E289" s="326"/>
      <c r="F289" s="326"/>
      <c r="G289" s="326"/>
      <c r="H289" s="326"/>
    </row>
    <row r="290" spans="1:8">
      <c r="A290" s="362"/>
      <c r="B290" s="362"/>
      <c r="C290" s="362"/>
      <c r="D290" s="326"/>
      <c r="E290" s="326"/>
      <c r="F290" s="326"/>
      <c r="G290" s="326"/>
      <c r="H290" s="326"/>
    </row>
    <row r="291" spans="1:8">
      <c r="A291" s="362"/>
      <c r="B291" s="362"/>
      <c r="C291" s="362"/>
      <c r="D291" s="326"/>
      <c r="E291" s="326"/>
      <c r="F291" s="326"/>
      <c r="G291" s="326"/>
      <c r="H291" s="326"/>
    </row>
    <row r="292" spans="1:8">
      <c r="A292" s="362"/>
      <c r="B292" s="362"/>
      <c r="C292" s="362"/>
      <c r="D292" s="326"/>
      <c r="E292" s="326"/>
      <c r="F292" s="326"/>
      <c r="G292" s="326"/>
      <c r="H292" s="326"/>
    </row>
    <row r="293" spans="1:8">
      <c r="A293" s="362"/>
      <c r="B293" s="362"/>
      <c r="C293" s="362"/>
      <c r="D293" s="326"/>
      <c r="E293" s="326"/>
      <c r="F293" s="326"/>
      <c r="G293" s="326"/>
      <c r="H293" s="326"/>
    </row>
    <row r="294" spans="1:8">
      <c r="A294" s="362"/>
      <c r="B294" s="362"/>
      <c r="C294" s="362"/>
      <c r="D294" s="326"/>
      <c r="E294" s="326"/>
      <c r="F294" s="326"/>
      <c r="G294" s="326"/>
      <c r="H294" s="326"/>
    </row>
    <row r="295" spans="1:8">
      <c r="A295" s="362"/>
      <c r="B295" s="362"/>
      <c r="C295" s="362"/>
      <c r="D295" s="326"/>
      <c r="E295" s="326"/>
      <c r="F295" s="326"/>
      <c r="G295" s="326"/>
      <c r="H295" s="326"/>
    </row>
    <row r="296" spans="1:8">
      <c r="A296" s="362"/>
      <c r="B296" s="362"/>
      <c r="C296" s="362"/>
      <c r="D296" s="326"/>
      <c r="E296" s="326"/>
      <c r="F296" s="326"/>
      <c r="G296" s="326"/>
      <c r="H296" s="326"/>
    </row>
    <row r="297" spans="1:8">
      <c r="A297" s="362"/>
      <c r="B297" s="362"/>
      <c r="C297" s="362"/>
      <c r="D297" s="326"/>
      <c r="E297" s="326"/>
      <c r="F297" s="326"/>
      <c r="G297" s="326"/>
      <c r="H297" s="326"/>
    </row>
    <row r="298" spans="1:8">
      <c r="A298" s="362"/>
      <c r="B298" s="362"/>
      <c r="C298" s="362"/>
      <c r="D298" s="326"/>
      <c r="E298" s="326"/>
      <c r="F298" s="326"/>
      <c r="G298" s="326"/>
      <c r="H298" s="326"/>
    </row>
    <row r="299" spans="1:8">
      <c r="A299" s="362"/>
      <c r="B299" s="362"/>
      <c r="C299" s="362"/>
      <c r="D299" s="326"/>
      <c r="E299" s="326"/>
      <c r="F299" s="326"/>
      <c r="G299" s="326"/>
      <c r="H299" s="326"/>
    </row>
    <row r="300" spans="1:8">
      <c r="A300" s="362"/>
      <c r="B300" s="362"/>
      <c r="C300" s="362"/>
      <c r="D300" s="326"/>
      <c r="E300" s="326"/>
      <c r="F300" s="326"/>
      <c r="G300" s="326"/>
      <c r="H300" s="326"/>
    </row>
    <row r="301" spans="1:8">
      <c r="A301" s="362"/>
      <c r="B301" s="362"/>
      <c r="C301" s="362"/>
      <c r="D301" s="326"/>
      <c r="E301" s="326"/>
      <c r="F301" s="326"/>
      <c r="G301" s="326"/>
      <c r="H301" s="326"/>
    </row>
    <row r="302" spans="1:8">
      <c r="A302" s="362"/>
      <c r="B302" s="362"/>
      <c r="C302" s="362"/>
      <c r="D302" s="326"/>
      <c r="E302" s="326"/>
      <c r="F302" s="326"/>
      <c r="G302" s="326"/>
      <c r="H302" s="326"/>
    </row>
    <row r="303" spans="1:8">
      <c r="A303" s="362"/>
      <c r="B303" s="362"/>
      <c r="C303" s="362"/>
      <c r="D303" s="326"/>
      <c r="E303" s="326"/>
      <c r="F303" s="326"/>
      <c r="G303" s="326"/>
      <c r="H303" s="326"/>
    </row>
    <row r="304" spans="1:8">
      <c r="A304" s="362"/>
      <c r="B304" s="362"/>
      <c r="C304" s="362"/>
      <c r="D304" s="326"/>
      <c r="E304" s="326"/>
      <c r="F304" s="326"/>
      <c r="G304" s="326"/>
      <c r="H304" s="326"/>
    </row>
    <row r="305" spans="1:8">
      <c r="A305" s="362"/>
      <c r="B305" s="362"/>
      <c r="C305" s="362"/>
      <c r="D305" s="326"/>
      <c r="E305" s="326"/>
      <c r="F305" s="326"/>
      <c r="G305" s="326"/>
      <c r="H305" s="326"/>
    </row>
    <row r="306" spans="1:8">
      <c r="A306" s="362"/>
      <c r="B306" s="362"/>
      <c r="C306" s="362"/>
      <c r="D306" s="326"/>
      <c r="E306" s="326"/>
      <c r="F306" s="326"/>
      <c r="G306" s="326"/>
      <c r="H306" s="326"/>
    </row>
    <row r="307" spans="1:8">
      <c r="A307" s="362"/>
      <c r="B307" s="362"/>
      <c r="C307" s="362"/>
      <c r="D307" s="326"/>
      <c r="E307" s="326"/>
      <c r="F307" s="326"/>
      <c r="G307" s="326"/>
      <c r="H307" s="326"/>
    </row>
    <row r="308" spans="1:8">
      <c r="A308" s="362"/>
      <c r="B308" s="362"/>
      <c r="C308" s="362"/>
      <c r="D308" s="326"/>
      <c r="E308" s="326"/>
      <c r="F308" s="326"/>
      <c r="G308" s="326"/>
      <c r="H308" s="326"/>
    </row>
    <row r="309" spans="1:8">
      <c r="A309" s="362"/>
      <c r="B309" s="362"/>
      <c r="C309" s="362"/>
      <c r="D309" s="326"/>
      <c r="E309" s="326"/>
      <c r="F309" s="326"/>
      <c r="G309" s="326"/>
      <c r="H309" s="326"/>
    </row>
    <row r="310" spans="1:8">
      <c r="A310" s="362"/>
      <c r="B310" s="362"/>
      <c r="C310" s="362"/>
      <c r="D310" s="326"/>
      <c r="E310" s="326"/>
      <c r="F310" s="326"/>
      <c r="G310" s="326"/>
      <c r="H310" s="326"/>
    </row>
    <row r="311" spans="1:8">
      <c r="A311" s="362"/>
      <c r="B311" s="362"/>
      <c r="C311" s="362"/>
      <c r="D311" s="326"/>
      <c r="E311" s="326"/>
      <c r="F311" s="326"/>
      <c r="G311" s="326"/>
      <c r="H311" s="326"/>
    </row>
    <row r="312" spans="1:8">
      <c r="A312" s="362"/>
      <c r="B312" s="362"/>
      <c r="C312" s="362"/>
      <c r="D312" s="326"/>
      <c r="E312" s="326"/>
      <c r="F312" s="326"/>
      <c r="G312" s="326"/>
      <c r="H312" s="326"/>
    </row>
    <row r="313" spans="1:8">
      <c r="A313" s="362"/>
      <c r="B313" s="362"/>
      <c r="C313" s="362"/>
      <c r="D313" s="326"/>
      <c r="E313" s="326"/>
      <c r="F313" s="326"/>
      <c r="G313" s="326"/>
      <c r="H313" s="326"/>
    </row>
    <row r="314" spans="1:8">
      <c r="A314" s="362"/>
      <c r="B314" s="362"/>
      <c r="C314" s="362"/>
      <c r="D314" s="326"/>
      <c r="E314" s="326"/>
      <c r="F314" s="326"/>
      <c r="G314" s="326"/>
      <c r="H314" s="326"/>
    </row>
    <row r="315" spans="1:8">
      <c r="A315" s="362"/>
      <c r="B315" s="362"/>
      <c r="C315" s="362"/>
      <c r="D315" s="326"/>
      <c r="E315" s="326"/>
      <c r="F315" s="326"/>
      <c r="G315" s="326"/>
      <c r="H315" s="326"/>
    </row>
    <row r="316" spans="1:8">
      <c r="A316" s="362"/>
      <c r="B316" s="362"/>
      <c r="C316" s="362"/>
      <c r="D316" s="326"/>
      <c r="E316" s="326"/>
      <c r="F316" s="326"/>
      <c r="G316" s="326"/>
      <c r="H316" s="326"/>
    </row>
    <row r="317" spans="1:8">
      <c r="A317" s="362"/>
      <c r="B317" s="362"/>
      <c r="C317" s="362"/>
      <c r="D317" s="326"/>
      <c r="E317" s="326"/>
      <c r="F317" s="326"/>
      <c r="G317" s="326"/>
      <c r="H317" s="326"/>
    </row>
    <row r="318" spans="1:8">
      <c r="A318" s="362"/>
      <c r="B318" s="362"/>
      <c r="C318" s="362"/>
      <c r="D318" s="326"/>
      <c r="E318" s="326"/>
      <c r="F318" s="326"/>
      <c r="G318" s="326"/>
      <c r="H318" s="326"/>
    </row>
    <row r="319" spans="1:8">
      <c r="A319" s="362"/>
      <c r="B319" s="362"/>
      <c r="C319" s="362"/>
      <c r="D319" s="326"/>
      <c r="E319" s="326"/>
      <c r="F319" s="326"/>
      <c r="G319" s="326"/>
      <c r="H319" s="326"/>
    </row>
    <row r="320" spans="1:8">
      <c r="A320" s="362"/>
      <c r="B320" s="362"/>
      <c r="C320" s="362"/>
      <c r="D320" s="326"/>
      <c r="E320" s="326"/>
      <c r="F320" s="326"/>
      <c r="G320" s="326"/>
      <c r="H320" s="326"/>
    </row>
    <row r="321" spans="1:8">
      <c r="A321" s="362"/>
      <c r="B321" s="362"/>
      <c r="C321" s="362"/>
      <c r="D321" s="326"/>
      <c r="E321" s="326"/>
      <c r="F321" s="326"/>
      <c r="G321" s="326"/>
      <c r="H321" s="326"/>
    </row>
    <row r="322" spans="1:8">
      <c r="A322" s="362"/>
      <c r="B322" s="362"/>
      <c r="C322" s="362"/>
      <c r="D322" s="326"/>
      <c r="E322" s="326"/>
      <c r="F322" s="326"/>
      <c r="G322" s="326"/>
      <c r="H322" s="326"/>
    </row>
    <row r="323" spans="1:8">
      <c r="A323" s="362"/>
      <c r="B323" s="362"/>
      <c r="C323" s="362"/>
      <c r="D323" s="326"/>
      <c r="E323" s="326"/>
      <c r="F323" s="326"/>
      <c r="G323" s="326"/>
      <c r="H323" s="326"/>
    </row>
    <row r="324" spans="1:8">
      <c r="A324" s="362"/>
      <c r="B324" s="362"/>
      <c r="C324" s="362"/>
      <c r="D324" s="326"/>
      <c r="E324" s="326"/>
      <c r="F324" s="326"/>
      <c r="G324" s="326"/>
      <c r="H324" s="326"/>
    </row>
    <row r="325" spans="1:8">
      <c r="A325" s="362"/>
      <c r="B325" s="362"/>
      <c r="C325" s="362"/>
      <c r="D325" s="326"/>
      <c r="E325" s="326"/>
      <c r="F325" s="326"/>
      <c r="G325" s="326"/>
      <c r="H325" s="326"/>
    </row>
    <row r="326" spans="1:8">
      <c r="A326" s="362"/>
      <c r="B326" s="362"/>
      <c r="C326" s="362"/>
      <c r="D326" s="326"/>
      <c r="E326" s="326"/>
      <c r="F326" s="326"/>
      <c r="G326" s="326"/>
      <c r="H326" s="326"/>
    </row>
    <row r="327" spans="1:8">
      <c r="A327" s="362"/>
      <c r="B327" s="362"/>
      <c r="C327" s="362"/>
      <c r="D327" s="326"/>
      <c r="E327" s="326"/>
      <c r="F327" s="326"/>
      <c r="G327" s="326"/>
      <c r="H327" s="326"/>
    </row>
    <row r="328" spans="1:8">
      <c r="A328" s="362"/>
      <c r="B328" s="362"/>
      <c r="C328" s="362"/>
      <c r="D328" s="326"/>
      <c r="E328" s="326"/>
      <c r="F328" s="326"/>
      <c r="G328" s="326"/>
      <c r="H328" s="326"/>
    </row>
    <row r="329" spans="1:8">
      <c r="A329" s="362"/>
      <c r="B329" s="362"/>
      <c r="C329" s="362"/>
      <c r="D329" s="326"/>
      <c r="E329" s="326"/>
      <c r="F329" s="326"/>
      <c r="G329" s="326"/>
      <c r="H329" s="326"/>
    </row>
    <row r="330" spans="1:8">
      <c r="A330" s="362"/>
      <c r="B330" s="362"/>
      <c r="C330" s="362"/>
      <c r="D330" s="326"/>
      <c r="E330" s="326"/>
      <c r="F330" s="326"/>
      <c r="G330" s="326"/>
      <c r="H330" s="326"/>
    </row>
    <row r="331" spans="1:8">
      <c r="A331" s="362"/>
      <c r="B331" s="362"/>
      <c r="C331" s="362"/>
      <c r="D331" s="326"/>
      <c r="E331" s="326"/>
      <c r="F331" s="326"/>
      <c r="G331" s="326"/>
      <c r="H331" s="326"/>
    </row>
    <row r="332" spans="1:8">
      <c r="A332" s="362"/>
      <c r="B332" s="362"/>
      <c r="C332" s="362"/>
      <c r="D332" s="326"/>
      <c r="E332" s="326"/>
      <c r="F332" s="326"/>
      <c r="G332" s="326"/>
      <c r="H332" s="326"/>
    </row>
    <row r="333" spans="1:8">
      <c r="A333" s="362"/>
      <c r="B333" s="362"/>
      <c r="C333" s="362"/>
      <c r="D333" s="326"/>
      <c r="E333" s="326"/>
      <c r="F333" s="326"/>
      <c r="G333" s="326"/>
      <c r="H333" s="326"/>
    </row>
    <row r="334" spans="1:8">
      <c r="A334" s="362"/>
      <c r="B334" s="362"/>
      <c r="C334" s="362"/>
      <c r="D334" s="326"/>
      <c r="E334" s="326"/>
      <c r="F334" s="326"/>
      <c r="G334" s="326"/>
      <c r="H334" s="326"/>
    </row>
    <row r="335" spans="1:8">
      <c r="A335" s="362"/>
      <c r="B335" s="362"/>
      <c r="C335" s="362"/>
      <c r="D335" s="326"/>
      <c r="E335" s="326"/>
      <c r="F335" s="326"/>
      <c r="G335" s="326"/>
      <c r="H335" s="326"/>
    </row>
    <row r="336" spans="1:8">
      <c r="A336" s="362"/>
      <c r="B336" s="362"/>
      <c r="C336" s="362"/>
      <c r="D336" s="326"/>
      <c r="E336" s="326"/>
      <c r="F336" s="326"/>
      <c r="G336" s="326"/>
      <c r="H336" s="326"/>
    </row>
    <row r="337" spans="1:8">
      <c r="A337" s="362"/>
      <c r="B337" s="362"/>
      <c r="C337" s="362"/>
      <c r="D337" s="326"/>
      <c r="E337" s="326"/>
      <c r="F337" s="326"/>
      <c r="G337" s="326"/>
      <c r="H337" s="326"/>
    </row>
    <row r="338" spans="1:8">
      <c r="A338" s="362"/>
      <c r="B338" s="362"/>
      <c r="C338" s="362"/>
      <c r="D338" s="326"/>
      <c r="E338" s="326"/>
      <c r="F338" s="326"/>
      <c r="G338" s="326"/>
      <c r="H338" s="326"/>
    </row>
    <row r="339" spans="1:8">
      <c r="A339" s="362"/>
      <c r="B339" s="362"/>
      <c r="C339" s="362"/>
      <c r="D339" s="326"/>
      <c r="E339" s="326"/>
      <c r="F339" s="326"/>
      <c r="G339" s="326"/>
      <c r="H339" s="326"/>
    </row>
    <row r="340" spans="1:8">
      <c r="A340" s="362"/>
      <c r="B340" s="362"/>
      <c r="C340" s="362"/>
      <c r="D340" s="326"/>
      <c r="E340" s="326"/>
      <c r="F340" s="326"/>
      <c r="G340" s="326"/>
      <c r="H340" s="326"/>
    </row>
    <row r="341" spans="1:8">
      <c r="A341" s="362"/>
      <c r="B341" s="362"/>
      <c r="C341" s="362"/>
      <c r="D341" s="326"/>
      <c r="E341" s="326"/>
      <c r="F341" s="326"/>
      <c r="G341" s="326"/>
      <c r="H341" s="326"/>
    </row>
    <row r="342" spans="1:8">
      <c r="A342" s="362"/>
      <c r="B342" s="362"/>
      <c r="C342" s="362"/>
      <c r="D342" s="326"/>
      <c r="E342" s="326"/>
      <c r="F342" s="326"/>
      <c r="G342" s="326"/>
      <c r="H342" s="326"/>
    </row>
    <row r="343" spans="1:8">
      <c r="A343" s="362"/>
      <c r="B343" s="362"/>
      <c r="C343" s="362"/>
      <c r="D343" s="326"/>
      <c r="E343" s="326"/>
      <c r="F343" s="326"/>
      <c r="G343" s="326"/>
      <c r="H343" s="326"/>
    </row>
    <row r="344" spans="1:8">
      <c r="A344" s="362"/>
      <c r="B344" s="362"/>
      <c r="C344" s="362"/>
      <c r="D344" s="326"/>
      <c r="E344" s="326"/>
      <c r="F344" s="326"/>
      <c r="G344" s="326"/>
      <c r="H344" s="326"/>
    </row>
    <row r="345" spans="1:8">
      <c r="A345" s="362"/>
      <c r="B345" s="362"/>
      <c r="C345" s="362"/>
      <c r="D345" s="326"/>
      <c r="E345" s="326"/>
      <c r="F345" s="326"/>
      <c r="G345" s="326"/>
      <c r="H345" s="326"/>
    </row>
    <row r="346" spans="1:8">
      <c r="A346" s="362"/>
      <c r="B346" s="362"/>
      <c r="C346" s="362"/>
      <c r="D346" s="326"/>
      <c r="E346" s="326"/>
      <c r="F346" s="326"/>
      <c r="G346" s="326"/>
      <c r="H346" s="326"/>
    </row>
    <row r="347" spans="1:8">
      <c r="A347" s="362"/>
      <c r="B347" s="362"/>
      <c r="C347" s="362"/>
      <c r="D347" s="326"/>
      <c r="E347" s="326"/>
      <c r="F347" s="326"/>
      <c r="G347" s="326"/>
      <c r="H347" s="326"/>
    </row>
    <row r="348" spans="1:8">
      <c r="A348" s="362"/>
      <c r="B348" s="362"/>
      <c r="C348" s="362"/>
      <c r="D348" s="326"/>
      <c r="E348" s="326"/>
      <c r="F348" s="326"/>
      <c r="G348" s="326"/>
      <c r="H348" s="326"/>
    </row>
    <row r="349" spans="1:8">
      <c r="A349" s="362"/>
      <c r="B349" s="362"/>
      <c r="C349" s="362"/>
      <c r="D349" s="326"/>
      <c r="E349" s="326"/>
      <c r="F349" s="326"/>
      <c r="G349" s="326"/>
      <c r="H349" s="326"/>
    </row>
    <row r="350" spans="1:8">
      <c r="A350" s="362"/>
      <c r="B350" s="362"/>
      <c r="C350" s="362"/>
      <c r="D350" s="326"/>
      <c r="E350" s="326"/>
      <c r="F350" s="326"/>
      <c r="G350" s="326"/>
      <c r="H350" s="326"/>
    </row>
    <row r="351" spans="1:8">
      <c r="A351" s="362"/>
      <c r="B351" s="362"/>
      <c r="C351" s="362"/>
      <c r="D351" s="326"/>
      <c r="E351" s="326"/>
      <c r="F351" s="326"/>
      <c r="G351" s="326"/>
      <c r="H351" s="326"/>
    </row>
    <row r="352" spans="1:8">
      <c r="A352" s="362"/>
      <c r="B352" s="362"/>
      <c r="C352" s="362"/>
      <c r="D352" s="326"/>
      <c r="E352" s="326"/>
      <c r="F352" s="326"/>
      <c r="G352" s="326"/>
      <c r="H352" s="326"/>
    </row>
    <row r="353" spans="1:8">
      <c r="A353" s="362"/>
      <c r="B353" s="362"/>
      <c r="C353" s="362"/>
      <c r="D353" s="326"/>
      <c r="E353" s="326"/>
      <c r="F353" s="326"/>
      <c r="G353" s="326"/>
      <c r="H353" s="326"/>
    </row>
    <row r="354" spans="1:8">
      <c r="A354" s="362"/>
      <c r="B354" s="362"/>
      <c r="C354" s="362"/>
      <c r="D354" s="326"/>
      <c r="E354" s="326"/>
      <c r="F354" s="326"/>
      <c r="G354" s="326"/>
      <c r="H354" s="326"/>
    </row>
    <row r="355" spans="1:8">
      <c r="A355" s="362"/>
      <c r="B355" s="362"/>
      <c r="C355" s="362"/>
      <c r="D355" s="326"/>
      <c r="E355" s="326"/>
      <c r="F355" s="326"/>
      <c r="G355" s="326"/>
      <c r="H355" s="326"/>
    </row>
    <row r="356" spans="1:8">
      <c r="A356" s="362"/>
      <c r="B356" s="362"/>
      <c r="C356" s="362"/>
      <c r="D356" s="326"/>
      <c r="E356" s="326"/>
      <c r="F356" s="326"/>
      <c r="G356" s="326"/>
      <c r="H356" s="326"/>
    </row>
    <row r="357" spans="1:8">
      <c r="A357" s="362"/>
      <c r="B357" s="362"/>
      <c r="C357" s="362"/>
      <c r="D357" s="326"/>
      <c r="E357" s="326"/>
      <c r="F357" s="326"/>
      <c r="G357" s="326"/>
      <c r="H357" s="326"/>
    </row>
    <row r="358" spans="1:8">
      <c r="A358" s="362"/>
      <c r="B358" s="362"/>
      <c r="C358" s="362"/>
      <c r="D358" s="326"/>
      <c r="E358" s="326"/>
      <c r="F358" s="326"/>
      <c r="G358" s="326"/>
      <c r="H358" s="326"/>
    </row>
    <row r="359" spans="1:8">
      <c r="A359" s="362"/>
      <c r="B359" s="362"/>
      <c r="C359" s="362"/>
      <c r="D359" s="326"/>
      <c r="E359" s="326"/>
      <c r="F359" s="326"/>
      <c r="G359" s="326"/>
      <c r="H359" s="326"/>
    </row>
    <row r="360" spans="1:8">
      <c r="A360" s="362"/>
      <c r="B360" s="362"/>
      <c r="C360" s="362"/>
      <c r="D360" s="326"/>
      <c r="E360" s="326"/>
      <c r="F360" s="326"/>
      <c r="G360" s="326"/>
      <c r="H360" s="326"/>
    </row>
    <row r="361" spans="1:8">
      <c r="A361" s="362"/>
      <c r="B361" s="362"/>
      <c r="C361" s="362"/>
      <c r="D361" s="326"/>
      <c r="E361" s="326"/>
      <c r="F361" s="326"/>
      <c r="G361" s="326"/>
      <c r="H361" s="326"/>
    </row>
    <row r="362" spans="1:8">
      <c r="A362" s="362"/>
      <c r="B362" s="362"/>
      <c r="C362" s="362"/>
      <c r="D362" s="326"/>
      <c r="E362" s="326"/>
      <c r="F362" s="326"/>
      <c r="G362" s="326"/>
      <c r="H362" s="326"/>
    </row>
    <row r="363" spans="1:8">
      <c r="A363" s="362"/>
      <c r="B363" s="362"/>
      <c r="C363" s="362"/>
      <c r="D363" s="326"/>
      <c r="E363" s="326"/>
      <c r="F363" s="326"/>
      <c r="G363" s="326"/>
      <c r="H363" s="326"/>
    </row>
    <row r="364" spans="1:8">
      <c r="A364" s="362"/>
      <c r="B364" s="362"/>
      <c r="C364" s="362"/>
      <c r="D364" s="326"/>
      <c r="E364" s="326"/>
      <c r="F364" s="326"/>
      <c r="G364" s="326"/>
      <c r="H364" s="326"/>
    </row>
    <row r="365" spans="1:8">
      <c r="A365" s="362"/>
      <c r="B365" s="362"/>
      <c r="C365" s="362"/>
      <c r="D365" s="326"/>
      <c r="E365" s="326"/>
      <c r="F365" s="326"/>
      <c r="G365" s="326"/>
      <c r="H365" s="326"/>
    </row>
    <row r="366" spans="1:8">
      <c r="A366" s="362"/>
      <c r="B366" s="362"/>
      <c r="C366" s="362"/>
      <c r="D366" s="326"/>
      <c r="E366" s="326"/>
      <c r="F366" s="326"/>
      <c r="G366" s="326"/>
      <c r="H366" s="326"/>
    </row>
    <row r="367" spans="1:8">
      <c r="A367" s="362"/>
      <c r="B367" s="362"/>
      <c r="C367" s="362"/>
      <c r="D367" s="326"/>
      <c r="E367" s="326"/>
      <c r="F367" s="326"/>
      <c r="G367" s="326"/>
      <c r="H367" s="326"/>
    </row>
    <row r="368" spans="1:8">
      <c r="A368" s="362"/>
      <c r="B368" s="362"/>
      <c r="C368" s="362"/>
      <c r="D368" s="326"/>
      <c r="E368" s="326"/>
      <c r="F368" s="326"/>
      <c r="G368" s="326"/>
      <c r="H368" s="326"/>
    </row>
    <row r="369" spans="1:8">
      <c r="A369" s="362"/>
      <c r="B369" s="362"/>
      <c r="C369" s="362"/>
      <c r="D369" s="326"/>
      <c r="E369" s="326"/>
      <c r="F369" s="326"/>
      <c r="G369" s="326"/>
      <c r="H369" s="326"/>
    </row>
    <row r="370" spans="1:8">
      <c r="A370" s="362"/>
      <c r="B370" s="362"/>
      <c r="C370" s="362"/>
      <c r="D370" s="326"/>
      <c r="E370" s="326"/>
      <c r="F370" s="326"/>
      <c r="G370" s="326"/>
      <c r="H370" s="326"/>
    </row>
    <row r="371" spans="1:8">
      <c r="A371" s="362"/>
      <c r="B371" s="362"/>
      <c r="C371" s="362"/>
      <c r="D371" s="326"/>
      <c r="E371" s="326"/>
      <c r="F371" s="326"/>
      <c r="G371" s="326"/>
      <c r="H371" s="326"/>
    </row>
    <row r="372" spans="1:8">
      <c r="A372" s="362"/>
      <c r="B372" s="362"/>
      <c r="C372" s="362"/>
      <c r="D372" s="326"/>
      <c r="E372" s="326"/>
      <c r="F372" s="326"/>
      <c r="G372" s="326"/>
      <c r="H372" s="326"/>
    </row>
    <row r="373" spans="1:8">
      <c r="A373" s="362"/>
      <c r="B373" s="362"/>
      <c r="C373" s="362"/>
      <c r="D373" s="326"/>
      <c r="E373" s="326"/>
      <c r="F373" s="326"/>
      <c r="G373" s="326"/>
      <c r="H373" s="326"/>
    </row>
    <row r="374" spans="1:8">
      <c r="A374" s="362"/>
      <c r="B374" s="362"/>
      <c r="C374" s="362"/>
      <c r="D374" s="326"/>
      <c r="E374" s="326"/>
      <c r="F374" s="326"/>
      <c r="G374" s="326"/>
      <c r="H374" s="326"/>
    </row>
    <row r="375" spans="1:8">
      <c r="A375" s="362"/>
      <c r="B375" s="362"/>
      <c r="C375" s="362"/>
      <c r="D375" s="326"/>
      <c r="E375" s="326"/>
      <c r="F375" s="326"/>
      <c r="G375" s="326"/>
      <c r="H375" s="326"/>
    </row>
    <row r="376" spans="1:8">
      <c r="A376" s="362"/>
      <c r="B376" s="362"/>
      <c r="C376" s="362"/>
      <c r="D376" s="326"/>
      <c r="E376" s="326"/>
      <c r="F376" s="326"/>
      <c r="G376" s="326"/>
      <c r="H376" s="326"/>
    </row>
    <row r="377" spans="1:8">
      <c r="A377" s="362"/>
      <c r="B377" s="362"/>
      <c r="C377" s="362"/>
      <c r="D377" s="326"/>
      <c r="E377" s="326"/>
      <c r="F377" s="326"/>
      <c r="G377" s="326"/>
      <c r="H377" s="326"/>
    </row>
    <row r="378" spans="1:8">
      <c r="A378" s="362"/>
      <c r="B378" s="362"/>
      <c r="C378" s="362"/>
      <c r="D378" s="326"/>
      <c r="E378" s="326"/>
      <c r="F378" s="326"/>
      <c r="G378" s="326"/>
      <c r="H378" s="326"/>
    </row>
    <row r="379" spans="1:8">
      <c r="A379" s="362"/>
      <c r="B379" s="362"/>
      <c r="C379" s="362"/>
      <c r="D379" s="326"/>
      <c r="E379" s="326"/>
      <c r="F379" s="326"/>
      <c r="G379" s="326"/>
      <c r="H379" s="326"/>
    </row>
    <row r="380" spans="1:8">
      <c r="A380" s="362"/>
      <c r="B380" s="362"/>
      <c r="C380" s="362"/>
      <c r="D380" s="326"/>
      <c r="E380" s="326"/>
      <c r="F380" s="326"/>
      <c r="G380" s="326"/>
      <c r="H380" s="326"/>
    </row>
    <row r="381" spans="1:8">
      <c r="A381" s="362"/>
      <c r="B381" s="362"/>
      <c r="C381" s="362"/>
      <c r="D381" s="326"/>
      <c r="E381" s="326"/>
      <c r="F381" s="326"/>
      <c r="G381" s="326"/>
      <c r="H381" s="326"/>
    </row>
    <row r="382" spans="1:8">
      <c r="A382" s="362"/>
      <c r="B382" s="362"/>
      <c r="C382" s="362"/>
      <c r="D382" s="326"/>
      <c r="E382" s="326"/>
      <c r="F382" s="326"/>
      <c r="G382" s="326"/>
      <c r="H382" s="326"/>
    </row>
    <row r="383" spans="1:8">
      <c r="A383" s="362"/>
      <c r="B383" s="362"/>
      <c r="C383" s="362"/>
      <c r="D383" s="326"/>
      <c r="E383" s="326"/>
      <c r="F383" s="326"/>
      <c r="G383" s="326"/>
      <c r="H383" s="326"/>
    </row>
    <row r="384" spans="1:8">
      <c r="A384" s="362"/>
      <c r="B384" s="362"/>
      <c r="C384" s="362"/>
      <c r="D384" s="326"/>
      <c r="E384" s="326"/>
      <c r="F384" s="326"/>
      <c r="G384" s="326"/>
      <c r="H384" s="326"/>
    </row>
    <row r="385" spans="1:8">
      <c r="A385" s="362"/>
      <c r="B385" s="362"/>
      <c r="C385" s="362"/>
      <c r="D385" s="326"/>
      <c r="E385" s="326"/>
      <c r="F385" s="326"/>
      <c r="G385" s="326"/>
      <c r="H385" s="326"/>
    </row>
    <row r="386" spans="1:8">
      <c r="A386" s="362"/>
      <c r="B386" s="362"/>
      <c r="C386" s="362"/>
      <c r="D386" s="326"/>
      <c r="E386" s="326"/>
      <c r="F386" s="326"/>
      <c r="G386" s="326"/>
      <c r="H386" s="326"/>
    </row>
    <row r="387" spans="1:8">
      <c r="A387" s="362"/>
      <c r="B387" s="362"/>
      <c r="C387" s="362"/>
      <c r="D387" s="326"/>
      <c r="E387" s="326"/>
      <c r="F387" s="326"/>
      <c r="G387" s="326"/>
      <c r="H387" s="326"/>
    </row>
    <row r="388" spans="1:8">
      <c r="A388" s="362"/>
      <c r="B388" s="362"/>
      <c r="C388" s="362"/>
      <c r="D388" s="326"/>
      <c r="E388" s="326"/>
      <c r="F388" s="326"/>
      <c r="G388" s="326"/>
      <c r="H388" s="326"/>
    </row>
    <row r="389" spans="1:8">
      <c r="A389" s="362"/>
      <c r="B389" s="362"/>
      <c r="C389" s="362"/>
      <c r="D389" s="326"/>
      <c r="E389" s="326"/>
      <c r="F389" s="326"/>
      <c r="G389" s="326"/>
      <c r="H389" s="326"/>
    </row>
    <row r="390" spans="1:8">
      <c r="A390" s="362"/>
      <c r="B390" s="362"/>
      <c r="C390" s="362"/>
      <c r="D390" s="326"/>
      <c r="E390" s="326"/>
      <c r="F390" s="326"/>
      <c r="G390" s="326"/>
      <c r="H390" s="326"/>
    </row>
    <row r="391" spans="1:8">
      <c r="A391" s="362"/>
      <c r="B391" s="362"/>
      <c r="C391" s="362"/>
      <c r="D391" s="326"/>
      <c r="E391" s="326"/>
      <c r="F391" s="326"/>
      <c r="G391" s="326"/>
      <c r="H391" s="326"/>
    </row>
    <row r="392" spans="1:8">
      <c r="A392" s="362"/>
      <c r="B392" s="362"/>
      <c r="C392" s="362"/>
      <c r="D392" s="326"/>
      <c r="E392" s="326"/>
      <c r="F392" s="326"/>
      <c r="G392" s="326"/>
      <c r="H392" s="326"/>
    </row>
    <row r="393" spans="1:8">
      <c r="A393" s="362"/>
      <c r="B393" s="362"/>
      <c r="C393" s="362"/>
      <c r="D393" s="326"/>
      <c r="E393" s="326"/>
      <c r="F393" s="326"/>
      <c r="G393" s="326"/>
      <c r="H393" s="326"/>
    </row>
    <row r="394" spans="1:8">
      <c r="A394" s="362"/>
      <c r="B394" s="362"/>
      <c r="C394" s="362"/>
      <c r="D394" s="326"/>
      <c r="E394" s="326"/>
      <c r="F394" s="326"/>
      <c r="G394" s="326"/>
      <c r="H394" s="326"/>
    </row>
    <row r="395" spans="1:8">
      <c r="A395" s="362"/>
      <c r="B395" s="362"/>
      <c r="C395" s="362"/>
      <c r="D395" s="326"/>
      <c r="E395" s="326"/>
      <c r="F395" s="326"/>
      <c r="G395" s="326"/>
      <c r="H395" s="326"/>
    </row>
    <row r="396" spans="1:8">
      <c r="A396" s="362"/>
      <c r="B396" s="362"/>
      <c r="C396" s="362"/>
      <c r="D396" s="326"/>
      <c r="E396" s="326"/>
      <c r="F396" s="326"/>
      <c r="G396" s="326"/>
      <c r="H396" s="326"/>
    </row>
    <row r="397" spans="1:8">
      <c r="A397" s="362"/>
      <c r="B397" s="362"/>
      <c r="C397" s="362"/>
      <c r="D397" s="326"/>
      <c r="E397" s="326"/>
      <c r="F397" s="326"/>
      <c r="G397" s="326"/>
      <c r="H397" s="326"/>
    </row>
    <row r="398" spans="1:8">
      <c r="A398" s="362"/>
      <c r="B398" s="362"/>
      <c r="C398" s="362"/>
      <c r="D398" s="326"/>
      <c r="E398" s="326"/>
      <c r="F398" s="326"/>
      <c r="G398" s="326"/>
      <c r="H398" s="326"/>
    </row>
    <row r="399" spans="1:8">
      <c r="A399" s="362"/>
      <c r="B399" s="362"/>
      <c r="C399" s="362"/>
      <c r="D399" s="326"/>
      <c r="E399" s="326"/>
      <c r="F399" s="326"/>
      <c r="G399" s="326"/>
      <c r="H399" s="326"/>
    </row>
    <row r="400" spans="1:8">
      <c r="A400" s="362"/>
      <c r="B400" s="362"/>
      <c r="C400" s="362"/>
      <c r="D400" s="326"/>
      <c r="E400" s="326"/>
      <c r="F400" s="326"/>
      <c r="G400" s="326"/>
      <c r="H400" s="326"/>
    </row>
    <row r="401" spans="1:8">
      <c r="A401" s="362"/>
      <c r="B401" s="362"/>
      <c r="C401" s="362"/>
      <c r="D401" s="326"/>
      <c r="E401" s="326"/>
      <c r="F401" s="326"/>
      <c r="G401" s="326"/>
      <c r="H401" s="326"/>
    </row>
    <row r="402" spans="1:8">
      <c r="A402" s="362"/>
      <c r="B402" s="362"/>
      <c r="C402" s="362"/>
      <c r="D402" s="326"/>
      <c r="E402" s="326"/>
      <c r="F402" s="326"/>
      <c r="G402" s="326"/>
      <c r="H402" s="326"/>
    </row>
    <row r="403" spans="1:8">
      <c r="A403" s="362"/>
      <c r="B403" s="362"/>
      <c r="C403" s="362"/>
      <c r="D403" s="326"/>
      <c r="E403" s="326"/>
      <c r="F403" s="326"/>
      <c r="G403" s="326"/>
      <c r="H403" s="326"/>
    </row>
    <row r="404" spans="1:8">
      <c r="A404" s="362"/>
      <c r="B404" s="362"/>
      <c r="C404" s="362"/>
      <c r="D404" s="326"/>
      <c r="E404" s="326"/>
      <c r="F404" s="326"/>
      <c r="G404" s="326"/>
      <c r="H404" s="326"/>
    </row>
    <row r="405" spans="1:8">
      <c r="A405" s="362"/>
      <c r="B405" s="362"/>
      <c r="C405" s="362"/>
      <c r="D405" s="326"/>
      <c r="E405" s="326"/>
      <c r="F405" s="326"/>
      <c r="G405" s="326"/>
      <c r="H405" s="326"/>
    </row>
    <row r="406" spans="1:8">
      <c r="A406" s="362"/>
      <c r="B406" s="362"/>
      <c r="C406" s="362"/>
      <c r="D406" s="326"/>
      <c r="E406" s="326"/>
      <c r="F406" s="326"/>
      <c r="G406" s="326"/>
      <c r="H406" s="326"/>
    </row>
    <row r="407" spans="1:8">
      <c r="A407" s="362"/>
      <c r="B407" s="362"/>
      <c r="C407" s="362"/>
      <c r="D407" s="326"/>
      <c r="E407" s="326"/>
      <c r="F407" s="326"/>
      <c r="G407" s="326"/>
      <c r="H407" s="326"/>
    </row>
    <row r="408" spans="1:8">
      <c r="A408" s="362"/>
      <c r="B408" s="362"/>
      <c r="C408" s="362"/>
      <c r="D408" s="326"/>
      <c r="E408" s="326"/>
      <c r="F408" s="326"/>
      <c r="G408" s="326"/>
      <c r="H408" s="326"/>
    </row>
    <row r="409" spans="1:8">
      <c r="A409" s="362"/>
      <c r="B409" s="362"/>
      <c r="C409" s="362"/>
      <c r="D409" s="326"/>
      <c r="E409" s="326"/>
      <c r="F409" s="326"/>
      <c r="G409" s="326"/>
      <c r="H409" s="326"/>
    </row>
    <row r="410" spans="1:8">
      <c r="A410" s="362"/>
      <c r="B410" s="362"/>
      <c r="C410" s="362"/>
      <c r="D410" s="326"/>
      <c r="E410" s="326"/>
      <c r="F410" s="326"/>
      <c r="G410" s="326"/>
      <c r="H410" s="326"/>
    </row>
    <row r="411" spans="1:8">
      <c r="A411" s="362"/>
      <c r="B411" s="362"/>
      <c r="C411" s="362"/>
      <c r="D411" s="326"/>
      <c r="E411" s="326"/>
      <c r="F411" s="326"/>
      <c r="G411" s="326"/>
      <c r="H411" s="326"/>
    </row>
    <row r="412" spans="1:8">
      <c r="A412" s="362"/>
      <c r="B412" s="362"/>
      <c r="C412" s="362"/>
      <c r="D412" s="326"/>
      <c r="E412" s="326"/>
      <c r="F412" s="326"/>
      <c r="G412" s="326"/>
      <c r="H412" s="326"/>
    </row>
    <row r="413" spans="1:8">
      <c r="A413" s="362"/>
      <c r="B413" s="362"/>
      <c r="C413" s="362"/>
      <c r="D413" s="326"/>
      <c r="E413" s="326"/>
      <c r="F413" s="326"/>
      <c r="G413" s="326"/>
      <c r="H413" s="326"/>
    </row>
    <row r="414" spans="1:8">
      <c r="A414" s="362"/>
      <c r="B414" s="362"/>
      <c r="C414" s="362"/>
      <c r="D414" s="326"/>
      <c r="E414" s="326"/>
      <c r="F414" s="326"/>
      <c r="G414" s="326"/>
      <c r="H414" s="326"/>
    </row>
    <row r="415" spans="1:8">
      <c r="A415" s="362"/>
      <c r="B415" s="362"/>
      <c r="C415" s="362"/>
      <c r="D415" s="326"/>
      <c r="E415" s="326"/>
      <c r="F415" s="326"/>
      <c r="G415" s="326"/>
      <c r="H415" s="326"/>
    </row>
    <row r="416" spans="1:8">
      <c r="A416" s="362"/>
      <c r="B416" s="362"/>
      <c r="C416" s="362"/>
      <c r="D416" s="326"/>
      <c r="E416" s="326"/>
      <c r="F416" s="326"/>
      <c r="G416" s="326"/>
      <c r="H416" s="326"/>
    </row>
    <row r="417" spans="1:8">
      <c r="A417" s="362"/>
      <c r="B417" s="362"/>
      <c r="C417" s="362"/>
      <c r="D417" s="326"/>
      <c r="E417" s="326"/>
      <c r="F417" s="326"/>
      <c r="G417" s="326"/>
      <c r="H417" s="326"/>
    </row>
    <row r="418" spans="1:8">
      <c r="A418" s="362"/>
      <c r="B418" s="362"/>
      <c r="C418" s="362"/>
      <c r="D418" s="326"/>
      <c r="E418" s="326"/>
      <c r="F418" s="326"/>
      <c r="G418" s="326"/>
      <c r="H418" s="326"/>
    </row>
    <row r="419" spans="1:8">
      <c r="A419" s="362"/>
      <c r="B419" s="362"/>
      <c r="C419" s="362"/>
      <c r="D419" s="326"/>
      <c r="E419" s="326"/>
      <c r="F419" s="326"/>
      <c r="G419" s="326"/>
      <c r="H419" s="326"/>
    </row>
    <row r="420" spans="1:8">
      <c r="A420" s="362"/>
      <c r="B420" s="362"/>
      <c r="C420" s="362"/>
      <c r="D420" s="326"/>
      <c r="E420" s="326"/>
      <c r="F420" s="326"/>
      <c r="G420" s="326"/>
      <c r="H420" s="326"/>
    </row>
    <row r="421" spans="1:8">
      <c r="A421" s="362"/>
      <c r="B421" s="362"/>
      <c r="C421" s="362"/>
      <c r="D421" s="326"/>
      <c r="E421" s="326"/>
      <c r="F421" s="326"/>
      <c r="G421" s="326"/>
      <c r="H421" s="326"/>
    </row>
    <row r="422" spans="1:8">
      <c r="A422" s="362"/>
      <c r="B422" s="362"/>
      <c r="C422" s="362"/>
      <c r="D422" s="326"/>
      <c r="E422" s="326"/>
      <c r="F422" s="326"/>
      <c r="G422" s="326"/>
      <c r="H422" s="326"/>
    </row>
    <row r="423" spans="1:8">
      <c r="A423" s="362"/>
      <c r="B423" s="362"/>
      <c r="C423" s="362"/>
      <c r="D423" s="326"/>
      <c r="E423" s="326"/>
      <c r="F423" s="326"/>
      <c r="G423" s="326"/>
      <c r="H423" s="326"/>
    </row>
    <row r="424" spans="1:8">
      <c r="A424" s="362"/>
      <c r="B424" s="362"/>
      <c r="C424" s="362"/>
      <c r="D424" s="326"/>
      <c r="E424" s="326"/>
      <c r="F424" s="326"/>
      <c r="G424" s="326"/>
      <c r="H424" s="326"/>
    </row>
    <row r="425" spans="1:8">
      <c r="A425" s="362"/>
      <c r="B425" s="362"/>
      <c r="C425" s="362"/>
      <c r="D425" s="326"/>
      <c r="E425" s="326"/>
      <c r="F425" s="326"/>
      <c r="G425" s="326"/>
      <c r="H425" s="326"/>
    </row>
    <row r="426" spans="1:8">
      <c r="A426" s="362"/>
      <c r="B426" s="362"/>
      <c r="C426" s="362"/>
      <c r="D426" s="326"/>
      <c r="E426" s="326"/>
      <c r="F426" s="326"/>
      <c r="G426" s="326"/>
      <c r="H426" s="326"/>
    </row>
    <row r="427" spans="1:8">
      <c r="A427" s="362"/>
      <c r="B427" s="362"/>
      <c r="C427" s="362"/>
      <c r="D427" s="326"/>
      <c r="E427" s="326"/>
      <c r="F427" s="326"/>
      <c r="G427" s="326"/>
      <c r="H427" s="326"/>
    </row>
    <row r="428" spans="1:8">
      <c r="A428" s="362"/>
      <c r="B428" s="362"/>
      <c r="C428" s="362"/>
      <c r="D428" s="326"/>
      <c r="E428" s="326"/>
      <c r="F428" s="326"/>
      <c r="G428" s="326"/>
      <c r="H428" s="326"/>
    </row>
    <row r="429" spans="1:8">
      <c r="A429" s="362"/>
      <c r="B429" s="362"/>
      <c r="C429" s="362"/>
      <c r="D429" s="326"/>
      <c r="E429" s="326"/>
      <c r="F429" s="326"/>
      <c r="G429" s="326"/>
      <c r="H429" s="326"/>
    </row>
    <row r="430" spans="1:8">
      <c r="A430" s="362"/>
      <c r="B430" s="362"/>
      <c r="C430" s="362"/>
      <c r="D430" s="326"/>
      <c r="E430" s="326"/>
      <c r="F430" s="326"/>
      <c r="G430" s="326"/>
      <c r="H430" s="326"/>
    </row>
    <row r="431" spans="1:8">
      <c r="A431" s="362"/>
      <c r="B431" s="362"/>
      <c r="C431" s="362"/>
      <c r="D431" s="326"/>
      <c r="E431" s="326"/>
      <c r="F431" s="326"/>
      <c r="G431" s="326"/>
      <c r="H431" s="326"/>
    </row>
    <row r="432" spans="1:8">
      <c r="A432" s="362"/>
      <c r="B432" s="362"/>
      <c r="C432" s="362"/>
      <c r="D432" s="326"/>
      <c r="E432" s="326"/>
      <c r="F432" s="326"/>
      <c r="G432" s="326"/>
      <c r="H432" s="326"/>
    </row>
    <row r="433" spans="1:8">
      <c r="A433" s="362"/>
      <c r="B433" s="362"/>
      <c r="C433" s="362"/>
      <c r="D433" s="326"/>
      <c r="E433" s="326"/>
      <c r="F433" s="326"/>
      <c r="G433" s="326"/>
      <c r="H433" s="326"/>
    </row>
    <row r="434" spans="1:8">
      <c r="A434" s="362"/>
      <c r="B434" s="362"/>
      <c r="C434" s="362"/>
      <c r="D434" s="326"/>
      <c r="E434" s="326"/>
      <c r="F434" s="326"/>
      <c r="G434" s="326"/>
      <c r="H434" s="326"/>
    </row>
    <row r="435" spans="1:8">
      <c r="A435" s="362"/>
      <c r="B435" s="362"/>
      <c r="C435" s="362"/>
      <c r="D435" s="326"/>
      <c r="E435" s="326"/>
      <c r="F435" s="326"/>
      <c r="G435" s="326"/>
      <c r="H435" s="326"/>
    </row>
    <row r="436" spans="1:8">
      <c r="A436" s="362"/>
      <c r="B436" s="362"/>
      <c r="C436" s="362"/>
      <c r="D436" s="326"/>
      <c r="E436" s="326"/>
      <c r="F436" s="326"/>
      <c r="G436" s="326"/>
      <c r="H436" s="326"/>
    </row>
    <row r="437" spans="1:8">
      <c r="A437" s="362"/>
      <c r="B437" s="362"/>
      <c r="C437" s="362"/>
      <c r="D437" s="326"/>
      <c r="E437" s="326"/>
      <c r="F437" s="326"/>
      <c r="G437" s="326"/>
      <c r="H437" s="326"/>
    </row>
    <row r="438" spans="1:8">
      <c r="A438" s="362"/>
      <c r="B438" s="362"/>
      <c r="C438" s="362"/>
      <c r="D438" s="326"/>
      <c r="E438" s="326"/>
      <c r="F438" s="326"/>
      <c r="G438" s="326"/>
      <c r="H438" s="326"/>
    </row>
    <row r="439" spans="1:8">
      <c r="A439" s="362"/>
      <c r="B439" s="362"/>
      <c r="C439" s="362"/>
      <c r="D439" s="326"/>
      <c r="E439" s="326"/>
      <c r="F439" s="326"/>
      <c r="G439" s="326"/>
      <c r="H439" s="326"/>
    </row>
    <row r="440" spans="1:8">
      <c r="A440" s="362"/>
      <c r="B440" s="362"/>
      <c r="C440" s="362"/>
      <c r="D440" s="326"/>
      <c r="E440" s="326"/>
      <c r="F440" s="326"/>
      <c r="G440" s="326"/>
      <c r="H440" s="326"/>
    </row>
    <row r="441" spans="1:8">
      <c r="A441" s="362"/>
      <c r="B441" s="362"/>
      <c r="C441" s="362"/>
      <c r="D441" s="326"/>
      <c r="E441" s="326"/>
      <c r="F441" s="326"/>
      <c r="G441" s="326"/>
      <c r="H441" s="326"/>
    </row>
    <row r="442" spans="1:8">
      <c r="A442" s="362"/>
      <c r="B442" s="362"/>
      <c r="C442" s="362"/>
      <c r="D442" s="326"/>
      <c r="E442" s="326"/>
      <c r="F442" s="326"/>
      <c r="G442" s="326"/>
      <c r="H442" s="326"/>
    </row>
    <row r="443" spans="1:8">
      <c r="A443" s="362"/>
      <c r="B443" s="362"/>
      <c r="C443" s="362"/>
      <c r="D443" s="326"/>
      <c r="E443" s="326"/>
      <c r="F443" s="326"/>
      <c r="G443" s="326"/>
      <c r="H443" s="326"/>
    </row>
    <row r="444" spans="1:8">
      <c r="A444" s="362"/>
      <c r="B444" s="362"/>
      <c r="C444" s="362"/>
      <c r="D444" s="326"/>
      <c r="E444" s="326"/>
      <c r="F444" s="326"/>
      <c r="G444" s="326"/>
      <c r="H444" s="326"/>
    </row>
    <row r="445" spans="1:8">
      <c r="A445" s="362"/>
      <c r="B445" s="362"/>
      <c r="C445" s="362"/>
      <c r="D445" s="326"/>
      <c r="E445" s="326"/>
      <c r="F445" s="326"/>
      <c r="G445" s="326"/>
      <c r="H445" s="326"/>
    </row>
    <row r="446" spans="1:8">
      <c r="A446" s="362"/>
      <c r="B446" s="362"/>
      <c r="C446" s="362"/>
      <c r="D446" s="326"/>
      <c r="E446" s="326"/>
      <c r="F446" s="326"/>
      <c r="G446" s="326"/>
      <c r="H446" s="326"/>
    </row>
    <row r="447" spans="1:8">
      <c r="A447" s="362"/>
      <c r="B447" s="362"/>
      <c r="C447" s="362"/>
      <c r="D447" s="326"/>
      <c r="E447" s="326"/>
      <c r="F447" s="326"/>
      <c r="G447" s="326"/>
      <c r="H447" s="326"/>
    </row>
    <row r="448" spans="1:8">
      <c r="A448" s="362"/>
      <c r="B448" s="362"/>
      <c r="C448" s="362"/>
      <c r="D448" s="326"/>
      <c r="E448" s="326"/>
      <c r="F448" s="326"/>
      <c r="G448" s="326"/>
      <c r="H448" s="326"/>
    </row>
    <row r="449" spans="1:8">
      <c r="A449" s="362"/>
      <c r="B449" s="362"/>
      <c r="C449" s="362"/>
      <c r="D449" s="326"/>
      <c r="E449" s="326"/>
      <c r="F449" s="326"/>
      <c r="G449" s="326"/>
      <c r="H449" s="326"/>
    </row>
    <row r="450" spans="1:8">
      <c r="A450" s="362"/>
      <c r="B450" s="362"/>
      <c r="C450" s="362"/>
      <c r="D450" s="326"/>
      <c r="E450" s="326"/>
      <c r="F450" s="326"/>
      <c r="G450" s="326"/>
      <c r="H450" s="326"/>
    </row>
    <row r="451" spans="1:8">
      <c r="A451" s="362"/>
      <c r="B451" s="362"/>
      <c r="C451" s="362"/>
      <c r="D451" s="326"/>
      <c r="E451" s="326"/>
      <c r="F451" s="326"/>
      <c r="G451" s="326"/>
      <c r="H451" s="326"/>
    </row>
    <row r="452" spans="1:8">
      <c r="A452" s="362"/>
      <c r="B452" s="362"/>
      <c r="C452" s="362"/>
      <c r="D452" s="326"/>
      <c r="E452" s="326"/>
      <c r="F452" s="326"/>
      <c r="G452" s="326"/>
      <c r="H452" s="326"/>
    </row>
    <row r="453" spans="1:8">
      <c r="A453" s="362"/>
      <c r="B453" s="362"/>
      <c r="C453" s="362"/>
      <c r="D453" s="326"/>
      <c r="E453" s="326"/>
      <c r="F453" s="326"/>
      <c r="G453" s="326"/>
      <c r="H453" s="326"/>
    </row>
    <row r="454" spans="1:8">
      <c r="A454" s="362"/>
      <c r="B454" s="362"/>
      <c r="C454" s="362"/>
      <c r="D454" s="326"/>
      <c r="E454" s="326"/>
      <c r="F454" s="326"/>
      <c r="G454" s="326"/>
      <c r="H454" s="326"/>
    </row>
    <row r="455" spans="1:8">
      <c r="A455" s="362"/>
      <c r="B455" s="362"/>
      <c r="C455" s="362"/>
      <c r="D455" s="326"/>
      <c r="E455" s="326"/>
      <c r="F455" s="326"/>
      <c r="G455" s="326"/>
      <c r="H455" s="326"/>
    </row>
    <row r="456" spans="1:8">
      <c r="A456" s="362"/>
      <c r="B456" s="362"/>
      <c r="C456" s="362"/>
      <c r="D456" s="326"/>
      <c r="E456" s="326"/>
      <c r="F456" s="326"/>
      <c r="G456" s="326"/>
      <c r="H456" s="326"/>
    </row>
    <row r="457" spans="1:8">
      <c r="A457" s="362"/>
      <c r="B457" s="362"/>
      <c r="C457" s="362"/>
      <c r="D457" s="326"/>
      <c r="E457" s="326"/>
      <c r="F457" s="326"/>
      <c r="G457" s="326"/>
      <c r="H457" s="326"/>
    </row>
    <row r="458" spans="1:8">
      <c r="A458" s="362"/>
      <c r="B458" s="362"/>
      <c r="C458" s="362"/>
      <c r="D458" s="326"/>
      <c r="E458" s="326"/>
      <c r="F458" s="326"/>
      <c r="G458" s="326"/>
      <c r="H458" s="326"/>
    </row>
    <row r="459" spans="1:8">
      <c r="A459" s="362"/>
      <c r="B459" s="362"/>
      <c r="C459" s="362"/>
      <c r="D459" s="326"/>
      <c r="E459" s="326"/>
      <c r="F459" s="326"/>
      <c r="G459" s="326"/>
      <c r="H459" s="326"/>
    </row>
    <row r="460" spans="1:8">
      <c r="A460" s="362"/>
      <c r="B460" s="362"/>
      <c r="C460" s="362"/>
      <c r="D460" s="326"/>
      <c r="E460" s="326"/>
      <c r="F460" s="326"/>
      <c r="G460" s="326"/>
      <c r="H460" s="326"/>
    </row>
    <row r="461" spans="1:8">
      <c r="A461" s="362"/>
      <c r="B461" s="362"/>
      <c r="C461" s="362"/>
      <c r="D461" s="326"/>
      <c r="E461" s="326"/>
      <c r="F461" s="326"/>
      <c r="G461" s="326"/>
      <c r="H461" s="326"/>
    </row>
    <row r="462" spans="1:8">
      <c r="A462" s="362"/>
      <c r="B462" s="362"/>
      <c r="C462" s="362"/>
      <c r="D462" s="326"/>
      <c r="E462" s="326"/>
      <c r="F462" s="326"/>
      <c r="G462" s="326"/>
      <c r="H462" s="326"/>
    </row>
    <row r="463" spans="1:8">
      <c r="A463" s="362"/>
      <c r="B463" s="362"/>
      <c r="C463" s="362"/>
      <c r="D463" s="326"/>
      <c r="E463" s="326"/>
      <c r="F463" s="326"/>
      <c r="G463" s="326"/>
      <c r="H463" s="326"/>
    </row>
    <row r="464" spans="1:8">
      <c r="A464" s="362"/>
      <c r="B464" s="362"/>
      <c r="C464" s="362"/>
      <c r="D464" s="326"/>
      <c r="E464" s="326"/>
      <c r="F464" s="326"/>
      <c r="G464" s="326"/>
      <c r="H464" s="326"/>
    </row>
    <row r="465" spans="1:8">
      <c r="A465" s="362"/>
      <c r="B465" s="362"/>
      <c r="C465" s="362"/>
      <c r="D465" s="326"/>
      <c r="E465" s="326"/>
      <c r="F465" s="326"/>
      <c r="G465" s="326"/>
      <c r="H465" s="326"/>
    </row>
    <row r="466" spans="1:8">
      <c r="A466" s="362"/>
      <c r="B466" s="362"/>
      <c r="C466" s="362"/>
      <c r="D466" s="326"/>
      <c r="E466" s="326"/>
      <c r="F466" s="326"/>
      <c r="G466" s="326"/>
      <c r="H466" s="326"/>
    </row>
    <row r="467" spans="1:8">
      <c r="A467" s="362"/>
      <c r="B467" s="362"/>
      <c r="C467" s="362"/>
      <c r="D467" s="326"/>
      <c r="E467" s="326"/>
      <c r="F467" s="326"/>
      <c r="G467" s="326"/>
      <c r="H467" s="326"/>
    </row>
    <row r="468" spans="1:8">
      <c r="A468" s="362"/>
      <c r="B468" s="362"/>
      <c r="C468" s="362"/>
      <c r="D468" s="326"/>
      <c r="E468" s="326"/>
      <c r="F468" s="326"/>
      <c r="G468" s="326"/>
      <c r="H468" s="326"/>
    </row>
    <row r="469" spans="1:8">
      <c r="A469" s="362"/>
      <c r="B469" s="362"/>
      <c r="C469" s="362"/>
      <c r="D469" s="326"/>
      <c r="E469" s="326"/>
      <c r="F469" s="326"/>
      <c r="G469" s="326"/>
      <c r="H469" s="326"/>
    </row>
    <row r="470" spans="1:8">
      <c r="A470" s="362"/>
      <c r="B470" s="362"/>
      <c r="C470" s="362"/>
      <c r="D470" s="326"/>
      <c r="E470" s="326"/>
      <c r="F470" s="326"/>
      <c r="G470" s="326"/>
      <c r="H470" s="326"/>
    </row>
    <row r="471" spans="1:8">
      <c r="A471" s="362"/>
      <c r="B471" s="362"/>
      <c r="C471" s="362"/>
      <c r="D471" s="326"/>
      <c r="E471" s="326"/>
      <c r="F471" s="326"/>
      <c r="G471" s="326"/>
      <c r="H471" s="326"/>
    </row>
    <row r="472" spans="1:8">
      <c r="A472" s="362"/>
      <c r="B472" s="362"/>
      <c r="C472" s="362"/>
      <c r="D472" s="326"/>
      <c r="E472" s="326"/>
      <c r="F472" s="326"/>
      <c r="G472" s="326"/>
      <c r="H472" s="326"/>
    </row>
    <row r="473" spans="1:8">
      <c r="A473" s="362"/>
      <c r="B473" s="362"/>
      <c r="C473" s="362"/>
      <c r="D473" s="326"/>
      <c r="E473" s="326"/>
      <c r="F473" s="326"/>
      <c r="G473" s="326"/>
      <c r="H473" s="326"/>
    </row>
    <row r="474" spans="1:8">
      <c r="A474" s="362"/>
      <c r="B474" s="362"/>
      <c r="C474" s="362"/>
      <c r="D474" s="326"/>
      <c r="E474" s="326"/>
      <c r="F474" s="326"/>
      <c r="G474" s="326"/>
      <c r="H474" s="326"/>
    </row>
    <row r="475" spans="1:8">
      <c r="A475" s="362"/>
      <c r="B475" s="362"/>
      <c r="C475" s="362"/>
      <c r="D475" s="326"/>
      <c r="E475" s="326"/>
      <c r="F475" s="326"/>
      <c r="G475" s="326"/>
      <c r="H475" s="326"/>
    </row>
    <row r="476" spans="1:8">
      <c r="A476" s="362"/>
      <c r="B476" s="362"/>
      <c r="C476" s="362"/>
      <c r="D476" s="326"/>
      <c r="E476" s="326"/>
      <c r="F476" s="326"/>
      <c r="G476" s="326"/>
      <c r="H476" s="326"/>
    </row>
    <row r="477" spans="1:8">
      <c r="A477" s="362"/>
      <c r="B477" s="362"/>
      <c r="C477" s="362"/>
      <c r="D477" s="326"/>
      <c r="E477" s="326"/>
      <c r="F477" s="326"/>
      <c r="G477" s="326"/>
      <c r="H477" s="326"/>
    </row>
    <row r="478" spans="1:8">
      <c r="A478" s="362"/>
      <c r="B478" s="362"/>
      <c r="C478" s="362"/>
      <c r="D478" s="326"/>
      <c r="E478" s="326"/>
      <c r="F478" s="326"/>
      <c r="G478" s="326"/>
      <c r="H478" s="326"/>
    </row>
    <row r="479" spans="1:8">
      <c r="A479" s="362"/>
      <c r="B479" s="362"/>
      <c r="C479" s="362"/>
      <c r="D479" s="326"/>
      <c r="E479" s="326"/>
      <c r="F479" s="326"/>
      <c r="G479" s="326"/>
      <c r="H479" s="326"/>
    </row>
    <row r="480" spans="1:8">
      <c r="A480" s="362"/>
      <c r="B480" s="362"/>
      <c r="C480" s="362"/>
      <c r="D480" s="326"/>
      <c r="E480" s="326"/>
      <c r="F480" s="326"/>
      <c r="G480" s="326"/>
      <c r="H480" s="326"/>
    </row>
    <row r="481" spans="1:8">
      <c r="A481" s="362"/>
      <c r="B481" s="362"/>
      <c r="C481" s="362"/>
      <c r="D481" s="326"/>
      <c r="E481" s="326"/>
      <c r="F481" s="326"/>
      <c r="G481" s="326"/>
      <c r="H481" s="326"/>
    </row>
    <row r="482" spans="1:8">
      <c r="A482" s="362"/>
      <c r="B482" s="362"/>
      <c r="C482" s="362"/>
      <c r="D482" s="326"/>
      <c r="E482" s="326"/>
      <c r="F482" s="326"/>
      <c r="G482" s="326"/>
      <c r="H482" s="326"/>
    </row>
    <row r="483" spans="1:8">
      <c r="A483" s="362"/>
      <c r="B483" s="362"/>
      <c r="C483" s="362"/>
      <c r="D483" s="326"/>
      <c r="E483" s="326"/>
      <c r="F483" s="326"/>
      <c r="G483" s="326"/>
      <c r="H483" s="326"/>
    </row>
    <row r="484" spans="1:8">
      <c r="A484" s="362"/>
      <c r="B484" s="362"/>
      <c r="C484" s="362"/>
      <c r="D484" s="326"/>
      <c r="E484" s="326"/>
      <c r="F484" s="326"/>
      <c r="G484" s="326"/>
      <c r="H484" s="326"/>
    </row>
    <row r="485" spans="1:8">
      <c r="A485" s="362"/>
      <c r="B485" s="362"/>
      <c r="C485" s="362"/>
      <c r="D485" s="326"/>
      <c r="E485" s="326"/>
      <c r="F485" s="326"/>
      <c r="G485" s="326"/>
      <c r="H485" s="326"/>
    </row>
    <row r="486" spans="1:8">
      <c r="A486" s="362"/>
      <c r="B486" s="362"/>
      <c r="C486" s="362"/>
      <c r="D486" s="326"/>
      <c r="E486" s="326"/>
      <c r="F486" s="326"/>
      <c r="G486" s="326"/>
      <c r="H486" s="326"/>
    </row>
    <row r="487" spans="1:8">
      <c r="A487" s="362"/>
      <c r="B487" s="362"/>
      <c r="C487" s="362"/>
      <c r="D487" s="326"/>
      <c r="E487" s="326"/>
      <c r="F487" s="326"/>
      <c r="G487" s="326"/>
      <c r="H487" s="326"/>
    </row>
    <row r="488" spans="1:8">
      <c r="A488" s="362"/>
      <c r="B488" s="362"/>
      <c r="C488" s="362"/>
      <c r="D488" s="326"/>
      <c r="E488" s="326"/>
      <c r="F488" s="326"/>
      <c r="G488" s="326"/>
      <c r="H488" s="326"/>
    </row>
    <row r="489" spans="1:8">
      <c r="A489" s="362"/>
      <c r="B489" s="362"/>
      <c r="C489" s="362"/>
      <c r="D489" s="326"/>
      <c r="E489" s="326"/>
      <c r="F489" s="326"/>
      <c r="G489" s="326"/>
      <c r="H489" s="326"/>
    </row>
    <row r="490" spans="1:8">
      <c r="A490" s="362"/>
      <c r="B490" s="362"/>
      <c r="C490" s="362"/>
      <c r="D490" s="326"/>
      <c r="E490" s="326"/>
      <c r="F490" s="326"/>
      <c r="G490" s="326"/>
      <c r="H490" s="326"/>
    </row>
    <row r="491" spans="1:8">
      <c r="A491" s="362"/>
      <c r="B491" s="362"/>
      <c r="C491" s="362"/>
      <c r="D491" s="326"/>
      <c r="E491" s="326"/>
      <c r="F491" s="326"/>
      <c r="G491" s="326"/>
      <c r="H491" s="326"/>
    </row>
    <row r="492" spans="1:8">
      <c r="A492" s="362"/>
      <c r="B492" s="362"/>
      <c r="C492" s="362"/>
      <c r="D492" s="326"/>
      <c r="E492" s="326"/>
      <c r="F492" s="326"/>
      <c r="G492" s="326"/>
      <c r="H492" s="326"/>
    </row>
    <row r="493" spans="1:8">
      <c r="A493" s="362"/>
      <c r="B493" s="362"/>
      <c r="C493" s="362"/>
      <c r="D493" s="326"/>
      <c r="E493" s="326"/>
      <c r="F493" s="326"/>
      <c r="G493" s="326"/>
      <c r="H493" s="326"/>
    </row>
    <row r="494" spans="1:8">
      <c r="A494" s="362"/>
      <c r="B494" s="362"/>
      <c r="C494" s="362"/>
      <c r="D494" s="326"/>
      <c r="E494" s="326"/>
      <c r="F494" s="326"/>
      <c r="G494" s="326"/>
      <c r="H494" s="326"/>
    </row>
    <row r="495" spans="1:8">
      <c r="A495" s="362"/>
      <c r="B495" s="362"/>
      <c r="C495" s="362"/>
      <c r="D495" s="326"/>
      <c r="E495" s="326"/>
      <c r="F495" s="326"/>
      <c r="G495" s="326"/>
      <c r="H495" s="326"/>
    </row>
    <row r="496" spans="1:8">
      <c r="A496" s="362"/>
      <c r="B496" s="362"/>
      <c r="C496" s="362"/>
      <c r="D496" s="326"/>
      <c r="E496" s="326"/>
      <c r="F496" s="326"/>
      <c r="G496" s="326"/>
      <c r="H496" s="326"/>
    </row>
    <row r="497" spans="1:8">
      <c r="A497" s="362"/>
      <c r="B497" s="362"/>
      <c r="C497" s="362"/>
      <c r="D497" s="326"/>
      <c r="E497" s="326"/>
      <c r="F497" s="326"/>
      <c r="G497" s="326"/>
      <c r="H497" s="326"/>
    </row>
    <row r="498" spans="1:8">
      <c r="A498" s="362"/>
      <c r="B498" s="362"/>
      <c r="C498" s="362"/>
      <c r="D498" s="326"/>
      <c r="E498" s="326"/>
      <c r="F498" s="326"/>
      <c r="G498" s="326"/>
      <c r="H498" s="326"/>
    </row>
    <row r="499" spans="1:8">
      <c r="A499" s="362"/>
      <c r="B499" s="362"/>
      <c r="C499" s="362"/>
      <c r="D499" s="326"/>
      <c r="E499" s="326"/>
      <c r="F499" s="326"/>
      <c r="G499" s="326"/>
      <c r="H499" s="326"/>
    </row>
    <row r="500" spans="1:8">
      <c r="A500" s="362"/>
      <c r="B500" s="362"/>
      <c r="C500" s="362"/>
      <c r="D500" s="326"/>
      <c r="E500" s="326"/>
      <c r="F500" s="326"/>
      <c r="G500" s="326"/>
      <c r="H500" s="326"/>
    </row>
    <row r="501" spans="1:8">
      <c r="A501" s="362"/>
      <c r="B501" s="362"/>
      <c r="C501" s="362"/>
      <c r="D501" s="326"/>
      <c r="E501" s="326"/>
      <c r="F501" s="326"/>
      <c r="G501" s="326"/>
      <c r="H501" s="326"/>
    </row>
    <row r="502" spans="1:8">
      <c r="A502" s="362"/>
      <c r="B502" s="362"/>
      <c r="C502" s="362"/>
      <c r="D502" s="326"/>
      <c r="E502" s="326"/>
      <c r="F502" s="326"/>
      <c r="G502" s="326"/>
      <c r="H502" s="326"/>
    </row>
    <row r="503" spans="1:8">
      <c r="A503" s="362"/>
      <c r="B503" s="362"/>
      <c r="C503" s="362"/>
      <c r="D503" s="326"/>
      <c r="E503" s="326"/>
      <c r="F503" s="326"/>
      <c r="G503" s="326"/>
      <c r="H503" s="326"/>
    </row>
    <row r="504" spans="1:8">
      <c r="A504" s="362"/>
      <c r="B504" s="362"/>
      <c r="C504" s="362"/>
      <c r="D504" s="326"/>
      <c r="E504" s="326"/>
      <c r="F504" s="326"/>
      <c r="G504" s="326"/>
      <c r="H504" s="326"/>
    </row>
    <row r="505" spans="1:8">
      <c r="A505" s="362"/>
      <c r="B505" s="362"/>
      <c r="C505" s="362"/>
      <c r="D505" s="326"/>
      <c r="E505" s="326"/>
      <c r="F505" s="326"/>
      <c r="G505" s="326"/>
      <c r="H505" s="326"/>
    </row>
    <row r="506" spans="1:8">
      <c r="A506" s="362"/>
      <c r="B506" s="362"/>
      <c r="C506" s="362"/>
      <c r="D506" s="326"/>
      <c r="E506" s="326"/>
      <c r="F506" s="326"/>
      <c r="G506" s="326"/>
      <c r="H506" s="326"/>
    </row>
    <row r="507" spans="1:8">
      <c r="A507" s="362"/>
      <c r="B507" s="362"/>
      <c r="C507" s="362"/>
      <c r="D507" s="326"/>
      <c r="E507" s="326"/>
      <c r="F507" s="326"/>
      <c r="G507" s="326"/>
      <c r="H507" s="326"/>
    </row>
    <row r="508" spans="1:8">
      <c r="A508" s="362"/>
      <c r="B508" s="362"/>
      <c r="C508" s="362"/>
      <c r="D508" s="326"/>
      <c r="E508" s="326"/>
      <c r="F508" s="326"/>
      <c r="G508" s="326"/>
      <c r="H508" s="326"/>
    </row>
    <row r="509" spans="1:8">
      <c r="A509" s="362"/>
      <c r="B509" s="362"/>
      <c r="C509" s="362"/>
      <c r="D509" s="326"/>
      <c r="E509" s="326"/>
      <c r="F509" s="326"/>
      <c r="G509" s="326"/>
      <c r="H509" s="326"/>
    </row>
    <row r="510" spans="1:8">
      <c r="A510" s="362"/>
      <c r="B510" s="362"/>
      <c r="C510" s="362"/>
      <c r="D510" s="326"/>
      <c r="E510" s="326"/>
      <c r="F510" s="326"/>
      <c r="G510" s="326"/>
      <c r="H510" s="326"/>
    </row>
    <row r="511" spans="1:8">
      <c r="A511" s="362"/>
      <c r="B511" s="362"/>
      <c r="C511" s="362"/>
      <c r="D511" s="326"/>
      <c r="E511" s="326"/>
      <c r="F511" s="326"/>
      <c r="G511" s="326"/>
      <c r="H511" s="326"/>
    </row>
    <row r="512" spans="1:8">
      <c r="A512" s="362"/>
      <c r="B512" s="362"/>
      <c r="C512" s="362"/>
      <c r="D512" s="326"/>
      <c r="E512" s="326"/>
      <c r="F512" s="326"/>
      <c r="G512" s="326"/>
      <c r="H512" s="326"/>
    </row>
    <row r="513" spans="1:8">
      <c r="A513" s="362"/>
      <c r="B513" s="362"/>
      <c r="C513" s="362"/>
      <c r="D513" s="326"/>
      <c r="E513" s="326"/>
      <c r="F513" s="326"/>
      <c r="G513" s="326"/>
      <c r="H513" s="326"/>
    </row>
    <row r="514" spans="1:8">
      <c r="A514" s="362"/>
      <c r="B514" s="362"/>
      <c r="C514" s="362"/>
      <c r="D514" s="326"/>
      <c r="E514" s="326"/>
      <c r="F514" s="326"/>
      <c r="G514" s="326"/>
      <c r="H514" s="326"/>
    </row>
    <row r="515" spans="1:8">
      <c r="A515" s="362"/>
      <c r="B515" s="362"/>
      <c r="C515" s="362"/>
      <c r="D515" s="326"/>
      <c r="E515" s="326"/>
      <c r="F515" s="326"/>
      <c r="G515" s="326"/>
      <c r="H515" s="326"/>
    </row>
    <row r="516" spans="1:8">
      <c r="A516" s="362"/>
      <c r="B516" s="362"/>
      <c r="C516" s="362"/>
      <c r="D516" s="326"/>
      <c r="E516" s="326"/>
      <c r="F516" s="326"/>
      <c r="G516" s="326"/>
      <c r="H516" s="326"/>
    </row>
    <row r="517" spans="1:8">
      <c r="A517" s="362"/>
      <c r="B517" s="362"/>
      <c r="C517" s="362"/>
      <c r="D517" s="326"/>
      <c r="E517" s="326"/>
      <c r="F517" s="326"/>
      <c r="G517" s="326"/>
      <c r="H517" s="326"/>
    </row>
    <row r="518" spans="1:8">
      <c r="A518" s="362"/>
      <c r="B518" s="362"/>
      <c r="C518" s="362"/>
      <c r="D518" s="326"/>
      <c r="E518" s="326"/>
      <c r="F518" s="326"/>
      <c r="G518" s="326"/>
      <c r="H518" s="326"/>
    </row>
    <row r="519" spans="1:8">
      <c r="A519" s="362"/>
      <c r="B519" s="362"/>
      <c r="C519" s="362"/>
      <c r="D519" s="326"/>
      <c r="E519" s="326"/>
      <c r="F519" s="326"/>
      <c r="G519" s="326"/>
      <c r="H519" s="326"/>
    </row>
    <row r="520" spans="1:8">
      <c r="A520" s="362"/>
      <c r="B520" s="362"/>
      <c r="C520" s="362"/>
      <c r="D520" s="326"/>
      <c r="E520" s="326"/>
      <c r="F520" s="326"/>
      <c r="G520" s="326"/>
      <c r="H520" s="326"/>
    </row>
    <row r="521" spans="1:8">
      <c r="A521" s="362"/>
      <c r="B521" s="362"/>
      <c r="C521" s="362"/>
      <c r="D521" s="326"/>
      <c r="E521" s="326"/>
      <c r="F521" s="326"/>
      <c r="G521" s="326"/>
      <c r="H521" s="326"/>
    </row>
    <row r="522" spans="1:8">
      <c r="A522" s="362"/>
      <c r="B522" s="362"/>
      <c r="C522" s="362"/>
      <c r="D522" s="326"/>
      <c r="E522" s="326"/>
      <c r="F522" s="326"/>
      <c r="G522" s="326"/>
      <c r="H522" s="326"/>
    </row>
    <row r="523" spans="1:8">
      <c r="A523" s="362"/>
      <c r="B523" s="362"/>
      <c r="C523" s="362"/>
      <c r="D523" s="326"/>
      <c r="E523" s="326"/>
      <c r="F523" s="326"/>
      <c r="G523" s="326"/>
      <c r="H523" s="326"/>
    </row>
    <row r="524" spans="1:8">
      <c r="A524" s="362"/>
      <c r="B524" s="362"/>
      <c r="C524" s="362"/>
      <c r="D524" s="326"/>
      <c r="E524" s="326"/>
      <c r="F524" s="326"/>
      <c r="G524" s="326"/>
      <c r="H524" s="326"/>
    </row>
    <row r="525" spans="1:8">
      <c r="A525" s="362"/>
      <c r="B525" s="362"/>
      <c r="C525" s="362"/>
      <c r="D525" s="326"/>
      <c r="E525" s="326"/>
      <c r="F525" s="326"/>
      <c r="G525" s="326"/>
      <c r="H525" s="326"/>
    </row>
    <row r="526" spans="1:8">
      <c r="A526" s="362"/>
      <c r="B526" s="362"/>
      <c r="C526" s="362"/>
      <c r="D526" s="326"/>
      <c r="E526" s="326"/>
      <c r="F526" s="326"/>
      <c r="G526" s="326"/>
      <c r="H526" s="326"/>
    </row>
    <row r="527" spans="1:8">
      <c r="A527" s="362"/>
      <c r="B527" s="362"/>
      <c r="C527" s="362"/>
      <c r="D527" s="326"/>
      <c r="E527" s="326"/>
      <c r="F527" s="326"/>
      <c r="G527" s="326"/>
      <c r="H527" s="326"/>
    </row>
    <row r="528" spans="1:8">
      <c r="A528" s="362"/>
      <c r="B528" s="362"/>
      <c r="C528" s="362"/>
      <c r="D528" s="326"/>
      <c r="E528" s="326"/>
      <c r="F528" s="326"/>
      <c r="G528" s="326"/>
      <c r="H528" s="326"/>
    </row>
    <row r="529" spans="1:8">
      <c r="A529" s="362"/>
      <c r="B529" s="362"/>
      <c r="C529" s="362"/>
      <c r="D529" s="326"/>
      <c r="E529" s="326"/>
      <c r="F529" s="326"/>
      <c r="G529" s="326"/>
      <c r="H529" s="326"/>
    </row>
    <row r="530" spans="1:8">
      <c r="A530" s="362"/>
      <c r="B530" s="362"/>
      <c r="C530" s="362"/>
      <c r="D530" s="326"/>
      <c r="E530" s="326"/>
      <c r="F530" s="326"/>
      <c r="G530" s="326"/>
      <c r="H530" s="326"/>
    </row>
    <row r="531" spans="1:8">
      <c r="A531" s="362"/>
      <c r="B531" s="362"/>
      <c r="C531" s="362"/>
      <c r="D531" s="326"/>
      <c r="E531" s="326"/>
      <c r="F531" s="326"/>
      <c r="G531" s="326"/>
      <c r="H531" s="326"/>
    </row>
    <row r="532" spans="1:8">
      <c r="A532" s="362"/>
      <c r="B532" s="362"/>
      <c r="C532" s="362"/>
      <c r="D532" s="326"/>
      <c r="E532" s="326"/>
      <c r="F532" s="326"/>
      <c r="G532" s="326"/>
      <c r="H532" s="326"/>
    </row>
    <row r="533" spans="1:8">
      <c r="A533" s="362"/>
      <c r="B533" s="362"/>
      <c r="C533" s="362"/>
      <c r="D533" s="326"/>
      <c r="E533" s="326"/>
      <c r="F533" s="326"/>
      <c r="G533" s="326"/>
      <c r="H533" s="326"/>
    </row>
    <row r="534" spans="1:8">
      <c r="A534" s="362"/>
      <c r="B534" s="362"/>
      <c r="C534" s="362"/>
      <c r="D534" s="326"/>
      <c r="E534" s="326"/>
      <c r="F534" s="326"/>
      <c r="G534" s="326"/>
      <c r="H534" s="326"/>
    </row>
    <row r="535" spans="1:8">
      <c r="A535" s="362"/>
      <c r="B535" s="362"/>
      <c r="C535" s="362"/>
      <c r="D535" s="326"/>
      <c r="E535" s="326"/>
      <c r="F535" s="326"/>
      <c r="G535" s="326"/>
      <c r="H535" s="326"/>
    </row>
    <row r="536" spans="1:8">
      <c r="A536" s="362"/>
      <c r="B536" s="362"/>
      <c r="C536" s="362"/>
      <c r="D536" s="326"/>
      <c r="E536" s="326"/>
      <c r="F536" s="326"/>
      <c r="G536" s="326"/>
      <c r="H536" s="326"/>
    </row>
    <row r="537" spans="1:8">
      <c r="A537" s="362"/>
      <c r="B537" s="362"/>
      <c r="C537" s="362"/>
      <c r="D537" s="326"/>
      <c r="E537" s="326"/>
      <c r="F537" s="326"/>
      <c r="G537" s="326"/>
      <c r="H537" s="326"/>
    </row>
    <row r="538" spans="1:8">
      <c r="A538" s="362"/>
      <c r="B538" s="362"/>
      <c r="C538" s="362"/>
      <c r="D538" s="326"/>
      <c r="E538" s="326"/>
      <c r="F538" s="326"/>
      <c r="G538" s="326"/>
      <c r="H538" s="326"/>
    </row>
    <row r="539" spans="1:8">
      <c r="A539" s="362"/>
      <c r="B539" s="362"/>
      <c r="C539" s="362"/>
      <c r="D539" s="326"/>
      <c r="E539" s="326"/>
      <c r="F539" s="326"/>
      <c r="G539" s="326"/>
      <c r="H539" s="326"/>
    </row>
    <row r="540" spans="1:8">
      <c r="A540" s="362"/>
      <c r="B540" s="362"/>
      <c r="C540" s="362"/>
      <c r="D540" s="326"/>
      <c r="E540" s="326"/>
      <c r="F540" s="326"/>
      <c r="G540" s="326"/>
      <c r="H540" s="326"/>
    </row>
    <row r="541" spans="1:8">
      <c r="A541" s="362"/>
      <c r="B541" s="362"/>
      <c r="C541" s="362"/>
      <c r="D541" s="326"/>
      <c r="E541" s="326"/>
      <c r="F541" s="326"/>
      <c r="G541" s="326"/>
      <c r="H541" s="326"/>
    </row>
    <row r="542" spans="1:8">
      <c r="A542" s="362"/>
      <c r="B542" s="362"/>
      <c r="C542" s="362"/>
      <c r="D542" s="326"/>
      <c r="E542" s="326"/>
      <c r="F542" s="326"/>
      <c r="G542" s="326"/>
      <c r="H542" s="326"/>
    </row>
    <row r="543" spans="1:8">
      <c r="A543" s="362"/>
      <c r="B543" s="362"/>
      <c r="C543" s="362"/>
      <c r="D543" s="326"/>
      <c r="E543" s="326"/>
      <c r="F543" s="326"/>
      <c r="G543" s="326"/>
      <c r="H543" s="326"/>
    </row>
    <row r="544" spans="1:8">
      <c r="A544" s="362"/>
      <c r="B544" s="362"/>
      <c r="C544" s="362"/>
      <c r="D544" s="326"/>
      <c r="E544" s="326"/>
      <c r="F544" s="326"/>
      <c r="G544" s="326"/>
      <c r="H544" s="326"/>
    </row>
    <row r="545" spans="1:8">
      <c r="A545" s="362"/>
      <c r="B545" s="362"/>
      <c r="C545" s="362"/>
      <c r="D545" s="326"/>
      <c r="E545" s="326"/>
      <c r="F545" s="326"/>
      <c r="G545" s="326"/>
      <c r="H545" s="326"/>
    </row>
    <row r="546" spans="1:8">
      <c r="A546" s="362"/>
      <c r="B546" s="362"/>
      <c r="C546" s="362"/>
      <c r="D546" s="326"/>
      <c r="E546" s="326"/>
      <c r="F546" s="326"/>
      <c r="G546" s="326"/>
      <c r="H546" s="326"/>
    </row>
    <row r="547" spans="1:8">
      <c r="A547" s="362"/>
      <c r="B547" s="362"/>
      <c r="C547" s="362"/>
      <c r="D547" s="326"/>
      <c r="E547" s="326"/>
      <c r="F547" s="326"/>
      <c r="G547" s="326"/>
      <c r="H547" s="326"/>
    </row>
    <row r="548" spans="1:8">
      <c r="A548" s="362"/>
      <c r="B548" s="362"/>
      <c r="C548" s="362"/>
      <c r="D548" s="326"/>
      <c r="E548" s="326"/>
      <c r="F548" s="326"/>
      <c r="G548" s="326"/>
      <c r="H548" s="326"/>
    </row>
    <row r="549" spans="1:8">
      <c r="A549" s="362"/>
      <c r="B549" s="362"/>
      <c r="C549" s="362"/>
      <c r="D549" s="326"/>
      <c r="E549" s="326"/>
      <c r="F549" s="326"/>
      <c r="G549" s="326"/>
      <c r="H549" s="326"/>
    </row>
    <row r="550" spans="1:8">
      <c r="A550" s="362"/>
      <c r="B550" s="362"/>
      <c r="C550" s="362"/>
      <c r="D550" s="326"/>
      <c r="E550" s="326"/>
      <c r="F550" s="326"/>
      <c r="G550" s="326"/>
      <c r="H550" s="326"/>
    </row>
    <row r="551" spans="1:8">
      <c r="A551" s="362"/>
      <c r="B551" s="362"/>
      <c r="C551" s="362"/>
      <c r="D551" s="326"/>
      <c r="E551" s="326"/>
      <c r="F551" s="326"/>
      <c r="G551" s="326"/>
      <c r="H551" s="326"/>
    </row>
    <row r="552" spans="1:8">
      <c r="A552" s="362"/>
      <c r="B552" s="362"/>
      <c r="C552" s="362"/>
      <c r="D552" s="326"/>
      <c r="E552" s="326"/>
      <c r="F552" s="326"/>
      <c r="G552" s="326"/>
      <c r="H552" s="326"/>
    </row>
    <row r="553" spans="1:8">
      <c r="A553" s="362"/>
      <c r="B553" s="362"/>
      <c r="C553" s="362"/>
      <c r="D553" s="326"/>
      <c r="E553" s="326"/>
      <c r="F553" s="326"/>
      <c r="G553" s="326"/>
      <c r="H553" s="326"/>
    </row>
    <row r="554" spans="1:8">
      <c r="A554" s="362"/>
      <c r="B554" s="362"/>
      <c r="C554" s="362"/>
      <c r="D554" s="326"/>
      <c r="E554" s="326"/>
      <c r="F554" s="326"/>
      <c r="G554" s="326"/>
      <c r="H554" s="326"/>
    </row>
    <row r="555" spans="1:8">
      <c r="A555" s="362"/>
      <c r="B555" s="362"/>
      <c r="C555" s="362"/>
      <c r="D555" s="326"/>
      <c r="E555" s="326"/>
      <c r="F555" s="326"/>
      <c r="G555" s="326"/>
      <c r="H555" s="326"/>
    </row>
    <row r="556" spans="1:8">
      <c r="A556" s="362"/>
      <c r="B556" s="362"/>
      <c r="C556" s="362"/>
      <c r="D556" s="326"/>
      <c r="E556" s="326"/>
      <c r="F556" s="326"/>
      <c r="G556" s="326"/>
      <c r="H556" s="326"/>
    </row>
    <row r="557" spans="1:8">
      <c r="A557" s="362"/>
      <c r="B557" s="362"/>
      <c r="C557" s="362"/>
      <c r="D557" s="326"/>
      <c r="E557" s="326"/>
      <c r="F557" s="326"/>
      <c r="G557" s="326"/>
      <c r="H557" s="326"/>
    </row>
    <row r="558" spans="1:8">
      <c r="A558" s="362"/>
      <c r="B558" s="362"/>
      <c r="C558" s="362"/>
      <c r="D558" s="326"/>
      <c r="E558" s="326"/>
      <c r="F558" s="326"/>
      <c r="G558" s="326"/>
      <c r="H558" s="326"/>
    </row>
    <row r="559" spans="1:8">
      <c r="A559" s="362"/>
      <c r="B559" s="362"/>
      <c r="C559" s="362"/>
      <c r="D559" s="326"/>
      <c r="E559" s="326"/>
      <c r="F559" s="326"/>
      <c r="G559" s="326"/>
      <c r="H559" s="326"/>
    </row>
    <row r="560" spans="1:8">
      <c r="A560" s="362"/>
      <c r="B560" s="362"/>
      <c r="C560" s="362"/>
      <c r="D560" s="326"/>
      <c r="E560" s="326"/>
      <c r="F560" s="326"/>
      <c r="G560" s="326"/>
      <c r="H560" s="326"/>
    </row>
    <row r="561" spans="1:8">
      <c r="A561" s="362"/>
      <c r="B561" s="362"/>
      <c r="C561" s="362"/>
      <c r="D561" s="326"/>
      <c r="E561" s="326"/>
      <c r="F561" s="326"/>
      <c r="G561" s="326"/>
      <c r="H561" s="326"/>
    </row>
    <row r="562" spans="1:8">
      <c r="A562" s="362"/>
      <c r="B562" s="362"/>
      <c r="C562" s="362"/>
      <c r="D562" s="326"/>
      <c r="E562" s="326"/>
      <c r="F562" s="326"/>
      <c r="G562" s="326"/>
      <c r="H562" s="326"/>
    </row>
    <row r="563" spans="1:8">
      <c r="A563" s="362"/>
      <c r="B563" s="362"/>
      <c r="C563" s="362"/>
      <c r="D563" s="326"/>
      <c r="E563" s="326"/>
      <c r="F563" s="326"/>
      <c r="G563" s="326"/>
      <c r="H563" s="326"/>
    </row>
    <row r="564" spans="1:8">
      <c r="A564" s="362"/>
      <c r="B564" s="362"/>
      <c r="C564" s="362"/>
      <c r="D564" s="326"/>
      <c r="E564" s="326"/>
      <c r="F564" s="326"/>
      <c r="G564" s="326"/>
      <c r="H564" s="326"/>
    </row>
    <row r="565" spans="1:8">
      <c r="A565" s="362"/>
      <c r="B565" s="362"/>
      <c r="C565" s="362"/>
      <c r="D565" s="326"/>
      <c r="E565" s="326"/>
      <c r="F565" s="326"/>
      <c r="G565" s="326"/>
      <c r="H565" s="326"/>
    </row>
    <row r="566" spans="1:8">
      <c r="A566" s="362"/>
      <c r="B566" s="362"/>
      <c r="C566" s="362"/>
      <c r="D566" s="326"/>
      <c r="E566" s="326"/>
      <c r="F566" s="326"/>
      <c r="G566" s="326"/>
      <c r="H566" s="326"/>
    </row>
    <row r="567" spans="1:8">
      <c r="A567" s="362"/>
      <c r="B567" s="362"/>
      <c r="C567" s="362"/>
      <c r="D567" s="326"/>
      <c r="E567" s="326"/>
      <c r="F567" s="326"/>
      <c r="G567" s="326"/>
      <c r="H567" s="326"/>
    </row>
    <row r="568" spans="1:8">
      <c r="A568" s="362"/>
      <c r="B568" s="362"/>
      <c r="C568" s="362"/>
      <c r="D568" s="326"/>
      <c r="E568" s="326"/>
      <c r="F568" s="326"/>
      <c r="G568" s="326"/>
      <c r="H568" s="326"/>
    </row>
    <row r="569" spans="1:8">
      <c r="A569" s="362"/>
      <c r="B569" s="362"/>
      <c r="C569" s="362"/>
      <c r="D569" s="326"/>
      <c r="E569" s="326"/>
      <c r="F569" s="326"/>
      <c r="G569" s="326"/>
      <c r="H569" s="326"/>
    </row>
    <row r="570" spans="1:8">
      <c r="A570" s="362"/>
      <c r="B570" s="362"/>
      <c r="C570" s="362"/>
      <c r="D570" s="326"/>
      <c r="E570" s="326"/>
      <c r="F570" s="326"/>
      <c r="G570" s="326"/>
      <c r="H570" s="326"/>
    </row>
    <row r="571" spans="1:8">
      <c r="A571" s="362"/>
      <c r="B571" s="362"/>
      <c r="C571" s="362"/>
      <c r="D571" s="326"/>
      <c r="E571" s="326"/>
      <c r="F571" s="326"/>
      <c r="G571" s="326"/>
      <c r="H571" s="326"/>
    </row>
    <row r="572" spans="1:8">
      <c r="A572" s="362"/>
      <c r="B572" s="362"/>
      <c r="C572" s="362"/>
      <c r="D572" s="326"/>
      <c r="E572" s="326"/>
      <c r="F572" s="326"/>
      <c r="G572" s="326"/>
      <c r="H572" s="326"/>
    </row>
    <row r="573" spans="1:8">
      <c r="A573" s="362"/>
      <c r="B573" s="362"/>
      <c r="C573" s="362"/>
      <c r="D573" s="326"/>
      <c r="E573" s="326"/>
      <c r="F573" s="326"/>
      <c r="G573" s="326"/>
      <c r="H573" s="326"/>
    </row>
    <row r="574" spans="1:8">
      <c r="A574" s="362"/>
      <c r="B574" s="362"/>
      <c r="C574" s="362"/>
      <c r="D574" s="326"/>
      <c r="E574" s="326"/>
      <c r="F574" s="326"/>
      <c r="G574" s="326"/>
      <c r="H574" s="326"/>
    </row>
    <row r="575" spans="1:8">
      <c r="A575" s="362"/>
      <c r="B575" s="362"/>
      <c r="C575" s="362"/>
      <c r="D575" s="326"/>
      <c r="E575" s="326"/>
      <c r="F575" s="326"/>
      <c r="G575" s="326"/>
      <c r="H575" s="326"/>
    </row>
    <row r="576" spans="1:8">
      <c r="A576" s="362"/>
      <c r="B576" s="362"/>
      <c r="C576" s="362"/>
      <c r="D576" s="326"/>
      <c r="E576" s="326"/>
      <c r="F576" s="326"/>
      <c r="G576" s="326"/>
      <c r="H576" s="326"/>
    </row>
    <row r="577" spans="1:8">
      <c r="A577" s="362"/>
      <c r="B577" s="362"/>
      <c r="C577" s="362"/>
      <c r="D577" s="326"/>
      <c r="E577" s="326"/>
      <c r="F577" s="326"/>
      <c r="G577" s="326"/>
      <c r="H577" s="326"/>
    </row>
    <row r="578" spans="1:8">
      <c r="A578" s="362"/>
      <c r="B578" s="362"/>
      <c r="C578" s="362"/>
      <c r="D578" s="326"/>
      <c r="E578" s="326"/>
      <c r="F578" s="326"/>
      <c r="G578" s="326"/>
      <c r="H578" s="326"/>
    </row>
    <row r="579" spans="1:8">
      <c r="A579" s="362"/>
      <c r="B579" s="362"/>
      <c r="C579" s="362"/>
      <c r="D579" s="326"/>
      <c r="E579" s="326"/>
      <c r="F579" s="326"/>
      <c r="G579" s="326"/>
      <c r="H579" s="326"/>
    </row>
    <row r="580" spans="1:8">
      <c r="A580" s="362"/>
      <c r="B580" s="362"/>
      <c r="C580" s="362"/>
      <c r="D580" s="326"/>
      <c r="E580" s="326"/>
      <c r="F580" s="326"/>
      <c r="G580" s="326"/>
      <c r="H580" s="326"/>
    </row>
    <row r="581" spans="1:8">
      <c r="A581" s="362"/>
      <c r="B581" s="362"/>
      <c r="C581" s="362"/>
      <c r="D581" s="326"/>
      <c r="E581" s="326"/>
      <c r="F581" s="326"/>
      <c r="G581" s="326"/>
      <c r="H581" s="326"/>
    </row>
    <row r="582" spans="1:8">
      <c r="A582" s="362"/>
      <c r="B582" s="362"/>
      <c r="C582" s="362"/>
      <c r="D582" s="326"/>
      <c r="E582" s="326"/>
      <c r="F582" s="326"/>
      <c r="G582" s="326"/>
      <c r="H582" s="326"/>
    </row>
  </sheetData>
  <sheetProtection autoFilter="0"/>
  <mergeCells count="15">
    <mergeCell ref="K39:M39"/>
    <mergeCell ref="N39:P39"/>
    <mergeCell ref="A48:D48"/>
    <mergeCell ref="A57:D57"/>
    <mergeCell ref="A39:A40"/>
    <mergeCell ref="B39:D39"/>
    <mergeCell ref="E39:G39"/>
    <mergeCell ref="A65:D65"/>
    <mergeCell ref="H39:J39"/>
    <mergeCell ref="A14:C14"/>
    <mergeCell ref="A1:C1"/>
    <mergeCell ref="A2:A6"/>
    <mergeCell ref="A26:D26"/>
    <mergeCell ref="A35:A36"/>
    <mergeCell ref="E8:I10"/>
  </mergeCells>
  <printOptions horizontalCentered="1"/>
  <pageMargins left="0.39370078740157483" right="0.39370078740157483" top="0.78740157480314965" bottom="0.19685039370078741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>
    <tabColor theme="9" tint="-0.499984740745262"/>
    <pageSetUpPr fitToPage="1"/>
  </sheetPr>
  <dimension ref="A1:H62"/>
  <sheetViews>
    <sheetView workbookViewId="0">
      <selection activeCell="H27" sqref="H27"/>
    </sheetView>
  </sheetViews>
  <sheetFormatPr defaultRowHeight="12.75"/>
  <cols>
    <col min="1" max="1" width="19.33203125" style="108" customWidth="1"/>
    <col min="2" max="2" width="41" style="108" customWidth="1"/>
    <col min="3" max="3" width="25.1640625" style="108" customWidth="1"/>
    <col min="4" max="7" width="11.83203125" style="108" customWidth="1"/>
    <col min="8" max="8" width="16.33203125" style="501" customWidth="1"/>
    <col min="9" max="255" width="9.33203125" style="108"/>
    <col min="256" max="256" width="8" style="108" customWidth="1"/>
    <col min="257" max="257" width="22.1640625" style="108" customWidth="1"/>
    <col min="258" max="258" width="16.1640625" style="108" customWidth="1"/>
    <col min="259" max="259" width="22.33203125" style="108" customWidth="1"/>
    <col min="260" max="260" width="11.1640625" style="108" customWidth="1"/>
    <col min="261" max="511" width="9.33203125" style="108"/>
    <col min="512" max="512" width="8" style="108" customWidth="1"/>
    <col min="513" max="513" width="22.1640625" style="108" customWidth="1"/>
    <col min="514" max="514" width="16.1640625" style="108" customWidth="1"/>
    <col min="515" max="515" width="22.33203125" style="108" customWidth="1"/>
    <col min="516" max="516" width="11.1640625" style="108" customWidth="1"/>
    <col min="517" max="767" width="9.33203125" style="108"/>
    <col min="768" max="768" width="8" style="108" customWidth="1"/>
    <col min="769" max="769" width="22.1640625" style="108" customWidth="1"/>
    <col min="770" max="770" width="16.1640625" style="108" customWidth="1"/>
    <col min="771" max="771" width="22.33203125" style="108" customWidth="1"/>
    <col min="772" max="772" width="11.1640625" style="108" customWidth="1"/>
    <col min="773" max="1023" width="9.33203125" style="108"/>
    <col min="1024" max="1024" width="8" style="108" customWidth="1"/>
    <col min="1025" max="1025" width="22.1640625" style="108" customWidth="1"/>
    <col min="1026" max="1026" width="16.1640625" style="108" customWidth="1"/>
    <col min="1027" max="1027" width="22.33203125" style="108" customWidth="1"/>
    <col min="1028" max="1028" width="11.1640625" style="108" customWidth="1"/>
    <col min="1029" max="1279" width="9.33203125" style="108"/>
    <col min="1280" max="1280" width="8" style="108" customWidth="1"/>
    <col min="1281" max="1281" width="22.1640625" style="108" customWidth="1"/>
    <col min="1282" max="1282" width="16.1640625" style="108" customWidth="1"/>
    <col min="1283" max="1283" width="22.33203125" style="108" customWidth="1"/>
    <col min="1284" max="1284" width="11.1640625" style="108" customWidth="1"/>
    <col min="1285" max="1535" width="9.33203125" style="108"/>
    <col min="1536" max="1536" width="8" style="108" customWidth="1"/>
    <col min="1537" max="1537" width="22.1640625" style="108" customWidth="1"/>
    <col min="1538" max="1538" width="16.1640625" style="108" customWidth="1"/>
    <col min="1539" max="1539" width="22.33203125" style="108" customWidth="1"/>
    <col min="1540" max="1540" width="11.1640625" style="108" customWidth="1"/>
    <col min="1541" max="1791" width="9.33203125" style="108"/>
    <col min="1792" max="1792" width="8" style="108" customWidth="1"/>
    <col min="1793" max="1793" width="22.1640625" style="108" customWidth="1"/>
    <col min="1794" max="1794" width="16.1640625" style="108" customWidth="1"/>
    <col min="1795" max="1795" width="22.33203125" style="108" customWidth="1"/>
    <col min="1796" max="1796" width="11.1640625" style="108" customWidth="1"/>
    <col min="1797" max="2047" width="9.33203125" style="108"/>
    <col min="2048" max="2048" width="8" style="108" customWidth="1"/>
    <col min="2049" max="2049" width="22.1640625" style="108" customWidth="1"/>
    <col min="2050" max="2050" width="16.1640625" style="108" customWidth="1"/>
    <col min="2051" max="2051" width="22.33203125" style="108" customWidth="1"/>
    <col min="2052" max="2052" width="11.1640625" style="108" customWidth="1"/>
    <col min="2053" max="2303" width="9.33203125" style="108"/>
    <col min="2304" max="2304" width="8" style="108" customWidth="1"/>
    <col min="2305" max="2305" width="22.1640625" style="108" customWidth="1"/>
    <col min="2306" max="2306" width="16.1640625" style="108" customWidth="1"/>
    <col min="2307" max="2307" width="22.33203125" style="108" customWidth="1"/>
    <col min="2308" max="2308" width="11.1640625" style="108" customWidth="1"/>
    <col min="2309" max="2559" width="9.33203125" style="108"/>
    <col min="2560" max="2560" width="8" style="108" customWidth="1"/>
    <col min="2561" max="2561" width="22.1640625" style="108" customWidth="1"/>
    <col min="2562" max="2562" width="16.1640625" style="108" customWidth="1"/>
    <col min="2563" max="2563" width="22.33203125" style="108" customWidth="1"/>
    <col min="2564" max="2564" width="11.1640625" style="108" customWidth="1"/>
    <col min="2565" max="2815" width="9.33203125" style="108"/>
    <col min="2816" max="2816" width="8" style="108" customWidth="1"/>
    <col min="2817" max="2817" width="22.1640625" style="108" customWidth="1"/>
    <col min="2818" max="2818" width="16.1640625" style="108" customWidth="1"/>
    <col min="2819" max="2819" width="22.33203125" style="108" customWidth="1"/>
    <col min="2820" max="2820" width="11.1640625" style="108" customWidth="1"/>
    <col min="2821" max="3071" width="9.33203125" style="108"/>
    <col min="3072" max="3072" width="8" style="108" customWidth="1"/>
    <col min="3073" max="3073" width="22.1640625" style="108" customWidth="1"/>
    <col min="3074" max="3074" width="16.1640625" style="108" customWidth="1"/>
    <col min="3075" max="3075" width="22.33203125" style="108" customWidth="1"/>
    <col min="3076" max="3076" width="11.1640625" style="108" customWidth="1"/>
    <col min="3077" max="3327" width="9.33203125" style="108"/>
    <col min="3328" max="3328" width="8" style="108" customWidth="1"/>
    <col min="3329" max="3329" width="22.1640625" style="108" customWidth="1"/>
    <col min="3330" max="3330" width="16.1640625" style="108" customWidth="1"/>
    <col min="3331" max="3331" width="22.33203125" style="108" customWidth="1"/>
    <col min="3332" max="3332" width="11.1640625" style="108" customWidth="1"/>
    <col min="3333" max="3583" width="9.33203125" style="108"/>
    <col min="3584" max="3584" width="8" style="108" customWidth="1"/>
    <col min="3585" max="3585" width="22.1640625" style="108" customWidth="1"/>
    <col min="3586" max="3586" width="16.1640625" style="108" customWidth="1"/>
    <col min="3587" max="3587" width="22.33203125" style="108" customWidth="1"/>
    <col min="3588" max="3588" width="11.1640625" style="108" customWidth="1"/>
    <col min="3589" max="3839" width="9.33203125" style="108"/>
    <col min="3840" max="3840" width="8" style="108" customWidth="1"/>
    <col min="3841" max="3841" width="22.1640625" style="108" customWidth="1"/>
    <col min="3842" max="3842" width="16.1640625" style="108" customWidth="1"/>
    <col min="3843" max="3843" width="22.33203125" style="108" customWidth="1"/>
    <col min="3844" max="3844" width="11.1640625" style="108" customWidth="1"/>
    <col min="3845" max="4095" width="9.33203125" style="108"/>
    <col min="4096" max="4096" width="8" style="108" customWidth="1"/>
    <col min="4097" max="4097" width="22.1640625" style="108" customWidth="1"/>
    <col min="4098" max="4098" width="16.1640625" style="108" customWidth="1"/>
    <col min="4099" max="4099" width="22.33203125" style="108" customWidth="1"/>
    <col min="4100" max="4100" width="11.1640625" style="108" customWidth="1"/>
    <col min="4101" max="4351" width="9.33203125" style="108"/>
    <col min="4352" max="4352" width="8" style="108" customWidth="1"/>
    <col min="4353" max="4353" width="22.1640625" style="108" customWidth="1"/>
    <col min="4354" max="4354" width="16.1640625" style="108" customWidth="1"/>
    <col min="4355" max="4355" width="22.33203125" style="108" customWidth="1"/>
    <col min="4356" max="4356" width="11.1640625" style="108" customWidth="1"/>
    <col min="4357" max="4607" width="9.33203125" style="108"/>
    <col min="4608" max="4608" width="8" style="108" customWidth="1"/>
    <col min="4609" max="4609" width="22.1640625" style="108" customWidth="1"/>
    <col min="4610" max="4610" width="16.1640625" style="108" customWidth="1"/>
    <col min="4611" max="4611" width="22.33203125" style="108" customWidth="1"/>
    <col min="4612" max="4612" width="11.1640625" style="108" customWidth="1"/>
    <col min="4613" max="4863" width="9.33203125" style="108"/>
    <col min="4864" max="4864" width="8" style="108" customWidth="1"/>
    <col min="4865" max="4865" width="22.1640625" style="108" customWidth="1"/>
    <col min="4866" max="4866" width="16.1640625" style="108" customWidth="1"/>
    <col min="4867" max="4867" width="22.33203125" style="108" customWidth="1"/>
    <col min="4868" max="4868" width="11.1640625" style="108" customWidth="1"/>
    <col min="4869" max="5119" width="9.33203125" style="108"/>
    <col min="5120" max="5120" width="8" style="108" customWidth="1"/>
    <col min="5121" max="5121" width="22.1640625" style="108" customWidth="1"/>
    <col min="5122" max="5122" width="16.1640625" style="108" customWidth="1"/>
    <col min="5123" max="5123" width="22.33203125" style="108" customWidth="1"/>
    <col min="5124" max="5124" width="11.1640625" style="108" customWidth="1"/>
    <col min="5125" max="5375" width="9.33203125" style="108"/>
    <col min="5376" max="5376" width="8" style="108" customWidth="1"/>
    <col min="5377" max="5377" width="22.1640625" style="108" customWidth="1"/>
    <col min="5378" max="5378" width="16.1640625" style="108" customWidth="1"/>
    <col min="5379" max="5379" width="22.33203125" style="108" customWidth="1"/>
    <col min="5380" max="5380" width="11.1640625" style="108" customWidth="1"/>
    <col min="5381" max="5631" width="9.33203125" style="108"/>
    <col min="5632" max="5632" width="8" style="108" customWidth="1"/>
    <col min="5633" max="5633" width="22.1640625" style="108" customWidth="1"/>
    <col min="5634" max="5634" width="16.1640625" style="108" customWidth="1"/>
    <col min="5635" max="5635" width="22.33203125" style="108" customWidth="1"/>
    <col min="5636" max="5636" width="11.1640625" style="108" customWidth="1"/>
    <col min="5637" max="5887" width="9.33203125" style="108"/>
    <col min="5888" max="5888" width="8" style="108" customWidth="1"/>
    <col min="5889" max="5889" width="22.1640625" style="108" customWidth="1"/>
    <col min="5890" max="5890" width="16.1640625" style="108" customWidth="1"/>
    <col min="5891" max="5891" width="22.33203125" style="108" customWidth="1"/>
    <col min="5892" max="5892" width="11.1640625" style="108" customWidth="1"/>
    <col min="5893" max="6143" width="9.33203125" style="108"/>
    <col min="6144" max="6144" width="8" style="108" customWidth="1"/>
    <col min="6145" max="6145" width="22.1640625" style="108" customWidth="1"/>
    <col min="6146" max="6146" width="16.1640625" style="108" customWidth="1"/>
    <col min="6147" max="6147" width="22.33203125" style="108" customWidth="1"/>
    <col min="6148" max="6148" width="11.1640625" style="108" customWidth="1"/>
    <col min="6149" max="6399" width="9.33203125" style="108"/>
    <col min="6400" max="6400" width="8" style="108" customWidth="1"/>
    <col min="6401" max="6401" width="22.1640625" style="108" customWidth="1"/>
    <col min="6402" max="6402" width="16.1640625" style="108" customWidth="1"/>
    <col min="6403" max="6403" width="22.33203125" style="108" customWidth="1"/>
    <col min="6404" max="6404" width="11.1640625" style="108" customWidth="1"/>
    <col min="6405" max="6655" width="9.33203125" style="108"/>
    <col min="6656" max="6656" width="8" style="108" customWidth="1"/>
    <col min="6657" max="6657" width="22.1640625" style="108" customWidth="1"/>
    <col min="6658" max="6658" width="16.1640625" style="108" customWidth="1"/>
    <col min="6659" max="6659" width="22.33203125" style="108" customWidth="1"/>
    <col min="6660" max="6660" width="11.1640625" style="108" customWidth="1"/>
    <col min="6661" max="6911" width="9.33203125" style="108"/>
    <col min="6912" max="6912" width="8" style="108" customWidth="1"/>
    <col min="6913" max="6913" width="22.1640625" style="108" customWidth="1"/>
    <col min="6914" max="6914" width="16.1640625" style="108" customWidth="1"/>
    <col min="6915" max="6915" width="22.33203125" style="108" customWidth="1"/>
    <col min="6916" max="6916" width="11.1640625" style="108" customWidth="1"/>
    <col min="6917" max="7167" width="9.33203125" style="108"/>
    <col min="7168" max="7168" width="8" style="108" customWidth="1"/>
    <col min="7169" max="7169" width="22.1640625" style="108" customWidth="1"/>
    <col min="7170" max="7170" width="16.1640625" style="108" customWidth="1"/>
    <col min="7171" max="7171" width="22.33203125" style="108" customWidth="1"/>
    <col min="7172" max="7172" width="11.1640625" style="108" customWidth="1"/>
    <col min="7173" max="7423" width="9.33203125" style="108"/>
    <col min="7424" max="7424" width="8" style="108" customWidth="1"/>
    <col min="7425" max="7425" width="22.1640625" style="108" customWidth="1"/>
    <col min="7426" max="7426" width="16.1640625" style="108" customWidth="1"/>
    <col min="7427" max="7427" width="22.33203125" style="108" customWidth="1"/>
    <col min="7428" max="7428" width="11.1640625" style="108" customWidth="1"/>
    <col min="7429" max="7679" width="9.33203125" style="108"/>
    <col min="7680" max="7680" width="8" style="108" customWidth="1"/>
    <col min="7681" max="7681" width="22.1640625" style="108" customWidth="1"/>
    <col min="7682" max="7682" width="16.1640625" style="108" customWidth="1"/>
    <col min="7683" max="7683" width="22.33203125" style="108" customWidth="1"/>
    <col min="7684" max="7684" width="11.1640625" style="108" customWidth="1"/>
    <col min="7685" max="7935" width="9.33203125" style="108"/>
    <col min="7936" max="7936" width="8" style="108" customWidth="1"/>
    <col min="7937" max="7937" width="22.1640625" style="108" customWidth="1"/>
    <col min="7938" max="7938" width="16.1640625" style="108" customWidth="1"/>
    <col min="7939" max="7939" width="22.33203125" style="108" customWidth="1"/>
    <col min="7940" max="7940" width="11.1640625" style="108" customWidth="1"/>
    <col min="7941" max="8191" width="9.33203125" style="108"/>
    <col min="8192" max="8192" width="8" style="108" customWidth="1"/>
    <col min="8193" max="8193" width="22.1640625" style="108" customWidth="1"/>
    <col min="8194" max="8194" width="16.1640625" style="108" customWidth="1"/>
    <col min="8195" max="8195" width="22.33203125" style="108" customWidth="1"/>
    <col min="8196" max="8196" width="11.1640625" style="108" customWidth="1"/>
    <col min="8197" max="8447" width="9.33203125" style="108"/>
    <col min="8448" max="8448" width="8" style="108" customWidth="1"/>
    <col min="8449" max="8449" width="22.1640625" style="108" customWidth="1"/>
    <col min="8450" max="8450" width="16.1640625" style="108" customWidth="1"/>
    <col min="8451" max="8451" width="22.33203125" style="108" customWidth="1"/>
    <col min="8452" max="8452" width="11.1640625" style="108" customWidth="1"/>
    <col min="8453" max="8703" width="9.33203125" style="108"/>
    <col min="8704" max="8704" width="8" style="108" customWidth="1"/>
    <col min="8705" max="8705" width="22.1640625" style="108" customWidth="1"/>
    <col min="8706" max="8706" width="16.1640625" style="108" customWidth="1"/>
    <col min="8707" max="8707" width="22.33203125" style="108" customWidth="1"/>
    <col min="8708" max="8708" width="11.1640625" style="108" customWidth="1"/>
    <col min="8709" max="8959" width="9.33203125" style="108"/>
    <col min="8960" max="8960" width="8" style="108" customWidth="1"/>
    <col min="8961" max="8961" width="22.1640625" style="108" customWidth="1"/>
    <col min="8962" max="8962" width="16.1640625" style="108" customWidth="1"/>
    <col min="8963" max="8963" width="22.33203125" style="108" customWidth="1"/>
    <col min="8964" max="8964" width="11.1640625" style="108" customWidth="1"/>
    <col min="8965" max="9215" width="9.33203125" style="108"/>
    <col min="9216" max="9216" width="8" style="108" customWidth="1"/>
    <col min="9217" max="9217" width="22.1640625" style="108" customWidth="1"/>
    <col min="9218" max="9218" width="16.1640625" style="108" customWidth="1"/>
    <col min="9219" max="9219" width="22.33203125" style="108" customWidth="1"/>
    <col min="9220" max="9220" width="11.1640625" style="108" customWidth="1"/>
    <col min="9221" max="9471" width="9.33203125" style="108"/>
    <col min="9472" max="9472" width="8" style="108" customWidth="1"/>
    <col min="9473" max="9473" width="22.1640625" style="108" customWidth="1"/>
    <col min="9474" max="9474" width="16.1640625" style="108" customWidth="1"/>
    <col min="9475" max="9475" width="22.33203125" style="108" customWidth="1"/>
    <col min="9476" max="9476" width="11.1640625" style="108" customWidth="1"/>
    <col min="9477" max="9727" width="9.33203125" style="108"/>
    <col min="9728" max="9728" width="8" style="108" customWidth="1"/>
    <col min="9729" max="9729" width="22.1640625" style="108" customWidth="1"/>
    <col min="9730" max="9730" width="16.1640625" style="108" customWidth="1"/>
    <col min="9731" max="9731" width="22.33203125" style="108" customWidth="1"/>
    <col min="9732" max="9732" width="11.1640625" style="108" customWidth="1"/>
    <col min="9733" max="9983" width="9.33203125" style="108"/>
    <col min="9984" max="9984" width="8" style="108" customWidth="1"/>
    <col min="9985" max="9985" width="22.1640625" style="108" customWidth="1"/>
    <col min="9986" max="9986" width="16.1640625" style="108" customWidth="1"/>
    <col min="9987" max="9987" width="22.33203125" style="108" customWidth="1"/>
    <col min="9988" max="9988" width="11.1640625" style="108" customWidth="1"/>
    <col min="9989" max="10239" width="9.33203125" style="108"/>
    <col min="10240" max="10240" width="8" style="108" customWidth="1"/>
    <col min="10241" max="10241" width="22.1640625" style="108" customWidth="1"/>
    <col min="10242" max="10242" width="16.1640625" style="108" customWidth="1"/>
    <col min="10243" max="10243" width="22.33203125" style="108" customWidth="1"/>
    <col min="10244" max="10244" width="11.1640625" style="108" customWidth="1"/>
    <col min="10245" max="10495" width="9.33203125" style="108"/>
    <col min="10496" max="10496" width="8" style="108" customWidth="1"/>
    <col min="10497" max="10497" width="22.1640625" style="108" customWidth="1"/>
    <col min="10498" max="10498" width="16.1640625" style="108" customWidth="1"/>
    <col min="10499" max="10499" width="22.33203125" style="108" customWidth="1"/>
    <col min="10500" max="10500" width="11.1640625" style="108" customWidth="1"/>
    <col min="10501" max="10751" width="9.33203125" style="108"/>
    <col min="10752" max="10752" width="8" style="108" customWidth="1"/>
    <col min="10753" max="10753" width="22.1640625" style="108" customWidth="1"/>
    <col min="10754" max="10754" width="16.1640625" style="108" customWidth="1"/>
    <col min="10755" max="10755" width="22.33203125" style="108" customWidth="1"/>
    <col min="10756" max="10756" width="11.1640625" style="108" customWidth="1"/>
    <col min="10757" max="11007" width="9.33203125" style="108"/>
    <col min="11008" max="11008" width="8" style="108" customWidth="1"/>
    <col min="11009" max="11009" width="22.1640625" style="108" customWidth="1"/>
    <col min="11010" max="11010" width="16.1640625" style="108" customWidth="1"/>
    <col min="11011" max="11011" width="22.33203125" style="108" customWidth="1"/>
    <col min="11012" max="11012" width="11.1640625" style="108" customWidth="1"/>
    <col min="11013" max="11263" width="9.33203125" style="108"/>
    <col min="11264" max="11264" width="8" style="108" customWidth="1"/>
    <col min="11265" max="11265" width="22.1640625" style="108" customWidth="1"/>
    <col min="11266" max="11266" width="16.1640625" style="108" customWidth="1"/>
    <col min="11267" max="11267" width="22.33203125" style="108" customWidth="1"/>
    <col min="11268" max="11268" width="11.1640625" style="108" customWidth="1"/>
    <col min="11269" max="11519" width="9.33203125" style="108"/>
    <col min="11520" max="11520" width="8" style="108" customWidth="1"/>
    <col min="11521" max="11521" width="22.1640625" style="108" customWidth="1"/>
    <col min="11522" max="11522" width="16.1640625" style="108" customWidth="1"/>
    <col min="11523" max="11523" width="22.33203125" style="108" customWidth="1"/>
    <col min="11524" max="11524" width="11.1640625" style="108" customWidth="1"/>
    <col min="11525" max="11775" width="9.33203125" style="108"/>
    <col min="11776" max="11776" width="8" style="108" customWidth="1"/>
    <col min="11777" max="11777" width="22.1640625" style="108" customWidth="1"/>
    <col min="11778" max="11778" width="16.1640625" style="108" customWidth="1"/>
    <col min="11779" max="11779" width="22.33203125" style="108" customWidth="1"/>
    <col min="11780" max="11780" width="11.1640625" style="108" customWidth="1"/>
    <col min="11781" max="12031" width="9.33203125" style="108"/>
    <col min="12032" max="12032" width="8" style="108" customWidth="1"/>
    <col min="12033" max="12033" width="22.1640625" style="108" customWidth="1"/>
    <col min="12034" max="12034" width="16.1640625" style="108" customWidth="1"/>
    <col min="12035" max="12035" width="22.33203125" style="108" customWidth="1"/>
    <col min="12036" max="12036" width="11.1640625" style="108" customWidth="1"/>
    <col min="12037" max="12287" width="9.33203125" style="108"/>
    <col min="12288" max="12288" width="8" style="108" customWidth="1"/>
    <col min="12289" max="12289" width="22.1640625" style="108" customWidth="1"/>
    <col min="12290" max="12290" width="16.1640625" style="108" customWidth="1"/>
    <col min="12291" max="12291" width="22.33203125" style="108" customWidth="1"/>
    <col min="12292" max="12292" width="11.1640625" style="108" customWidth="1"/>
    <col min="12293" max="12543" width="9.33203125" style="108"/>
    <col min="12544" max="12544" width="8" style="108" customWidth="1"/>
    <col min="12545" max="12545" width="22.1640625" style="108" customWidth="1"/>
    <col min="12546" max="12546" width="16.1640625" style="108" customWidth="1"/>
    <col min="12547" max="12547" width="22.33203125" style="108" customWidth="1"/>
    <col min="12548" max="12548" width="11.1640625" style="108" customWidth="1"/>
    <col min="12549" max="12799" width="9.33203125" style="108"/>
    <col min="12800" max="12800" width="8" style="108" customWidth="1"/>
    <col min="12801" max="12801" width="22.1640625" style="108" customWidth="1"/>
    <col min="12802" max="12802" width="16.1640625" style="108" customWidth="1"/>
    <col min="12803" max="12803" width="22.33203125" style="108" customWidth="1"/>
    <col min="12804" max="12804" width="11.1640625" style="108" customWidth="1"/>
    <col min="12805" max="13055" width="9.33203125" style="108"/>
    <col min="13056" max="13056" width="8" style="108" customWidth="1"/>
    <col min="13057" max="13057" width="22.1640625" style="108" customWidth="1"/>
    <col min="13058" max="13058" width="16.1640625" style="108" customWidth="1"/>
    <col min="13059" max="13059" width="22.33203125" style="108" customWidth="1"/>
    <col min="13060" max="13060" width="11.1640625" style="108" customWidth="1"/>
    <col min="13061" max="13311" width="9.33203125" style="108"/>
    <col min="13312" max="13312" width="8" style="108" customWidth="1"/>
    <col min="13313" max="13313" width="22.1640625" style="108" customWidth="1"/>
    <col min="13314" max="13314" width="16.1640625" style="108" customWidth="1"/>
    <col min="13315" max="13315" width="22.33203125" style="108" customWidth="1"/>
    <col min="13316" max="13316" width="11.1640625" style="108" customWidth="1"/>
    <col min="13317" max="13567" width="9.33203125" style="108"/>
    <col min="13568" max="13568" width="8" style="108" customWidth="1"/>
    <col min="13569" max="13569" width="22.1640625" style="108" customWidth="1"/>
    <col min="13570" max="13570" width="16.1640625" style="108" customWidth="1"/>
    <col min="13571" max="13571" width="22.33203125" style="108" customWidth="1"/>
    <col min="13572" max="13572" width="11.1640625" style="108" customWidth="1"/>
    <col min="13573" max="13823" width="9.33203125" style="108"/>
    <col min="13824" max="13824" width="8" style="108" customWidth="1"/>
    <col min="13825" max="13825" width="22.1640625" style="108" customWidth="1"/>
    <col min="13826" max="13826" width="16.1640625" style="108" customWidth="1"/>
    <col min="13827" max="13827" width="22.33203125" style="108" customWidth="1"/>
    <col min="13828" max="13828" width="11.1640625" style="108" customWidth="1"/>
    <col min="13829" max="14079" width="9.33203125" style="108"/>
    <col min="14080" max="14080" width="8" style="108" customWidth="1"/>
    <col min="14081" max="14081" width="22.1640625" style="108" customWidth="1"/>
    <col min="14082" max="14082" width="16.1640625" style="108" customWidth="1"/>
    <col min="14083" max="14083" width="22.33203125" style="108" customWidth="1"/>
    <col min="14084" max="14084" width="11.1640625" style="108" customWidth="1"/>
    <col min="14085" max="14335" width="9.33203125" style="108"/>
    <col min="14336" max="14336" width="8" style="108" customWidth="1"/>
    <col min="14337" max="14337" width="22.1640625" style="108" customWidth="1"/>
    <col min="14338" max="14338" width="16.1640625" style="108" customWidth="1"/>
    <col min="14339" max="14339" width="22.33203125" style="108" customWidth="1"/>
    <col min="14340" max="14340" width="11.1640625" style="108" customWidth="1"/>
    <col min="14341" max="14591" width="9.33203125" style="108"/>
    <col min="14592" max="14592" width="8" style="108" customWidth="1"/>
    <col min="14593" max="14593" width="22.1640625" style="108" customWidth="1"/>
    <col min="14594" max="14594" width="16.1640625" style="108" customWidth="1"/>
    <col min="14595" max="14595" width="22.33203125" style="108" customWidth="1"/>
    <col min="14596" max="14596" width="11.1640625" style="108" customWidth="1"/>
    <col min="14597" max="14847" width="9.33203125" style="108"/>
    <col min="14848" max="14848" width="8" style="108" customWidth="1"/>
    <col min="14849" max="14849" width="22.1640625" style="108" customWidth="1"/>
    <col min="14850" max="14850" width="16.1640625" style="108" customWidth="1"/>
    <col min="14851" max="14851" width="22.33203125" style="108" customWidth="1"/>
    <col min="14852" max="14852" width="11.1640625" style="108" customWidth="1"/>
    <col min="14853" max="15103" width="9.33203125" style="108"/>
    <col min="15104" max="15104" width="8" style="108" customWidth="1"/>
    <col min="15105" max="15105" width="22.1640625" style="108" customWidth="1"/>
    <col min="15106" max="15106" width="16.1640625" style="108" customWidth="1"/>
    <col min="15107" max="15107" width="22.33203125" style="108" customWidth="1"/>
    <col min="15108" max="15108" width="11.1640625" style="108" customWidth="1"/>
    <col min="15109" max="15359" width="9.33203125" style="108"/>
    <col min="15360" max="15360" width="8" style="108" customWidth="1"/>
    <col min="15361" max="15361" width="22.1640625" style="108" customWidth="1"/>
    <col min="15362" max="15362" width="16.1640625" style="108" customWidth="1"/>
    <col min="15363" max="15363" width="22.33203125" style="108" customWidth="1"/>
    <col min="15364" max="15364" width="11.1640625" style="108" customWidth="1"/>
    <col min="15365" max="15615" width="9.33203125" style="108"/>
    <col min="15616" max="15616" width="8" style="108" customWidth="1"/>
    <col min="15617" max="15617" width="22.1640625" style="108" customWidth="1"/>
    <col min="15618" max="15618" width="16.1640625" style="108" customWidth="1"/>
    <col min="15619" max="15619" width="22.33203125" style="108" customWidth="1"/>
    <col min="15620" max="15620" width="11.1640625" style="108" customWidth="1"/>
    <col min="15621" max="15871" width="9.33203125" style="108"/>
    <col min="15872" max="15872" width="8" style="108" customWidth="1"/>
    <col min="15873" max="15873" width="22.1640625" style="108" customWidth="1"/>
    <col min="15874" max="15874" width="16.1640625" style="108" customWidth="1"/>
    <col min="15875" max="15875" width="22.33203125" style="108" customWidth="1"/>
    <col min="15876" max="15876" width="11.1640625" style="108" customWidth="1"/>
    <col min="15877" max="16127" width="9.33203125" style="108"/>
    <col min="16128" max="16128" width="8" style="108" customWidth="1"/>
    <col min="16129" max="16129" width="22.1640625" style="108" customWidth="1"/>
    <col min="16130" max="16130" width="16.1640625" style="108" customWidth="1"/>
    <col min="16131" max="16131" width="22.33203125" style="108" customWidth="1"/>
    <col min="16132" max="16132" width="11.1640625" style="108" customWidth="1"/>
    <col min="16133" max="16384" width="9.33203125" style="108"/>
  </cols>
  <sheetData>
    <row r="1" spans="1:8" ht="28.5" customHeight="1" thickBot="1">
      <c r="A1" s="448" t="s">
        <v>2037</v>
      </c>
      <c r="B1" s="449"/>
      <c r="C1" s="449"/>
      <c r="D1" s="449"/>
      <c r="E1" s="449"/>
      <c r="F1" s="449"/>
      <c r="G1" s="450"/>
    </row>
    <row r="2" spans="1:8" ht="18" customHeight="1">
      <c r="A2" s="451" t="s">
        <v>159</v>
      </c>
      <c r="B2" s="452" t="str">
        <f>'REF. DE PREÇOS n editavel'!C13</f>
        <v>DOIS VIZINHOS</v>
      </c>
      <c r="C2" s="453"/>
      <c r="D2" s="453"/>
      <c r="E2" s="453"/>
      <c r="F2" s="453" t="s">
        <v>2089</v>
      </c>
      <c r="G2" s="454" t="str">
        <f>'REF. DE PREÇOS n editavel'!O13</f>
        <v>XX</v>
      </c>
      <c r="H2" s="458"/>
    </row>
    <row r="3" spans="1:8" ht="18" customHeight="1">
      <c r="A3" s="456" t="s">
        <v>2085</v>
      </c>
      <c r="B3" s="457" t="str">
        <f>'REF. DE PREÇOS n editavel'!C14</f>
        <v xml:space="preserve">PAVIMENTAÇÃO DE VIAS </v>
      </c>
      <c r="C3" s="458"/>
      <c r="D3" s="458"/>
      <c r="E3" s="458"/>
      <c r="F3" s="458" t="s">
        <v>2090</v>
      </c>
      <c r="G3" s="459" t="str">
        <f>'REF. DE PREÇOS n editavel'!O14</f>
        <v>1</v>
      </c>
      <c r="H3" s="458"/>
    </row>
    <row r="4" spans="1:8" ht="18" customHeight="1" thickBot="1">
      <c r="A4" s="456" t="s">
        <v>2038</v>
      </c>
      <c r="B4" s="460" t="str">
        <f>'REF. DE PREÇOS n editavel'!C15</f>
        <v>ESTRADA QUE LIGA OS MUNICIPIOS DE DOIS VIZINHOS E BOA ESPERANÇA DO IGUAÇU</v>
      </c>
      <c r="C4" s="461"/>
      <c r="D4" s="462"/>
      <c r="E4" s="461"/>
      <c r="F4" s="458"/>
      <c r="G4" s="463"/>
      <c r="H4" s="458"/>
    </row>
    <row r="5" spans="1:8" ht="15" customHeight="1">
      <c r="A5" s="464"/>
      <c r="B5" s="465" t="s">
        <v>11</v>
      </c>
      <c r="C5" s="493"/>
      <c r="D5" s="466" t="s">
        <v>2039</v>
      </c>
      <c r="E5" s="466"/>
      <c r="F5" s="466" t="s">
        <v>2040</v>
      </c>
      <c r="G5" s="467"/>
      <c r="H5" s="458"/>
    </row>
    <row r="6" spans="1:8" ht="15" customHeight="1" thickBot="1">
      <c r="A6" s="636" t="s">
        <v>2137</v>
      </c>
      <c r="B6" s="468" t="s">
        <v>2041</v>
      </c>
      <c r="C6" s="494" t="s">
        <v>2042</v>
      </c>
      <c r="D6" s="469" t="s">
        <v>2043</v>
      </c>
      <c r="E6" s="469" t="s">
        <v>2044</v>
      </c>
      <c r="F6" s="469" t="s">
        <v>2043</v>
      </c>
      <c r="G6" s="470" t="s">
        <v>2044</v>
      </c>
      <c r="H6" s="458"/>
    </row>
    <row r="7" spans="1:8" ht="15" customHeight="1">
      <c r="A7" s="1574" t="s">
        <v>2088</v>
      </c>
      <c r="B7" s="471" t="s">
        <v>2045</v>
      </c>
      <c r="C7" s="495" t="s">
        <v>2046</v>
      </c>
      <c r="D7" s="672"/>
      <c r="E7" s="481"/>
      <c r="F7" s="443">
        <v>18</v>
      </c>
      <c r="G7" s="487"/>
      <c r="H7" s="458"/>
    </row>
    <row r="8" spans="1:8" ht="15" customHeight="1">
      <c r="A8" s="1575"/>
      <c r="B8" s="472" t="s">
        <v>229</v>
      </c>
      <c r="C8" s="496" t="s">
        <v>2047</v>
      </c>
      <c r="D8" s="673"/>
      <c r="E8" s="482"/>
      <c r="F8" s="444">
        <v>290</v>
      </c>
      <c r="G8" s="488"/>
      <c r="H8" s="458" t="s">
        <v>2048</v>
      </c>
    </row>
    <row r="9" spans="1:8" ht="15" customHeight="1">
      <c r="A9" s="1575"/>
      <c r="B9" s="472" t="s">
        <v>2108</v>
      </c>
      <c r="C9" s="496" t="s">
        <v>2049</v>
      </c>
      <c r="D9" s="673"/>
      <c r="E9" s="482"/>
      <c r="F9" s="444">
        <v>43.1</v>
      </c>
      <c r="G9" s="488"/>
      <c r="H9" s="458" t="s">
        <v>2050</v>
      </c>
    </row>
    <row r="10" spans="1:8" ht="15" customHeight="1">
      <c r="A10" s="1575"/>
      <c r="B10" s="472" t="s">
        <v>2092</v>
      </c>
      <c r="C10" s="496" t="s">
        <v>2049</v>
      </c>
      <c r="D10" s="673"/>
      <c r="E10" s="482"/>
      <c r="F10" s="444">
        <v>43.1</v>
      </c>
      <c r="G10" s="488"/>
      <c r="H10" s="458" t="s">
        <v>2050</v>
      </c>
    </row>
    <row r="11" spans="1:8" ht="15" customHeight="1">
      <c r="A11" s="1575"/>
      <c r="B11" s="472" t="s">
        <v>231</v>
      </c>
      <c r="C11" s="496" t="s">
        <v>2049</v>
      </c>
      <c r="D11" s="673"/>
      <c r="E11" s="482"/>
      <c r="F11" s="444">
        <v>10</v>
      </c>
      <c r="G11" s="488"/>
      <c r="H11" s="458" t="s">
        <v>2050</v>
      </c>
    </row>
    <row r="12" spans="1:8" ht="15" customHeight="1">
      <c r="A12" s="1575"/>
      <c r="B12" s="472" t="s">
        <v>2117</v>
      </c>
      <c r="C12" s="496" t="s">
        <v>2049</v>
      </c>
      <c r="D12" s="673"/>
      <c r="E12" s="482"/>
      <c r="F12" s="444">
        <v>43.1</v>
      </c>
      <c r="G12" s="488"/>
      <c r="H12" s="458" t="s">
        <v>2050</v>
      </c>
    </row>
    <row r="13" spans="1:8" ht="15" customHeight="1">
      <c r="A13" s="1575"/>
      <c r="B13" s="472" t="s">
        <v>2116</v>
      </c>
      <c r="C13" s="496" t="s">
        <v>2049</v>
      </c>
      <c r="D13" s="673"/>
      <c r="E13" s="482"/>
      <c r="F13" s="444">
        <v>43.1</v>
      </c>
      <c r="G13" s="488"/>
      <c r="H13" s="458" t="s">
        <v>2050</v>
      </c>
    </row>
    <row r="14" spans="1:8" ht="15" customHeight="1">
      <c r="A14" s="1575"/>
      <c r="B14" s="472" t="s">
        <v>2096</v>
      </c>
      <c r="C14" s="496" t="s">
        <v>2049</v>
      </c>
      <c r="D14" s="673"/>
      <c r="E14" s="482"/>
      <c r="F14" s="444">
        <v>43.1</v>
      </c>
      <c r="G14" s="488"/>
      <c r="H14" s="458" t="s">
        <v>2050</v>
      </c>
    </row>
    <row r="15" spans="1:8" ht="15" customHeight="1">
      <c r="A15" s="1575"/>
      <c r="B15" s="472" t="s">
        <v>2119</v>
      </c>
      <c r="C15" s="496" t="s">
        <v>2049</v>
      </c>
      <c r="D15" s="673"/>
      <c r="E15" s="482"/>
      <c r="F15" s="444">
        <v>43.1</v>
      </c>
      <c r="G15" s="488"/>
      <c r="H15" s="458" t="s">
        <v>2050</v>
      </c>
    </row>
    <row r="16" spans="1:8" ht="30" customHeight="1">
      <c r="A16" s="1575"/>
      <c r="B16" s="502" t="s">
        <v>2118</v>
      </c>
      <c r="C16" s="496" t="s">
        <v>2049</v>
      </c>
      <c r="D16" s="673"/>
      <c r="E16" s="482"/>
      <c r="F16" s="444">
        <v>43.1</v>
      </c>
      <c r="G16" s="488"/>
      <c r="H16" s="458" t="s">
        <v>2050</v>
      </c>
    </row>
    <row r="17" spans="1:8" ht="15" customHeight="1">
      <c r="A17" s="1575"/>
      <c r="B17" s="472" t="s">
        <v>2099</v>
      </c>
      <c r="C17" s="496" t="s">
        <v>2049</v>
      </c>
      <c r="D17" s="673"/>
      <c r="E17" s="482"/>
      <c r="F17" s="444">
        <v>40</v>
      </c>
      <c r="G17" s="488"/>
      <c r="H17" s="458" t="s">
        <v>2050</v>
      </c>
    </row>
    <row r="18" spans="1:8" ht="15" customHeight="1">
      <c r="A18" s="1575"/>
      <c r="B18" s="472" t="s">
        <v>2104</v>
      </c>
      <c r="C18" s="474" t="s">
        <v>2100</v>
      </c>
      <c r="D18" s="444">
        <v>440</v>
      </c>
      <c r="E18" s="482"/>
      <c r="F18" s="673"/>
      <c r="G18" s="488"/>
      <c r="H18" s="458" t="s">
        <v>2105</v>
      </c>
    </row>
    <row r="19" spans="1:8" ht="15" customHeight="1">
      <c r="A19" s="1575"/>
      <c r="B19" s="472" t="s">
        <v>2052</v>
      </c>
      <c r="C19" s="474" t="s">
        <v>2053</v>
      </c>
      <c r="D19" s="444">
        <v>468</v>
      </c>
      <c r="E19" s="483"/>
      <c r="F19" s="674"/>
      <c r="G19" s="489"/>
      <c r="H19" s="458" t="s">
        <v>1934</v>
      </c>
    </row>
    <row r="20" spans="1:8" ht="15" customHeight="1">
      <c r="A20" s="1575"/>
      <c r="B20" s="472" t="s">
        <v>2072</v>
      </c>
      <c r="C20" s="474" t="s">
        <v>2055</v>
      </c>
      <c r="D20" s="444">
        <v>445</v>
      </c>
      <c r="E20" s="482"/>
      <c r="F20" s="673"/>
      <c r="G20" s="488"/>
      <c r="H20" s="458" t="s">
        <v>2105</v>
      </c>
    </row>
    <row r="21" spans="1:8" ht="15" customHeight="1">
      <c r="A21" s="1575"/>
      <c r="B21" s="472" t="s">
        <v>2120</v>
      </c>
      <c r="C21" s="474" t="s">
        <v>2051</v>
      </c>
      <c r="D21" s="482"/>
      <c r="E21" s="482"/>
      <c r="F21" s="444">
        <v>43.1</v>
      </c>
      <c r="G21" s="488"/>
      <c r="H21" s="458"/>
    </row>
    <row r="22" spans="1:8" ht="15" customHeight="1">
      <c r="A22" s="1575"/>
      <c r="B22" s="472" t="s">
        <v>2121</v>
      </c>
      <c r="C22" s="474" t="s">
        <v>2051</v>
      </c>
      <c r="D22" s="482"/>
      <c r="E22" s="482"/>
      <c r="F22" s="444">
        <v>43.1</v>
      </c>
      <c r="G22" s="488"/>
      <c r="H22" s="458"/>
    </row>
    <row r="23" spans="1:8" ht="15" customHeight="1">
      <c r="A23" s="1575"/>
      <c r="B23" s="472" t="s">
        <v>2114</v>
      </c>
      <c r="C23" s="474" t="s">
        <v>2053</v>
      </c>
      <c r="D23" s="444">
        <v>468</v>
      </c>
      <c r="E23" s="483"/>
      <c r="F23" s="674"/>
      <c r="G23" s="489"/>
      <c r="H23" s="458" t="s">
        <v>2054</v>
      </c>
    </row>
    <row r="24" spans="1:8" ht="15" customHeight="1">
      <c r="A24" s="1575"/>
      <c r="B24" s="472" t="s">
        <v>2115</v>
      </c>
      <c r="C24" s="474" t="s">
        <v>2056</v>
      </c>
      <c r="D24" s="444">
        <v>468</v>
      </c>
      <c r="E24" s="483"/>
      <c r="F24" s="674"/>
      <c r="G24" s="489"/>
      <c r="H24" s="458" t="s">
        <v>2057</v>
      </c>
    </row>
    <row r="25" spans="1:8" ht="15" customHeight="1">
      <c r="A25" s="1575"/>
      <c r="B25" s="472" t="s">
        <v>2058</v>
      </c>
      <c r="C25" s="474" t="s">
        <v>2059</v>
      </c>
      <c r="D25" s="444">
        <v>468</v>
      </c>
      <c r="E25" s="482"/>
      <c r="F25" s="673"/>
      <c r="G25" s="488"/>
      <c r="H25" s="458"/>
    </row>
    <row r="26" spans="1:8" ht="15" customHeight="1">
      <c r="A26" s="1575"/>
      <c r="B26" s="472" t="s">
        <v>2060</v>
      </c>
      <c r="C26" s="497" t="s">
        <v>2091</v>
      </c>
      <c r="D26" s="673"/>
      <c r="E26" s="482"/>
      <c r="F26" s="444">
        <v>23</v>
      </c>
      <c r="G26" s="488"/>
      <c r="H26" s="458" t="s">
        <v>2050</v>
      </c>
    </row>
    <row r="27" spans="1:8" ht="15" customHeight="1">
      <c r="A27" s="1575"/>
      <c r="B27" s="472" t="s">
        <v>2112</v>
      </c>
      <c r="C27" s="497" t="s">
        <v>2091</v>
      </c>
      <c r="D27" s="673"/>
      <c r="E27" s="482"/>
      <c r="F27" s="444">
        <v>26</v>
      </c>
      <c r="G27" s="488"/>
      <c r="H27" s="458"/>
    </row>
    <row r="28" spans="1:8" ht="15" customHeight="1">
      <c r="A28" s="1575"/>
      <c r="B28" s="472" t="s">
        <v>2061</v>
      </c>
      <c r="C28" s="497" t="s">
        <v>2062</v>
      </c>
      <c r="D28" s="673"/>
      <c r="E28" s="482"/>
      <c r="F28" s="444">
        <v>43.1</v>
      </c>
      <c r="G28" s="488"/>
      <c r="H28" s="458" t="s">
        <v>2063</v>
      </c>
    </row>
    <row r="29" spans="1:8" ht="15" customHeight="1">
      <c r="A29" s="1575"/>
      <c r="B29" s="472" t="s">
        <v>2064</v>
      </c>
      <c r="C29" s="497" t="s">
        <v>2065</v>
      </c>
      <c r="D29" s="673"/>
      <c r="E29" s="482"/>
      <c r="F29" s="444">
        <v>4</v>
      </c>
      <c r="G29" s="488"/>
      <c r="H29" s="458"/>
    </row>
    <row r="30" spans="1:8" ht="15" customHeight="1">
      <c r="A30" s="1575"/>
      <c r="B30" s="472" t="s">
        <v>2066</v>
      </c>
      <c r="C30" s="497" t="s">
        <v>2065</v>
      </c>
      <c r="D30" s="673"/>
      <c r="E30" s="482"/>
      <c r="F30" s="444">
        <v>10</v>
      </c>
      <c r="G30" s="488"/>
      <c r="H30" s="458"/>
    </row>
    <row r="31" spans="1:8" ht="15" customHeight="1">
      <c r="A31" s="1575"/>
      <c r="B31" s="472" t="s">
        <v>2107</v>
      </c>
      <c r="C31" s="474" t="s">
        <v>2051</v>
      </c>
      <c r="D31" s="673"/>
      <c r="E31" s="482"/>
      <c r="F31" s="444">
        <v>17</v>
      </c>
      <c r="G31" s="488"/>
      <c r="H31" s="458"/>
    </row>
    <row r="32" spans="1:8" ht="15" customHeight="1">
      <c r="A32" s="1575"/>
      <c r="B32" s="472" t="s">
        <v>2067</v>
      </c>
      <c r="C32" s="474" t="s">
        <v>2051</v>
      </c>
      <c r="D32" s="673"/>
      <c r="E32" s="482"/>
      <c r="F32" s="444">
        <v>28</v>
      </c>
      <c r="G32" s="488"/>
      <c r="H32" s="458"/>
    </row>
    <row r="33" spans="1:8" ht="15" customHeight="1">
      <c r="A33" s="1575"/>
      <c r="B33" s="472" t="s">
        <v>2068</v>
      </c>
      <c r="C33" s="474" t="s">
        <v>2059</v>
      </c>
      <c r="D33" s="673"/>
      <c r="E33" s="484"/>
      <c r="F33" s="445"/>
      <c r="G33" s="490"/>
      <c r="H33" s="458"/>
    </row>
    <row r="34" spans="1:8" ht="15" customHeight="1">
      <c r="A34" s="1575"/>
      <c r="B34" s="472" t="s">
        <v>2106</v>
      </c>
      <c r="C34" s="474" t="s">
        <v>2051</v>
      </c>
      <c r="D34" s="673"/>
      <c r="E34" s="484"/>
      <c r="F34" s="445">
        <v>10</v>
      </c>
      <c r="G34" s="490"/>
      <c r="H34" s="458"/>
    </row>
    <row r="35" spans="1:8" ht="15" customHeight="1">
      <c r="A35" s="1575"/>
      <c r="B35" s="472" t="s">
        <v>2093</v>
      </c>
      <c r="C35" s="474" t="s">
        <v>2051</v>
      </c>
      <c r="D35" s="673"/>
      <c r="E35" s="484"/>
      <c r="F35" s="445">
        <v>29</v>
      </c>
      <c r="G35" s="490"/>
      <c r="H35" s="458"/>
    </row>
    <row r="36" spans="1:8" ht="15" customHeight="1">
      <c r="A36" s="1575"/>
      <c r="B36" s="472" t="s">
        <v>2122</v>
      </c>
      <c r="C36" s="474" t="s">
        <v>2051</v>
      </c>
      <c r="D36" s="673"/>
      <c r="E36" s="484"/>
      <c r="F36" s="445">
        <v>28</v>
      </c>
      <c r="G36" s="490"/>
      <c r="H36" s="458"/>
    </row>
    <row r="37" spans="1:8" ht="15" customHeight="1">
      <c r="A37" s="1575"/>
      <c r="B37" s="472" t="s">
        <v>2094</v>
      </c>
      <c r="C37" s="474" t="s">
        <v>2051</v>
      </c>
      <c r="D37" s="673"/>
      <c r="E37" s="484"/>
      <c r="F37" s="445">
        <v>37</v>
      </c>
      <c r="G37" s="490"/>
      <c r="H37" s="458"/>
    </row>
    <row r="38" spans="1:8" ht="15" customHeight="1" thickBot="1">
      <c r="A38" s="1576"/>
      <c r="B38" s="472" t="s">
        <v>336</v>
      </c>
      <c r="C38" s="474" t="s">
        <v>2046</v>
      </c>
      <c r="D38" s="675"/>
      <c r="E38" s="484"/>
      <c r="F38" s="444">
        <v>37</v>
      </c>
      <c r="G38" s="490"/>
      <c r="H38" s="458" t="s">
        <v>2069</v>
      </c>
    </row>
    <row r="39" spans="1:8" ht="18" customHeight="1">
      <c r="A39" s="1580" t="s">
        <v>2098</v>
      </c>
      <c r="B39" s="473" t="s">
        <v>2070</v>
      </c>
      <c r="C39" s="498" t="s">
        <v>2086</v>
      </c>
      <c r="D39" s="676"/>
      <c r="E39" s="485"/>
      <c r="F39" s="446">
        <v>290</v>
      </c>
      <c r="G39" s="491"/>
      <c r="H39" s="458"/>
    </row>
    <row r="40" spans="1:8" ht="18" customHeight="1">
      <c r="A40" s="1581"/>
      <c r="B40" s="472" t="s">
        <v>233</v>
      </c>
      <c r="C40" s="496" t="s">
        <v>2087</v>
      </c>
      <c r="D40" s="673"/>
      <c r="E40" s="482"/>
      <c r="F40" s="444">
        <v>0.2</v>
      </c>
      <c r="G40" s="488"/>
      <c r="H40" s="458"/>
    </row>
    <row r="41" spans="1:8" ht="18" customHeight="1" thickBot="1">
      <c r="A41" s="1581"/>
      <c r="B41" s="472" t="s">
        <v>2072</v>
      </c>
      <c r="C41" s="474" t="s">
        <v>2055</v>
      </c>
      <c r="D41" s="444">
        <v>445</v>
      </c>
      <c r="E41" s="482"/>
      <c r="F41" s="673"/>
      <c r="G41" s="488"/>
      <c r="H41" s="458"/>
    </row>
    <row r="42" spans="1:8" ht="15" customHeight="1">
      <c r="A42" s="1577" t="s">
        <v>2097</v>
      </c>
      <c r="B42" s="473" t="s">
        <v>2070</v>
      </c>
      <c r="C42" s="498" t="s">
        <v>2071</v>
      </c>
      <c r="D42" s="676"/>
      <c r="E42" s="485"/>
      <c r="F42" s="446">
        <v>290</v>
      </c>
      <c r="G42" s="491"/>
      <c r="H42" s="458"/>
    </row>
    <row r="43" spans="1:8" ht="15" customHeight="1">
      <c r="A43" s="1578"/>
      <c r="B43" s="472" t="s">
        <v>233</v>
      </c>
      <c r="C43" s="496" t="s">
        <v>2049</v>
      </c>
      <c r="D43" s="673"/>
      <c r="E43" s="482"/>
      <c r="F43" s="444">
        <v>0.2</v>
      </c>
      <c r="G43" s="488"/>
      <c r="H43" s="458"/>
    </row>
    <row r="44" spans="1:8" ht="15" customHeight="1">
      <c r="A44" s="1578"/>
      <c r="B44" s="472" t="s">
        <v>231</v>
      </c>
      <c r="C44" s="496" t="s">
        <v>2049</v>
      </c>
      <c r="D44" s="673"/>
      <c r="E44" s="482"/>
      <c r="F44" s="444">
        <v>0.2</v>
      </c>
      <c r="G44" s="488"/>
      <c r="H44" s="458"/>
    </row>
    <row r="45" spans="1:8" ht="15" customHeight="1">
      <c r="A45" s="1578"/>
      <c r="B45" s="472" t="s">
        <v>2073</v>
      </c>
      <c r="C45" s="474" t="s">
        <v>2053</v>
      </c>
      <c r="D45" s="444">
        <v>468</v>
      </c>
      <c r="E45" s="482"/>
      <c r="F45" s="673"/>
      <c r="G45" s="488"/>
      <c r="H45" s="458"/>
    </row>
    <row r="46" spans="1:8" ht="15" customHeight="1">
      <c r="A46" s="1578"/>
      <c r="B46" s="472" t="s">
        <v>2074</v>
      </c>
      <c r="C46" s="474" t="s">
        <v>2100</v>
      </c>
      <c r="D46" s="444">
        <v>445</v>
      </c>
      <c r="E46" s="482"/>
      <c r="F46" s="673"/>
      <c r="G46" s="488"/>
      <c r="H46" s="458"/>
    </row>
    <row r="47" spans="1:8" ht="15" customHeight="1" thickBot="1">
      <c r="A47" s="1579"/>
      <c r="B47" s="475" t="s">
        <v>2095</v>
      </c>
      <c r="C47" s="499" t="s">
        <v>2056</v>
      </c>
      <c r="D47" s="447">
        <v>468</v>
      </c>
      <c r="E47" s="486"/>
      <c r="F47" s="677"/>
      <c r="G47" s="492"/>
      <c r="H47" s="458" t="s">
        <v>2057</v>
      </c>
    </row>
    <row r="48" spans="1:8" ht="18" customHeight="1">
      <c r="A48" s="1580" t="s">
        <v>2109</v>
      </c>
      <c r="B48" s="473" t="s">
        <v>2070</v>
      </c>
      <c r="C48" s="498" t="s">
        <v>2086</v>
      </c>
      <c r="D48" s="676"/>
      <c r="E48" s="485"/>
      <c r="F48" s="446">
        <v>27</v>
      </c>
      <c r="G48" s="491"/>
      <c r="H48" s="458"/>
    </row>
    <row r="49" spans="1:8" ht="18" customHeight="1">
      <c r="A49" s="1581"/>
      <c r="B49" s="472" t="s">
        <v>233</v>
      </c>
      <c r="C49" s="496" t="s">
        <v>2087</v>
      </c>
      <c r="D49" s="673"/>
      <c r="E49" s="482"/>
      <c r="F49" s="444">
        <v>33</v>
      </c>
      <c r="G49" s="488"/>
      <c r="H49" s="458"/>
    </row>
    <row r="50" spans="1:8" ht="18" customHeight="1">
      <c r="A50" s="1581"/>
      <c r="B50" s="504" t="s">
        <v>2110</v>
      </c>
      <c r="C50" s="505" t="s">
        <v>2111</v>
      </c>
      <c r="D50" s="675"/>
      <c r="E50" s="484"/>
      <c r="F50" s="445">
        <v>14</v>
      </c>
      <c r="G50" s="490"/>
      <c r="H50" s="458"/>
    </row>
    <row r="51" spans="1:8" ht="18" customHeight="1" thickBot="1">
      <c r="A51" s="1582"/>
      <c r="B51" s="475" t="s">
        <v>2072</v>
      </c>
      <c r="C51" s="500" t="s">
        <v>2055</v>
      </c>
      <c r="D51" s="447">
        <v>445</v>
      </c>
      <c r="E51" s="486"/>
      <c r="F51" s="677"/>
      <c r="G51" s="492"/>
      <c r="H51" s="458"/>
    </row>
    <row r="52" spans="1:8">
      <c r="A52" s="476"/>
      <c r="B52" s="455"/>
      <c r="C52" s="477"/>
      <c r="D52" s="478"/>
      <c r="E52" s="478"/>
      <c r="F52" s="478"/>
      <c r="G52" s="478"/>
      <c r="H52" s="458"/>
    </row>
    <row r="53" spans="1:8" ht="18" customHeight="1">
      <c r="A53" s="582" t="s">
        <v>2075</v>
      </c>
      <c r="B53" s="582"/>
      <c r="C53" s="582"/>
      <c r="D53" s="582"/>
      <c r="E53" s="582"/>
      <c r="F53" s="582"/>
      <c r="G53" s="582"/>
      <c r="H53" s="458"/>
    </row>
    <row r="54" spans="1:8">
      <c r="A54" s="455"/>
      <c r="B54" s="455"/>
      <c r="C54" s="455"/>
      <c r="D54" s="455"/>
      <c r="E54" s="455"/>
      <c r="F54" s="455"/>
      <c r="G54" s="455"/>
      <c r="H54" s="458"/>
    </row>
    <row r="55" spans="1:8">
      <c r="A55" s="479" t="s">
        <v>2040</v>
      </c>
      <c r="B55" s="479" t="s">
        <v>2042</v>
      </c>
      <c r="C55" s="455"/>
      <c r="D55" s="455"/>
      <c r="E55" s="455"/>
      <c r="F55" s="455"/>
      <c r="G55" s="455"/>
      <c r="H55" s="458"/>
    </row>
    <row r="56" spans="1:8">
      <c r="A56" s="580" t="s">
        <v>2046</v>
      </c>
      <c r="B56" s="480" t="s">
        <v>2076</v>
      </c>
      <c r="C56" s="455"/>
      <c r="D56" s="455"/>
      <c r="E56" s="455"/>
      <c r="F56" s="455"/>
      <c r="G56" s="455"/>
      <c r="H56" s="458"/>
    </row>
    <row r="57" spans="1:8">
      <c r="A57" s="580" t="s">
        <v>2051</v>
      </c>
      <c r="B57" s="455" t="s">
        <v>2077</v>
      </c>
      <c r="C57" s="455"/>
      <c r="D57" s="455"/>
      <c r="E57" s="455"/>
      <c r="F57" s="455"/>
      <c r="G57" s="455"/>
      <c r="H57" s="458"/>
    </row>
    <row r="58" spans="1:8">
      <c r="A58" s="580" t="s">
        <v>2059</v>
      </c>
      <c r="B58" s="455" t="s">
        <v>2078</v>
      </c>
      <c r="C58" s="455"/>
      <c r="D58" s="455"/>
      <c r="E58" s="455"/>
      <c r="F58" s="455"/>
      <c r="G58" s="455"/>
      <c r="H58" s="458"/>
    </row>
    <row r="59" spans="1:8">
      <c r="A59" s="580" t="s">
        <v>2053</v>
      </c>
      <c r="B59" s="455" t="s">
        <v>2079</v>
      </c>
      <c r="C59" s="455"/>
      <c r="D59" s="455"/>
      <c r="E59" s="455"/>
      <c r="F59" s="455"/>
      <c r="G59" s="455"/>
      <c r="H59" s="458"/>
    </row>
    <row r="60" spans="1:8">
      <c r="A60" s="580" t="s">
        <v>2055</v>
      </c>
      <c r="B60" s="455" t="s">
        <v>2102</v>
      </c>
      <c r="C60" s="455"/>
      <c r="D60" s="455"/>
      <c r="E60" s="455"/>
      <c r="F60" s="455"/>
      <c r="G60" s="455"/>
      <c r="H60" s="458"/>
    </row>
    <row r="61" spans="1:8">
      <c r="A61" s="580" t="s">
        <v>2056</v>
      </c>
      <c r="B61" s="455" t="s">
        <v>2101</v>
      </c>
      <c r="C61" s="455"/>
      <c r="D61" s="455"/>
      <c r="E61" s="455"/>
      <c r="F61" s="455"/>
      <c r="G61" s="455"/>
      <c r="H61" s="458"/>
    </row>
    <row r="62" spans="1:8">
      <c r="A62" s="581" t="s">
        <v>2100</v>
      </c>
      <c r="B62" s="455" t="s">
        <v>2103</v>
      </c>
      <c r="C62" s="455"/>
      <c r="D62" s="455"/>
      <c r="E62" s="455"/>
      <c r="F62" s="455"/>
      <c r="G62" s="455"/>
      <c r="H62" s="458"/>
    </row>
  </sheetData>
  <sheetProtection algorithmName="SHA-512" hashValue="MfNwT2fmwPgOx5N3N/ii7t/c2dfgzb7iEGHr49JchIjmVqg+Fg2BAkMgZ3ve3MNyc4StWWXF2jpHZQgOX9iNmg==" saltValue="vaVrPyaI5szfz7bwsa39Ng==" spinCount="100000" sheet="1" objects="1" scenarios="1" formatColumns="0" formatRows="0" autoFilter="0"/>
  <autoFilter ref="A6:H6" xr:uid="{00000000-0009-0000-0000-000005000000}"/>
  <mergeCells count="4">
    <mergeCell ref="A7:A38"/>
    <mergeCell ref="A42:A47"/>
    <mergeCell ref="A39:A41"/>
    <mergeCell ref="A48:A5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2" orientation="portrait" r:id="rId1"/>
  <ignoredErrors>
    <ignoredError sqref="B2:B4" unlockedFormula="1"/>
    <ignoredError sqref="C23:C25 A56:A62 C7:C9 C41:C43 C51 C45:C47 C37:C38 C18:C22 C31:C36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4DBE9-6551-4C42-8163-E464E0C04A21}">
  <dimension ref="A1:J143"/>
  <sheetViews>
    <sheetView tabSelected="1" view="pageBreakPreview" topLeftCell="A40" zoomScale="93" zoomScaleNormal="100" zoomScaleSheetLayoutView="93" workbookViewId="0">
      <selection activeCell="C75" sqref="C75"/>
    </sheetView>
  </sheetViews>
  <sheetFormatPr defaultColWidth="21.6640625" defaultRowHeight="12.75"/>
  <cols>
    <col min="1" max="1" width="18" style="557" customWidth="1"/>
    <col min="2" max="2" width="14.83203125" style="557" customWidth="1"/>
    <col min="3" max="3" width="114" style="77" customWidth="1"/>
    <col min="4" max="4" width="6.5" style="77" customWidth="1"/>
    <col min="5" max="5" width="12.83203125" style="77" customWidth="1"/>
    <col min="6" max="6" width="12.1640625" style="77" customWidth="1"/>
    <col min="7" max="8" width="17.33203125" style="77" customWidth="1"/>
    <col min="9" max="16384" width="21.6640625" style="37"/>
  </cols>
  <sheetData>
    <row r="1" spans="1:10" ht="21" thickBot="1">
      <c r="A1" s="1408" t="s">
        <v>157</v>
      </c>
      <c r="B1" s="1409"/>
      <c r="C1" s="1410"/>
      <c r="D1" s="1410"/>
      <c r="E1" s="1410"/>
      <c r="F1" s="1410"/>
      <c r="G1" s="1410"/>
      <c r="H1" s="1411"/>
    </row>
    <row r="2" spans="1:10">
      <c r="A2" s="1412" t="s">
        <v>159</v>
      </c>
      <c r="B2" s="1413"/>
      <c r="C2" s="1414" t="s">
        <v>2279</v>
      </c>
      <c r="D2" s="1415"/>
      <c r="E2" s="1415"/>
      <c r="F2" s="1415"/>
      <c r="G2" s="1416" t="s">
        <v>2283</v>
      </c>
      <c r="H2" s="1417">
        <v>0.22220000000000001</v>
      </c>
    </row>
    <row r="3" spans="1:10">
      <c r="A3" s="1418" t="s">
        <v>2284</v>
      </c>
      <c r="B3" s="1419"/>
      <c r="C3" s="1420" t="s">
        <v>2293</v>
      </c>
      <c r="D3" s="1421"/>
      <c r="E3" s="1421"/>
      <c r="F3" s="1421"/>
      <c r="G3" s="1422" t="s">
        <v>2285</v>
      </c>
      <c r="H3" s="1423"/>
    </row>
    <row r="4" spans="1:10" ht="45.75" customHeight="1" thickBot="1">
      <c r="A4" s="1424" t="s">
        <v>2286</v>
      </c>
      <c r="B4" s="1425"/>
      <c r="C4" s="1426" t="s">
        <v>2294</v>
      </c>
      <c r="D4" s="1427"/>
      <c r="E4" s="1427"/>
      <c r="F4" s="1427"/>
      <c r="G4" s="1583">
        <v>0.1338</v>
      </c>
      <c r="H4" s="1584"/>
    </row>
    <row r="5" spans="1:10">
      <c r="A5" s="1412" t="s">
        <v>2287</v>
      </c>
      <c r="B5" s="1413"/>
      <c r="C5" s="1428"/>
      <c r="D5" s="1429"/>
      <c r="E5" s="1430"/>
      <c r="F5" s="1430"/>
      <c r="G5" s="1585"/>
      <c r="H5" s="1586"/>
    </row>
    <row r="6" spans="1:10">
      <c r="A6" s="1418" t="s">
        <v>2288</v>
      </c>
      <c r="B6" s="1419"/>
      <c r="C6" s="1431"/>
      <c r="D6" s="1587"/>
      <c r="E6" s="1588"/>
      <c r="F6" s="1588"/>
      <c r="G6" s="1588"/>
      <c r="H6" s="1589"/>
    </row>
    <row r="7" spans="1:10" ht="13.5" thickBot="1">
      <c r="A7" s="1424" t="s">
        <v>2289</v>
      </c>
      <c r="B7" s="1425"/>
      <c r="C7" s="1432"/>
      <c r="D7" s="1590"/>
      <c r="E7" s="1591"/>
      <c r="F7" s="1591"/>
      <c r="G7" s="1591"/>
      <c r="H7" s="1592"/>
    </row>
    <row r="8" spans="1:10" ht="13.5" thickBot="1">
      <c r="A8" s="1433" t="s">
        <v>414</v>
      </c>
      <c r="B8" s="1434" t="s">
        <v>2042</v>
      </c>
      <c r="C8" s="1435" t="s">
        <v>153</v>
      </c>
      <c r="D8" s="1436" t="s">
        <v>156</v>
      </c>
      <c r="E8" s="1437" t="s">
        <v>2125</v>
      </c>
      <c r="F8" s="1438"/>
      <c r="G8" s="1439"/>
      <c r="H8" s="1439"/>
    </row>
    <row r="9" spans="1:10" ht="23.25" thickBot="1">
      <c r="A9" s="1440" t="s">
        <v>165</v>
      </c>
      <c r="B9" s="1441"/>
      <c r="C9" s="1442"/>
      <c r="D9" s="1443"/>
      <c r="E9" s="1444" t="s">
        <v>7</v>
      </c>
      <c r="F9" s="1445" t="s">
        <v>8</v>
      </c>
      <c r="G9" s="1446" t="s">
        <v>9</v>
      </c>
      <c r="H9" s="1447" t="s">
        <v>158</v>
      </c>
    </row>
    <row r="10" spans="1:10" ht="13.5" thickBot="1">
      <c r="A10" s="1448" t="s">
        <v>474</v>
      </c>
      <c r="B10" s="1449"/>
      <c r="C10" s="1450" t="s">
        <v>432</v>
      </c>
      <c r="D10" s="1451" t="s">
        <v>506</v>
      </c>
      <c r="E10" s="1452"/>
      <c r="F10" s="1451"/>
      <c r="G10" s="1453"/>
      <c r="H10" s="1454">
        <f>SUM(G11:G12)</f>
        <v>504520.8</v>
      </c>
      <c r="J10" s="1455"/>
    </row>
    <row r="11" spans="1:10">
      <c r="A11" s="1456">
        <v>512050</v>
      </c>
      <c r="B11" s="1457" t="s">
        <v>184</v>
      </c>
      <c r="C11" s="1458" t="s">
        <v>484</v>
      </c>
      <c r="D11" s="1459" t="s">
        <v>10</v>
      </c>
      <c r="E11" s="1460">
        <v>6135.8</v>
      </c>
      <c r="F11" s="1461">
        <v>81.63</v>
      </c>
      <c r="G11" s="1462">
        <f>ROUND(E11*F11,2)</f>
        <v>500865.35</v>
      </c>
      <c r="H11" s="1463"/>
      <c r="I11" s="1455"/>
      <c r="J11" s="1455"/>
    </row>
    <row r="12" spans="1:10" ht="13.5" thickBot="1">
      <c r="A12" s="1456" t="s">
        <v>2225</v>
      </c>
      <c r="B12" s="1457" t="s">
        <v>2224</v>
      </c>
      <c r="C12" s="1458" t="s">
        <v>1508</v>
      </c>
      <c r="D12" s="1459" t="s">
        <v>15</v>
      </c>
      <c r="E12" s="1464">
        <v>1</v>
      </c>
      <c r="F12" s="1465">
        <v>3655.45</v>
      </c>
      <c r="G12" s="1462">
        <f>ROUND(E12*F12,2)</f>
        <v>3655.45</v>
      </c>
      <c r="H12" s="1463"/>
      <c r="I12" s="1455"/>
      <c r="J12" s="1455"/>
    </row>
    <row r="13" spans="1:10" ht="13.5" thickBot="1">
      <c r="A13" s="1466" t="s">
        <v>167</v>
      </c>
      <c r="B13" s="1467"/>
      <c r="C13" s="1468" t="s">
        <v>428</v>
      </c>
      <c r="D13" s="1451" t="s">
        <v>506</v>
      </c>
      <c r="E13" s="1452"/>
      <c r="F13" s="1451"/>
      <c r="G13" s="1453"/>
      <c r="H13" s="1454">
        <f>SUM(G14:G16)</f>
        <v>516870.58</v>
      </c>
      <c r="I13" s="1455"/>
      <c r="J13" s="1455"/>
    </row>
    <row r="14" spans="1:10">
      <c r="A14" s="1456" t="s">
        <v>1552</v>
      </c>
      <c r="B14" s="1457" t="s">
        <v>184</v>
      </c>
      <c r="C14" s="1458" t="s">
        <v>181</v>
      </c>
      <c r="D14" s="1459" t="s">
        <v>10</v>
      </c>
      <c r="E14" s="1464">
        <v>19840</v>
      </c>
      <c r="F14" s="1461">
        <v>15.5</v>
      </c>
      <c r="G14" s="1462">
        <f>ROUND(E14*F14,2)</f>
        <v>307520</v>
      </c>
      <c r="H14" s="1463"/>
      <c r="I14" s="1455"/>
      <c r="J14" s="1455"/>
    </row>
    <row r="15" spans="1:10">
      <c r="A15" s="1456" t="s">
        <v>1770</v>
      </c>
      <c r="B15" s="1457" t="s">
        <v>184</v>
      </c>
      <c r="C15" s="1458" t="s">
        <v>194</v>
      </c>
      <c r="D15" s="1459" t="s">
        <v>10</v>
      </c>
      <c r="E15" s="1464">
        <v>157.5</v>
      </c>
      <c r="F15" s="1461">
        <v>22.81</v>
      </c>
      <c r="G15" s="1462">
        <f>ROUND(E15*F15,2)</f>
        <v>3592.58</v>
      </c>
      <c r="H15" s="1463"/>
      <c r="I15" s="1455"/>
      <c r="J15" s="1455"/>
    </row>
    <row r="16" spans="1:10" ht="13.5" thickBot="1">
      <c r="A16" s="1456">
        <v>531300</v>
      </c>
      <c r="B16" s="1457" t="s">
        <v>184</v>
      </c>
      <c r="C16" s="1458" t="s">
        <v>198</v>
      </c>
      <c r="D16" s="1459" t="s">
        <v>10</v>
      </c>
      <c r="E16" s="1464">
        <v>1050</v>
      </c>
      <c r="F16" s="1461">
        <v>195.96</v>
      </c>
      <c r="G16" s="1462">
        <f>ROUND(E16*F16,2)</f>
        <v>205758</v>
      </c>
      <c r="H16" s="1463"/>
      <c r="I16" s="1455"/>
      <c r="J16" s="1455"/>
    </row>
    <row r="17" spans="1:10" ht="12.75" customHeight="1" thickBot="1">
      <c r="A17" s="1466" t="s">
        <v>185</v>
      </c>
      <c r="B17" s="1467"/>
      <c r="C17" s="1468" t="s">
        <v>434</v>
      </c>
      <c r="D17" s="1451" t="s">
        <v>506</v>
      </c>
      <c r="E17" s="1452"/>
      <c r="F17" s="1451"/>
      <c r="G17" s="1453"/>
      <c r="H17" s="1454">
        <f>SUM(G18:G20)</f>
        <v>1241242.72</v>
      </c>
      <c r="I17" s="1455"/>
      <c r="J17" s="1455"/>
    </row>
    <row r="18" spans="1:10">
      <c r="A18" s="1456" t="s">
        <v>1552</v>
      </c>
      <c r="B18" s="1457" t="s">
        <v>184</v>
      </c>
      <c r="C18" s="1458" t="s">
        <v>181</v>
      </c>
      <c r="D18" s="1459" t="s">
        <v>12</v>
      </c>
      <c r="E18" s="1464">
        <v>15339.5</v>
      </c>
      <c r="F18" s="1461">
        <v>5.19</v>
      </c>
      <c r="G18" s="1462">
        <f>ROUND(E18*F18,2)</f>
        <v>79612.009999999995</v>
      </c>
      <c r="H18" s="1463"/>
      <c r="I18" s="1455"/>
      <c r="J18" s="1455"/>
    </row>
    <row r="19" spans="1:10">
      <c r="A19" s="1456" t="s">
        <v>1770</v>
      </c>
      <c r="B19" s="1457" t="s">
        <v>184</v>
      </c>
      <c r="C19" s="1458" t="s">
        <v>194</v>
      </c>
      <c r="D19" s="1459" t="s">
        <v>10</v>
      </c>
      <c r="E19" s="1464">
        <v>1840.74</v>
      </c>
      <c r="F19" s="1461">
        <v>304.75</v>
      </c>
      <c r="G19" s="1462">
        <f>ROUND(E19*F19,2)</f>
        <v>560965.52</v>
      </c>
      <c r="H19" s="1463"/>
      <c r="I19" s="1455"/>
      <c r="J19" s="1455"/>
    </row>
    <row r="20" spans="1:10" ht="13.5" thickBot="1">
      <c r="A20" s="1456">
        <v>531300</v>
      </c>
      <c r="B20" s="1457" t="s">
        <v>184</v>
      </c>
      <c r="C20" s="1458" t="s">
        <v>198</v>
      </c>
      <c r="D20" s="1459" t="s">
        <v>10</v>
      </c>
      <c r="E20" s="1464">
        <v>2367.9</v>
      </c>
      <c r="F20" s="1461">
        <v>253.67</v>
      </c>
      <c r="G20" s="1462">
        <f>ROUND(E20*F20,2)</f>
        <v>600665.18999999994</v>
      </c>
      <c r="H20" s="1463"/>
      <c r="I20" s="1455"/>
      <c r="J20" s="1455"/>
    </row>
    <row r="21" spans="1:10" ht="13.5" thickBot="1">
      <c r="A21" s="1466" t="s">
        <v>203</v>
      </c>
      <c r="B21" s="1467"/>
      <c r="C21" s="1468" t="s">
        <v>429</v>
      </c>
      <c r="D21" s="1469" t="s">
        <v>506</v>
      </c>
      <c r="E21" s="1452"/>
      <c r="F21" s="1451"/>
      <c r="G21" s="1453"/>
      <c r="H21" s="1454">
        <f>SUM(G22:G31)</f>
        <v>12666584.600000001</v>
      </c>
      <c r="I21" s="1455"/>
      <c r="J21" s="1455"/>
    </row>
    <row r="22" spans="1:10">
      <c r="A22" s="1470" t="s">
        <v>2205</v>
      </c>
      <c r="B22" s="1471" t="s">
        <v>2217</v>
      </c>
      <c r="C22" s="947" t="s">
        <v>218</v>
      </c>
      <c r="D22" s="953" t="s">
        <v>12</v>
      </c>
      <c r="E22" s="1464">
        <v>85100</v>
      </c>
      <c r="F22" s="1472">
        <v>0.79</v>
      </c>
      <c r="G22" s="1473">
        <f>ROUND(E22*F22,2)</f>
        <v>67229</v>
      </c>
      <c r="H22" s="1463"/>
      <c r="I22" s="1455"/>
      <c r="J22" s="1455"/>
    </row>
    <row r="23" spans="1:10">
      <c r="A23" s="1474" t="s">
        <v>509</v>
      </c>
      <c r="B23" s="1475" t="s">
        <v>184</v>
      </c>
      <c r="C23" s="920" t="s">
        <v>534</v>
      </c>
      <c r="D23" s="866" t="s">
        <v>12</v>
      </c>
      <c r="E23" s="1464">
        <v>15339.5</v>
      </c>
      <c r="F23" s="1476">
        <v>0.6</v>
      </c>
      <c r="G23" s="1473">
        <f t="shared" ref="G23:G31" si="0">ROUND(E23*F23,2)</f>
        <v>9203.7000000000007</v>
      </c>
      <c r="H23" s="1463"/>
      <c r="I23" s="1455"/>
      <c r="J23" s="1455"/>
    </row>
    <row r="24" spans="1:10">
      <c r="A24" s="1477" t="s">
        <v>1681</v>
      </c>
      <c r="B24" s="1478" t="s">
        <v>213</v>
      </c>
      <c r="C24" s="881" t="s">
        <v>548</v>
      </c>
      <c r="D24" s="878" t="s">
        <v>14</v>
      </c>
      <c r="E24" s="1464">
        <v>16.87</v>
      </c>
      <c r="F24" s="1479">
        <v>6131.65</v>
      </c>
      <c r="G24" s="1473">
        <f t="shared" si="0"/>
        <v>103440.94</v>
      </c>
      <c r="H24" s="1463"/>
      <c r="I24" s="1455"/>
      <c r="J24" s="1455"/>
    </row>
    <row r="25" spans="1:10">
      <c r="A25" s="1474" t="s">
        <v>688</v>
      </c>
      <c r="B25" s="1475" t="s">
        <v>184</v>
      </c>
      <c r="C25" s="920" t="s">
        <v>536</v>
      </c>
      <c r="D25" s="866" t="s">
        <v>12</v>
      </c>
      <c r="E25" s="1464">
        <v>143800</v>
      </c>
      <c r="F25" s="1476">
        <v>0.42</v>
      </c>
      <c r="G25" s="1473">
        <f t="shared" si="0"/>
        <v>60396</v>
      </c>
      <c r="H25" s="1463"/>
      <c r="I25" s="1455"/>
      <c r="J25" s="1455"/>
    </row>
    <row r="26" spans="1:10">
      <c r="A26" s="1477" t="s">
        <v>691</v>
      </c>
      <c r="B26" s="1478" t="s">
        <v>213</v>
      </c>
      <c r="C26" s="881" t="s">
        <v>550</v>
      </c>
      <c r="D26" s="878" t="s">
        <v>14</v>
      </c>
      <c r="E26" s="1464">
        <v>71.900000000000006</v>
      </c>
      <c r="F26" s="1479">
        <v>5102.22</v>
      </c>
      <c r="G26" s="1473">
        <f t="shared" si="0"/>
        <v>366849.62</v>
      </c>
      <c r="H26" s="1463"/>
      <c r="I26" s="1455"/>
      <c r="J26" s="1455"/>
    </row>
    <row r="27" spans="1:10">
      <c r="A27" s="1474">
        <v>570200</v>
      </c>
      <c r="B27" s="1480" t="s">
        <v>184</v>
      </c>
      <c r="C27" s="920" t="s">
        <v>2295</v>
      </c>
      <c r="D27" s="878" t="s">
        <v>14</v>
      </c>
      <c r="E27" s="1464">
        <v>9108</v>
      </c>
      <c r="F27" s="1476">
        <v>295.05</v>
      </c>
      <c r="G27" s="1473">
        <f t="shared" si="0"/>
        <v>2687315.4</v>
      </c>
      <c r="H27" s="1463"/>
      <c r="I27" s="1455"/>
      <c r="J27" s="1455"/>
    </row>
    <row r="28" spans="1:10">
      <c r="A28" s="1474" t="s">
        <v>698</v>
      </c>
      <c r="B28" s="1480" t="s">
        <v>213</v>
      </c>
      <c r="C28" s="920" t="s">
        <v>2149</v>
      </c>
      <c r="D28" s="878" t="s">
        <v>14</v>
      </c>
      <c r="E28" s="1464">
        <v>409.86</v>
      </c>
      <c r="F28" s="1476">
        <v>6310.37</v>
      </c>
      <c r="G28" s="1473">
        <f t="shared" si="0"/>
        <v>2586368.25</v>
      </c>
      <c r="H28" s="1463"/>
      <c r="I28" s="1455"/>
      <c r="J28" s="1455"/>
    </row>
    <row r="29" spans="1:10">
      <c r="A29" s="1481" t="s">
        <v>1638</v>
      </c>
      <c r="B29" s="1480" t="s">
        <v>184</v>
      </c>
      <c r="C29" s="920" t="s">
        <v>2296</v>
      </c>
      <c r="D29" s="878" t="s">
        <v>14</v>
      </c>
      <c r="E29" s="1464">
        <v>9620</v>
      </c>
      <c r="F29" s="1476">
        <v>340.92</v>
      </c>
      <c r="G29" s="1473">
        <f t="shared" si="0"/>
        <v>3279650.4</v>
      </c>
      <c r="H29" s="1463"/>
      <c r="I29" s="1455"/>
      <c r="J29" s="1455"/>
    </row>
    <row r="30" spans="1:10">
      <c r="A30" s="1482" t="s">
        <v>702</v>
      </c>
      <c r="B30" s="1478" t="s">
        <v>213</v>
      </c>
      <c r="C30" s="931" t="s">
        <v>2149</v>
      </c>
      <c r="D30" s="878" t="s">
        <v>14</v>
      </c>
      <c r="E30" s="1464">
        <v>548.34</v>
      </c>
      <c r="F30" s="1483">
        <v>6310.37</v>
      </c>
      <c r="G30" s="1473">
        <f t="shared" si="0"/>
        <v>3460228.29</v>
      </c>
      <c r="H30" s="1463"/>
      <c r="I30" s="1455"/>
      <c r="J30" s="1455"/>
    </row>
    <row r="31" spans="1:10" ht="13.5" thickBot="1">
      <c r="A31" s="1481">
        <v>505000</v>
      </c>
      <c r="B31" s="1480" t="s">
        <v>184</v>
      </c>
      <c r="C31" s="992" t="s">
        <v>246</v>
      </c>
      <c r="D31" s="866" t="s">
        <v>10</v>
      </c>
      <c r="E31" s="1464">
        <v>150</v>
      </c>
      <c r="F31" s="1484">
        <v>306.02</v>
      </c>
      <c r="G31" s="1473">
        <f t="shared" si="0"/>
        <v>45903</v>
      </c>
      <c r="H31" s="1463"/>
      <c r="I31" s="1455"/>
      <c r="J31" s="1455"/>
    </row>
    <row r="32" spans="1:10" ht="13.5" thickBot="1">
      <c r="A32" s="1466" t="s">
        <v>417</v>
      </c>
      <c r="B32" s="1467"/>
      <c r="C32" s="1468" t="s">
        <v>436</v>
      </c>
      <c r="D32" s="1451" t="s">
        <v>506</v>
      </c>
      <c r="E32" s="1452"/>
      <c r="F32" s="1451"/>
      <c r="G32" s="1453"/>
      <c r="H32" s="1454">
        <f>SUM(G33:G37)</f>
        <v>733766.36</v>
      </c>
      <c r="I32" s="1455"/>
      <c r="J32" s="1455"/>
    </row>
    <row r="33" spans="1:10">
      <c r="A33" s="1456">
        <v>873000</v>
      </c>
      <c r="B33" s="1457" t="s">
        <v>184</v>
      </c>
      <c r="C33" s="1458" t="s">
        <v>464</v>
      </c>
      <c r="D33" s="1459" t="s">
        <v>15</v>
      </c>
      <c r="E33" s="1464">
        <v>2200</v>
      </c>
      <c r="F33" s="1461">
        <v>38.89</v>
      </c>
      <c r="G33" s="1473">
        <f t="shared" ref="G33:G37" si="1">ROUND(E33*F33,2)</f>
        <v>85558</v>
      </c>
      <c r="H33" s="1463"/>
      <c r="I33" s="1455"/>
      <c r="J33" s="1455"/>
    </row>
    <row r="34" spans="1:10">
      <c r="A34" s="1456">
        <v>822000</v>
      </c>
      <c r="B34" s="1457" t="s">
        <v>184</v>
      </c>
      <c r="C34" s="1458" t="s">
        <v>461</v>
      </c>
      <c r="D34" s="1459" t="s">
        <v>12</v>
      </c>
      <c r="E34" s="1503">
        <v>5620</v>
      </c>
      <c r="F34" s="1461">
        <v>37.72</v>
      </c>
      <c r="G34" s="1473">
        <f t="shared" si="1"/>
        <v>211986.4</v>
      </c>
      <c r="H34" s="1463"/>
      <c r="I34" s="1455"/>
      <c r="J34" s="1455"/>
    </row>
    <row r="35" spans="1:10">
      <c r="A35" s="1456" t="s">
        <v>303</v>
      </c>
      <c r="B35" s="1457" t="s">
        <v>184</v>
      </c>
      <c r="C35" s="1458" t="s">
        <v>289</v>
      </c>
      <c r="D35" s="1459" t="s">
        <v>15</v>
      </c>
      <c r="E35" s="1503">
        <v>24</v>
      </c>
      <c r="F35" s="1461">
        <v>563.38</v>
      </c>
      <c r="G35" s="1473">
        <f t="shared" si="1"/>
        <v>13521.12</v>
      </c>
      <c r="H35" s="1463"/>
      <c r="I35" s="1455"/>
      <c r="J35" s="1455"/>
    </row>
    <row r="36" spans="1:10">
      <c r="A36" s="1456" t="s">
        <v>306</v>
      </c>
      <c r="B36" s="1457" t="s">
        <v>184</v>
      </c>
      <c r="C36" s="1458" t="s">
        <v>292</v>
      </c>
      <c r="D36" s="1459" t="s">
        <v>15</v>
      </c>
      <c r="E36" s="1503">
        <v>58</v>
      </c>
      <c r="F36" s="1461">
        <v>563.38</v>
      </c>
      <c r="G36" s="1473">
        <f t="shared" si="1"/>
        <v>32676.04</v>
      </c>
      <c r="H36" s="1463"/>
      <c r="I36" s="1455"/>
      <c r="J36" s="1455"/>
    </row>
    <row r="37" spans="1:10" ht="13.5" thickBot="1">
      <c r="A37" s="1456">
        <v>822000</v>
      </c>
      <c r="B37" s="1457" t="s">
        <v>184</v>
      </c>
      <c r="C37" s="1458" t="s">
        <v>2282</v>
      </c>
      <c r="D37" s="1459" t="s">
        <v>12</v>
      </c>
      <c r="E37" s="1503">
        <v>10340</v>
      </c>
      <c r="F37" s="1461">
        <v>37.72</v>
      </c>
      <c r="G37" s="1473">
        <f t="shared" si="1"/>
        <v>390024.8</v>
      </c>
      <c r="H37" s="1463"/>
      <c r="I37" s="1455"/>
      <c r="J37" s="1455"/>
    </row>
    <row r="38" spans="1:10" ht="13.5" thickBot="1">
      <c r="A38" s="1466" t="s">
        <v>439</v>
      </c>
      <c r="B38" s="1467"/>
      <c r="C38" s="1468" t="s">
        <v>2297</v>
      </c>
      <c r="D38" s="1451" t="s">
        <v>506</v>
      </c>
      <c r="E38" s="1452"/>
      <c r="F38" s="1451"/>
      <c r="G38" s="1453"/>
      <c r="H38" s="1454">
        <f>SUM(G39:G40)</f>
        <v>32567.4</v>
      </c>
      <c r="I38" s="1455"/>
      <c r="J38" s="1455"/>
    </row>
    <row r="39" spans="1:10">
      <c r="A39" s="1456" t="s">
        <v>1689</v>
      </c>
      <c r="B39" s="1457" t="s">
        <v>184</v>
      </c>
      <c r="C39" s="1458" t="s">
        <v>258</v>
      </c>
      <c r="D39" s="1459" t="s">
        <v>10</v>
      </c>
      <c r="E39" s="1464">
        <v>180</v>
      </c>
      <c r="F39" s="1461">
        <v>180.93</v>
      </c>
      <c r="G39" s="1473">
        <f t="shared" ref="G39:G40" si="2">ROUND(E39*F39,2)</f>
        <v>32567.4</v>
      </c>
      <c r="H39" s="1463"/>
      <c r="I39" s="1455"/>
      <c r="J39" s="1455"/>
    </row>
    <row r="40" spans="1:10" ht="13.5" thickBot="1">
      <c r="A40" s="1456"/>
      <c r="B40" s="1457"/>
      <c r="C40" s="1458"/>
      <c r="D40" s="1459"/>
      <c r="E40" s="1503"/>
      <c r="F40" s="1461"/>
      <c r="G40" s="1473">
        <f t="shared" si="2"/>
        <v>0</v>
      </c>
      <c r="H40" s="1463"/>
      <c r="I40" s="1455"/>
      <c r="J40" s="1455"/>
    </row>
    <row r="41" spans="1:10" ht="13.5" thickBot="1">
      <c r="A41" s="1466" t="s">
        <v>441</v>
      </c>
      <c r="B41" s="1467"/>
      <c r="C41" s="1468" t="s">
        <v>2298</v>
      </c>
      <c r="D41" s="1451" t="s">
        <v>506</v>
      </c>
      <c r="E41" s="1452"/>
      <c r="F41" s="1451"/>
      <c r="G41" s="1453"/>
      <c r="H41" s="1454">
        <f>SUM(G42:G54)</f>
        <v>1093168.6499999999</v>
      </c>
      <c r="I41" s="1455"/>
      <c r="J41" s="1455"/>
    </row>
    <row r="42" spans="1:10">
      <c r="A42" s="1456">
        <v>600300</v>
      </c>
      <c r="B42" s="1457" t="s">
        <v>184</v>
      </c>
      <c r="C42" s="1458" t="s">
        <v>312</v>
      </c>
      <c r="D42" s="1459" t="s">
        <v>10</v>
      </c>
      <c r="E42" s="1464">
        <v>336.16</v>
      </c>
      <c r="F42" s="1461">
        <v>14.46</v>
      </c>
      <c r="G42" s="1473">
        <f>ROUND(E42*F42,2)</f>
        <v>4860.87</v>
      </c>
      <c r="H42" s="1463"/>
      <c r="I42" s="1455"/>
      <c r="J42" s="1455"/>
    </row>
    <row r="43" spans="1:10">
      <c r="A43" s="1456" t="s">
        <v>1795</v>
      </c>
      <c r="B43" s="1457" t="s">
        <v>184</v>
      </c>
      <c r="C43" s="1458" t="s">
        <v>1503</v>
      </c>
      <c r="D43" s="1459" t="s">
        <v>10</v>
      </c>
      <c r="E43" s="1503">
        <v>235.63</v>
      </c>
      <c r="F43" s="1461">
        <v>37.53</v>
      </c>
      <c r="G43" s="1473">
        <f t="shared" ref="G43:G48" si="3">ROUND(E43*F43,2)</f>
        <v>8843.19</v>
      </c>
      <c r="H43" s="1463"/>
      <c r="I43" s="1455"/>
      <c r="J43" s="1455"/>
    </row>
    <row r="44" spans="1:10">
      <c r="A44" s="1456">
        <v>620700</v>
      </c>
      <c r="B44" s="1457" t="s">
        <v>184</v>
      </c>
      <c r="C44" s="1458" t="s">
        <v>352</v>
      </c>
      <c r="D44" s="1459" t="s">
        <v>15</v>
      </c>
      <c r="E44" s="1503">
        <v>4</v>
      </c>
      <c r="F44" s="1461">
        <v>4311.29</v>
      </c>
      <c r="G44" s="1473">
        <f>ROUND(E44*F44,2)</f>
        <v>17245.16</v>
      </c>
      <c r="H44" s="1463"/>
      <c r="I44" s="1455"/>
      <c r="J44" s="1455"/>
    </row>
    <row r="45" spans="1:10">
      <c r="A45" s="1456" t="s">
        <v>1806</v>
      </c>
      <c r="B45" s="1457" t="s">
        <v>184</v>
      </c>
      <c r="C45" s="1458" t="s">
        <v>357</v>
      </c>
      <c r="D45" s="1459" t="s">
        <v>15</v>
      </c>
      <c r="E45" s="1503">
        <v>17</v>
      </c>
      <c r="F45" s="1461">
        <v>2602.6799999999998</v>
      </c>
      <c r="G45" s="1473">
        <f t="shared" si="3"/>
        <v>44245.56</v>
      </c>
      <c r="H45" s="1463"/>
      <c r="I45" s="1455"/>
      <c r="J45" s="1455"/>
    </row>
    <row r="46" spans="1:10">
      <c r="A46" s="1456" t="s">
        <v>1809</v>
      </c>
      <c r="B46" s="1457" t="s">
        <v>184</v>
      </c>
      <c r="C46" s="1458" t="s">
        <v>1995</v>
      </c>
      <c r="D46" s="1459" t="s">
        <v>15</v>
      </c>
      <c r="E46" s="1503">
        <v>12</v>
      </c>
      <c r="F46" s="1461">
        <v>173.05</v>
      </c>
      <c r="G46" s="1473">
        <f t="shared" si="3"/>
        <v>2076.6</v>
      </c>
      <c r="H46" s="1463"/>
      <c r="I46" s="1455"/>
      <c r="J46" s="1455"/>
    </row>
    <row r="47" spans="1:10">
      <c r="A47" s="1456" t="s">
        <v>1819</v>
      </c>
      <c r="B47" s="1457" t="s">
        <v>184</v>
      </c>
      <c r="C47" s="1458" t="s">
        <v>1999</v>
      </c>
      <c r="D47" s="1459" t="s">
        <v>15</v>
      </c>
      <c r="E47" s="1503">
        <v>119</v>
      </c>
      <c r="F47" s="1461">
        <v>638.91</v>
      </c>
      <c r="G47" s="1473">
        <f t="shared" si="3"/>
        <v>76030.289999999994</v>
      </c>
      <c r="H47" s="1463"/>
      <c r="I47" s="1455"/>
      <c r="J47" s="1455"/>
    </row>
    <row r="48" spans="1:10">
      <c r="A48" s="1456" t="s">
        <v>1827</v>
      </c>
      <c r="B48" s="1457" t="s">
        <v>184</v>
      </c>
      <c r="C48" s="1458" t="s">
        <v>2001</v>
      </c>
      <c r="D48" s="1459" t="s">
        <v>15</v>
      </c>
      <c r="E48" s="1503">
        <v>50</v>
      </c>
      <c r="F48" s="1461">
        <v>997.88</v>
      </c>
      <c r="G48" s="1473">
        <f t="shared" si="3"/>
        <v>49894</v>
      </c>
      <c r="H48" s="1463"/>
      <c r="I48" s="1455"/>
      <c r="J48" s="1455"/>
    </row>
    <row r="49" spans="1:10">
      <c r="A49" s="1456" t="s">
        <v>17</v>
      </c>
      <c r="B49" s="1457" t="s">
        <v>184</v>
      </c>
      <c r="C49" s="1458" t="s">
        <v>54</v>
      </c>
      <c r="D49" s="1459" t="s">
        <v>15</v>
      </c>
      <c r="E49" s="1503">
        <v>6</v>
      </c>
      <c r="F49" s="1461">
        <v>2098.6999999999998</v>
      </c>
      <c r="G49" s="1473">
        <f>ROUND(E49*F49,2)</f>
        <v>12592.2</v>
      </c>
      <c r="H49" s="1463"/>
      <c r="I49" s="1455"/>
      <c r="J49" s="1455"/>
    </row>
    <row r="50" spans="1:10">
      <c r="A50" s="1456" t="s">
        <v>2273</v>
      </c>
      <c r="B50" s="1457" t="s">
        <v>184</v>
      </c>
      <c r="C50" s="1458" t="s">
        <v>2274</v>
      </c>
      <c r="D50" s="1459" t="s">
        <v>13</v>
      </c>
      <c r="E50" s="1503">
        <v>2838</v>
      </c>
      <c r="F50" s="1461">
        <v>159.30000000000001</v>
      </c>
      <c r="G50" s="1473">
        <f t="shared" ref="G50:G54" si="4">ROUND(E50*F50,2)</f>
        <v>452093.4</v>
      </c>
      <c r="H50" s="1463"/>
      <c r="I50" s="1455"/>
      <c r="J50" s="1455"/>
    </row>
    <row r="51" spans="1:10">
      <c r="A51" s="1456" t="s">
        <v>2275</v>
      </c>
      <c r="B51" s="1457" t="s">
        <v>184</v>
      </c>
      <c r="C51" s="1458" t="s">
        <v>2276</v>
      </c>
      <c r="D51" s="1459" t="s">
        <v>13</v>
      </c>
      <c r="E51" s="1503">
        <v>1860</v>
      </c>
      <c r="F51" s="1461">
        <v>222.44</v>
      </c>
      <c r="G51" s="1473">
        <f t="shared" si="4"/>
        <v>413738.4</v>
      </c>
      <c r="H51" s="1463"/>
      <c r="I51" s="1455"/>
      <c r="J51" s="1455"/>
    </row>
    <row r="52" spans="1:10">
      <c r="A52" s="1456" t="s">
        <v>1770</v>
      </c>
      <c r="B52" s="1457" t="s">
        <v>184</v>
      </c>
      <c r="C52" s="1458" t="s">
        <v>194</v>
      </c>
      <c r="D52" s="1459" t="s">
        <v>10</v>
      </c>
      <c r="E52" s="1503">
        <v>14.77</v>
      </c>
      <c r="F52" s="1461">
        <v>304.75</v>
      </c>
      <c r="G52" s="1473">
        <f t="shared" si="4"/>
        <v>4501.16</v>
      </c>
      <c r="H52" s="1463"/>
      <c r="I52" s="1455"/>
      <c r="J52" s="1455"/>
    </row>
    <row r="53" spans="1:10">
      <c r="A53" s="1456">
        <v>531300</v>
      </c>
      <c r="B53" s="1457" t="s">
        <v>184</v>
      </c>
      <c r="C53" s="1458" t="s">
        <v>198</v>
      </c>
      <c r="D53" s="1459" t="s">
        <v>10</v>
      </c>
      <c r="E53" s="1503">
        <v>24.96</v>
      </c>
      <c r="F53" s="1461">
        <v>253.67</v>
      </c>
      <c r="G53" s="1473">
        <f t="shared" si="4"/>
        <v>6331.6</v>
      </c>
      <c r="H53" s="1463"/>
      <c r="I53" s="1455"/>
      <c r="J53" s="1455"/>
    </row>
    <row r="54" spans="1:10" ht="13.5" thickBot="1">
      <c r="A54" s="1456" t="s">
        <v>1552</v>
      </c>
      <c r="B54" s="1457" t="s">
        <v>184</v>
      </c>
      <c r="C54" s="1458" t="s">
        <v>181</v>
      </c>
      <c r="D54" s="1459" t="s">
        <v>12</v>
      </c>
      <c r="E54" s="1503">
        <v>138</v>
      </c>
      <c r="F54" s="1461">
        <v>5.19</v>
      </c>
      <c r="G54" s="1473">
        <f t="shared" si="4"/>
        <v>716.22</v>
      </c>
      <c r="H54" s="1463"/>
      <c r="I54" s="1455"/>
      <c r="J54" s="1455"/>
    </row>
    <row r="55" spans="1:10" ht="34.5" thickBot="1">
      <c r="A55" s="1466" t="s">
        <v>487</v>
      </c>
      <c r="B55" s="1467"/>
      <c r="C55" s="1468" t="s">
        <v>2290</v>
      </c>
      <c r="D55" s="1451" t="s">
        <v>506</v>
      </c>
      <c r="E55" s="1452"/>
      <c r="F55" s="1451"/>
      <c r="G55" s="1453"/>
      <c r="H55" s="1454">
        <f>SUM(G56:G70)</f>
        <v>135836.03</v>
      </c>
      <c r="I55" s="1455"/>
      <c r="J55" s="1455"/>
    </row>
    <row r="56" spans="1:10">
      <c r="A56" s="1456" t="s">
        <v>2223</v>
      </c>
      <c r="B56" s="1457" t="s">
        <v>502</v>
      </c>
      <c r="C56" s="1485" t="s">
        <v>491</v>
      </c>
      <c r="D56" s="1459" t="s">
        <v>15</v>
      </c>
      <c r="E56" s="1464">
        <v>130</v>
      </c>
      <c r="F56" s="1461">
        <v>180.91</v>
      </c>
      <c r="G56" s="1462">
        <f t="shared" ref="G56:G63" si="5">ROUND(E56*F56,2)</f>
        <v>23518.3</v>
      </c>
      <c r="H56" s="1463"/>
      <c r="I56" s="1455"/>
      <c r="J56" s="1455"/>
    </row>
    <row r="57" spans="1:10">
      <c r="A57" s="1456" t="s">
        <v>492</v>
      </c>
      <c r="B57" s="1457" t="s">
        <v>590</v>
      </c>
      <c r="C57" s="1485" t="s">
        <v>493</v>
      </c>
      <c r="D57" s="1459" t="s">
        <v>15</v>
      </c>
      <c r="E57" s="1464">
        <v>130</v>
      </c>
      <c r="F57" s="1461">
        <v>128.09</v>
      </c>
      <c r="G57" s="1462">
        <f t="shared" si="5"/>
        <v>16651.7</v>
      </c>
      <c r="H57" s="1463"/>
      <c r="I57" s="1455"/>
      <c r="J57" s="1455"/>
    </row>
    <row r="58" spans="1:10">
      <c r="A58" s="1456" t="s">
        <v>2221</v>
      </c>
      <c r="B58" s="1457" t="s">
        <v>502</v>
      </c>
      <c r="C58" s="1485" t="s">
        <v>496</v>
      </c>
      <c r="D58" s="1459" t="s">
        <v>15</v>
      </c>
      <c r="E58" s="1464">
        <v>130</v>
      </c>
      <c r="F58" s="1461">
        <v>214.89</v>
      </c>
      <c r="G58" s="1462">
        <f t="shared" si="5"/>
        <v>27935.7</v>
      </c>
      <c r="H58" s="1463"/>
      <c r="I58" s="1455"/>
      <c r="J58" s="1455"/>
    </row>
    <row r="59" spans="1:10">
      <c r="A59" s="1456" t="s">
        <v>497</v>
      </c>
      <c r="B59" s="1457" t="s">
        <v>590</v>
      </c>
      <c r="C59" s="1485" t="s">
        <v>498</v>
      </c>
      <c r="D59" s="1459" t="s">
        <v>15</v>
      </c>
      <c r="E59" s="1464">
        <v>130</v>
      </c>
      <c r="F59" s="1461">
        <v>164.7</v>
      </c>
      <c r="G59" s="1462">
        <f t="shared" si="5"/>
        <v>21411</v>
      </c>
      <c r="H59" s="1463"/>
      <c r="I59" s="1455"/>
      <c r="J59" s="1455"/>
    </row>
    <row r="60" spans="1:10" s="77" customFormat="1">
      <c r="A60" s="1456" t="s">
        <v>2222</v>
      </c>
      <c r="B60" s="1457" t="s">
        <v>502</v>
      </c>
      <c r="C60" s="1485" t="s">
        <v>499</v>
      </c>
      <c r="D60" s="1459" t="s">
        <v>15</v>
      </c>
      <c r="E60" s="1464">
        <v>130</v>
      </c>
      <c r="F60" s="1461">
        <v>58.86</v>
      </c>
      <c r="G60" s="1462">
        <f t="shared" si="5"/>
        <v>7651.8</v>
      </c>
      <c r="H60" s="1463"/>
      <c r="I60" s="1455"/>
      <c r="J60" s="1455"/>
    </row>
    <row r="61" spans="1:10" s="77" customFormat="1">
      <c r="A61" s="1456" t="s">
        <v>2219</v>
      </c>
      <c r="B61" s="1457" t="s">
        <v>502</v>
      </c>
      <c r="C61" s="1485" t="s">
        <v>786</v>
      </c>
      <c r="D61" s="1459" t="s">
        <v>15</v>
      </c>
      <c r="E61" s="1464">
        <v>130</v>
      </c>
      <c r="F61" s="1461">
        <v>121.18</v>
      </c>
      <c r="G61" s="1462">
        <f t="shared" si="5"/>
        <v>15753.4</v>
      </c>
      <c r="H61" s="1463"/>
      <c r="I61" s="1455"/>
      <c r="J61" s="1455"/>
    </row>
    <row r="62" spans="1:10" s="77" customFormat="1">
      <c r="A62" s="1456" t="s">
        <v>2220</v>
      </c>
      <c r="B62" s="1457" t="s">
        <v>502</v>
      </c>
      <c r="C62" s="1485" t="s">
        <v>504</v>
      </c>
      <c r="D62" s="1459" t="s">
        <v>15</v>
      </c>
      <c r="E62" s="1464">
        <v>130</v>
      </c>
      <c r="F62" s="1461">
        <v>119.67</v>
      </c>
      <c r="G62" s="1462">
        <f t="shared" si="5"/>
        <v>15557.1</v>
      </c>
      <c r="H62" s="1463"/>
      <c r="I62" s="1455"/>
      <c r="J62" s="1455"/>
    </row>
    <row r="63" spans="1:10" s="77" customFormat="1">
      <c r="A63" s="1456" t="s">
        <v>2270</v>
      </c>
      <c r="B63" s="1457" t="s">
        <v>502</v>
      </c>
      <c r="C63" s="1485" t="s">
        <v>505</v>
      </c>
      <c r="D63" s="1459" t="s">
        <v>501</v>
      </c>
      <c r="E63" s="1464">
        <v>1</v>
      </c>
      <c r="F63" s="1461">
        <v>7357.03</v>
      </c>
      <c r="G63" s="1462">
        <f t="shared" si="5"/>
        <v>7357.03</v>
      </c>
      <c r="H63" s="1463"/>
      <c r="I63" s="1455"/>
      <c r="J63" s="1455"/>
    </row>
    <row r="64" spans="1:10" s="77" customFormat="1">
      <c r="A64" s="1456"/>
      <c r="B64" s="1457"/>
      <c r="C64" s="1485"/>
      <c r="D64" s="1459"/>
      <c r="E64" s="1464"/>
      <c r="F64" s="1461"/>
      <c r="G64" s="1462"/>
      <c r="H64" s="1463"/>
      <c r="I64" s="1455"/>
      <c r="J64" s="1455"/>
    </row>
    <row r="65" spans="1:10" s="77" customFormat="1">
      <c r="A65" s="1456"/>
      <c r="B65" s="1457"/>
      <c r="C65" s="1485"/>
      <c r="D65" s="1459"/>
      <c r="E65" s="1464"/>
      <c r="F65" s="1461"/>
      <c r="G65" s="1462"/>
      <c r="H65" s="1463"/>
      <c r="I65" s="1455"/>
      <c r="J65" s="1455"/>
    </row>
    <row r="66" spans="1:10" s="77" customFormat="1">
      <c r="A66" s="1456"/>
      <c r="B66" s="1457"/>
      <c r="C66" s="1485"/>
      <c r="D66" s="1459"/>
      <c r="E66" s="1464"/>
      <c r="F66" s="1461"/>
      <c r="G66" s="1462"/>
      <c r="H66" s="1463"/>
      <c r="I66" s="1455"/>
      <c r="J66" s="1455"/>
    </row>
    <row r="67" spans="1:10" s="77" customFormat="1" ht="13.5" thickBot="1">
      <c r="A67" s="1456"/>
      <c r="B67" s="1457"/>
      <c r="C67" s="1485"/>
      <c r="D67" s="1459"/>
      <c r="E67" s="1464"/>
      <c r="F67" s="1461"/>
      <c r="G67" s="1462"/>
      <c r="H67" s="1463"/>
      <c r="I67" s="1455"/>
      <c r="J67" s="1455"/>
    </row>
    <row r="68" spans="1:10" s="77" customFormat="1" ht="13.5" hidden="1" thickBot="1">
      <c r="A68" s="1456"/>
      <c r="B68" s="1457"/>
      <c r="C68" s="1485"/>
      <c r="D68" s="1459"/>
      <c r="E68" s="1460"/>
      <c r="F68" s="1461"/>
      <c r="G68" s="1462"/>
      <c r="H68" s="1463"/>
      <c r="I68" s="1455"/>
      <c r="J68" s="1455"/>
    </row>
    <row r="69" spans="1:10" s="77" customFormat="1" ht="13.5" hidden="1" thickBot="1">
      <c r="A69" s="1456"/>
      <c r="B69" s="1457"/>
      <c r="C69" s="1485"/>
      <c r="D69" s="1459"/>
      <c r="E69" s="1460"/>
      <c r="F69" s="1461"/>
      <c r="G69" s="1462"/>
      <c r="H69" s="1463"/>
      <c r="I69" s="1455"/>
    </row>
    <row r="70" spans="1:10" s="77" customFormat="1" ht="13.5" hidden="1" thickBot="1">
      <c r="A70" s="1456"/>
      <c r="B70" s="1457"/>
      <c r="C70" s="1485"/>
      <c r="D70" s="1459"/>
      <c r="E70" s="1460"/>
      <c r="F70" s="1461"/>
      <c r="G70" s="1462"/>
      <c r="H70" s="1463"/>
      <c r="I70" s="1455"/>
    </row>
    <row r="71" spans="1:10" ht="13.5" thickBot="1">
      <c r="A71" s="1486" t="s">
        <v>152</v>
      </c>
      <c r="B71" s="1487"/>
      <c r="C71" s="1488" t="s">
        <v>2291</v>
      </c>
      <c r="D71" s="1489"/>
      <c r="E71" s="1490"/>
      <c r="F71" s="1491"/>
      <c r="G71" s="1492">
        <f>SUM(G10:G70)</f>
        <v>16924557.139999997</v>
      </c>
      <c r="H71" s="1492">
        <f>SUM(H10:H70)</f>
        <v>16924557.140000001</v>
      </c>
    </row>
    <row r="72" spans="1:10" ht="13.5" thickBot="1">
      <c r="A72" s="37"/>
      <c r="B72" s="77"/>
    </row>
    <row r="73" spans="1:10">
      <c r="A73" s="1493" t="s">
        <v>680</v>
      </c>
      <c r="B73" s="1494"/>
      <c r="C73" s="1495"/>
      <c r="D73" s="1496"/>
      <c r="H73" s="1455"/>
    </row>
    <row r="74" spans="1:10">
      <c r="A74" s="1497"/>
      <c r="B74" s="1498"/>
      <c r="C74" s="1499"/>
      <c r="D74" s="1496"/>
      <c r="H74" s="1455"/>
    </row>
    <row r="75" spans="1:10">
      <c r="A75" s="1497"/>
      <c r="B75" s="1498"/>
      <c r="C75" s="1499"/>
      <c r="D75" s="1496"/>
      <c r="H75" s="1455"/>
    </row>
    <row r="76" spans="1:10" ht="13.5" thickBot="1">
      <c r="A76" s="1500"/>
      <c r="B76" s="1501"/>
      <c r="C76" s="1502"/>
      <c r="D76" s="1496"/>
    </row>
    <row r="77" spans="1:10">
      <c r="A77" s="1493" t="s">
        <v>2292</v>
      </c>
      <c r="B77" s="1494"/>
      <c r="C77" s="1495"/>
      <c r="D77" s="1496"/>
      <c r="H77" s="1455"/>
    </row>
    <row r="78" spans="1:10">
      <c r="A78" s="1497"/>
      <c r="B78" s="1498"/>
      <c r="C78" s="1499"/>
      <c r="D78" s="1496"/>
    </row>
    <row r="79" spans="1:10">
      <c r="A79" s="1497"/>
      <c r="B79" s="1498"/>
      <c r="C79" s="1499"/>
      <c r="D79" s="1496"/>
    </row>
    <row r="80" spans="1:10" ht="13.5" thickBot="1">
      <c r="A80" s="1500"/>
      <c r="B80" s="1501"/>
      <c r="C80" s="1502"/>
      <c r="D80" s="1496"/>
      <c r="H80" s="1455"/>
    </row>
    <row r="81" spans="1:9">
      <c r="A81" s="37"/>
      <c r="B81" s="77"/>
    </row>
    <row r="82" spans="1:9" s="77" customFormat="1">
      <c r="A82" s="37"/>
      <c r="I82" s="37"/>
    </row>
    <row r="83" spans="1:9" s="77" customFormat="1">
      <c r="A83" s="37"/>
      <c r="I83" s="37"/>
    </row>
    <row r="84" spans="1:9" s="77" customFormat="1">
      <c r="A84" s="37"/>
      <c r="I84" s="37"/>
    </row>
    <row r="85" spans="1:9" s="77" customFormat="1">
      <c r="A85" s="37"/>
      <c r="I85" s="37"/>
    </row>
    <row r="86" spans="1:9" s="77" customFormat="1">
      <c r="A86" s="37"/>
      <c r="I86" s="37"/>
    </row>
    <row r="87" spans="1:9" s="77" customFormat="1">
      <c r="A87" s="37"/>
      <c r="I87" s="37"/>
    </row>
    <row r="88" spans="1:9" s="77" customFormat="1">
      <c r="A88" s="37"/>
      <c r="I88" s="37"/>
    </row>
    <row r="89" spans="1:9" s="77" customFormat="1">
      <c r="A89" s="37"/>
      <c r="I89" s="37"/>
    </row>
    <row r="90" spans="1:9" s="77" customFormat="1">
      <c r="A90" s="37"/>
      <c r="I90" s="37"/>
    </row>
    <row r="91" spans="1:9" s="77" customFormat="1">
      <c r="A91" s="37"/>
      <c r="I91" s="37"/>
    </row>
    <row r="92" spans="1:9" s="77" customFormat="1">
      <c r="A92" s="37"/>
      <c r="I92" s="37"/>
    </row>
    <row r="93" spans="1:9" s="77" customFormat="1">
      <c r="A93" s="37"/>
      <c r="I93" s="37"/>
    </row>
    <row r="94" spans="1:9" s="77" customFormat="1">
      <c r="A94" s="37"/>
      <c r="I94" s="37"/>
    </row>
    <row r="95" spans="1:9" s="77" customFormat="1">
      <c r="A95" s="37"/>
      <c r="I95" s="37"/>
    </row>
    <row r="96" spans="1:9" s="77" customFormat="1">
      <c r="A96" s="37"/>
      <c r="I96" s="37"/>
    </row>
    <row r="97" spans="1:9" s="77" customFormat="1">
      <c r="A97" s="37"/>
      <c r="I97" s="37"/>
    </row>
    <row r="98" spans="1:9" s="77" customFormat="1">
      <c r="A98" s="37"/>
      <c r="I98" s="37"/>
    </row>
    <row r="99" spans="1:9" s="77" customFormat="1">
      <c r="A99" s="37"/>
      <c r="I99" s="37"/>
    </row>
    <row r="100" spans="1:9" s="77" customFormat="1">
      <c r="A100" s="37"/>
      <c r="I100" s="37"/>
    </row>
    <row r="101" spans="1:9" s="77" customFormat="1">
      <c r="A101" s="37"/>
      <c r="I101" s="37"/>
    </row>
    <row r="102" spans="1:9" s="77" customFormat="1">
      <c r="A102" s="37"/>
      <c r="I102" s="37"/>
    </row>
    <row r="103" spans="1:9" s="77" customFormat="1">
      <c r="A103" s="37"/>
      <c r="I103" s="37"/>
    </row>
    <row r="104" spans="1:9" s="77" customFormat="1">
      <c r="A104" s="37"/>
      <c r="I104" s="37"/>
    </row>
    <row r="105" spans="1:9" s="77" customFormat="1">
      <c r="A105" s="37"/>
      <c r="I105" s="37"/>
    </row>
    <row r="106" spans="1:9" s="77" customFormat="1">
      <c r="A106" s="37"/>
      <c r="I106" s="37"/>
    </row>
    <row r="107" spans="1:9" s="77" customFormat="1">
      <c r="A107" s="37"/>
      <c r="I107" s="37"/>
    </row>
    <row r="108" spans="1:9" s="77" customFormat="1">
      <c r="A108" s="37"/>
      <c r="I108" s="37"/>
    </row>
    <row r="109" spans="1:9" s="77" customFormat="1">
      <c r="A109" s="37"/>
      <c r="I109" s="37"/>
    </row>
    <row r="110" spans="1:9" s="77" customFormat="1">
      <c r="A110" s="37"/>
      <c r="I110" s="37"/>
    </row>
    <row r="111" spans="1:9" s="77" customFormat="1">
      <c r="A111" s="37"/>
      <c r="I111" s="37"/>
    </row>
    <row r="112" spans="1:9" s="77" customFormat="1">
      <c r="A112" s="37"/>
      <c r="I112" s="37"/>
    </row>
    <row r="113" spans="1:9" s="77" customFormat="1">
      <c r="A113" s="37"/>
      <c r="I113" s="37"/>
    </row>
    <row r="114" spans="1:9" s="77" customFormat="1">
      <c r="A114" s="37"/>
      <c r="I114" s="37"/>
    </row>
    <row r="115" spans="1:9" s="77" customFormat="1">
      <c r="A115" s="37"/>
      <c r="I115" s="37"/>
    </row>
    <row r="116" spans="1:9" s="77" customFormat="1">
      <c r="A116" s="37"/>
      <c r="I116" s="37"/>
    </row>
    <row r="117" spans="1:9" s="77" customFormat="1">
      <c r="A117" s="37"/>
      <c r="I117" s="37"/>
    </row>
    <row r="118" spans="1:9" s="77" customFormat="1">
      <c r="A118" s="37"/>
      <c r="I118" s="37"/>
    </row>
    <row r="119" spans="1:9" s="77" customFormat="1">
      <c r="A119" s="37"/>
      <c r="I119" s="37"/>
    </row>
    <row r="120" spans="1:9" s="77" customFormat="1">
      <c r="A120" s="37"/>
      <c r="I120" s="37"/>
    </row>
    <row r="121" spans="1:9" s="77" customFormat="1">
      <c r="A121" s="37"/>
      <c r="I121" s="37"/>
    </row>
    <row r="122" spans="1:9" s="77" customFormat="1">
      <c r="A122" s="37"/>
      <c r="I122" s="37"/>
    </row>
    <row r="123" spans="1:9" s="77" customFormat="1">
      <c r="A123" s="37"/>
      <c r="I123" s="37"/>
    </row>
    <row r="124" spans="1:9" s="77" customFormat="1">
      <c r="A124" s="37"/>
      <c r="I124" s="37"/>
    </row>
    <row r="125" spans="1:9" s="77" customFormat="1">
      <c r="A125" s="37"/>
      <c r="I125" s="37"/>
    </row>
    <row r="126" spans="1:9" s="77" customFormat="1">
      <c r="A126" s="37"/>
      <c r="I126" s="37"/>
    </row>
    <row r="127" spans="1:9" s="77" customFormat="1">
      <c r="A127" s="37"/>
      <c r="I127" s="37"/>
    </row>
    <row r="128" spans="1:9" s="77" customFormat="1">
      <c r="A128" s="37"/>
      <c r="I128" s="37"/>
    </row>
    <row r="129" spans="1:9" s="77" customFormat="1">
      <c r="A129" s="37"/>
      <c r="I129" s="37"/>
    </row>
    <row r="130" spans="1:9" s="77" customFormat="1">
      <c r="A130" s="37"/>
      <c r="I130" s="37"/>
    </row>
    <row r="131" spans="1:9" s="77" customFormat="1">
      <c r="A131" s="37"/>
      <c r="I131" s="37"/>
    </row>
    <row r="132" spans="1:9" s="77" customFormat="1">
      <c r="A132" s="37"/>
      <c r="I132" s="37"/>
    </row>
    <row r="133" spans="1:9" s="77" customFormat="1">
      <c r="A133" s="37"/>
      <c r="I133" s="37"/>
    </row>
    <row r="134" spans="1:9" s="77" customFormat="1">
      <c r="A134" s="37"/>
      <c r="I134" s="37"/>
    </row>
    <row r="135" spans="1:9" s="77" customFormat="1">
      <c r="A135" s="37"/>
      <c r="I135" s="37"/>
    </row>
    <row r="136" spans="1:9" s="77" customFormat="1">
      <c r="A136" s="37"/>
      <c r="I136" s="37"/>
    </row>
    <row r="137" spans="1:9" s="77" customFormat="1">
      <c r="A137" s="37"/>
      <c r="I137" s="37"/>
    </row>
    <row r="138" spans="1:9" s="77" customFormat="1">
      <c r="A138" s="37"/>
      <c r="I138" s="37"/>
    </row>
    <row r="139" spans="1:9" s="77" customFormat="1">
      <c r="A139" s="37"/>
      <c r="I139" s="37"/>
    </row>
    <row r="140" spans="1:9" s="77" customFormat="1">
      <c r="A140" s="37"/>
      <c r="I140" s="37"/>
    </row>
    <row r="141" spans="1:9" s="77" customFormat="1">
      <c r="A141" s="37"/>
      <c r="I141" s="37"/>
    </row>
    <row r="142" spans="1:9" s="77" customFormat="1">
      <c r="A142" s="37"/>
      <c r="I142" s="37"/>
    </row>
    <row r="143" spans="1:9" s="77" customFormat="1">
      <c r="A143" s="37"/>
      <c r="I143" s="37"/>
    </row>
  </sheetData>
  <mergeCells count="4">
    <mergeCell ref="G4:H4"/>
    <mergeCell ref="G5:H5"/>
    <mergeCell ref="D6:H6"/>
    <mergeCell ref="D7:H7"/>
  </mergeCells>
  <pageMargins left="0.511811024" right="0.511811024" top="0.78740157499999996" bottom="0.78740157499999996" header="0.31496062000000002" footer="0.31496062000000002"/>
  <pageSetup paperSize="9" scale="8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138D4-77AC-4C57-8FF0-415C2356BBE1}">
  <dimension ref="A1:X56"/>
  <sheetViews>
    <sheetView view="pageBreakPreview" topLeftCell="B1" zoomScale="96" zoomScaleNormal="100" zoomScaleSheetLayoutView="96" workbookViewId="0">
      <selection activeCell="U60" sqref="U60"/>
    </sheetView>
  </sheetViews>
  <sheetFormatPr defaultColWidth="10.6640625" defaultRowHeight="12.75"/>
  <cols>
    <col min="1" max="1" width="5" style="82" hidden="1" customWidth="1"/>
    <col min="2" max="2" width="15.33203125" style="82" customWidth="1"/>
    <col min="3" max="3" width="26.1640625" style="82" customWidth="1"/>
    <col min="4" max="4" width="17.6640625" style="82" customWidth="1"/>
    <col min="5" max="5" width="3.83203125" style="82" customWidth="1"/>
    <col min="6" max="6" width="14.5" style="82" bestFit="1" customWidth="1"/>
    <col min="7" max="7" width="11.5" style="82" bestFit="1" customWidth="1"/>
    <col min="8" max="8" width="13" style="82" bestFit="1" customWidth="1"/>
    <col min="9" max="9" width="13" style="82" customWidth="1"/>
    <col min="10" max="10" width="13" style="82" bestFit="1" customWidth="1"/>
    <col min="11" max="11" width="16.33203125" style="82" customWidth="1"/>
    <col min="12" max="13" width="13" style="82" bestFit="1" customWidth="1"/>
    <col min="14" max="14" width="14.5" style="82" bestFit="1" customWidth="1"/>
    <col min="15" max="15" width="13" style="82" bestFit="1" customWidth="1"/>
    <col min="16" max="17" width="13.83203125" style="82" customWidth="1"/>
    <col min="18" max="18" width="8.5" style="82" bestFit="1" customWidth="1"/>
    <col min="19" max="19" width="18.6640625" style="82" customWidth="1"/>
    <col min="20" max="20" width="11.1640625" style="82" customWidth="1"/>
    <col min="21" max="21" width="15.5" style="82" bestFit="1" customWidth="1"/>
    <col min="22" max="22" width="10.6640625" style="82"/>
    <col min="23" max="23" width="10.83203125" style="82" bestFit="1" customWidth="1"/>
    <col min="24" max="259" width="10.6640625" style="82"/>
    <col min="260" max="260" width="13.1640625" style="82" customWidth="1"/>
    <col min="261" max="261" width="79" style="82" customWidth="1"/>
    <col min="262" max="262" width="3.83203125" style="82" customWidth="1"/>
    <col min="263" max="275" width="12.5" style="82" customWidth="1"/>
    <col min="276" max="276" width="8.5" style="82" customWidth="1"/>
    <col min="277" max="515" width="10.6640625" style="82"/>
    <col min="516" max="516" width="13.1640625" style="82" customWidth="1"/>
    <col min="517" max="517" width="79" style="82" customWidth="1"/>
    <col min="518" max="518" width="3.83203125" style="82" customWidth="1"/>
    <col min="519" max="531" width="12.5" style="82" customWidth="1"/>
    <col min="532" max="532" width="8.5" style="82" customWidth="1"/>
    <col min="533" max="771" width="10.6640625" style="82"/>
    <col min="772" max="772" width="13.1640625" style="82" customWidth="1"/>
    <col min="773" max="773" width="79" style="82" customWidth="1"/>
    <col min="774" max="774" width="3.83203125" style="82" customWidth="1"/>
    <col min="775" max="787" width="12.5" style="82" customWidth="1"/>
    <col min="788" max="788" width="8.5" style="82" customWidth="1"/>
    <col min="789" max="1027" width="10.6640625" style="82"/>
    <col min="1028" max="1028" width="13.1640625" style="82" customWidth="1"/>
    <col min="1029" max="1029" width="79" style="82" customWidth="1"/>
    <col min="1030" max="1030" width="3.83203125" style="82" customWidth="1"/>
    <col min="1031" max="1043" width="12.5" style="82" customWidth="1"/>
    <col min="1044" max="1044" width="8.5" style="82" customWidth="1"/>
    <col min="1045" max="1283" width="10.6640625" style="82"/>
    <col min="1284" max="1284" width="13.1640625" style="82" customWidth="1"/>
    <col min="1285" max="1285" width="79" style="82" customWidth="1"/>
    <col min="1286" max="1286" width="3.83203125" style="82" customWidth="1"/>
    <col min="1287" max="1299" width="12.5" style="82" customWidth="1"/>
    <col min="1300" max="1300" width="8.5" style="82" customWidth="1"/>
    <col min="1301" max="1539" width="10.6640625" style="82"/>
    <col min="1540" max="1540" width="13.1640625" style="82" customWidth="1"/>
    <col min="1541" max="1541" width="79" style="82" customWidth="1"/>
    <col min="1542" max="1542" width="3.83203125" style="82" customWidth="1"/>
    <col min="1543" max="1555" width="12.5" style="82" customWidth="1"/>
    <col min="1556" max="1556" width="8.5" style="82" customWidth="1"/>
    <col min="1557" max="1795" width="10.6640625" style="82"/>
    <col min="1796" max="1796" width="13.1640625" style="82" customWidth="1"/>
    <col min="1797" max="1797" width="79" style="82" customWidth="1"/>
    <col min="1798" max="1798" width="3.83203125" style="82" customWidth="1"/>
    <col min="1799" max="1811" width="12.5" style="82" customWidth="1"/>
    <col min="1812" max="1812" width="8.5" style="82" customWidth="1"/>
    <col min="1813" max="2051" width="10.6640625" style="82"/>
    <col min="2052" max="2052" width="13.1640625" style="82" customWidth="1"/>
    <col min="2053" max="2053" width="79" style="82" customWidth="1"/>
    <col min="2054" max="2054" width="3.83203125" style="82" customWidth="1"/>
    <col min="2055" max="2067" width="12.5" style="82" customWidth="1"/>
    <col min="2068" max="2068" width="8.5" style="82" customWidth="1"/>
    <col min="2069" max="2307" width="10.6640625" style="82"/>
    <col min="2308" max="2308" width="13.1640625" style="82" customWidth="1"/>
    <col min="2309" max="2309" width="79" style="82" customWidth="1"/>
    <col min="2310" max="2310" width="3.83203125" style="82" customWidth="1"/>
    <col min="2311" max="2323" width="12.5" style="82" customWidth="1"/>
    <col min="2324" max="2324" width="8.5" style="82" customWidth="1"/>
    <col min="2325" max="2563" width="10.6640625" style="82"/>
    <col min="2564" max="2564" width="13.1640625" style="82" customWidth="1"/>
    <col min="2565" max="2565" width="79" style="82" customWidth="1"/>
    <col min="2566" max="2566" width="3.83203125" style="82" customWidth="1"/>
    <col min="2567" max="2579" width="12.5" style="82" customWidth="1"/>
    <col min="2580" max="2580" width="8.5" style="82" customWidth="1"/>
    <col min="2581" max="2819" width="10.6640625" style="82"/>
    <col min="2820" max="2820" width="13.1640625" style="82" customWidth="1"/>
    <col min="2821" max="2821" width="79" style="82" customWidth="1"/>
    <col min="2822" max="2822" width="3.83203125" style="82" customWidth="1"/>
    <col min="2823" max="2835" width="12.5" style="82" customWidth="1"/>
    <col min="2836" max="2836" width="8.5" style="82" customWidth="1"/>
    <col min="2837" max="3075" width="10.6640625" style="82"/>
    <col min="3076" max="3076" width="13.1640625" style="82" customWidth="1"/>
    <col min="3077" max="3077" width="79" style="82" customWidth="1"/>
    <col min="3078" max="3078" width="3.83203125" style="82" customWidth="1"/>
    <col min="3079" max="3091" width="12.5" style="82" customWidth="1"/>
    <col min="3092" max="3092" width="8.5" style="82" customWidth="1"/>
    <col min="3093" max="3331" width="10.6640625" style="82"/>
    <col min="3332" max="3332" width="13.1640625" style="82" customWidth="1"/>
    <col min="3333" max="3333" width="79" style="82" customWidth="1"/>
    <col min="3334" max="3334" width="3.83203125" style="82" customWidth="1"/>
    <col min="3335" max="3347" width="12.5" style="82" customWidth="1"/>
    <col min="3348" max="3348" width="8.5" style="82" customWidth="1"/>
    <col min="3349" max="3587" width="10.6640625" style="82"/>
    <col min="3588" max="3588" width="13.1640625" style="82" customWidth="1"/>
    <col min="3589" max="3589" width="79" style="82" customWidth="1"/>
    <col min="3590" max="3590" width="3.83203125" style="82" customWidth="1"/>
    <col min="3591" max="3603" width="12.5" style="82" customWidth="1"/>
    <col min="3604" max="3604" width="8.5" style="82" customWidth="1"/>
    <col min="3605" max="3843" width="10.6640625" style="82"/>
    <col min="3844" max="3844" width="13.1640625" style="82" customWidth="1"/>
    <col min="3845" max="3845" width="79" style="82" customWidth="1"/>
    <col min="3846" max="3846" width="3.83203125" style="82" customWidth="1"/>
    <col min="3847" max="3859" width="12.5" style="82" customWidth="1"/>
    <col min="3860" max="3860" width="8.5" style="82" customWidth="1"/>
    <col min="3861" max="4099" width="10.6640625" style="82"/>
    <col min="4100" max="4100" width="13.1640625" style="82" customWidth="1"/>
    <col min="4101" max="4101" width="79" style="82" customWidth="1"/>
    <col min="4102" max="4102" width="3.83203125" style="82" customWidth="1"/>
    <col min="4103" max="4115" width="12.5" style="82" customWidth="1"/>
    <col min="4116" max="4116" width="8.5" style="82" customWidth="1"/>
    <col min="4117" max="4355" width="10.6640625" style="82"/>
    <col min="4356" max="4356" width="13.1640625" style="82" customWidth="1"/>
    <col min="4357" max="4357" width="79" style="82" customWidth="1"/>
    <col min="4358" max="4358" width="3.83203125" style="82" customWidth="1"/>
    <col min="4359" max="4371" width="12.5" style="82" customWidth="1"/>
    <col min="4372" max="4372" width="8.5" style="82" customWidth="1"/>
    <col min="4373" max="4611" width="10.6640625" style="82"/>
    <col min="4612" max="4612" width="13.1640625" style="82" customWidth="1"/>
    <col min="4613" max="4613" width="79" style="82" customWidth="1"/>
    <col min="4614" max="4614" width="3.83203125" style="82" customWidth="1"/>
    <col min="4615" max="4627" width="12.5" style="82" customWidth="1"/>
    <col min="4628" max="4628" width="8.5" style="82" customWidth="1"/>
    <col min="4629" max="4867" width="10.6640625" style="82"/>
    <col min="4868" max="4868" width="13.1640625" style="82" customWidth="1"/>
    <col min="4869" max="4869" width="79" style="82" customWidth="1"/>
    <col min="4870" max="4870" width="3.83203125" style="82" customWidth="1"/>
    <col min="4871" max="4883" width="12.5" style="82" customWidth="1"/>
    <col min="4884" max="4884" width="8.5" style="82" customWidth="1"/>
    <col min="4885" max="5123" width="10.6640625" style="82"/>
    <col min="5124" max="5124" width="13.1640625" style="82" customWidth="1"/>
    <col min="5125" max="5125" width="79" style="82" customWidth="1"/>
    <col min="5126" max="5126" width="3.83203125" style="82" customWidth="1"/>
    <col min="5127" max="5139" width="12.5" style="82" customWidth="1"/>
    <col min="5140" max="5140" width="8.5" style="82" customWidth="1"/>
    <col min="5141" max="5379" width="10.6640625" style="82"/>
    <col min="5380" max="5380" width="13.1640625" style="82" customWidth="1"/>
    <col min="5381" max="5381" width="79" style="82" customWidth="1"/>
    <col min="5382" max="5382" width="3.83203125" style="82" customWidth="1"/>
    <col min="5383" max="5395" width="12.5" style="82" customWidth="1"/>
    <col min="5396" max="5396" width="8.5" style="82" customWidth="1"/>
    <col min="5397" max="5635" width="10.6640625" style="82"/>
    <col min="5636" max="5636" width="13.1640625" style="82" customWidth="1"/>
    <col min="5637" max="5637" width="79" style="82" customWidth="1"/>
    <col min="5638" max="5638" width="3.83203125" style="82" customWidth="1"/>
    <col min="5639" max="5651" width="12.5" style="82" customWidth="1"/>
    <col min="5652" max="5652" width="8.5" style="82" customWidth="1"/>
    <col min="5653" max="5891" width="10.6640625" style="82"/>
    <col min="5892" max="5892" width="13.1640625" style="82" customWidth="1"/>
    <col min="5893" max="5893" width="79" style="82" customWidth="1"/>
    <col min="5894" max="5894" width="3.83203125" style="82" customWidth="1"/>
    <col min="5895" max="5907" width="12.5" style="82" customWidth="1"/>
    <col min="5908" max="5908" width="8.5" style="82" customWidth="1"/>
    <col min="5909" max="6147" width="10.6640625" style="82"/>
    <col min="6148" max="6148" width="13.1640625" style="82" customWidth="1"/>
    <col min="6149" max="6149" width="79" style="82" customWidth="1"/>
    <col min="6150" max="6150" width="3.83203125" style="82" customWidth="1"/>
    <col min="6151" max="6163" width="12.5" style="82" customWidth="1"/>
    <col min="6164" max="6164" width="8.5" style="82" customWidth="1"/>
    <col min="6165" max="6403" width="10.6640625" style="82"/>
    <col min="6404" max="6404" width="13.1640625" style="82" customWidth="1"/>
    <col min="6405" max="6405" width="79" style="82" customWidth="1"/>
    <col min="6406" max="6406" width="3.83203125" style="82" customWidth="1"/>
    <col min="6407" max="6419" width="12.5" style="82" customWidth="1"/>
    <col min="6420" max="6420" width="8.5" style="82" customWidth="1"/>
    <col min="6421" max="6659" width="10.6640625" style="82"/>
    <col min="6660" max="6660" width="13.1640625" style="82" customWidth="1"/>
    <col min="6661" max="6661" width="79" style="82" customWidth="1"/>
    <col min="6662" max="6662" width="3.83203125" style="82" customWidth="1"/>
    <col min="6663" max="6675" width="12.5" style="82" customWidth="1"/>
    <col min="6676" max="6676" width="8.5" style="82" customWidth="1"/>
    <col min="6677" max="6915" width="10.6640625" style="82"/>
    <col min="6916" max="6916" width="13.1640625" style="82" customWidth="1"/>
    <col min="6917" max="6917" width="79" style="82" customWidth="1"/>
    <col min="6918" max="6918" width="3.83203125" style="82" customWidth="1"/>
    <col min="6919" max="6931" width="12.5" style="82" customWidth="1"/>
    <col min="6932" max="6932" width="8.5" style="82" customWidth="1"/>
    <col min="6933" max="7171" width="10.6640625" style="82"/>
    <col min="7172" max="7172" width="13.1640625" style="82" customWidth="1"/>
    <col min="7173" max="7173" width="79" style="82" customWidth="1"/>
    <col min="7174" max="7174" width="3.83203125" style="82" customWidth="1"/>
    <col min="7175" max="7187" width="12.5" style="82" customWidth="1"/>
    <col min="7188" max="7188" width="8.5" style="82" customWidth="1"/>
    <col min="7189" max="7427" width="10.6640625" style="82"/>
    <col min="7428" max="7428" width="13.1640625" style="82" customWidth="1"/>
    <col min="7429" max="7429" width="79" style="82" customWidth="1"/>
    <col min="7430" max="7430" width="3.83203125" style="82" customWidth="1"/>
    <col min="7431" max="7443" width="12.5" style="82" customWidth="1"/>
    <col min="7444" max="7444" width="8.5" style="82" customWidth="1"/>
    <col min="7445" max="7683" width="10.6640625" style="82"/>
    <col min="7684" max="7684" width="13.1640625" style="82" customWidth="1"/>
    <col min="7685" max="7685" width="79" style="82" customWidth="1"/>
    <col min="7686" max="7686" width="3.83203125" style="82" customWidth="1"/>
    <col min="7687" max="7699" width="12.5" style="82" customWidth="1"/>
    <col min="7700" max="7700" width="8.5" style="82" customWidth="1"/>
    <col min="7701" max="7939" width="10.6640625" style="82"/>
    <col min="7940" max="7940" width="13.1640625" style="82" customWidth="1"/>
    <col min="7941" max="7941" width="79" style="82" customWidth="1"/>
    <col min="7942" max="7942" width="3.83203125" style="82" customWidth="1"/>
    <col min="7943" max="7955" width="12.5" style="82" customWidth="1"/>
    <col min="7956" max="7956" width="8.5" style="82" customWidth="1"/>
    <col min="7957" max="8195" width="10.6640625" style="82"/>
    <col min="8196" max="8196" width="13.1640625" style="82" customWidth="1"/>
    <col min="8197" max="8197" width="79" style="82" customWidth="1"/>
    <col min="8198" max="8198" width="3.83203125" style="82" customWidth="1"/>
    <col min="8199" max="8211" width="12.5" style="82" customWidth="1"/>
    <col min="8212" max="8212" width="8.5" style="82" customWidth="1"/>
    <col min="8213" max="8451" width="10.6640625" style="82"/>
    <col min="8452" max="8452" width="13.1640625" style="82" customWidth="1"/>
    <col min="8453" max="8453" width="79" style="82" customWidth="1"/>
    <col min="8454" max="8454" width="3.83203125" style="82" customWidth="1"/>
    <col min="8455" max="8467" width="12.5" style="82" customWidth="1"/>
    <col min="8468" max="8468" width="8.5" style="82" customWidth="1"/>
    <col min="8469" max="8707" width="10.6640625" style="82"/>
    <col min="8708" max="8708" width="13.1640625" style="82" customWidth="1"/>
    <col min="8709" max="8709" width="79" style="82" customWidth="1"/>
    <col min="8710" max="8710" width="3.83203125" style="82" customWidth="1"/>
    <col min="8711" max="8723" width="12.5" style="82" customWidth="1"/>
    <col min="8724" max="8724" width="8.5" style="82" customWidth="1"/>
    <col min="8725" max="8963" width="10.6640625" style="82"/>
    <col min="8964" max="8964" width="13.1640625" style="82" customWidth="1"/>
    <col min="8965" max="8965" width="79" style="82" customWidth="1"/>
    <col min="8966" max="8966" width="3.83203125" style="82" customWidth="1"/>
    <col min="8967" max="8979" width="12.5" style="82" customWidth="1"/>
    <col min="8980" max="8980" width="8.5" style="82" customWidth="1"/>
    <col min="8981" max="9219" width="10.6640625" style="82"/>
    <col min="9220" max="9220" width="13.1640625" style="82" customWidth="1"/>
    <col min="9221" max="9221" width="79" style="82" customWidth="1"/>
    <col min="9222" max="9222" width="3.83203125" style="82" customWidth="1"/>
    <col min="9223" max="9235" width="12.5" style="82" customWidth="1"/>
    <col min="9236" max="9236" width="8.5" style="82" customWidth="1"/>
    <col min="9237" max="9475" width="10.6640625" style="82"/>
    <col min="9476" max="9476" width="13.1640625" style="82" customWidth="1"/>
    <col min="9477" max="9477" width="79" style="82" customWidth="1"/>
    <col min="9478" max="9478" width="3.83203125" style="82" customWidth="1"/>
    <col min="9479" max="9491" width="12.5" style="82" customWidth="1"/>
    <col min="9492" max="9492" width="8.5" style="82" customWidth="1"/>
    <col min="9493" max="9731" width="10.6640625" style="82"/>
    <col min="9732" max="9732" width="13.1640625" style="82" customWidth="1"/>
    <col min="9733" max="9733" width="79" style="82" customWidth="1"/>
    <col min="9734" max="9734" width="3.83203125" style="82" customWidth="1"/>
    <col min="9735" max="9747" width="12.5" style="82" customWidth="1"/>
    <col min="9748" max="9748" width="8.5" style="82" customWidth="1"/>
    <col min="9749" max="9987" width="10.6640625" style="82"/>
    <col min="9988" max="9988" width="13.1640625" style="82" customWidth="1"/>
    <col min="9989" max="9989" width="79" style="82" customWidth="1"/>
    <col min="9990" max="9990" width="3.83203125" style="82" customWidth="1"/>
    <col min="9991" max="10003" width="12.5" style="82" customWidth="1"/>
    <col min="10004" max="10004" width="8.5" style="82" customWidth="1"/>
    <col min="10005" max="10243" width="10.6640625" style="82"/>
    <col min="10244" max="10244" width="13.1640625" style="82" customWidth="1"/>
    <col min="10245" max="10245" width="79" style="82" customWidth="1"/>
    <col min="10246" max="10246" width="3.83203125" style="82" customWidth="1"/>
    <col min="10247" max="10259" width="12.5" style="82" customWidth="1"/>
    <col min="10260" max="10260" width="8.5" style="82" customWidth="1"/>
    <col min="10261" max="10499" width="10.6640625" style="82"/>
    <col min="10500" max="10500" width="13.1640625" style="82" customWidth="1"/>
    <col min="10501" max="10501" width="79" style="82" customWidth="1"/>
    <col min="10502" max="10502" width="3.83203125" style="82" customWidth="1"/>
    <col min="10503" max="10515" width="12.5" style="82" customWidth="1"/>
    <col min="10516" max="10516" width="8.5" style="82" customWidth="1"/>
    <col min="10517" max="10755" width="10.6640625" style="82"/>
    <col min="10756" max="10756" width="13.1640625" style="82" customWidth="1"/>
    <col min="10757" max="10757" width="79" style="82" customWidth="1"/>
    <col min="10758" max="10758" width="3.83203125" style="82" customWidth="1"/>
    <col min="10759" max="10771" width="12.5" style="82" customWidth="1"/>
    <col min="10772" max="10772" width="8.5" style="82" customWidth="1"/>
    <col min="10773" max="11011" width="10.6640625" style="82"/>
    <col min="11012" max="11012" width="13.1640625" style="82" customWidth="1"/>
    <col min="11013" max="11013" width="79" style="82" customWidth="1"/>
    <col min="11014" max="11014" width="3.83203125" style="82" customWidth="1"/>
    <col min="11015" max="11027" width="12.5" style="82" customWidth="1"/>
    <col min="11028" max="11028" width="8.5" style="82" customWidth="1"/>
    <col min="11029" max="11267" width="10.6640625" style="82"/>
    <col min="11268" max="11268" width="13.1640625" style="82" customWidth="1"/>
    <col min="11269" max="11269" width="79" style="82" customWidth="1"/>
    <col min="11270" max="11270" width="3.83203125" style="82" customWidth="1"/>
    <col min="11271" max="11283" width="12.5" style="82" customWidth="1"/>
    <col min="11284" max="11284" width="8.5" style="82" customWidth="1"/>
    <col min="11285" max="11523" width="10.6640625" style="82"/>
    <col min="11524" max="11524" width="13.1640625" style="82" customWidth="1"/>
    <col min="11525" max="11525" width="79" style="82" customWidth="1"/>
    <col min="11526" max="11526" width="3.83203125" style="82" customWidth="1"/>
    <col min="11527" max="11539" width="12.5" style="82" customWidth="1"/>
    <col min="11540" max="11540" width="8.5" style="82" customWidth="1"/>
    <col min="11541" max="11779" width="10.6640625" style="82"/>
    <col min="11780" max="11780" width="13.1640625" style="82" customWidth="1"/>
    <col min="11781" max="11781" width="79" style="82" customWidth="1"/>
    <col min="11782" max="11782" width="3.83203125" style="82" customWidth="1"/>
    <col min="11783" max="11795" width="12.5" style="82" customWidth="1"/>
    <col min="11796" max="11796" width="8.5" style="82" customWidth="1"/>
    <col min="11797" max="12035" width="10.6640625" style="82"/>
    <col min="12036" max="12036" width="13.1640625" style="82" customWidth="1"/>
    <col min="12037" max="12037" width="79" style="82" customWidth="1"/>
    <col min="12038" max="12038" width="3.83203125" style="82" customWidth="1"/>
    <col min="12039" max="12051" width="12.5" style="82" customWidth="1"/>
    <col min="12052" max="12052" width="8.5" style="82" customWidth="1"/>
    <col min="12053" max="12291" width="10.6640625" style="82"/>
    <col min="12292" max="12292" width="13.1640625" style="82" customWidth="1"/>
    <col min="12293" max="12293" width="79" style="82" customWidth="1"/>
    <col min="12294" max="12294" width="3.83203125" style="82" customWidth="1"/>
    <col min="12295" max="12307" width="12.5" style="82" customWidth="1"/>
    <col min="12308" max="12308" width="8.5" style="82" customWidth="1"/>
    <col min="12309" max="12547" width="10.6640625" style="82"/>
    <col min="12548" max="12548" width="13.1640625" style="82" customWidth="1"/>
    <col min="12549" max="12549" width="79" style="82" customWidth="1"/>
    <col min="12550" max="12550" width="3.83203125" style="82" customWidth="1"/>
    <col min="12551" max="12563" width="12.5" style="82" customWidth="1"/>
    <col min="12564" max="12564" width="8.5" style="82" customWidth="1"/>
    <col min="12565" max="12803" width="10.6640625" style="82"/>
    <col min="12804" max="12804" width="13.1640625" style="82" customWidth="1"/>
    <col min="12805" max="12805" width="79" style="82" customWidth="1"/>
    <col min="12806" max="12806" width="3.83203125" style="82" customWidth="1"/>
    <col min="12807" max="12819" width="12.5" style="82" customWidth="1"/>
    <col min="12820" max="12820" width="8.5" style="82" customWidth="1"/>
    <col min="12821" max="13059" width="10.6640625" style="82"/>
    <col min="13060" max="13060" width="13.1640625" style="82" customWidth="1"/>
    <col min="13061" max="13061" width="79" style="82" customWidth="1"/>
    <col min="13062" max="13062" width="3.83203125" style="82" customWidth="1"/>
    <col min="13063" max="13075" width="12.5" style="82" customWidth="1"/>
    <col min="13076" max="13076" width="8.5" style="82" customWidth="1"/>
    <col min="13077" max="13315" width="10.6640625" style="82"/>
    <col min="13316" max="13316" width="13.1640625" style="82" customWidth="1"/>
    <col min="13317" max="13317" width="79" style="82" customWidth="1"/>
    <col min="13318" max="13318" width="3.83203125" style="82" customWidth="1"/>
    <col min="13319" max="13331" width="12.5" style="82" customWidth="1"/>
    <col min="13332" max="13332" width="8.5" style="82" customWidth="1"/>
    <col min="13333" max="13571" width="10.6640625" style="82"/>
    <col min="13572" max="13572" width="13.1640625" style="82" customWidth="1"/>
    <col min="13573" max="13573" width="79" style="82" customWidth="1"/>
    <col min="13574" max="13574" width="3.83203125" style="82" customWidth="1"/>
    <col min="13575" max="13587" width="12.5" style="82" customWidth="1"/>
    <col min="13588" max="13588" width="8.5" style="82" customWidth="1"/>
    <col min="13589" max="13827" width="10.6640625" style="82"/>
    <col min="13828" max="13828" width="13.1640625" style="82" customWidth="1"/>
    <col min="13829" max="13829" width="79" style="82" customWidth="1"/>
    <col min="13830" max="13830" width="3.83203125" style="82" customWidth="1"/>
    <col min="13831" max="13843" width="12.5" style="82" customWidth="1"/>
    <col min="13844" max="13844" width="8.5" style="82" customWidth="1"/>
    <col min="13845" max="14083" width="10.6640625" style="82"/>
    <col min="14084" max="14084" width="13.1640625" style="82" customWidth="1"/>
    <col min="14085" max="14085" width="79" style="82" customWidth="1"/>
    <col min="14086" max="14086" width="3.83203125" style="82" customWidth="1"/>
    <col min="14087" max="14099" width="12.5" style="82" customWidth="1"/>
    <col min="14100" max="14100" width="8.5" style="82" customWidth="1"/>
    <col min="14101" max="14339" width="10.6640625" style="82"/>
    <col min="14340" max="14340" width="13.1640625" style="82" customWidth="1"/>
    <col min="14341" max="14341" width="79" style="82" customWidth="1"/>
    <col min="14342" max="14342" width="3.83203125" style="82" customWidth="1"/>
    <col min="14343" max="14355" width="12.5" style="82" customWidth="1"/>
    <col min="14356" max="14356" width="8.5" style="82" customWidth="1"/>
    <col min="14357" max="14595" width="10.6640625" style="82"/>
    <col min="14596" max="14596" width="13.1640625" style="82" customWidth="1"/>
    <col min="14597" max="14597" width="79" style="82" customWidth="1"/>
    <col min="14598" max="14598" width="3.83203125" style="82" customWidth="1"/>
    <col min="14599" max="14611" width="12.5" style="82" customWidth="1"/>
    <col min="14612" max="14612" width="8.5" style="82" customWidth="1"/>
    <col min="14613" max="14851" width="10.6640625" style="82"/>
    <col min="14852" max="14852" width="13.1640625" style="82" customWidth="1"/>
    <col min="14853" max="14853" width="79" style="82" customWidth="1"/>
    <col min="14854" max="14854" width="3.83203125" style="82" customWidth="1"/>
    <col min="14855" max="14867" width="12.5" style="82" customWidth="1"/>
    <col min="14868" max="14868" width="8.5" style="82" customWidth="1"/>
    <col min="14869" max="15107" width="10.6640625" style="82"/>
    <col min="15108" max="15108" width="13.1640625" style="82" customWidth="1"/>
    <col min="15109" max="15109" width="79" style="82" customWidth="1"/>
    <col min="15110" max="15110" width="3.83203125" style="82" customWidth="1"/>
    <col min="15111" max="15123" width="12.5" style="82" customWidth="1"/>
    <col min="15124" max="15124" width="8.5" style="82" customWidth="1"/>
    <col min="15125" max="15363" width="10.6640625" style="82"/>
    <col min="15364" max="15364" width="13.1640625" style="82" customWidth="1"/>
    <col min="15365" max="15365" width="79" style="82" customWidth="1"/>
    <col min="15366" max="15366" width="3.83203125" style="82" customWidth="1"/>
    <col min="15367" max="15379" width="12.5" style="82" customWidth="1"/>
    <col min="15380" max="15380" width="8.5" style="82" customWidth="1"/>
    <col min="15381" max="15619" width="10.6640625" style="82"/>
    <col min="15620" max="15620" width="13.1640625" style="82" customWidth="1"/>
    <col min="15621" max="15621" width="79" style="82" customWidth="1"/>
    <col min="15622" max="15622" width="3.83203125" style="82" customWidth="1"/>
    <col min="15623" max="15635" width="12.5" style="82" customWidth="1"/>
    <col min="15636" max="15636" width="8.5" style="82" customWidth="1"/>
    <col min="15637" max="15875" width="10.6640625" style="82"/>
    <col min="15876" max="15876" width="13.1640625" style="82" customWidth="1"/>
    <col min="15877" max="15877" width="79" style="82" customWidth="1"/>
    <col min="15878" max="15878" width="3.83203125" style="82" customWidth="1"/>
    <col min="15879" max="15891" width="12.5" style="82" customWidth="1"/>
    <col min="15892" max="15892" width="8.5" style="82" customWidth="1"/>
    <col min="15893" max="16131" width="10.6640625" style="82"/>
    <col min="16132" max="16132" width="13.1640625" style="82" customWidth="1"/>
    <col min="16133" max="16133" width="79" style="82" customWidth="1"/>
    <col min="16134" max="16134" width="3.83203125" style="82" customWidth="1"/>
    <col min="16135" max="16147" width="12.5" style="82" customWidth="1"/>
    <col min="16148" max="16148" width="8.5" style="82" customWidth="1"/>
    <col min="16149" max="16384" width="10.6640625" style="82"/>
  </cols>
  <sheetData>
    <row r="1" spans="1:24" ht="26.25">
      <c r="A1" s="108"/>
      <c r="B1" s="109"/>
      <c r="C1" s="637"/>
      <c r="D1" s="110"/>
      <c r="E1" s="111"/>
      <c r="F1" s="112"/>
      <c r="G1" s="112"/>
      <c r="H1" s="113"/>
      <c r="I1" s="113"/>
      <c r="J1" s="113"/>
      <c r="K1" s="1505" t="s">
        <v>2299</v>
      </c>
      <c r="L1" s="113"/>
      <c r="M1" s="113"/>
      <c r="N1" s="115"/>
      <c r="O1" s="115"/>
      <c r="P1" s="113"/>
      <c r="Q1" s="113"/>
      <c r="R1" s="113"/>
      <c r="S1" s="113"/>
      <c r="T1" s="116"/>
    </row>
    <row r="2" spans="1:24" s="645" customFormat="1" ht="18" customHeight="1">
      <c r="A2" s="501"/>
      <c r="B2" s="638" t="s">
        <v>159</v>
      </c>
      <c r="C2" s="653" t="str">
        <f>Grandes_Itens!B2</f>
        <v>DOIS VIZINHOS</v>
      </c>
      <c r="D2" s="654"/>
      <c r="E2" s="654"/>
      <c r="F2" s="655"/>
      <c r="G2" s="656"/>
      <c r="H2" s="639" t="s">
        <v>624</v>
      </c>
      <c r="I2" s="640"/>
      <c r="J2" s="639" t="s">
        <v>625</v>
      </c>
      <c r="K2" s="640"/>
      <c r="L2" s="639" t="s">
        <v>626</v>
      </c>
      <c r="M2" s="641"/>
      <c r="N2" s="639" t="s">
        <v>627</v>
      </c>
      <c r="O2" s="640"/>
      <c r="P2" s="642" t="s">
        <v>628</v>
      </c>
      <c r="Q2" s="643"/>
      <c r="R2" s="643"/>
      <c r="S2" s="665">
        <f>S21</f>
        <v>16924557.140000001</v>
      </c>
      <c r="T2" s="644">
        <f>IF(S21=0,0,ROUND(S2/S21,9))</f>
        <v>1</v>
      </c>
    </row>
    <row r="3" spans="1:24" s="645" customFormat="1" ht="18" customHeight="1" thickBot="1">
      <c r="A3" s="501"/>
      <c r="B3" s="646" t="s">
        <v>161</v>
      </c>
      <c r="C3" s="1504" t="str">
        <f>'ORÇ. EDITAVEL '!C3</f>
        <v xml:space="preserve">CONSTRUÇÃO DE PAVIMENTAÇÃO ASFALTICA CONVÊNIO N° 4500074791 </v>
      </c>
      <c r="D3" s="658"/>
      <c r="E3" s="659"/>
      <c r="F3" s="660"/>
      <c r="G3" s="661"/>
      <c r="H3" s="647" t="s">
        <v>629</v>
      </c>
      <c r="I3" s="663"/>
      <c r="J3" s="647" t="s">
        <v>630</v>
      </c>
      <c r="K3" s="664">
        <f>80-10</f>
        <v>70</v>
      </c>
      <c r="L3" s="647" t="s">
        <v>629</v>
      </c>
      <c r="M3" s="648"/>
      <c r="N3" s="647" t="s">
        <v>631</v>
      </c>
      <c r="O3" s="668"/>
      <c r="P3" s="649" t="s">
        <v>632</v>
      </c>
      <c r="Q3" s="650"/>
      <c r="R3" s="651"/>
      <c r="S3" s="662">
        <f>S21-S2</f>
        <v>0</v>
      </c>
      <c r="T3" s="652">
        <f>IF(S3=0,0,1-T2)</f>
        <v>0</v>
      </c>
    </row>
    <row r="4" spans="1:24" ht="18.75" thickBot="1">
      <c r="A4" s="108"/>
      <c r="B4" s="117" t="s">
        <v>633</v>
      </c>
      <c r="C4" s="1266">
        <v>85100</v>
      </c>
      <c r="D4" s="118"/>
      <c r="E4" s="119" t="s">
        <v>634</v>
      </c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1" t="s">
        <v>635</v>
      </c>
      <c r="Q4" s="122"/>
      <c r="R4" s="122"/>
      <c r="S4" s="1217">
        <f>SUM(S2:S3)</f>
        <v>16924557.140000001</v>
      </c>
      <c r="T4" s="123">
        <f>SUM(T2:T3)</f>
        <v>1</v>
      </c>
    </row>
    <row r="5" spans="1:24" ht="12.75" customHeight="1" thickBot="1">
      <c r="A5" s="108"/>
      <c r="B5" s="124" t="s">
        <v>636</v>
      </c>
      <c r="C5" s="125" t="s">
        <v>637</v>
      </c>
      <c r="D5" s="126"/>
      <c r="E5" s="127" t="s">
        <v>63</v>
      </c>
      <c r="F5" s="128" t="s">
        <v>638</v>
      </c>
      <c r="G5" s="129"/>
      <c r="H5" s="129"/>
      <c r="I5" s="129"/>
      <c r="J5" s="129"/>
      <c r="K5" s="129"/>
      <c r="L5" s="129"/>
      <c r="M5" s="130"/>
      <c r="N5" s="130"/>
      <c r="O5" s="130"/>
      <c r="P5" s="131"/>
      <c r="Q5" s="132"/>
      <c r="R5" s="133"/>
      <c r="S5" s="134" t="s">
        <v>468</v>
      </c>
      <c r="T5" s="135" t="s">
        <v>639</v>
      </c>
      <c r="W5" s="82" t="s">
        <v>640</v>
      </c>
      <c r="X5" s="136" t="str">
        <f>IF(S4=S51,"OK","erro")</f>
        <v>OK</v>
      </c>
    </row>
    <row r="6" spans="1:24" ht="13.5" thickBot="1">
      <c r="A6" s="108"/>
      <c r="B6" s="137" t="s">
        <v>641</v>
      </c>
      <c r="C6" s="138"/>
      <c r="D6" s="1263" t="str">
        <f>IF(E6&lt;6,"Deve ser no mínimo 6 meses =","ok")</f>
        <v>ok</v>
      </c>
      <c r="E6" s="1264">
        <v>12</v>
      </c>
      <c r="F6" s="140">
        <v>1</v>
      </c>
      <c r="G6" s="140">
        <v>2</v>
      </c>
      <c r="H6" s="140">
        <v>3</v>
      </c>
      <c r="I6" s="140">
        <v>4</v>
      </c>
      <c r="J6" s="140">
        <v>5</v>
      </c>
      <c r="K6" s="140">
        <v>6</v>
      </c>
      <c r="L6" s="140">
        <v>7</v>
      </c>
      <c r="M6" s="140">
        <v>8</v>
      </c>
      <c r="N6" s="140">
        <v>9</v>
      </c>
      <c r="O6" s="140">
        <v>10</v>
      </c>
      <c r="P6" s="140">
        <v>11</v>
      </c>
      <c r="Q6" s="141">
        <v>12</v>
      </c>
      <c r="R6" s="142"/>
      <c r="S6" s="143" t="s">
        <v>642</v>
      </c>
      <c r="T6" s="144" t="s">
        <v>468</v>
      </c>
    </row>
    <row r="7" spans="1:24" ht="14.25" thickTop="1" thickBot="1">
      <c r="A7" s="108"/>
      <c r="B7" s="137"/>
      <c r="C7" s="138" t="s">
        <v>643</v>
      </c>
      <c r="D7" s="139"/>
      <c r="E7" s="145"/>
      <c r="F7" s="146">
        <v>45382</v>
      </c>
      <c r="G7" s="146">
        <v>45413</v>
      </c>
      <c r="H7" s="146">
        <f>IF(H6=0,0,G8+1)</f>
        <v>45444</v>
      </c>
      <c r="I7" s="146">
        <f>IF(I6=0,0,H8+1)</f>
        <v>45475</v>
      </c>
      <c r="J7" s="146">
        <f>IF(J6=0,0,I8+1)</f>
        <v>45506</v>
      </c>
      <c r="K7" s="146">
        <f t="shared" ref="K7:Q7" si="0">IF(K6=0,0,J8+1)</f>
        <v>45537</v>
      </c>
      <c r="L7" s="146">
        <f t="shared" si="0"/>
        <v>45568</v>
      </c>
      <c r="M7" s="146">
        <f t="shared" si="0"/>
        <v>45599</v>
      </c>
      <c r="N7" s="146">
        <f t="shared" si="0"/>
        <v>45630</v>
      </c>
      <c r="O7" s="146">
        <f t="shared" si="0"/>
        <v>45661</v>
      </c>
      <c r="P7" s="146">
        <f t="shared" si="0"/>
        <v>45692</v>
      </c>
      <c r="Q7" s="147">
        <f t="shared" si="0"/>
        <v>45723</v>
      </c>
      <c r="R7" s="148"/>
      <c r="S7" s="143"/>
      <c r="T7" s="144"/>
    </row>
    <row r="8" spans="1:24" ht="14.25" thickTop="1" thickBot="1">
      <c r="A8" s="108"/>
      <c r="B8" s="137"/>
      <c r="C8" s="138" t="s">
        <v>644</v>
      </c>
      <c r="D8" s="139"/>
      <c r="E8" s="145"/>
      <c r="F8" s="146">
        <v>45412</v>
      </c>
      <c r="G8" s="146">
        <f>IF(G6=0,0,G7+30)</f>
        <v>45443</v>
      </c>
      <c r="H8" s="146">
        <f>IF(H6=0,0,H7+30)</f>
        <v>45474</v>
      </c>
      <c r="I8" s="146">
        <f>IF(I6=0,0,I7+30)</f>
        <v>45505</v>
      </c>
      <c r="J8" s="146">
        <f>IF(J6=0,0,J7+30)</f>
        <v>45536</v>
      </c>
      <c r="K8" s="146">
        <f t="shared" ref="K8:Q8" si="1">IF(K6=0,0,K7+30)</f>
        <v>45567</v>
      </c>
      <c r="L8" s="146">
        <f t="shared" si="1"/>
        <v>45598</v>
      </c>
      <c r="M8" s="146">
        <f t="shared" si="1"/>
        <v>45629</v>
      </c>
      <c r="N8" s="146">
        <f t="shared" si="1"/>
        <v>45660</v>
      </c>
      <c r="O8" s="146">
        <f t="shared" si="1"/>
        <v>45691</v>
      </c>
      <c r="P8" s="146">
        <f t="shared" si="1"/>
        <v>45722</v>
      </c>
      <c r="Q8" s="147">
        <f t="shared" si="1"/>
        <v>45753</v>
      </c>
      <c r="R8" s="148"/>
      <c r="S8" s="143"/>
      <c r="T8" s="144"/>
    </row>
    <row r="9" spans="1:24" ht="13.5" thickTop="1">
      <c r="A9" s="149" t="str">
        <f>CONCATENATE($E$6,"|",B9)</f>
        <v>12|1</v>
      </c>
      <c r="B9" s="150">
        <v>1</v>
      </c>
      <c r="C9" s="151" t="s">
        <v>432</v>
      </c>
      <c r="D9" s="152"/>
      <c r="E9" s="153">
        <v>1</v>
      </c>
      <c r="F9" s="623">
        <v>30</v>
      </c>
      <c r="G9" s="623">
        <v>40</v>
      </c>
      <c r="H9" s="623">
        <v>30</v>
      </c>
      <c r="I9" s="623"/>
      <c r="J9" s="623"/>
      <c r="K9" s="623"/>
      <c r="L9" s="623"/>
      <c r="M9" s="623"/>
      <c r="N9" s="623"/>
      <c r="O9" s="623"/>
      <c r="P9" s="623"/>
      <c r="Q9" s="624"/>
      <c r="R9" s="154"/>
      <c r="S9" s="1211">
        <f>'REF. DE PREÇOS n editavel'!O19</f>
        <v>504520.8</v>
      </c>
      <c r="T9" s="1212">
        <f t="shared" ref="T9:T19" si="2">IF($S$21=0,0,(S9/$S$21)*100)</f>
        <v>2.9809985326446182</v>
      </c>
      <c r="V9" s="82">
        <f>SUM(F9:Q9)</f>
        <v>100</v>
      </c>
      <c r="W9" s="108">
        <f t="shared" ref="W9:W17" si="3">SUM(F9:Q9)</f>
        <v>100</v>
      </c>
    </row>
    <row r="10" spans="1:24">
      <c r="A10" s="149" t="str">
        <f t="shared" ref="A10:A19" si="4">CONCATENATE($E$6,"|",B10)</f>
        <v>12|2</v>
      </c>
      <c r="B10" s="155" t="s">
        <v>167</v>
      </c>
      <c r="C10" s="151" t="s">
        <v>428</v>
      </c>
      <c r="D10" s="152"/>
      <c r="E10" s="153">
        <v>40</v>
      </c>
      <c r="F10" s="623">
        <v>30</v>
      </c>
      <c r="G10" s="623">
        <v>30</v>
      </c>
      <c r="H10" s="623">
        <v>30</v>
      </c>
      <c r="I10" s="623">
        <v>10</v>
      </c>
      <c r="J10" s="623"/>
      <c r="K10" s="623"/>
      <c r="L10" s="623"/>
      <c r="M10" s="623"/>
      <c r="N10" s="623"/>
      <c r="O10" s="623"/>
      <c r="P10" s="623"/>
      <c r="Q10" s="624"/>
      <c r="R10" s="154"/>
      <c r="S10" s="1211">
        <f>'ORÇ. EDITAVEL '!H13</f>
        <v>516870.58</v>
      </c>
      <c r="T10" s="1212">
        <f t="shared" si="2"/>
        <v>3.0539681229142048</v>
      </c>
      <c r="V10" s="82">
        <f t="shared" ref="V10:V19" si="5">SUM(F10:Q10)</f>
        <v>100</v>
      </c>
      <c r="W10" s="108">
        <f t="shared" si="3"/>
        <v>100</v>
      </c>
    </row>
    <row r="11" spans="1:24">
      <c r="A11" s="149" t="str">
        <f t="shared" si="4"/>
        <v>12|3</v>
      </c>
      <c r="B11" s="155" t="s">
        <v>185</v>
      </c>
      <c r="C11" s="151" t="s">
        <v>434</v>
      </c>
      <c r="D11" s="152"/>
      <c r="E11" s="153">
        <v>3</v>
      </c>
      <c r="F11" s="623"/>
      <c r="G11" s="623">
        <v>25</v>
      </c>
      <c r="H11" s="623">
        <v>25</v>
      </c>
      <c r="I11" s="623">
        <v>25</v>
      </c>
      <c r="J11" s="623">
        <v>25</v>
      </c>
      <c r="K11" s="623"/>
      <c r="L11" s="623"/>
      <c r="M11" s="623"/>
      <c r="N11" s="623"/>
      <c r="O11" s="623"/>
      <c r="P11" s="623"/>
      <c r="Q11" s="624"/>
      <c r="R11" s="154"/>
      <c r="S11" s="1211">
        <f>'ORÇ. EDITAVEL '!H17</f>
        <v>1241242.72</v>
      </c>
      <c r="T11" s="1212">
        <f t="shared" si="2"/>
        <v>7.3339745893049706</v>
      </c>
      <c r="V11" s="82">
        <f t="shared" si="5"/>
        <v>100</v>
      </c>
      <c r="W11" s="108">
        <f t="shared" si="3"/>
        <v>100</v>
      </c>
    </row>
    <row r="12" spans="1:24">
      <c r="A12" s="149" t="str">
        <f t="shared" si="4"/>
        <v>12|4</v>
      </c>
      <c r="B12" s="155" t="s">
        <v>203</v>
      </c>
      <c r="C12" s="151" t="s">
        <v>429</v>
      </c>
      <c r="D12" s="152"/>
      <c r="E12" s="153">
        <v>4</v>
      </c>
      <c r="F12" s="623"/>
      <c r="G12" s="623"/>
      <c r="H12" s="623"/>
      <c r="I12" s="623">
        <v>15</v>
      </c>
      <c r="J12" s="623">
        <v>15</v>
      </c>
      <c r="K12" s="623">
        <v>15</v>
      </c>
      <c r="L12" s="623">
        <v>15</v>
      </c>
      <c r="M12" s="623">
        <v>10</v>
      </c>
      <c r="N12" s="623">
        <v>10</v>
      </c>
      <c r="O12" s="623">
        <v>10</v>
      </c>
      <c r="P12" s="623">
        <v>10</v>
      </c>
      <c r="Q12" s="624"/>
      <c r="R12" s="154"/>
      <c r="S12" s="1211">
        <f>'ORÇ. EDITAVEL '!H21</f>
        <v>12666584.600000001</v>
      </c>
      <c r="T12" s="1212">
        <f t="shared" si="2"/>
        <v>74.841453724442928</v>
      </c>
      <c r="V12" s="82">
        <f t="shared" si="5"/>
        <v>100</v>
      </c>
      <c r="W12" s="108">
        <f t="shared" si="3"/>
        <v>100</v>
      </c>
    </row>
    <row r="13" spans="1:24" hidden="1">
      <c r="A13" s="149" t="str">
        <f t="shared" si="4"/>
        <v>12|5</v>
      </c>
      <c r="B13" s="155" t="s">
        <v>166</v>
      </c>
      <c r="C13" s="151" t="s">
        <v>430</v>
      </c>
      <c r="D13" s="152"/>
      <c r="E13" s="153">
        <v>5</v>
      </c>
      <c r="F13" s="623"/>
      <c r="G13" s="623"/>
      <c r="H13" s="623"/>
      <c r="I13" s="623"/>
      <c r="J13" s="623"/>
      <c r="K13" s="623"/>
      <c r="L13" s="623"/>
      <c r="M13" s="623"/>
      <c r="N13" s="623"/>
      <c r="O13" s="623"/>
      <c r="P13" s="623"/>
      <c r="Q13" s="624"/>
      <c r="R13" s="154"/>
      <c r="S13" s="1211"/>
      <c r="T13" s="1212">
        <f t="shared" si="2"/>
        <v>0</v>
      </c>
      <c r="V13" s="82">
        <f t="shared" si="5"/>
        <v>0</v>
      </c>
      <c r="W13" s="108">
        <f t="shared" si="3"/>
        <v>0</v>
      </c>
    </row>
    <row r="14" spans="1:24" hidden="1">
      <c r="A14" s="149" t="str">
        <f t="shared" si="4"/>
        <v>12|6</v>
      </c>
      <c r="B14" s="155" t="s">
        <v>205</v>
      </c>
      <c r="C14" s="151" t="s">
        <v>569</v>
      </c>
      <c r="D14" s="152"/>
      <c r="E14" s="153">
        <v>3</v>
      </c>
      <c r="F14" s="623"/>
      <c r="G14" s="623"/>
      <c r="H14" s="623"/>
      <c r="I14" s="623"/>
      <c r="J14" s="623"/>
      <c r="K14" s="623"/>
      <c r="L14" s="623"/>
      <c r="M14" s="623"/>
      <c r="N14" s="623"/>
      <c r="O14" s="623"/>
      <c r="P14" s="623"/>
      <c r="Q14" s="624"/>
      <c r="R14" s="154"/>
      <c r="S14" s="1211"/>
      <c r="T14" s="1212">
        <f t="shared" si="2"/>
        <v>0</v>
      </c>
      <c r="V14" s="82">
        <f t="shared" si="5"/>
        <v>0</v>
      </c>
      <c r="W14" s="108">
        <f t="shared" si="3"/>
        <v>0</v>
      </c>
    </row>
    <row r="15" spans="1:24">
      <c r="A15" s="149" t="str">
        <f t="shared" si="4"/>
        <v>12|7</v>
      </c>
      <c r="B15" s="155" t="s">
        <v>417</v>
      </c>
      <c r="C15" s="151" t="s">
        <v>436</v>
      </c>
      <c r="D15" s="152"/>
      <c r="E15" s="153">
        <v>5</v>
      </c>
      <c r="F15" s="623"/>
      <c r="G15" s="623"/>
      <c r="H15" s="623"/>
      <c r="I15" s="623"/>
      <c r="J15" s="623"/>
      <c r="K15" s="623"/>
      <c r="L15" s="623"/>
      <c r="M15" s="623"/>
      <c r="N15" s="623"/>
      <c r="O15" s="623"/>
      <c r="P15" s="623">
        <v>50</v>
      </c>
      <c r="Q15" s="624">
        <v>50</v>
      </c>
      <c r="R15" s="154"/>
      <c r="S15" s="1211">
        <f>'ORÇ. EDITAVEL '!H32</f>
        <v>733766.36</v>
      </c>
      <c r="T15" s="1212">
        <f t="shared" si="2"/>
        <v>4.3355129113883564</v>
      </c>
      <c r="V15" s="82">
        <f t="shared" si="5"/>
        <v>100</v>
      </c>
      <c r="W15" s="108">
        <f t="shared" si="3"/>
        <v>100</v>
      </c>
    </row>
    <row r="16" spans="1:24" hidden="1">
      <c r="A16" s="149" t="str">
        <f t="shared" si="4"/>
        <v>12|8</v>
      </c>
      <c r="B16" s="155" t="s">
        <v>310</v>
      </c>
      <c r="C16" s="151" t="s">
        <v>438</v>
      </c>
      <c r="D16" s="152"/>
      <c r="E16" s="153">
        <v>6</v>
      </c>
      <c r="F16" s="623"/>
      <c r="G16" s="623"/>
      <c r="H16" s="623"/>
      <c r="I16" s="623"/>
      <c r="J16" s="623"/>
      <c r="K16" s="623"/>
      <c r="L16" s="623"/>
      <c r="M16" s="623"/>
      <c r="N16" s="623"/>
      <c r="O16" s="623"/>
      <c r="P16" s="623"/>
      <c r="Q16" s="624"/>
      <c r="R16" s="154"/>
      <c r="S16" s="1211"/>
      <c r="T16" s="1212">
        <f t="shared" si="2"/>
        <v>0</v>
      </c>
      <c r="V16" s="82">
        <f t="shared" si="5"/>
        <v>0</v>
      </c>
      <c r="W16" s="108">
        <f t="shared" si="3"/>
        <v>0</v>
      </c>
    </row>
    <row r="17" spans="1:23">
      <c r="A17" s="149" t="str">
        <f t="shared" si="4"/>
        <v>12|9</v>
      </c>
      <c r="B17" s="155" t="s">
        <v>439</v>
      </c>
      <c r="C17" s="151" t="s">
        <v>440</v>
      </c>
      <c r="D17" s="152"/>
      <c r="E17" s="153">
        <v>6</v>
      </c>
      <c r="F17" s="623">
        <v>40</v>
      </c>
      <c r="G17" s="623">
        <v>30</v>
      </c>
      <c r="H17" s="623">
        <v>30</v>
      </c>
      <c r="I17" s="623"/>
      <c r="J17" s="623"/>
      <c r="K17" s="623"/>
      <c r="L17" s="623"/>
      <c r="M17" s="623"/>
      <c r="N17" s="623"/>
      <c r="O17" s="623"/>
      <c r="P17" s="623"/>
      <c r="Q17" s="624"/>
      <c r="R17" s="154"/>
      <c r="S17" s="1211">
        <f>'ORÇ. EDITAVEL '!H38</f>
        <v>32567.4</v>
      </c>
      <c r="T17" s="1212">
        <f t="shared" si="2"/>
        <v>0.19242689619942396</v>
      </c>
      <c r="V17" s="82">
        <f t="shared" si="5"/>
        <v>100</v>
      </c>
      <c r="W17" s="108">
        <f t="shared" si="3"/>
        <v>100</v>
      </c>
    </row>
    <row r="18" spans="1:23">
      <c r="A18" s="149" t="str">
        <f t="shared" si="4"/>
        <v>12|10</v>
      </c>
      <c r="B18" s="155" t="s">
        <v>441</v>
      </c>
      <c r="C18" s="151" t="s">
        <v>431</v>
      </c>
      <c r="D18" s="152"/>
      <c r="E18" s="153"/>
      <c r="F18" s="623">
        <v>25</v>
      </c>
      <c r="G18" s="623">
        <v>25</v>
      </c>
      <c r="H18" s="623">
        <v>25</v>
      </c>
      <c r="I18" s="623">
        <v>25</v>
      </c>
      <c r="J18" s="623"/>
      <c r="K18" s="623"/>
      <c r="L18" s="623"/>
      <c r="M18" s="623"/>
      <c r="N18" s="623"/>
      <c r="O18" s="623"/>
      <c r="P18" s="623"/>
      <c r="Q18" s="624"/>
      <c r="R18" s="154"/>
      <c r="S18" s="1211">
        <f>'ORÇ. EDITAVEL '!H41</f>
        <v>1093168.6499999999</v>
      </c>
      <c r="T18" s="1212">
        <f t="shared" si="2"/>
        <v>6.4590679741709316</v>
      </c>
      <c r="V18" s="82">
        <f t="shared" si="5"/>
        <v>100</v>
      </c>
      <c r="W18" s="108">
        <f>SUM(F18:Q18)</f>
        <v>100</v>
      </c>
    </row>
    <row r="19" spans="1:23">
      <c r="A19" s="149" t="str">
        <f t="shared" si="4"/>
        <v>12|11</v>
      </c>
      <c r="B19" s="155" t="s">
        <v>487</v>
      </c>
      <c r="C19" s="151" t="s">
        <v>524</v>
      </c>
      <c r="D19" s="152"/>
      <c r="E19" s="153"/>
      <c r="F19" s="623"/>
      <c r="G19" s="623"/>
      <c r="H19" s="623"/>
      <c r="I19" s="623"/>
      <c r="J19" s="623">
        <v>12.5</v>
      </c>
      <c r="K19" s="623">
        <v>12.5</v>
      </c>
      <c r="L19" s="623">
        <v>12.5</v>
      </c>
      <c r="M19" s="623">
        <v>12.5</v>
      </c>
      <c r="N19" s="623">
        <v>12.5</v>
      </c>
      <c r="O19" s="623">
        <v>12.5</v>
      </c>
      <c r="P19" s="623">
        <v>12.5</v>
      </c>
      <c r="Q19" s="623">
        <v>12.5</v>
      </c>
      <c r="R19" s="154"/>
      <c r="S19" s="1211">
        <f>'ORÇ. EDITAVEL '!H55</f>
        <v>135836.03</v>
      </c>
      <c r="T19" s="1212">
        <f t="shared" si="2"/>
        <v>0.80259724893457385</v>
      </c>
      <c r="V19" s="82">
        <f t="shared" si="5"/>
        <v>100</v>
      </c>
      <c r="W19" s="108">
        <f>SUM(F19:Q19)</f>
        <v>100</v>
      </c>
    </row>
    <row r="20" spans="1:23" ht="13.5" thickBot="1">
      <c r="A20" s="108"/>
      <c r="B20" s="156"/>
      <c r="C20" s="157"/>
      <c r="D20" s="157"/>
      <c r="E20" s="157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213"/>
      <c r="T20" s="1214"/>
    </row>
    <row r="21" spans="1:23" ht="14.25" thickTop="1" thickBot="1">
      <c r="A21" s="108"/>
      <c r="B21" s="159"/>
      <c r="C21" s="160"/>
      <c r="D21" s="160" t="s">
        <v>645</v>
      </c>
      <c r="E21" s="161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215">
        <f>SUM(S9:S19)</f>
        <v>16924557.140000001</v>
      </c>
      <c r="T21" s="1216">
        <f>SUM(T9:T19)</f>
        <v>100</v>
      </c>
    </row>
    <row r="22" spans="1:23" ht="18.75" thickTop="1">
      <c r="A22" s="108"/>
      <c r="B22" s="163" t="s">
        <v>646</v>
      </c>
      <c r="C22" s="164"/>
      <c r="D22" s="164"/>
      <c r="E22" s="164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6"/>
    </row>
    <row r="23" spans="1:23" ht="13.5" thickBot="1">
      <c r="A23" s="108"/>
      <c r="B23" s="167" t="s">
        <v>641</v>
      </c>
      <c r="C23" s="168"/>
      <c r="D23" s="168"/>
      <c r="E23" s="168"/>
      <c r="F23" s="169" t="s">
        <v>647</v>
      </c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70"/>
      <c r="R23" s="133" t="s">
        <v>648</v>
      </c>
      <c r="S23" s="171" t="s">
        <v>468</v>
      </c>
      <c r="T23" s="172" t="s">
        <v>639</v>
      </c>
    </row>
    <row r="24" spans="1:23" ht="13.5" thickTop="1">
      <c r="A24" s="108"/>
      <c r="B24" s="173"/>
      <c r="C24" s="174"/>
      <c r="D24" s="175"/>
      <c r="E24" s="175"/>
      <c r="F24" s="176">
        <f t="shared" ref="F24:Q24" si="6">F6</f>
        <v>1</v>
      </c>
      <c r="G24" s="176">
        <f t="shared" si="6"/>
        <v>2</v>
      </c>
      <c r="H24" s="176">
        <f t="shared" si="6"/>
        <v>3</v>
      </c>
      <c r="I24" s="176">
        <f t="shared" si="6"/>
        <v>4</v>
      </c>
      <c r="J24" s="176">
        <f t="shared" si="6"/>
        <v>5</v>
      </c>
      <c r="K24" s="176">
        <f t="shared" si="6"/>
        <v>6</v>
      </c>
      <c r="L24" s="176">
        <f t="shared" si="6"/>
        <v>7</v>
      </c>
      <c r="M24" s="176">
        <f t="shared" si="6"/>
        <v>8</v>
      </c>
      <c r="N24" s="176">
        <f t="shared" si="6"/>
        <v>9</v>
      </c>
      <c r="O24" s="176">
        <f t="shared" si="6"/>
        <v>10</v>
      </c>
      <c r="P24" s="176">
        <f t="shared" si="6"/>
        <v>11</v>
      </c>
      <c r="Q24" s="177">
        <f t="shared" si="6"/>
        <v>12</v>
      </c>
      <c r="R24" s="178" t="s">
        <v>649</v>
      </c>
      <c r="S24" s="179" t="s">
        <v>641</v>
      </c>
      <c r="T24" s="180" t="s">
        <v>641</v>
      </c>
    </row>
    <row r="25" spans="1:23">
      <c r="A25" s="108"/>
      <c r="B25" s="181" t="s">
        <v>650</v>
      </c>
      <c r="C25" s="182" t="s">
        <v>432</v>
      </c>
      <c r="D25" s="183" t="s">
        <v>651</v>
      </c>
      <c r="E25" s="184" t="s">
        <v>652</v>
      </c>
      <c r="F25" s="1198">
        <f>((F9/100)*$S$9)*$T$2</f>
        <v>151356.24</v>
      </c>
      <c r="G25" s="1198">
        <f>((G9/100)*$S$9)*$T$2</f>
        <v>201808.32</v>
      </c>
      <c r="H25" s="1198">
        <f>((H9/100)*$S$9)*$T$2</f>
        <v>151356.24</v>
      </c>
      <c r="I25" s="1198">
        <f t="shared" ref="I25:Q25" si="7">((I9/100)*$S$9)*$T$2</f>
        <v>0</v>
      </c>
      <c r="J25" s="1198">
        <f t="shared" si="7"/>
        <v>0</v>
      </c>
      <c r="K25" s="1198">
        <f t="shared" si="7"/>
        <v>0</v>
      </c>
      <c r="L25" s="1198">
        <f t="shared" si="7"/>
        <v>0</v>
      </c>
      <c r="M25" s="1198">
        <f t="shared" si="7"/>
        <v>0</v>
      </c>
      <c r="N25" s="1198">
        <f t="shared" si="7"/>
        <v>0</v>
      </c>
      <c r="O25" s="1198">
        <f t="shared" si="7"/>
        <v>0</v>
      </c>
      <c r="P25" s="1198">
        <f t="shared" si="7"/>
        <v>0</v>
      </c>
      <c r="Q25" s="1199">
        <f t="shared" si="7"/>
        <v>0</v>
      </c>
      <c r="R25" s="185">
        <f>COUNTIF(F25:Q25,"&gt;0")</f>
        <v>3</v>
      </c>
      <c r="S25" s="1204">
        <f t="shared" ref="S25:S46" si="8">SUM(F25:Q25)</f>
        <v>504520.8</v>
      </c>
      <c r="T25" s="186">
        <f t="shared" ref="T25:T46" si="9">IF($S$51=0,0,(S25/$S$51))</f>
        <v>2.9809985326446176E-2</v>
      </c>
    </row>
    <row r="26" spans="1:23">
      <c r="A26" s="108"/>
      <c r="B26" s="181" t="s">
        <v>653</v>
      </c>
      <c r="C26" s="187"/>
      <c r="D26" s="183" t="s">
        <v>654</v>
      </c>
      <c r="E26" s="184" t="s">
        <v>652</v>
      </c>
      <c r="F26" s="1198">
        <f>((F9/100)*$S$9)*T3</f>
        <v>0</v>
      </c>
      <c r="G26" s="1198">
        <f t="shared" ref="G26:Q26" si="10">((G9/100)*$S$9)*$T$3</f>
        <v>0</v>
      </c>
      <c r="H26" s="1198">
        <f t="shared" si="10"/>
        <v>0</v>
      </c>
      <c r="I26" s="1198">
        <f t="shared" si="10"/>
        <v>0</v>
      </c>
      <c r="J26" s="1198">
        <f t="shared" si="10"/>
        <v>0</v>
      </c>
      <c r="K26" s="1198">
        <f t="shared" si="10"/>
        <v>0</v>
      </c>
      <c r="L26" s="1198">
        <f t="shared" si="10"/>
        <v>0</v>
      </c>
      <c r="M26" s="1198">
        <f t="shared" si="10"/>
        <v>0</v>
      </c>
      <c r="N26" s="1198">
        <f t="shared" si="10"/>
        <v>0</v>
      </c>
      <c r="O26" s="1198">
        <f t="shared" si="10"/>
        <v>0</v>
      </c>
      <c r="P26" s="1198">
        <f t="shared" si="10"/>
        <v>0</v>
      </c>
      <c r="Q26" s="1199">
        <f t="shared" si="10"/>
        <v>0</v>
      </c>
      <c r="R26" s="188">
        <f t="shared" ref="R26:R46" si="11">COUNTIF(F26:Q26,"&gt;0")</f>
        <v>0</v>
      </c>
      <c r="S26" s="1204">
        <f t="shared" si="8"/>
        <v>0</v>
      </c>
      <c r="T26" s="186">
        <f t="shared" si="9"/>
        <v>0</v>
      </c>
      <c r="U26" s="189"/>
    </row>
    <row r="27" spans="1:23">
      <c r="A27" s="108"/>
      <c r="B27" s="181" t="s">
        <v>655</v>
      </c>
      <c r="C27" s="190" t="s">
        <v>428</v>
      </c>
      <c r="D27" s="184" t="s">
        <v>651</v>
      </c>
      <c r="E27" s="184" t="s">
        <v>652</v>
      </c>
      <c r="F27" s="1198">
        <f t="shared" ref="F27:Q27" si="12">((F10/100)*$S$10)*$T$2</f>
        <v>155061.174</v>
      </c>
      <c r="G27" s="1198">
        <f t="shared" si="12"/>
        <v>155061.174</v>
      </c>
      <c r="H27" s="1198">
        <f t="shared" si="12"/>
        <v>155061.174</v>
      </c>
      <c r="I27" s="1198">
        <f t="shared" si="12"/>
        <v>51687.058000000005</v>
      </c>
      <c r="J27" s="1198">
        <f t="shared" si="12"/>
        <v>0</v>
      </c>
      <c r="K27" s="1198">
        <f t="shared" si="12"/>
        <v>0</v>
      </c>
      <c r="L27" s="1198">
        <f t="shared" si="12"/>
        <v>0</v>
      </c>
      <c r="M27" s="1198">
        <f t="shared" si="12"/>
        <v>0</v>
      </c>
      <c r="N27" s="1198">
        <f t="shared" si="12"/>
        <v>0</v>
      </c>
      <c r="O27" s="1198">
        <f t="shared" si="12"/>
        <v>0</v>
      </c>
      <c r="P27" s="1198">
        <f t="shared" si="12"/>
        <v>0</v>
      </c>
      <c r="Q27" s="1199">
        <f t="shared" si="12"/>
        <v>0</v>
      </c>
      <c r="R27" s="188">
        <f t="shared" si="11"/>
        <v>4</v>
      </c>
      <c r="S27" s="1204">
        <f t="shared" si="8"/>
        <v>516870.58</v>
      </c>
      <c r="T27" s="186">
        <f t="shared" si="9"/>
        <v>3.0539681229142041E-2</v>
      </c>
    </row>
    <row r="28" spans="1:23">
      <c r="A28" s="108"/>
      <c r="B28" s="181" t="s">
        <v>656</v>
      </c>
      <c r="C28" s="191"/>
      <c r="D28" s="184" t="s">
        <v>654</v>
      </c>
      <c r="E28" s="184" t="s">
        <v>652</v>
      </c>
      <c r="F28" s="1198">
        <f t="shared" ref="F28:Q28" si="13">((F10/100)*$S$10)*$T$3</f>
        <v>0</v>
      </c>
      <c r="G28" s="1198">
        <f t="shared" si="13"/>
        <v>0</v>
      </c>
      <c r="H28" s="1198">
        <f t="shared" si="13"/>
        <v>0</v>
      </c>
      <c r="I28" s="1198">
        <f t="shared" si="13"/>
        <v>0</v>
      </c>
      <c r="J28" s="1198">
        <f t="shared" si="13"/>
        <v>0</v>
      </c>
      <c r="K28" s="1198">
        <f t="shared" si="13"/>
        <v>0</v>
      </c>
      <c r="L28" s="1198">
        <f t="shared" si="13"/>
        <v>0</v>
      </c>
      <c r="M28" s="1198">
        <f t="shared" si="13"/>
        <v>0</v>
      </c>
      <c r="N28" s="1198">
        <f t="shared" si="13"/>
        <v>0</v>
      </c>
      <c r="O28" s="1198">
        <f t="shared" si="13"/>
        <v>0</v>
      </c>
      <c r="P28" s="1198">
        <f t="shared" si="13"/>
        <v>0</v>
      </c>
      <c r="Q28" s="1199">
        <f t="shared" si="13"/>
        <v>0</v>
      </c>
      <c r="R28" s="188">
        <f t="shared" si="11"/>
        <v>0</v>
      </c>
      <c r="S28" s="1204">
        <f t="shared" si="8"/>
        <v>0</v>
      </c>
      <c r="T28" s="186">
        <f t="shared" si="9"/>
        <v>0</v>
      </c>
      <c r="U28" s="189"/>
    </row>
    <row r="29" spans="1:23">
      <c r="A29" s="108"/>
      <c r="B29" s="181" t="s">
        <v>657</v>
      </c>
      <c r="C29" s="190" t="s">
        <v>434</v>
      </c>
      <c r="D29" s="184" t="s">
        <v>651</v>
      </c>
      <c r="E29" s="184" t="s">
        <v>652</v>
      </c>
      <c r="F29" s="1198">
        <f t="shared" ref="F29:Q29" si="14">((F11/100)*$S$11)*$T$2</f>
        <v>0</v>
      </c>
      <c r="G29" s="1198">
        <f t="shared" si="14"/>
        <v>310310.68</v>
      </c>
      <c r="H29" s="1198">
        <f t="shared" si="14"/>
        <v>310310.68</v>
      </c>
      <c r="I29" s="1198">
        <f t="shared" si="14"/>
        <v>310310.68</v>
      </c>
      <c r="J29" s="1198">
        <f t="shared" si="14"/>
        <v>310310.68</v>
      </c>
      <c r="K29" s="1198">
        <f t="shared" si="14"/>
        <v>0</v>
      </c>
      <c r="L29" s="1198">
        <f t="shared" si="14"/>
        <v>0</v>
      </c>
      <c r="M29" s="1198">
        <f t="shared" si="14"/>
        <v>0</v>
      </c>
      <c r="N29" s="1198">
        <f t="shared" si="14"/>
        <v>0</v>
      </c>
      <c r="O29" s="1198">
        <f t="shared" si="14"/>
        <v>0</v>
      </c>
      <c r="P29" s="1198">
        <f t="shared" si="14"/>
        <v>0</v>
      </c>
      <c r="Q29" s="1199">
        <f t="shared" si="14"/>
        <v>0</v>
      </c>
      <c r="R29" s="188">
        <f t="shared" si="11"/>
        <v>4</v>
      </c>
      <c r="S29" s="1204">
        <f t="shared" si="8"/>
        <v>1241242.72</v>
      </c>
      <c r="T29" s="186">
        <f t="shared" si="9"/>
        <v>7.3339745893049688E-2</v>
      </c>
    </row>
    <row r="30" spans="1:23">
      <c r="A30" s="108"/>
      <c r="B30" s="181" t="s">
        <v>658</v>
      </c>
      <c r="C30" s="191"/>
      <c r="D30" s="184" t="s">
        <v>654</v>
      </c>
      <c r="E30" s="184" t="s">
        <v>652</v>
      </c>
      <c r="F30" s="1198">
        <f t="shared" ref="F30:Q30" si="15">((F11/100)*$S$11)*$T$3</f>
        <v>0</v>
      </c>
      <c r="G30" s="1198">
        <f t="shared" si="15"/>
        <v>0</v>
      </c>
      <c r="H30" s="1198">
        <f t="shared" si="15"/>
        <v>0</v>
      </c>
      <c r="I30" s="1198">
        <f t="shared" si="15"/>
        <v>0</v>
      </c>
      <c r="J30" s="1198">
        <f t="shared" si="15"/>
        <v>0</v>
      </c>
      <c r="K30" s="1198">
        <f t="shared" si="15"/>
        <v>0</v>
      </c>
      <c r="L30" s="1198">
        <f t="shared" si="15"/>
        <v>0</v>
      </c>
      <c r="M30" s="1198">
        <f t="shared" si="15"/>
        <v>0</v>
      </c>
      <c r="N30" s="1198">
        <f t="shared" si="15"/>
        <v>0</v>
      </c>
      <c r="O30" s="1198">
        <f t="shared" si="15"/>
        <v>0</v>
      </c>
      <c r="P30" s="1198">
        <f t="shared" si="15"/>
        <v>0</v>
      </c>
      <c r="Q30" s="1199">
        <f t="shared" si="15"/>
        <v>0</v>
      </c>
      <c r="R30" s="188">
        <f t="shared" si="11"/>
        <v>0</v>
      </c>
      <c r="S30" s="1204">
        <f t="shared" si="8"/>
        <v>0</v>
      </c>
      <c r="T30" s="186">
        <f t="shared" si="9"/>
        <v>0</v>
      </c>
      <c r="U30" s="189"/>
    </row>
    <row r="31" spans="1:23">
      <c r="A31" s="108"/>
      <c r="B31" s="181" t="s">
        <v>659</v>
      </c>
      <c r="C31" s="190" t="s">
        <v>429</v>
      </c>
      <c r="D31" s="184" t="s">
        <v>651</v>
      </c>
      <c r="E31" s="184" t="s">
        <v>652</v>
      </c>
      <c r="F31" s="1198">
        <f>((F12/100)*$S$12)*T2</f>
        <v>0</v>
      </c>
      <c r="G31" s="1198">
        <f t="shared" ref="G31:Q31" si="16">((G12/100)*$S$12)*$T$2</f>
        <v>0</v>
      </c>
      <c r="H31" s="1198">
        <f>((H12/100)*$S$12)*$T$2</f>
        <v>0</v>
      </c>
      <c r="I31" s="1198">
        <f t="shared" si="16"/>
        <v>1899987.6900000002</v>
      </c>
      <c r="J31" s="1198">
        <f t="shared" si="16"/>
        <v>1899987.6900000002</v>
      </c>
      <c r="K31" s="1198">
        <f t="shared" si="16"/>
        <v>1899987.6900000002</v>
      </c>
      <c r="L31" s="1198">
        <f t="shared" si="16"/>
        <v>1899987.6900000002</v>
      </c>
      <c r="M31" s="1198">
        <f t="shared" si="16"/>
        <v>1266658.4600000002</v>
      </c>
      <c r="N31" s="1198">
        <f t="shared" si="16"/>
        <v>1266658.4600000002</v>
      </c>
      <c r="O31" s="1198">
        <f t="shared" si="16"/>
        <v>1266658.4600000002</v>
      </c>
      <c r="P31" s="1198">
        <f t="shared" si="16"/>
        <v>1266658.4600000002</v>
      </c>
      <c r="Q31" s="1199">
        <f t="shared" si="16"/>
        <v>0</v>
      </c>
      <c r="R31" s="188">
        <f t="shared" si="11"/>
        <v>8</v>
      </c>
      <c r="S31" s="1204">
        <f t="shared" si="8"/>
        <v>12666584.600000003</v>
      </c>
      <c r="T31" s="186">
        <f t="shared" si="9"/>
        <v>0.74841453724442919</v>
      </c>
    </row>
    <row r="32" spans="1:23">
      <c r="A32" s="108"/>
      <c r="B32" s="181" t="s">
        <v>660</v>
      </c>
      <c r="C32" s="191"/>
      <c r="D32" s="184" t="s">
        <v>654</v>
      </c>
      <c r="E32" s="184" t="s">
        <v>652</v>
      </c>
      <c r="F32" s="1198">
        <f t="shared" ref="F32:Q32" si="17">((F12/100)*$S$12)*$T$3</f>
        <v>0</v>
      </c>
      <c r="G32" s="1198">
        <f t="shared" si="17"/>
        <v>0</v>
      </c>
      <c r="H32" s="1198">
        <f t="shared" si="17"/>
        <v>0</v>
      </c>
      <c r="I32" s="1198">
        <f t="shared" si="17"/>
        <v>0</v>
      </c>
      <c r="J32" s="1198">
        <f t="shared" si="17"/>
        <v>0</v>
      </c>
      <c r="K32" s="1198">
        <f t="shared" si="17"/>
        <v>0</v>
      </c>
      <c r="L32" s="1198">
        <f t="shared" si="17"/>
        <v>0</v>
      </c>
      <c r="M32" s="1198">
        <f t="shared" si="17"/>
        <v>0</v>
      </c>
      <c r="N32" s="1198">
        <f t="shared" si="17"/>
        <v>0</v>
      </c>
      <c r="O32" s="1198">
        <f t="shared" si="17"/>
        <v>0</v>
      </c>
      <c r="P32" s="1198">
        <f t="shared" si="17"/>
        <v>0</v>
      </c>
      <c r="Q32" s="1199">
        <f t="shared" si="17"/>
        <v>0</v>
      </c>
      <c r="R32" s="188">
        <f t="shared" si="11"/>
        <v>0</v>
      </c>
      <c r="S32" s="1204">
        <f t="shared" si="8"/>
        <v>0</v>
      </c>
      <c r="T32" s="186">
        <f t="shared" si="9"/>
        <v>0</v>
      </c>
      <c r="U32" s="189"/>
    </row>
    <row r="33" spans="1:21" hidden="1">
      <c r="A33" s="108"/>
      <c r="B33" s="181" t="s">
        <v>661</v>
      </c>
      <c r="C33" s="190" t="s">
        <v>430</v>
      </c>
      <c r="D33" s="184" t="s">
        <v>651</v>
      </c>
      <c r="E33" s="184" t="s">
        <v>652</v>
      </c>
      <c r="F33" s="1198">
        <f t="shared" ref="F33:Q33" si="18">((F13/100)*$S$13)*$T$2</f>
        <v>0</v>
      </c>
      <c r="G33" s="1198">
        <f t="shared" si="18"/>
        <v>0</v>
      </c>
      <c r="H33" s="1198">
        <f t="shared" si="18"/>
        <v>0</v>
      </c>
      <c r="I33" s="1198">
        <f t="shared" si="18"/>
        <v>0</v>
      </c>
      <c r="J33" s="1198">
        <f t="shared" si="18"/>
        <v>0</v>
      </c>
      <c r="K33" s="1198">
        <f t="shared" si="18"/>
        <v>0</v>
      </c>
      <c r="L33" s="1198">
        <f t="shared" si="18"/>
        <v>0</v>
      </c>
      <c r="M33" s="1198">
        <f t="shared" si="18"/>
        <v>0</v>
      </c>
      <c r="N33" s="1198">
        <f t="shared" si="18"/>
        <v>0</v>
      </c>
      <c r="O33" s="1198">
        <f t="shared" si="18"/>
        <v>0</v>
      </c>
      <c r="P33" s="1198">
        <f t="shared" si="18"/>
        <v>0</v>
      </c>
      <c r="Q33" s="1199">
        <f t="shared" si="18"/>
        <v>0</v>
      </c>
      <c r="R33" s="188">
        <f t="shared" si="11"/>
        <v>0</v>
      </c>
      <c r="S33" s="1204">
        <f t="shared" si="8"/>
        <v>0</v>
      </c>
      <c r="T33" s="186">
        <f t="shared" si="9"/>
        <v>0</v>
      </c>
    </row>
    <row r="34" spans="1:21" hidden="1">
      <c r="A34" s="108"/>
      <c r="B34" s="181" t="s">
        <v>662</v>
      </c>
      <c r="C34" s="191"/>
      <c r="D34" s="184" t="s">
        <v>654</v>
      </c>
      <c r="E34" s="184" t="s">
        <v>652</v>
      </c>
      <c r="F34" s="1198">
        <f t="shared" ref="F34:Q34" si="19">((F13/100)*$S$13)*$T$3</f>
        <v>0</v>
      </c>
      <c r="G34" s="1198">
        <f t="shared" si="19"/>
        <v>0</v>
      </c>
      <c r="H34" s="1198">
        <f t="shared" si="19"/>
        <v>0</v>
      </c>
      <c r="I34" s="1198">
        <f t="shared" si="19"/>
        <v>0</v>
      </c>
      <c r="J34" s="1198">
        <f t="shared" si="19"/>
        <v>0</v>
      </c>
      <c r="K34" s="1198">
        <f t="shared" si="19"/>
        <v>0</v>
      </c>
      <c r="L34" s="1198">
        <f t="shared" si="19"/>
        <v>0</v>
      </c>
      <c r="M34" s="1198">
        <f t="shared" si="19"/>
        <v>0</v>
      </c>
      <c r="N34" s="1198">
        <f t="shared" si="19"/>
        <v>0</v>
      </c>
      <c r="O34" s="1198">
        <f t="shared" si="19"/>
        <v>0</v>
      </c>
      <c r="P34" s="1198">
        <f t="shared" si="19"/>
        <v>0</v>
      </c>
      <c r="Q34" s="1199">
        <f t="shared" si="19"/>
        <v>0</v>
      </c>
      <c r="R34" s="188">
        <f t="shared" si="11"/>
        <v>0</v>
      </c>
      <c r="S34" s="1204">
        <f t="shared" si="8"/>
        <v>0</v>
      </c>
      <c r="T34" s="186">
        <f t="shared" si="9"/>
        <v>0</v>
      </c>
      <c r="U34" s="189"/>
    </row>
    <row r="35" spans="1:21" hidden="1">
      <c r="A35" s="108"/>
      <c r="B35" s="181" t="s">
        <v>663</v>
      </c>
      <c r="C35" s="190" t="s">
        <v>569</v>
      </c>
      <c r="D35" s="184" t="s">
        <v>651</v>
      </c>
      <c r="E35" s="184" t="s">
        <v>652</v>
      </c>
      <c r="F35" s="1198">
        <f t="shared" ref="F35:Q35" si="20">((F14/100)*$S$14)*$T$2</f>
        <v>0</v>
      </c>
      <c r="G35" s="1198">
        <f t="shared" si="20"/>
        <v>0</v>
      </c>
      <c r="H35" s="1198">
        <f t="shared" si="20"/>
        <v>0</v>
      </c>
      <c r="I35" s="1198">
        <f t="shared" si="20"/>
        <v>0</v>
      </c>
      <c r="J35" s="1198">
        <f t="shared" si="20"/>
        <v>0</v>
      </c>
      <c r="K35" s="1198">
        <f t="shared" si="20"/>
        <v>0</v>
      </c>
      <c r="L35" s="1198">
        <f t="shared" si="20"/>
        <v>0</v>
      </c>
      <c r="M35" s="1198">
        <f t="shared" si="20"/>
        <v>0</v>
      </c>
      <c r="N35" s="1198">
        <f t="shared" si="20"/>
        <v>0</v>
      </c>
      <c r="O35" s="1198">
        <f t="shared" si="20"/>
        <v>0</v>
      </c>
      <c r="P35" s="1198">
        <f t="shared" si="20"/>
        <v>0</v>
      </c>
      <c r="Q35" s="1199">
        <f t="shared" si="20"/>
        <v>0</v>
      </c>
      <c r="R35" s="188">
        <f t="shared" si="11"/>
        <v>0</v>
      </c>
      <c r="S35" s="1204">
        <f t="shared" si="8"/>
        <v>0</v>
      </c>
      <c r="T35" s="186">
        <f t="shared" si="9"/>
        <v>0</v>
      </c>
    </row>
    <row r="36" spans="1:21" hidden="1">
      <c r="A36" s="108"/>
      <c r="B36" s="181" t="s">
        <v>664</v>
      </c>
      <c r="C36" s="191"/>
      <c r="D36" s="184" t="s">
        <v>654</v>
      </c>
      <c r="E36" s="184" t="s">
        <v>652</v>
      </c>
      <c r="F36" s="1198">
        <f t="shared" ref="F36:Q36" si="21">((F14/100)*$S$14)*$T$3</f>
        <v>0</v>
      </c>
      <c r="G36" s="1198">
        <f t="shared" si="21"/>
        <v>0</v>
      </c>
      <c r="H36" s="1198">
        <f t="shared" si="21"/>
        <v>0</v>
      </c>
      <c r="I36" s="1198">
        <f t="shared" si="21"/>
        <v>0</v>
      </c>
      <c r="J36" s="1198">
        <f t="shared" si="21"/>
        <v>0</v>
      </c>
      <c r="K36" s="1198">
        <f t="shared" si="21"/>
        <v>0</v>
      </c>
      <c r="L36" s="1198">
        <f t="shared" si="21"/>
        <v>0</v>
      </c>
      <c r="M36" s="1198">
        <f t="shared" si="21"/>
        <v>0</v>
      </c>
      <c r="N36" s="1198">
        <f t="shared" si="21"/>
        <v>0</v>
      </c>
      <c r="O36" s="1198">
        <f t="shared" si="21"/>
        <v>0</v>
      </c>
      <c r="P36" s="1198">
        <f t="shared" si="21"/>
        <v>0</v>
      </c>
      <c r="Q36" s="1199">
        <f t="shared" si="21"/>
        <v>0</v>
      </c>
      <c r="R36" s="188">
        <f t="shared" si="11"/>
        <v>0</v>
      </c>
      <c r="S36" s="1204">
        <f t="shared" si="8"/>
        <v>0</v>
      </c>
      <c r="T36" s="186">
        <f t="shared" si="9"/>
        <v>0</v>
      </c>
      <c r="U36" s="189"/>
    </row>
    <row r="37" spans="1:21">
      <c r="A37" s="108"/>
      <c r="B37" s="181" t="s">
        <v>665</v>
      </c>
      <c r="C37" s="190" t="s">
        <v>436</v>
      </c>
      <c r="D37" s="184" t="s">
        <v>651</v>
      </c>
      <c r="E37" s="184" t="s">
        <v>652</v>
      </c>
      <c r="F37" s="1198">
        <f t="shared" ref="F37:Q37" si="22">((F15/100)*$S$15)*$T$2</f>
        <v>0</v>
      </c>
      <c r="G37" s="1198">
        <f t="shared" si="22"/>
        <v>0</v>
      </c>
      <c r="H37" s="1198">
        <f t="shared" si="22"/>
        <v>0</v>
      </c>
      <c r="I37" s="1198">
        <f t="shared" si="22"/>
        <v>0</v>
      </c>
      <c r="J37" s="1198">
        <f t="shared" si="22"/>
        <v>0</v>
      </c>
      <c r="K37" s="1198">
        <f t="shared" si="22"/>
        <v>0</v>
      </c>
      <c r="L37" s="1198">
        <f t="shared" si="22"/>
        <v>0</v>
      </c>
      <c r="M37" s="1198">
        <f t="shared" si="22"/>
        <v>0</v>
      </c>
      <c r="N37" s="1198">
        <f t="shared" si="22"/>
        <v>0</v>
      </c>
      <c r="O37" s="1198">
        <f t="shared" si="22"/>
        <v>0</v>
      </c>
      <c r="P37" s="1198">
        <f t="shared" si="22"/>
        <v>366883.18</v>
      </c>
      <c r="Q37" s="1199">
        <f t="shared" si="22"/>
        <v>366883.18</v>
      </c>
      <c r="R37" s="188">
        <f t="shared" si="11"/>
        <v>2</v>
      </c>
      <c r="S37" s="1204">
        <f t="shared" si="8"/>
        <v>733766.36</v>
      </c>
      <c r="T37" s="186">
        <f t="shared" si="9"/>
        <v>4.3355129113883555E-2</v>
      </c>
    </row>
    <row r="38" spans="1:21">
      <c r="A38" s="108"/>
      <c r="B38" s="181" t="s">
        <v>666</v>
      </c>
      <c r="C38" s="191"/>
      <c r="D38" s="184" t="s">
        <v>654</v>
      </c>
      <c r="E38" s="184" t="s">
        <v>652</v>
      </c>
      <c r="F38" s="1198">
        <f t="shared" ref="F38:Q38" si="23">((F15/100)*$S$15)*$T$3</f>
        <v>0</v>
      </c>
      <c r="G38" s="1198">
        <f t="shared" si="23"/>
        <v>0</v>
      </c>
      <c r="H38" s="1198">
        <f t="shared" si="23"/>
        <v>0</v>
      </c>
      <c r="I38" s="1198">
        <f t="shared" si="23"/>
        <v>0</v>
      </c>
      <c r="J38" s="1198">
        <f t="shared" si="23"/>
        <v>0</v>
      </c>
      <c r="K38" s="1198">
        <f t="shared" si="23"/>
        <v>0</v>
      </c>
      <c r="L38" s="1198">
        <f t="shared" si="23"/>
        <v>0</v>
      </c>
      <c r="M38" s="1198">
        <f t="shared" si="23"/>
        <v>0</v>
      </c>
      <c r="N38" s="1198">
        <f t="shared" si="23"/>
        <v>0</v>
      </c>
      <c r="O38" s="1198">
        <f t="shared" si="23"/>
        <v>0</v>
      </c>
      <c r="P38" s="1198">
        <f t="shared" si="23"/>
        <v>0</v>
      </c>
      <c r="Q38" s="1199">
        <f t="shared" si="23"/>
        <v>0</v>
      </c>
      <c r="R38" s="188">
        <f t="shared" si="11"/>
        <v>0</v>
      </c>
      <c r="S38" s="1204">
        <f t="shared" si="8"/>
        <v>0</v>
      </c>
      <c r="T38" s="186">
        <f t="shared" si="9"/>
        <v>0</v>
      </c>
      <c r="U38" s="189"/>
    </row>
    <row r="39" spans="1:21" hidden="1">
      <c r="A39" s="108"/>
      <c r="B39" s="181" t="s">
        <v>667</v>
      </c>
      <c r="C39" s="190" t="s">
        <v>438</v>
      </c>
      <c r="D39" s="184" t="s">
        <v>651</v>
      </c>
      <c r="E39" s="184" t="s">
        <v>652</v>
      </c>
      <c r="F39" s="1198">
        <f t="shared" ref="F39:Q39" si="24">((F16/100)*$S$16)*$T$2</f>
        <v>0</v>
      </c>
      <c r="G39" s="1198">
        <f t="shared" si="24"/>
        <v>0</v>
      </c>
      <c r="H39" s="1198">
        <f t="shared" si="24"/>
        <v>0</v>
      </c>
      <c r="I39" s="1198">
        <f t="shared" si="24"/>
        <v>0</v>
      </c>
      <c r="J39" s="1198">
        <f t="shared" si="24"/>
        <v>0</v>
      </c>
      <c r="K39" s="1198">
        <f t="shared" si="24"/>
        <v>0</v>
      </c>
      <c r="L39" s="1198">
        <f t="shared" si="24"/>
        <v>0</v>
      </c>
      <c r="M39" s="1198">
        <f t="shared" si="24"/>
        <v>0</v>
      </c>
      <c r="N39" s="1198">
        <f t="shared" si="24"/>
        <v>0</v>
      </c>
      <c r="O39" s="1198">
        <f t="shared" si="24"/>
        <v>0</v>
      </c>
      <c r="P39" s="1198">
        <f t="shared" si="24"/>
        <v>0</v>
      </c>
      <c r="Q39" s="1199">
        <f t="shared" si="24"/>
        <v>0</v>
      </c>
      <c r="R39" s="188">
        <f t="shared" si="11"/>
        <v>0</v>
      </c>
      <c r="S39" s="1204">
        <f t="shared" si="8"/>
        <v>0</v>
      </c>
      <c r="T39" s="186">
        <f t="shared" si="9"/>
        <v>0</v>
      </c>
    </row>
    <row r="40" spans="1:21" hidden="1">
      <c r="A40" s="108"/>
      <c r="B40" s="181" t="s">
        <v>668</v>
      </c>
      <c r="C40" s="191"/>
      <c r="D40" s="184" t="s">
        <v>654</v>
      </c>
      <c r="E40" s="184" t="s">
        <v>652</v>
      </c>
      <c r="F40" s="1198">
        <f t="shared" ref="F40:Q40" si="25">((F16/100)*$S$16)*$T$3</f>
        <v>0</v>
      </c>
      <c r="G40" s="1198">
        <f t="shared" si="25"/>
        <v>0</v>
      </c>
      <c r="H40" s="1198">
        <f t="shared" si="25"/>
        <v>0</v>
      </c>
      <c r="I40" s="1198">
        <f t="shared" si="25"/>
        <v>0</v>
      </c>
      <c r="J40" s="1198">
        <f t="shared" si="25"/>
        <v>0</v>
      </c>
      <c r="K40" s="1198">
        <f t="shared" si="25"/>
        <v>0</v>
      </c>
      <c r="L40" s="1198">
        <f t="shared" si="25"/>
        <v>0</v>
      </c>
      <c r="M40" s="1198">
        <f t="shared" si="25"/>
        <v>0</v>
      </c>
      <c r="N40" s="1198">
        <f t="shared" si="25"/>
        <v>0</v>
      </c>
      <c r="O40" s="1198">
        <f t="shared" si="25"/>
        <v>0</v>
      </c>
      <c r="P40" s="1198">
        <f t="shared" si="25"/>
        <v>0</v>
      </c>
      <c r="Q40" s="1199">
        <f t="shared" si="25"/>
        <v>0</v>
      </c>
      <c r="R40" s="188">
        <f t="shared" si="11"/>
        <v>0</v>
      </c>
      <c r="S40" s="1204">
        <f t="shared" si="8"/>
        <v>0</v>
      </c>
      <c r="T40" s="186">
        <f t="shared" si="9"/>
        <v>0</v>
      </c>
      <c r="U40" s="189"/>
    </row>
    <row r="41" spans="1:21">
      <c r="A41" s="108"/>
      <c r="B41" s="181" t="s">
        <v>669</v>
      </c>
      <c r="C41" s="190" t="s">
        <v>440</v>
      </c>
      <c r="D41" s="184" t="s">
        <v>651</v>
      </c>
      <c r="E41" s="184" t="s">
        <v>652</v>
      </c>
      <c r="F41" s="1198">
        <f t="shared" ref="F41:Q41" si="26">((F17/100)*$S$17)*$T$2</f>
        <v>13026.960000000001</v>
      </c>
      <c r="G41" s="1198">
        <f t="shared" si="26"/>
        <v>9770.2199999999993</v>
      </c>
      <c r="H41" s="1198">
        <f t="shared" si="26"/>
        <v>9770.2199999999993</v>
      </c>
      <c r="I41" s="1198">
        <f t="shared" si="26"/>
        <v>0</v>
      </c>
      <c r="J41" s="1198">
        <f t="shared" si="26"/>
        <v>0</v>
      </c>
      <c r="K41" s="1198">
        <f t="shared" si="26"/>
        <v>0</v>
      </c>
      <c r="L41" s="1198">
        <f t="shared" si="26"/>
        <v>0</v>
      </c>
      <c r="M41" s="1198">
        <f t="shared" si="26"/>
        <v>0</v>
      </c>
      <c r="N41" s="1198">
        <f t="shared" si="26"/>
        <v>0</v>
      </c>
      <c r="O41" s="1198">
        <f t="shared" si="26"/>
        <v>0</v>
      </c>
      <c r="P41" s="1198">
        <f t="shared" si="26"/>
        <v>0</v>
      </c>
      <c r="Q41" s="1199">
        <f t="shared" si="26"/>
        <v>0</v>
      </c>
      <c r="R41" s="188">
        <f t="shared" si="11"/>
        <v>3</v>
      </c>
      <c r="S41" s="1204">
        <f t="shared" si="8"/>
        <v>32567.4</v>
      </c>
      <c r="T41" s="186">
        <f t="shared" si="9"/>
        <v>1.9242689619942395E-3</v>
      </c>
    </row>
    <row r="42" spans="1:21">
      <c r="A42" s="108"/>
      <c r="B42" s="181" t="s">
        <v>670</v>
      </c>
      <c r="C42" s="191"/>
      <c r="D42" s="184" t="s">
        <v>654</v>
      </c>
      <c r="E42" s="184" t="s">
        <v>652</v>
      </c>
      <c r="F42" s="1198">
        <f t="shared" ref="F42:Q42" si="27">((F17/100)*$S$17)*$T$3</f>
        <v>0</v>
      </c>
      <c r="G42" s="1198">
        <f t="shared" si="27"/>
        <v>0</v>
      </c>
      <c r="H42" s="1198">
        <f t="shared" si="27"/>
        <v>0</v>
      </c>
      <c r="I42" s="1198">
        <f t="shared" si="27"/>
        <v>0</v>
      </c>
      <c r="J42" s="1198">
        <f t="shared" si="27"/>
        <v>0</v>
      </c>
      <c r="K42" s="1198">
        <f t="shared" si="27"/>
        <v>0</v>
      </c>
      <c r="L42" s="1198">
        <f t="shared" si="27"/>
        <v>0</v>
      </c>
      <c r="M42" s="1198">
        <f t="shared" si="27"/>
        <v>0</v>
      </c>
      <c r="N42" s="1198">
        <f t="shared" si="27"/>
        <v>0</v>
      </c>
      <c r="O42" s="1198">
        <f t="shared" si="27"/>
        <v>0</v>
      </c>
      <c r="P42" s="1198">
        <f t="shared" si="27"/>
        <v>0</v>
      </c>
      <c r="Q42" s="1199">
        <f t="shared" si="27"/>
        <v>0</v>
      </c>
      <c r="R42" s="188">
        <f t="shared" si="11"/>
        <v>0</v>
      </c>
      <c r="S42" s="1204">
        <f t="shared" si="8"/>
        <v>0</v>
      </c>
      <c r="T42" s="186">
        <f t="shared" si="9"/>
        <v>0</v>
      </c>
      <c r="U42" s="189"/>
    </row>
    <row r="43" spans="1:21">
      <c r="A43" s="108"/>
      <c r="B43" s="181" t="s">
        <v>671</v>
      </c>
      <c r="C43" s="190" t="s">
        <v>431</v>
      </c>
      <c r="D43" s="184" t="s">
        <v>651</v>
      </c>
      <c r="E43" s="184" t="s">
        <v>652</v>
      </c>
      <c r="F43" s="1198">
        <f t="shared" ref="F43:Q43" si="28">((F18/100)*$S$18)*$T$2</f>
        <v>273292.16249999998</v>
      </c>
      <c r="G43" s="1198">
        <f t="shared" si="28"/>
        <v>273292.16249999998</v>
      </c>
      <c r="H43" s="1198">
        <f t="shared" si="28"/>
        <v>273292.16249999998</v>
      </c>
      <c r="I43" s="1198">
        <f t="shared" si="28"/>
        <v>273292.16249999998</v>
      </c>
      <c r="J43" s="1198">
        <f t="shared" si="28"/>
        <v>0</v>
      </c>
      <c r="K43" s="1198">
        <f t="shared" si="28"/>
        <v>0</v>
      </c>
      <c r="L43" s="1198">
        <f t="shared" si="28"/>
        <v>0</v>
      </c>
      <c r="M43" s="1198">
        <f t="shared" si="28"/>
        <v>0</v>
      </c>
      <c r="N43" s="1198">
        <f t="shared" si="28"/>
        <v>0</v>
      </c>
      <c r="O43" s="1198">
        <f t="shared" si="28"/>
        <v>0</v>
      </c>
      <c r="P43" s="1198">
        <f t="shared" si="28"/>
        <v>0</v>
      </c>
      <c r="Q43" s="1199">
        <f t="shared" si="28"/>
        <v>0</v>
      </c>
      <c r="R43" s="188">
        <f t="shared" si="11"/>
        <v>4</v>
      </c>
      <c r="S43" s="1204">
        <f t="shared" si="8"/>
        <v>1093168.6499999999</v>
      </c>
      <c r="T43" s="186">
        <f t="shared" si="9"/>
        <v>6.4590679741709303E-2</v>
      </c>
    </row>
    <row r="44" spans="1:21">
      <c r="A44" s="108"/>
      <c r="B44" s="181" t="s">
        <v>672</v>
      </c>
      <c r="C44" s="191"/>
      <c r="D44" s="184" t="s">
        <v>654</v>
      </c>
      <c r="E44" s="184" t="s">
        <v>652</v>
      </c>
      <c r="F44" s="1198">
        <f t="shared" ref="F44:Q44" si="29">((F18/100)*$S$18)*$T$3</f>
        <v>0</v>
      </c>
      <c r="G44" s="1198">
        <f t="shared" si="29"/>
        <v>0</v>
      </c>
      <c r="H44" s="1198">
        <f t="shared" si="29"/>
        <v>0</v>
      </c>
      <c r="I44" s="1198">
        <f t="shared" si="29"/>
        <v>0</v>
      </c>
      <c r="J44" s="1198">
        <f t="shared" si="29"/>
        <v>0</v>
      </c>
      <c r="K44" s="1198">
        <f t="shared" si="29"/>
        <v>0</v>
      </c>
      <c r="L44" s="1198">
        <f t="shared" si="29"/>
        <v>0</v>
      </c>
      <c r="M44" s="1198">
        <f t="shared" si="29"/>
        <v>0</v>
      </c>
      <c r="N44" s="1198">
        <f t="shared" si="29"/>
        <v>0</v>
      </c>
      <c r="O44" s="1198">
        <f t="shared" si="29"/>
        <v>0</v>
      </c>
      <c r="P44" s="1198">
        <f t="shared" si="29"/>
        <v>0</v>
      </c>
      <c r="Q44" s="1199">
        <f t="shared" si="29"/>
        <v>0</v>
      </c>
      <c r="R44" s="188">
        <f t="shared" si="11"/>
        <v>0</v>
      </c>
      <c r="S44" s="1204">
        <f t="shared" si="8"/>
        <v>0</v>
      </c>
      <c r="T44" s="186">
        <f t="shared" si="9"/>
        <v>0</v>
      </c>
      <c r="U44" s="189"/>
    </row>
    <row r="45" spans="1:21">
      <c r="A45" s="108"/>
      <c r="B45" s="181" t="s">
        <v>673</v>
      </c>
      <c r="C45" s="190" t="s">
        <v>524</v>
      </c>
      <c r="D45" s="184" t="s">
        <v>651</v>
      </c>
      <c r="E45" s="184" t="s">
        <v>652</v>
      </c>
      <c r="F45" s="1198">
        <f t="shared" ref="F45:Q45" si="30">((F19/100)*$S$19)*$T$2</f>
        <v>0</v>
      </c>
      <c r="G45" s="1198">
        <f t="shared" si="30"/>
        <v>0</v>
      </c>
      <c r="H45" s="1198">
        <f t="shared" si="30"/>
        <v>0</v>
      </c>
      <c r="I45" s="1198">
        <f t="shared" si="30"/>
        <v>0</v>
      </c>
      <c r="J45" s="1198">
        <f t="shared" si="30"/>
        <v>16979.50375</v>
      </c>
      <c r="K45" s="1198">
        <f t="shared" si="30"/>
        <v>16979.50375</v>
      </c>
      <c r="L45" s="1198">
        <f t="shared" si="30"/>
        <v>16979.50375</v>
      </c>
      <c r="M45" s="1198">
        <f t="shared" si="30"/>
        <v>16979.50375</v>
      </c>
      <c r="N45" s="1198">
        <f t="shared" si="30"/>
        <v>16979.50375</v>
      </c>
      <c r="O45" s="1198">
        <f t="shared" si="30"/>
        <v>16979.50375</v>
      </c>
      <c r="P45" s="1198">
        <f t="shared" si="30"/>
        <v>16979.50375</v>
      </c>
      <c r="Q45" s="1199">
        <f t="shared" si="30"/>
        <v>16979.50375</v>
      </c>
      <c r="R45" s="188">
        <f t="shared" si="11"/>
        <v>8</v>
      </c>
      <c r="S45" s="1204">
        <f t="shared" si="8"/>
        <v>135836.03</v>
      </c>
      <c r="T45" s="186">
        <f t="shared" si="9"/>
        <v>8.0259724893457368E-3</v>
      </c>
    </row>
    <row r="46" spans="1:21">
      <c r="A46" s="108"/>
      <c r="B46" s="181" t="s">
        <v>674</v>
      </c>
      <c r="C46" s="191"/>
      <c r="D46" s="184" t="s">
        <v>654</v>
      </c>
      <c r="E46" s="184" t="s">
        <v>652</v>
      </c>
      <c r="F46" s="1198">
        <f t="shared" ref="F46:Q46" si="31">((F19/100)*$S$19)*$T$3</f>
        <v>0</v>
      </c>
      <c r="G46" s="1198">
        <f t="shared" si="31"/>
        <v>0</v>
      </c>
      <c r="H46" s="1198">
        <f t="shared" si="31"/>
        <v>0</v>
      </c>
      <c r="I46" s="1198">
        <f t="shared" si="31"/>
        <v>0</v>
      </c>
      <c r="J46" s="1198">
        <f t="shared" si="31"/>
        <v>0</v>
      </c>
      <c r="K46" s="1198">
        <f t="shared" si="31"/>
        <v>0</v>
      </c>
      <c r="L46" s="1198">
        <f t="shared" si="31"/>
        <v>0</v>
      </c>
      <c r="M46" s="1198">
        <f t="shared" si="31"/>
        <v>0</v>
      </c>
      <c r="N46" s="1198">
        <f t="shared" si="31"/>
        <v>0</v>
      </c>
      <c r="O46" s="1198">
        <f t="shared" si="31"/>
        <v>0</v>
      </c>
      <c r="P46" s="1198">
        <f t="shared" si="31"/>
        <v>0</v>
      </c>
      <c r="Q46" s="1199">
        <f t="shared" si="31"/>
        <v>0</v>
      </c>
      <c r="R46" s="188">
        <f t="shared" si="11"/>
        <v>0</v>
      </c>
      <c r="S46" s="1204">
        <f t="shared" si="8"/>
        <v>0</v>
      </c>
      <c r="T46" s="186">
        <f t="shared" si="9"/>
        <v>0</v>
      </c>
      <c r="U46" s="189"/>
    </row>
    <row r="47" spans="1:21">
      <c r="A47" s="108"/>
      <c r="B47" s="192"/>
      <c r="C47" s="193"/>
      <c r="D47" s="193"/>
      <c r="E47" s="193"/>
      <c r="F47" s="1200"/>
      <c r="G47" s="1200"/>
      <c r="H47" s="1200"/>
      <c r="I47" s="1200"/>
      <c r="J47" s="1200"/>
      <c r="K47" s="1200"/>
      <c r="L47" s="1200"/>
      <c r="M47" s="1200"/>
      <c r="N47" s="1200"/>
      <c r="O47" s="1200"/>
      <c r="P47" s="1200"/>
      <c r="Q47" s="1201"/>
      <c r="R47" s="194"/>
      <c r="S47" s="1200"/>
      <c r="T47" s="196"/>
    </row>
    <row r="48" spans="1:21">
      <c r="A48" s="108"/>
      <c r="B48" s="181" t="s">
        <v>675</v>
      </c>
      <c r="C48" s="190" t="s">
        <v>645</v>
      </c>
      <c r="D48" s="187" t="s">
        <v>651</v>
      </c>
      <c r="E48" s="187" t="s">
        <v>652</v>
      </c>
      <c r="F48" s="1202">
        <f t="shared" ref="F48:P48" si="32">SUM(F25:F46)</f>
        <v>592736.53649999993</v>
      </c>
      <c r="G48" s="1202">
        <f t="shared" si="32"/>
        <v>950242.55649999995</v>
      </c>
      <c r="H48" s="1202">
        <f t="shared" si="32"/>
        <v>899790.47649999999</v>
      </c>
      <c r="I48" s="1202">
        <f t="shared" si="32"/>
        <v>2535277.5905000004</v>
      </c>
      <c r="J48" s="1202">
        <f t="shared" si="32"/>
        <v>2227277.8737500003</v>
      </c>
      <c r="K48" s="1202">
        <f t="shared" si="32"/>
        <v>1916967.1937500001</v>
      </c>
      <c r="L48" s="1202">
        <f t="shared" si="32"/>
        <v>1916967.1937500001</v>
      </c>
      <c r="M48" s="1202">
        <f t="shared" si="32"/>
        <v>1283637.9637500001</v>
      </c>
      <c r="N48" s="1202">
        <f t="shared" si="32"/>
        <v>1283637.9637500001</v>
      </c>
      <c r="O48" s="1202">
        <f t="shared" si="32"/>
        <v>1283637.9637500001</v>
      </c>
      <c r="P48" s="1202">
        <f t="shared" si="32"/>
        <v>1650521.14375</v>
      </c>
      <c r="Q48" s="1203">
        <f t="shared" ref="Q48:T48" si="33">SUMIF($D$25:$D$46,"TESOURO",Q$25:Q$46)</f>
        <v>383862.68374999997</v>
      </c>
      <c r="R48" s="197"/>
      <c r="S48" s="1205">
        <f>SUM(S25:S45)</f>
        <v>16924557.140000004</v>
      </c>
      <c r="T48" s="198">
        <f t="shared" si="33"/>
        <v>1</v>
      </c>
    </row>
    <row r="49" spans="1:20">
      <c r="A49" s="108"/>
      <c r="B49" s="181" t="s">
        <v>676</v>
      </c>
      <c r="C49" s="191"/>
      <c r="D49" s="199" t="s">
        <v>654</v>
      </c>
      <c r="E49" s="199" t="s">
        <v>652</v>
      </c>
      <c r="F49" s="1202">
        <f t="shared" ref="F49:T49" si="34">SUMIF($D$25:$D$46,"CONTRAPARTIDA",F$25:F$46)</f>
        <v>0</v>
      </c>
      <c r="G49" s="1202">
        <f t="shared" si="34"/>
        <v>0</v>
      </c>
      <c r="H49" s="1202">
        <f t="shared" si="34"/>
        <v>0</v>
      </c>
      <c r="I49" s="1202">
        <f t="shared" si="34"/>
        <v>0</v>
      </c>
      <c r="J49" s="1202">
        <f t="shared" si="34"/>
        <v>0</v>
      </c>
      <c r="K49" s="1202">
        <f t="shared" si="34"/>
        <v>0</v>
      </c>
      <c r="L49" s="1202">
        <f t="shared" si="34"/>
        <v>0</v>
      </c>
      <c r="M49" s="1202">
        <f t="shared" si="34"/>
        <v>0</v>
      </c>
      <c r="N49" s="1202">
        <f t="shared" si="34"/>
        <v>0</v>
      </c>
      <c r="O49" s="1202">
        <f t="shared" si="34"/>
        <v>0</v>
      </c>
      <c r="P49" s="1202">
        <f t="shared" si="34"/>
        <v>0</v>
      </c>
      <c r="Q49" s="1203">
        <f t="shared" si="34"/>
        <v>0</v>
      </c>
      <c r="R49" s="200"/>
      <c r="S49" s="1205">
        <f t="shared" si="34"/>
        <v>0</v>
      </c>
      <c r="T49" s="198">
        <f t="shared" si="34"/>
        <v>0</v>
      </c>
    </row>
    <row r="50" spans="1:20">
      <c r="A50" s="108"/>
      <c r="B50" s="201"/>
      <c r="C50" s="193"/>
      <c r="D50" s="193"/>
      <c r="E50" s="193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5"/>
      <c r="R50" s="194"/>
      <c r="S50" s="1206"/>
      <c r="T50" s="202"/>
    </row>
    <row r="51" spans="1:20" ht="15" customHeight="1" thickBot="1">
      <c r="A51" s="108"/>
      <c r="B51" s="203" t="s">
        <v>677</v>
      </c>
      <c r="C51" s="204"/>
      <c r="D51" s="204"/>
      <c r="E51" s="205" t="s">
        <v>652</v>
      </c>
      <c r="F51" s="1208">
        <f t="shared" ref="F51:Q51" si="35">SUM(F48:F49)</f>
        <v>592736.53649999993</v>
      </c>
      <c r="G51" s="1208">
        <f t="shared" si="35"/>
        <v>950242.55649999995</v>
      </c>
      <c r="H51" s="1208">
        <f t="shared" si="35"/>
        <v>899790.47649999999</v>
      </c>
      <c r="I51" s="1208">
        <f t="shared" si="35"/>
        <v>2535277.5905000004</v>
      </c>
      <c r="J51" s="1208">
        <f t="shared" si="35"/>
        <v>2227277.8737500003</v>
      </c>
      <c r="K51" s="1208">
        <f t="shared" si="35"/>
        <v>1916967.1937500001</v>
      </c>
      <c r="L51" s="1209">
        <f t="shared" si="35"/>
        <v>1916967.1937500001</v>
      </c>
      <c r="M51" s="1209">
        <f t="shared" si="35"/>
        <v>1283637.9637500001</v>
      </c>
      <c r="N51" s="1209">
        <f t="shared" si="35"/>
        <v>1283637.9637500001</v>
      </c>
      <c r="O51" s="1209">
        <f t="shared" si="35"/>
        <v>1283637.9637500001</v>
      </c>
      <c r="P51" s="1209">
        <f t="shared" si="35"/>
        <v>1650521.14375</v>
      </c>
      <c r="Q51" s="1210">
        <f t="shared" si="35"/>
        <v>383862.68374999997</v>
      </c>
      <c r="R51" s="206"/>
      <c r="S51" s="1207">
        <f>SUM(F51:Q51)</f>
        <v>16924557.140000004</v>
      </c>
      <c r="T51" s="207">
        <f>SUM(T48:T49)</f>
        <v>1</v>
      </c>
    </row>
    <row r="52" spans="1:20" ht="15" customHeight="1" thickTop="1" thickBot="1">
      <c r="A52" s="108"/>
      <c r="B52" s="208" t="s">
        <v>678</v>
      </c>
      <c r="C52" s="209"/>
      <c r="D52" s="209"/>
      <c r="E52" s="210" t="s">
        <v>652</v>
      </c>
      <c r="F52" s="211">
        <f t="shared" ref="F52:Q52" si="36">IF($S$51=0,0,F51/$S$51)</f>
        <v>3.5022277486901482E-2</v>
      </c>
      <c r="G52" s="211">
        <f t="shared" si="36"/>
        <v>5.6145785596609099E-2</v>
      </c>
      <c r="H52" s="211">
        <f t="shared" si="36"/>
        <v>5.3164787063964485E-2</v>
      </c>
      <c r="I52" s="211">
        <f t="shared" si="36"/>
        <v>0.14979875511826832</v>
      </c>
      <c r="J52" s="211">
        <f t="shared" si="36"/>
        <v>0.13160036362109501</v>
      </c>
      <c r="K52" s="211">
        <f t="shared" si="36"/>
        <v>0.11326542714783257</v>
      </c>
      <c r="L52" s="211">
        <f t="shared" si="36"/>
        <v>0.11326542714783257</v>
      </c>
      <c r="M52" s="211">
        <f t="shared" si="36"/>
        <v>7.5844700285611119E-2</v>
      </c>
      <c r="N52" s="211">
        <f t="shared" si="36"/>
        <v>7.5844700285611119E-2</v>
      </c>
      <c r="O52" s="211">
        <f t="shared" si="36"/>
        <v>7.5844700285611119E-2</v>
      </c>
      <c r="P52" s="211">
        <f t="shared" si="36"/>
        <v>9.75222648425529E-2</v>
      </c>
      <c r="Q52" s="212">
        <f t="shared" si="36"/>
        <v>2.2680811118109993E-2</v>
      </c>
      <c r="R52" s="213"/>
      <c r="S52" s="1207">
        <f>S48+S49</f>
        <v>16924557.140000004</v>
      </c>
      <c r="T52" s="214">
        <f>SUM(F52:Q52)</f>
        <v>0.99999999999999978</v>
      </c>
    </row>
    <row r="53" spans="1:20" ht="15" customHeight="1" thickTop="1" thickBot="1">
      <c r="A53" s="108"/>
      <c r="B53" s="215" t="s">
        <v>679</v>
      </c>
      <c r="C53" s="216"/>
      <c r="D53" s="216"/>
      <c r="E53" s="217" t="s">
        <v>652</v>
      </c>
      <c r="F53" s="218">
        <f>F52</f>
        <v>3.5022277486901482E-2</v>
      </c>
      <c r="G53" s="218">
        <f>IF(G51=0,0,F53+G52)</f>
        <v>9.1168063083510581E-2</v>
      </c>
      <c r="H53" s="218">
        <f>IF(H51=0,0,G53+H52)</f>
        <v>0.14433285014747507</v>
      </c>
      <c r="I53" s="218">
        <f>IF(I51=0,0,H53+I52)</f>
        <v>0.29413160526574339</v>
      </c>
      <c r="J53" s="218">
        <f t="shared" ref="J53:Q53" si="37">IF(J51=0,0,I53+J52)</f>
        <v>0.4257319688868384</v>
      </c>
      <c r="K53" s="218">
        <f t="shared" si="37"/>
        <v>0.53899739603467101</v>
      </c>
      <c r="L53" s="218">
        <f t="shared" si="37"/>
        <v>0.65226282318250361</v>
      </c>
      <c r="M53" s="218">
        <f t="shared" si="37"/>
        <v>0.72810752346811469</v>
      </c>
      <c r="N53" s="218">
        <f t="shared" si="37"/>
        <v>0.80395222375372577</v>
      </c>
      <c r="O53" s="218">
        <f t="shared" si="37"/>
        <v>0.87979692403933685</v>
      </c>
      <c r="P53" s="218">
        <f t="shared" si="37"/>
        <v>0.97731918888188973</v>
      </c>
      <c r="Q53" s="219">
        <f t="shared" si="37"/>
        <v>0.99999999999999978</v>
      </c>
      <c r="R53" s="220"/>
      <c r="S53" s="666" t="str">
        <f>IF(S51=S52,"OK","CORRIGIR")</f>
        <v>OK</v>
      </c>
      <c r="T53" s="667" t="str">
        <f>IF(T51=T52,"OK","CORRIGIR")</f>
        <v>OK</v>
      </c>
    </row>
    <row r="54" spans="1:20" ht="15" customHeight="1">
      <c r="A54" s="108"/>
      <c r="B54" s="221" t="s">
        <v>680</v>
      </c>
      <c r="C54" s="222"/>
      <c r="D54" s="223"/>
      <c r="E54" s="224"/>
      <c r="F54" s="222" t="s">
        <v>681</v>
      </c>
      <c r="G54" s="225"/>
      <c r="H54" s="225"/>
      <c r="I54" s="226"/>
      <c r="J54" s="1182" t="s">
        <v>682</v>
      </c>
      <c r="K54" s="1183"/>
      <c r="L54" s="1183"/>
      <c r="M54" s="1184"/>
      <c r="N54" s="1185" t="s">
        <v>681</v>
      </c>
      <c r="O54" s="1186"/>
      <c r="P54" s="1187"/>
      <c r="Q54" s="222" t="s">
        <v>683</v>
      </c>
      <c r="R54" s="227"/>
      <c r="S54" s="227"/>
      <c r="T54" s="228"/>
    </row>
    <row r="55" spans="1:20" ht="60" customHeight="1" thickBot="1">
      <c r="A55" s="108"/>
      <c r="B55" s="1593"/>
      <c r="C55" s="1594"/>
      <c r="D55" s="1595"/>
      <c r="E55" s="1596"/>
      <c r="F55" s="1594"/>
      <c r="G55" s="1594"/>
      <c r="H55" s="1594"/>
      <c r="I55" s="1597"/>
      <c r="J55" s="1598"/>
      <c r="K55" s="1599"/>
      <c r="L55" s="1599"/>
      <c r="M55" s="1600"/>
      <c r="N55" s="1601"/>
      <c r="O55" s="1602"/>
      <c r="P55" s="1603"/>
      <c r="Q55" s="1604"/>
      <c r="R55" s="1605"/>
      <c r="S55" s="1605"/>
      <c r="T55" s="1606"/>
    </row>
    <row r="56" spans="1:20" ht="12" customHeight="1" thickBot="1">
      <c r="B56" s="1179" t="str">
        <f>'REF. DE PREÇOS n editavel'!$O$15</f>
        <v>Tabela Referência: DER/PR de FEVEREIRO/2023 sem desoneração</v>
      </c>
      <c r="C56" s="1180"/>
      <c r="D56" s="1180"/>
      <c r="E56" s="1180"/>
      <c r="F56" s="1180"/>
      <c r="G56" s="1180"/>
      <c r="H56" s="1180"/>
      <c r="I56" s="1180"/>
      <c r="J56" s="1180"/>
      <c r="K56" s="1180"/>
      <c r="L56" s="1180"/>
      <c r="M56" s="1180"/>
      <c r="N56" s="1180"/>
      <c r="O56" s="1180"/>
      <c r="P56" s="1180"/>
      <c r="Q56" s="1180"/>
      <c r="R56" s="1181"/>
      <c r="S56" s="1195"/>
      <c r="T56" s="1194"/>
    </row>
  </sheetData>
  <mergeCells count="5">
    <mergeCell ref="B55:D55"/>
    <mergeCell ref="E55:I55"/>
    <mergeCell ref="J55:M55"/>
    <mergeCell ref="N55:P55"/>
    <mergeCell ref="Q55:T55"/>
  </mergeCells>
  <pageMargins left="0.511811024" right="0.511811024" top="0.78740157499999996" bottom="0.78740157499999996" header="0.31496062000000002" footer="0.31496062000000002"/>
  <pageSetup paperSize="9" scale="65" orientation="landscape" r:id="rId1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8" filterMode="1">
    <tabColor rgb="FF00B050"/>
    <pageSetUpPr fitToPage="1"/>
  </sheetPr>
  <dimension ref="A1:AC2578"/>
  <sheetViews>
    <sheetView showGridLines="0" showZeros="0" topLeftCell="B1" zoomScale="85" zoomScaleNormal="85" workbookViewId="0">
      <selection activeCell="E229" sqref="E229"/>
    </sheetView>
  </sheetViews>
  <sheetFormatPr defaultColWidth="21.6640625" defaultRowHeight="12.75" outlineLevelCol="1"/>
  <cols>
    <col min="1" max="1" width="15.6640625" style="63" hidden="1" customWidth="1"/>
    <col min="2" max="2" width="19.83203125" style="567" customWidth="1"/>
    <col min="3" max="3" width="16.83203125" style="63" customWidth="1"/>
    <col min="4" max="4" width="76.33203125" style="37" customWidth="1"/>
    <col min="5" max="5" width="15.83203125" style="37" customWidth="1" outlineLevel="1"/>
    <col min="6" max="6" width="12.83203125" style="37" customWidth="1" outlineLevel="1"/>
    <col min="7" max="7" width="15.33203125" style="37" customWidth="1" outlineLevel="1"/>
    <col min="8" max="9" width="12.83203125" style="37" customWidth="1" outlineLevel="1"/>
    <col min="10" max="10" width="13.83203125" style="37" customWidth="1" outlineLevel="1"/>
    <col min="11" max="11" width="6.83203125" style="37" customWidth="1"/>
    <col min="12" max="12" width="15.83203125" style="37" customWidth="1"/>
    <col min="13" max="13" width="11.83203125" style="37" customWidth="1"/>
    <col min="14" max="15" width="22.83203125" style="37" customWidth="1"/>
    <col min="16" max="16" width="4.6640625" style="36" customWidth="1"/>
    <col min="17" max="19" width="4.6640625" style="37" customWidth="1"/>
    <col min="20" max="20" width="5.5" customWidth="1"/>
    <col min="21" max="21" width="17" style="37" customWidth="1"/>
    <col min="22" max="16384" width="21.6640625" style="37"/>
  </cols>
  <sheetData>
    <row r="1" spans="1:25" ht="26.25" customHeight="1">
      <c r="B1" s="670" t="s">
        <v>418</v>
      </c>
      <c r="C1" s="671"/>
      <c r="D1" s="671"/>
      <c r="E1" s="679"/>
      <c r="F1" s="680"/>
      <c r="G1" s="35"/>
      <c r="H1" s="33"/>
      <c r="I1" s="34"/>
      <c r="J1" s="34"/>
      <c r="K1" s="523" t="s">
        <v>421</v>
      </c>
      <c r="L1" s="524" t="s">
        <v>421</v>
      </c>
      <c r="M1" s="525"/>
      <c r="N1" s="526" t="s">
        <v>421</v>
      </c>
      <c r="O1" s="527"/>
      <c r="S1" s="1607"/>
      <c r="T1" s="1607"/>
      <c r="U1" s="1607"/>
      <c r="V1" s="1607"/>
    </row>
    <row r="2" spans="1:25" ht="24.75" customHeight="1">
      <c r="B2" s="669" t="str">
        <f>$O$15</f>
        <v>Tabela Referência: DER/PR de FEVEREIRO/2023 sem desoneração</v>
      </c>
      <c r="C2" s="556"/>
      <c r="D2" s="549"/>
      <c r="E2" s="1345"/>
      <c r="F2" s="678"/>
      <c r="G2" s="41"/>
      <c r="H2" s="38"/>
      <c r="I2" s="39"/>
      <c r="J2" s="38"/>
      <c r="K2" s="38"/>
      <c r="L2" s="555"/>
      <c r="M2" s="549"/>
      <c r="N2" s="549"/>
      <c r="O2" s="550"/>
      <c r="S2" s="1607"/>
      <c r="T2" s="1607"/>
      <c r="U2" s="1607"/>
      <c r="V2" s="1607"/>
    </row>
    <row r="3" spans="1:25" ht="18" customHeight="1">
      <c r="B3" s="507"/>
      <c r="C3" s="508"/>
      <c r="D3" s="509" t="s">
        <v>422</v>
      </c>
      <c r="E3" s="510" t="s">
        <v>422</v>
      </c>
      <c r="F3" s="511"/>
      <c r="G3" s="44"/>
      <c r="H3" s="42"/>
      <c r="I3" s="39"/>
      <c r="J3" s="43"/>
      <c r="K3" s="512" t="s">
        <v>422</v>
      </c>
      <c r="L3" s="512" t="s">
        <v>422</v>
      </c>
      <c r="M3" s="549"/>
      <c r="N3" s="549"/>
      <c r="O3" s="550"/>
      <c r="S3" s="1607"/>
      <c r="T3" s="1607"/>
      <c r="U3" s="1607"/>
      <c r="V3" s="1607"/>
    </row>
    <row r="4" spans="1:25" ht="12.75" customHeight="1">
      <c r="B4" s="562" t="s">
        <v>152</v>
      </c>
      <c r="C4" s="1346"/>
      <c r="D4" s="513"/>
      <c r="E4" s="1347"/>
      <c r="F4" s="47"/>
      <c r="G4" s="44"/>
      <c r="H4" s="42"/>
      <c r="I4" s="39"/>
      <c r="J4" s="43"/>
      <c r="K4" s="43"/>
      <c r="L4" s="553"/>
      <c r="M4" s="549"/>
      <c r="N4" s="549"/>
      <c r="O4" s="550"/>
      <c r="S4" s="1607"/>
      <c r="T4" s="1607"/>
      <c r="U4" s="1607"/>
      <c r="V4" s="1607"/>
      <c r="W4" s="573"/>
      <c r="X4" s="573"/>
      <c r="Y4" s="573"/>
    </row>
    <row r="5" spans="1:25" ht="12.75" customHeight="1">
      <c r="B5" s="562" t="s">
        <v>152</v>
      </c>
      <c r="C5" s="1346"/>
      <c r="D5" s="513"/>
      <c r="E5" s="1347"/>
      <c r="F5" s="47"/>
      <c r="G5" s="44"/>
      <c r="H5" s="42"/>
      <c r="I5" s="39"/>
      <c r="J5" s="43"/>
      <c r="K5" s="43"/>
      <c r="L5" s="553"/>
      <c r="M5" s="549"/>
      <c r="N5" s="549"/>
      <c r="O5" s="550"/>
      <c r="S5" s="1607"/>
      <c r="T5" s="1607"/>
      <c r="U5" s="1607"/>
      <c r="V5" s="1607"/>
      <c r="W5" s="573"/>
      <c r="X5" s="573"/>
      <c r="Y5" s="573"/>
    </row>
    <row r="6" spans="1:25" ht="12.75" customHeight="1">
      <c r="B6" s="562" t="s">
        <v>152</v>
      </c>
      <c r="C6" s="1346"/>
      <c r="D6" s="513"/>
      <c r="E6" s="1347"/>
      <c r="F6" s="47"/>
      <c r="G6" s="44"/>
      <c r="H6" s="42"/>
      <c r="I6" s="39"/>
      <c r="J6" s="43"/>
      <c r="K6" s="43"/>
      <c r="L6" s="553"/>
      <c r="M6" s="549"/>
      <c r="N6" s="549"/>
      <c r="O6" s="550"/>
      <c r="S6" s="1607"/>
      <c r="T6" s="1607"/>
      <c r="U6" s="1607"/>
      <c r="V6" s="1607"/>
      <c r="W6" s="573"/>
      <c r="X6" s="573"/>
      <c r="Y6" s="573"/>
    </row>
    <row r="7" spans="1:25" ht="55.5" customHeight="1" thickBot="1">
      <c r="B7" s="562" t="s">
        <v>152</v>
      </c>
      <c r="C7" s="1346"/>
      <c r="D7" s="513"/>
      <c r="E7" s="1347"/>
      <c r="F7" s="47"/>
      <c r="G7" s="44"/>
      <c r="H7" s="42"/>
      <c r="I7" s="39"/>
      <c r="J7" s="43"/>
      <c r="K7" s="43"/>
      <c r="L7" s="553"/>
      <c r="M7" s="549"/>
      <c r="N7" s="549"/>
      <c r="O7" s="550"/>
      <c r="S7" s="1607"/>
      <c r="T7" s="1607"/>
      <c r="U7" s="1607"/>
      <c r="V7" s="1607"/>
    </row>
    <row r="8" spans="1:25" ht="18.75" customHeight="1" thickBot="1">
      <c r="B8" s="514"/>
      <c r="C8" s="515"/>
      <c r="D8" s="513"/>
      <c r="E8" s="1347"/>
      <c r="F8" s="1230" t="s">
        <v>2262</v>
      </c>
      <c r="G8" s="1231"/>
      <c r="H8" s="1232"/>
      <c r="I8" s="1233"/>
      <c r="J8" s="43"/>
      <c r="K8" s="43"/>
      <c r="L8" s="553"/>
      <c r="M8" s="549"/>
      <c r="N8" s="549"/>
      <c r="O8" s="550"/>
      <c r="S8" s="1607"/>
      <c r="T8" s="1607"/>
      <c r="U8" s="1607"/>
      <c r="V8" s="1607"/>
    </row>
    <row r="9" spans="1:25" ht="15" customHeight="1" thickBot="1">
      <c r="B9" s="562"/>
      <c r="C9" s="1346"/>
      <c r="D9" s="513" t="s">
        <v>2123</v>
      </c>
      <c r="E9" s="309">
        <f>BDI!B17</f>
        <v>0.18379999999999999</v>
      </c>
      <c r="F9" s="1234" t="s">
        <v>2260</v>
      </c>
      <c r="G9" s="1235"/>
      <c r="H9" s="1236"/>
      <c r="I9" s="1237"/>
      <c r="J9" s="43"/>
      <c r="K9" s="43"/>
      <c r="L9" s="553"/>
      <c r="M9" s="549"/>
      <c r="N9" s="549"/>
      <c r="O9" s="550"/>
      <c r="Q9" s="310"/>
      <c r="S9" s="1607"/>
      <c r="T9" s="1607"/>
      <c r="U9" s="1607"/>
      <c r="V9" s="1607"/>
    </row>
    <row r="10" spans="1:25" ht="13.5" thickBot="1">
      <c r="B10" s="562"/>
      <c r="C10" s="1346"/>
      <c r="D10" s="513" t="s">
        <v>2124</v>
      </c>
      <c r="E10" s="311">
        <f>BDI!B15</f>
        <v>0.22219999999999998</v>
      </c>
      <c r="F10" s="1238" t="s">
        <v>2261</v>
      </c>
      <c r="G10" s="1239"/>
      <c r="H10" s="1240"/>
      <c r="I10" s="1241"/>
      <c r="J10" s="43"/>
      <c r="K10" s="43"/>
      <c r="L10" s="553"/>
      <c r="M10" s="549"/>
      <c r="N10" s="549"/>
      <c r="O10" s="550"/>
    </row>
    <row r="11" spans="1:25" ht="13.5" thickBot="1">
      <c r="B11" s="563"/>
      <c r="C11" s="516"/>
      <c r="D11" s="517"/>
      <c r="E11" s="312"/>
      <c r="F11" s="313"/>
      <c r="G11" s="52"/>
      <c r="H11" s="49"/>
      <c r="I11" s="50"/>
      <c r="J11" s="51"/>
      <c r="K11" s="51"/>
      <c r="L11" s="554"/>
      <c r="M11" s="551"/>
      <c r="N11" s="551"/>
      <c r="O11" s="552"/>
    </row>
    <row r="12" spans="1:25" ht="25.15" customHeight="1" thickBot="1">
      <c r="B12" s="619" t="s">
        <v>157</v>
      </c>
      <c r="C12" s="620"/>
      <c r="D12" s="621"/>
      <c r="E12" s="621"/>
      <c r="F12" s="622"/>
      <c r="G12" s="621"/>
      <c r="H12" s="621"/>
      <c r="I12" s="621"/>
      <c r="J12" s="621"/>
      <c r="K12" s="621"/>
      <c r="L12" s="621"/>
      <c r="M12" s="621"/>
      <c r="N12" s="621"/>
      <c r="O12" s="622"/>
    </row>
    <row r="13" spans="1:25" s="77" customFormat="1" ht="18" customHeight="1">
      <c r="A13" s="557"/>
      <c r="B13" s="804" t="s">
        <v>159</v>
      </c>
      <c r="C13" s="805" t="s">
        <v>2279</v>
      </c>
      <c r="D13" s="1143"/>
      <c r="E13" s="806" t="s">
        <v>160</v>
      </c>
      <c r="F13" s="807" t="str">
        <f>O13</f>
        <v>XX</v>
      </c>
      <c r="G13" s="808"/>
      <c r="H13" s="809"/>
      <c r="I13" s="809"/>
      <c r="J13" s="809"/>
      <c r="K13" s="809"/>
      <c r="L13" s="809"/>
      <c r="M13" s="809"/>
      <c r="N13" s="810" t="s">
        <v>160</v>
      </c>
      <c r="O13" s="811" t="s">
        <v>1991</v>
      </c>
      <c r="P13" s="76"/>
      <c r="T13" s="520"/>
    </row>
    <row r="14" spans="1:25" s="77" customFormat="1" ht="18" customHeight="1">
      <c r="A14" s="557"/>
      <c r="B14" s="812" t="s">
        <v>161</v>
      </c>
      <c r="C14" s="813" t="s">
        <v>2280</v>
      </c>
      <c r="D14" s="1144"/>
      <c r="E14" s="814" t="s">
        <v>163</v>
      </c>
      <c r="F14" s="815" t="str">
        <f>O14</f>
        <v>1</v>
      </c>
      <c r="G14" s="816"/>
      <c r="H14" s="817"/>
      <c r="I14" s="817"/>
      <c r="J14" s="817"/>
      <c r="K14" s="817"/>
      <c r="L14" s="817"/>
      <c r="M14" s="817"/>
      <c r="N14" s="818" t="s">
        <v>162</v>
      </c>
      <c r="O14" s="819" t="s">
        <v>474</v>
      </c>
      <c r="P14" s="76"/>
      <c r="T14" s="520"/>
    </row>
    <row r="15" spans="1:25" s="77" customFormat="1" ht="18" customHeight="1">
      <c r="A15" s="557"/>
      <c r="B15" s="812" t="s">
        <v>476</v>
      </c>
      <c r="C15" s="813" t="s">
        <v>2281</v>
      </c>
      <c r="D15" s="1144"/>
      <c r="E15" s="820"/>
      <c r="F15" s="815"/>
      <c r="G15" s="816"/>
      <c r="H15" s="817"/>
      <c r="I15" s="817"/>
      <c r="J15" s="817"/>
      <c r="K15" s="817"/>
      <c r="L15" s="817"/>
      <c r="M15" s="817"/>
      <c r="N15" s="817"/>
      <c r="O15" s="821" t="s">
        <v>2167</v>
      </c>
      <c r="P15" s="76"/>
      <c r="T15" s="520"/>
    </row>
    <row r="16" spans="1:25" s="77" customFormat="1" ht="18" customHeight="1" thickBot="1">
      <c r="A16" s="557"/>
      <c r="B16" s="1069"/>
      <c r="C16" s="1070"/>
      <c r="D16" s="1071"/>
      <c r="E16" s="1072"/>
      <c r="F16" s="1072"/>
      <c r="G16" s="1070"/>
      <c r="H16" s="1070"/>
      <c r="I16" s="1070"/>
      <c r="J16" s="1070"/>
      <c r="K16" s="1070"/>
      <c r="L16" s="1070"/>
      <c r="M16" s="1070"/>
      <c r="N16" s="1073" t="s">
        <v>2202</v>
      </c>
      <c r="O16" s="1142">
        <f ca="1">TODAY()</f>
        <v>45391</v>
      </c>
      <c r="P16" s="1261" t="s">
        <v>2265</v>
      </c>
      <c r="T16" s="520"/>
    </row>
    <row r="17" spans="1:23" s="77" customFormat="1" ht="18" customHeight="1" thickBot="1">
      <c r="A17" s="557"/>
      <c r="B17" s="822" t="s">
        <v>414</v>
      </c>
      <c r="C17" s="823" t="s">
        <v>415</v>
      </c>
      <c r="D17" s="824" t="s">
        <v>153</v>
      </c>
      <c r="E17" s="825" t="s">
        <v>0</v>
      </c>
      <c r="F17" s="826" t="s">
        <v>1</v>
      </c>
      <c r="G17" s="827" t="s">
        <v>2</v>
      </c>
      <c r="H17" s="828"/>
      <c r="I17" s="829"/>
      <c r="J17" s="828"/>
      <c r="K17" s="830" t="s">
        <v>156</v>
      </c>
      <c r="L17" s="831" t="s">
        <v>2125</v>
      </c>
      <c r="M17" s="832"/>
      <c r="N17" s="833"/>
      <c r="O17" s="833"/>
      <c r="P17" s="518" t="s">
        <v>1992</v>
      </c>
      <c r="Q17" s="518"/>
      <c r="R17" s="519"/>
      <c r="S17" s="519"/>
      <c r="T17" s="520"/>
      <c r="U17" s="1608" t="s">
        <v>2248</v>
      </c>
      <c r="V17" s="314">
        <f>SUBTOTAL(9,V20:V2546)</f>
        <v>16924557.139999997</v>
      </c>
      <c r="W17" s="315">
        <f>SUBTOTAL(9,W20:W2546)</f>
        <v>0</v>
      </c>
    </row>
    <row r="18" spans="1:23" ht="43.5" thickBot="1">
      <c r="A18" s="558" t="s">
        <v>1842</v>
      </c>
      <c r="B18" s="834" t="s">
        <v>165</v>
      </c>
      <c r="C18" s="835"/>
      <c r="D18" s="836" t="s">
        <v>1843</v>
      </c>
      <c r="E18" s="837" t="s">
        <v>154</v>
      </c>
      <c r="F18" s="838" t="s">
        <v>155</v>
      </c>
      <c r="G18" s="839" t="s">
        <v>3</v>
      </c>
      <c r="H18" s="840" t="s">
        <v>4</v>
      </c>
      <c r="I18" s="840" t="s">
        <v>5</v>
      </c>
      <c r="J18" s="841" t="s">
        <v>6</v>
      </c>
      <c r="K18" s="842"/>
      <c r="L18" s="843" t="s">
        <v>7</v>
      </c>
      <c r="M18" s="844" t="s">
        <v>8</v>
      </c>
      <c r="N18" s="845" t="s">
        <v>9</v>
      </c>
      <c r="O18" s="846" t="s">
        <v>158</v>
      </c>
      <c r="P18" s="31" t="s">
        <v>416</v>
      </c>
      <c r="Q18" s="31" t="s">
        <v>419</v>
      </c>
      <c r="R18" s="31" t="s">
        <v>420</v>
      </c>
      <c r="S18" s="31" t="s">
        <v>418</v>
      </c>
      <c r="U18" s="1609"/>
      <c r="V18" s="316" t="s">
        <v>2247</v>
      </c>
      <c r="W18" s="1229" t="s">
        <v>1990</v>
      </c>
    </row>
    <row r="19" spans="1:23" ht="15" customHeight="1" thickBot="1">
      <c r="A19" s="63" t="s">
        <v>474</v>
      </c>
      <c r="B19" s="847" t="s">
        <v>474</v>
      </c>
      <c r="C19" s="848"/>
      <c r="D19" s="849" t="s">
        <v>432</v>
      </c>
      <c r="E19" s="850"/>
      <c r="F19" s="851"/>
      <c r="G19" s="852"/>
      <c r="H19" s="853"/>
      <c r="I19" s="853"/>
      <c r="J19" s="853"/>
      <c r="K19" s="853" t="s">
        <v>506</v>
      </c>
      <c r="L19" s="854"/>
      <c r="M19" s="855"/>
      <c r="N19" s="856"/>
      <c r="O19" s="857">
        <f>SUM(N20:N68)</f>
        <v>504520.8</v>
      </c>
      <c r="P19" s="58" t="str">
        <f>IF(OR(O19&gt;0,O19&gt;0),"X","")</f>
        <v>X</v>
      </c>
      <c r="Q19" s="317" t="str">
        <f t="shared" ref="Q19" si="0">IF(P19="X","x",IF(P19="xx","x",IF(P19="xy","x",IF(P19="y","x",IF(OR(N19&gt;0,N19&gt;0),"x","")))))</f>
        <v>x</v>
      </c>
      <c r="R19" s="317" t="str">
        <f t="shared" ref="R19" si="1">IF(P19="X","x",IF(P19="y","x",IF(P19="xx","x",IF(N19&gt;0,"x",""))))</f>
        <v>x</v>
      </c>
      <c r="S19" s="317" t="str">
        <f t="shared" ref="S19" si="2">IF(P19="X","x",IF(N19&gt;0,"x",""))</f>
        <v>x</v>
      </c>
    </row>
    <row r="20" spans="1:23" ht="15" hidden="1" customHeight="1">
      <c r="A20" s="63">
        <v>831000</v>
      </c>
      <c r="B20" s="858" t="s">
        <v>1518</v>
      </c>
      <c r="C20" s="859" t="s">
        <v>184</v>
      </c>
      <c r="D20" s="860" t="s">
        <v>265</v>
      </c>
      <c r="E20" s="861"/>
      <c r="F20" s="862"/>
      <c r="G20" s="863"/>
      <c r="H20" s="864">
        <v>41.45</v>
      </c>
      <c r="I20" s="864">
        <f t="shared" ref="I20:I42" si="3">IF(ISBLANK(H20),"",SUM(G20:H20))</f>
        <v>41.45</v>
      </c>
      <c r="J20" s="865">
        <f>IF(ISBLANK(H20),0,ROUND(I20*(1+$E$10),2))</f>
        <v>50.66</v>
      </c>
      <c r="K20" s="866" t="s">
        <v>13</v>
      </c>
      <c r="L20" s="867">
        <f>ROUND(SUM(ORÇAMENTO!L20),2)</f>
        <v>0</v>
      </c>
      <c r="M20" s="867">
        <f t="shared" ref="M20:M83" si="4">IF(L20=0,0,ROUND(J20,2))</f>
        <v>0</v>
      </c>
      <c r="N20" s="907">
        <f t="shared" ref="N20:N83" si="5">IF(ISBLANK(L20),0,ROUND(L20*M20,2))</f>
        <v>0</v>
      </c>
      <c r="O20" s="880"/>
      <c r="P20" s="76"/>
      <c r="Q20" s="317" t="str">
        <f t="shared" ref="Q20:Q83" si="6">IF(P20="X","x",IF(P20="xx","x",IF(P20="xy","x",IF(P20="y","x",IF(OR(N20&gt;0,N20&gt;0),"x","")))))</f>
        <v/>
      </c>
      <c r="R20" s="317" t="str">
        <f t="shared" ref="R20:R83" si="7">IF(P20="X","x",IF(P20="y","x",IF(P20="xx","x",IF(N20&gt;0,"x",""))))</f>
        <v/>
      </c>
      <c r="S20" s="317" t="str">
        <f t="shared" ref="S20:S83" si="8">IF(P20="X","x",IF(N20&gt;0,"x",""))</f>
        <v/>
      </c>
      <c r="V20" s="314">
        <f>SUM(ORÇAMENTO!N20)</f>
        <v>0</v>
      </c>
      <c r="W20" s="315">
        <f>N20-V20</f>
        <v>0</v>
      </c>
    </row>
    <row r="21" spans="1:23" ht="15" hidden="1" customHeight="1">
      <c r="A21" s="63">
        <v>830000</v>
      </c>
      <c r="B21" s="870" t="s">
        <v>1519</v>
      </c>
      <c r="C21" s="871" t="s">
        <v>184</v>
      </c>
      <c r="D21" s="872" t="s">
        <v>266</v>
      </c>
      <c r="E21" s="873"/>
      <c r="F21" s="874"/>
      <c r="G21" s="875"/>
      <c r="H21" s="864">
        <v>36.44</v>
      </c>
      <c r="I21" s="876">
        <f t="shared" si="3"/>
        <v>36.44</v>
      </c>
      <c r="J21" s="877">
        <f t="shared" ref="J21:J42" si="9">IF(ISBLANK(H21),0,ROUND(I21*(1+$E$10),2))</f>
        <v>44.54</v>
      </c>
      <c r="K21" s="878" t="s">
        <v>13</v>
      </c>
      <c r="L21" s="879">
        <f>ROUND(SUM(ORÇAMENTO!L21),2)</f>
        <v>0</v>
      </c>
      <c r="M21" s="879">
        <f t="shared" si="4"/>
        <v>0</v>
      </c>
      <c r="N21" s="868">
        <f t="shared" si="5"/>
        <v>0</v>
      </c>
      <c r="O21" s="880"/>
      <c r="Q21" s="317" t="str">
        <f t="shared" si="6"/>
        <v/>
      </c>
      <c r="R21" s="317" t="str">
        <f t="shared" si="7"/>
        <v/>
      </c>
      <c r="S21" s="317" t="str">
        <f t="shared" si="8"/>
        <v/>
      </c>
      <c r="V21" s="314">
        <f>SUM(ORÇAMENTO!N21)</f>
        <v>0</v>
      </c>
      <c r="W21" s="315">
        <f t="shared" ref="W21:W84" si="10">N21-V21</f>
        <v>0</v>
      </c>
    </row>
    <row r="22" spans="1:23" ht="15" hidden="1" customHeight="1">
      <c r="A22" s="559">
        <v>606600</v>
      </c>
      <c r="B22" s="870" t="s">
        <v>1520</v>
      </c>
      <c r="C22" s="871" t="s">
        <v>184</v>
      </c>
      <c r="D22" s="881" t="s">
        <v>178</v>
      </c>
      <c r="E22" s="882"/>
      <c r="F22" s="874"/>
      <c r="G22" s="875"/>
      <c r="H22" s="864">
        <v>309.52999999999997</v>
      </c>
      <c r="I22" s="876">
        <f t="shared" si="3"/>
        <v>309.52999999999997</v>
      </c>
      <c r="J22" s="877">
        <f t="shared" si="9"/>
        <v>378.31</v>
      </c>
      <c r="K22" s="878" t="s">
        <v>10</v>
      </c>
      <c r="L22" s="879">
        <f>ROUND(SUM(ORÇAMENTO!L22),2)</f>
        <v>0</v>
      </c>
      <c r="M22" s="879">
        <f t="shared" si="4"/>
        <v>0</v>
      </c>
      <c r="N22" s="868">
        <f t="shared" si="5"/>
        <v>0</v>
      </c>
      <c r="O22" s="880"/>
      <c r="Q22" s="317" t="str">
        <f t="shared" si="6"/>
        <v/>
      </c>
      <c r="R22" s="317" t="str">
        <f t="shared" si="7"/>
        <v/>
      </c>
      <c r="S22" s="317" t="str">
        <f t="shared" si="8"/>
        <v/>
      </c>
      <c r="V22" s="314">
        <f>SUM(ORÇAMENTO!N22)</f>
        <v>0</v>
      </c>
      <c r="W22" s="315">
        <f t="shared" si="10"/>
        <v>0</v>
      </c>
    </row>
    <row r="23" spans="1:23" ht="15" hidden="1" customHeight="1">
      <c r="A23" s="559">
        <v>606700</v>
      </c>
      <c r="B23" s="870" t="s">
        <v>1521</v>
      </c>
      <c r="C23" s="871" t="s">
        <v>184</v>
      </c>
      <c r="D23" s="881" t="s">
        <v>177</v>
      </c>
      <c r="E23" s="882"/>
      <c r="F23" s="874"/>
      <c r="G23" s="875"/>
      <c r="H23" s="864">
        <v>148.04</v>
      </c>
      <c r="I23" s="876">
        <f t="shared" si="3"/>
        <v>148.04</v>
      </c>
      <c r="J23" s="877">
        <f t="shared" si="9"/>
        <v>180.93</v>
      </c>
      <c r="K23" s="878" t="s">
        <v>10</v>
      </c>
      <c r="L23" s="879">
        <f>ROUND(SUM(ORÇAMENTO!L23),2)</f>
        <v>0</v>
      </c>
      <c r="M23" s="879">
        <f t="shared" si="4"/>
        <v>0</v>
      </c>
      <c r="N23" s="868">
        <f t="shared" si="5"/>
        <v>0</v>
      </c>
      <c r="O23" s="880"/>
      <c r="Q23" s="317" t="str">
        <f t="shared" si="6"/>
        <v/>
      </c>
      <c r="R23" s="317" t="str">
        <f t="shared" si="7"/>
        <v/>
      </c>
      <c r="S23" s="317" t="str">
        <f t="shared" si="8"/>
        <v/>
      </c>
      <c r="V23" s="314">
        <f>SUM(ORÇAMENTO!N23)</f>
        <v>0</v>
      </c>
      <c r="W23" s="315">
        <f t="shared" si="10"/>
        <v>0</v>
      </c>
    </row>
    <row r="24" spans="1:23" ht="15" hidden="1" customHeight="1">
      <c r="A24" s="63">
        <v>512000</v>
      </c>
      <c r="B24" s="969">
        <v>512000</v>
      </c>
      <c r="C24" s="970" t="s">
        <v>184</v>
      </c>
      <c r="D24" s="939" t="s">
        <v>179</v>
      </c>
      <c r="E24" s="940">
        <f>DMT!$F$30</f>
        <v>10</v>
      </c>
      <c r="F24" s="971">
        <v>1.86</v>
      </c>
      <c r="G24" s="1267">
        <f>IF(E24&lt;=30,(1.07*E24+2.68)*F24,((1.07*30+2.68)+1.07*(E24-30))*F24)</f>
        <v>24.886800000000004</v>
      </c>
      <c r="H24" s="1268">
        <v>62.35</v>
      </c>
      <c r="I24" s="914">
        <f t="shared" si="3"/>
        <v>87.236800000000002</v>
      </c>
      <c r="J24" s="943">
        <f t="shared" si="9"/>
        <v>106.62</v>
      </c>
      <c r="K24" s="944" t="s">
        <v>10</v>
      </c>
      <c r="L24" s="972">
        <f>ROUND(SUM(ORÇAMENTO!L24),2)</f>
        <v>0</v>
      </c>
      <c r="M24" s="972">
        <f t="shared" si="4"/>
        <v>0</v>
      </c>
      <c r="N24" s="916">
        <f t="shared" si="5"/>
        <v>0</v>
      </c>
      <c r="O24" s="880"/>
      <c r="Q24" s="317" t="str">
        <f t="shared" si="6"/>
        <v/>
      </c>
      <c r="R24" s="317" t="str">
        <f t="shared" si="7"/>
        <v/>
      </c>
      <c r="S24" s="317" t="str">
        <f t="shared" si="8"/>
        <v/>
      </c>
      <c r="V24" s="314">
        <f>SUM(ORÇAMENTO!N24)</f>
        <v>0</v>
      </c>
      <c r="W24" s="315">
        <f t="shared" si="10"/>
        <v>0</v>
      </c>
    </row>
    <row r="25" spans="1:23" ht="15" customHeight="1" thickBot="1">
      <c r="A25" s="63">
        <v>512050</v>
      </c>
      <c r="B25" s="1348">
        <v>512050</v>
      </c>
      <c r="C25" s="1349" t="s">
        <v>184</v>
      </c>
      <c r="D25" s="1350" t="s">
        <v>484</v>
      </c>
      <c r="E25" s="1351">
        <f>DMT!$F$30</f>
        <v>10</v>
      </c>
      <c r="F25" s="1352">
        <v>1.86</v>
      </c>
      <c r="G25" s="1353">
        <f t="shared" ref="G25:G29" si="11">IF(E25&lt;=30,(1.07*E25+2.68)*F25,((1.07*30+2.68)+1.07*(E25-30))*F25)</f>
        <v>24.886800000000004</v>
      </c>
      <c r="H25" s="1354">
        <v>41.9</v>
      </c>
      <c r="I25" s="1354">
        <f t="shared" si="3"/>
        <v>66.786799999999999</v>
      </c>
      <c r="J25" s="1355">
        <f t="shared" si="9"/>
        <v>81.63</v>
      </c>
      <c r="K25" s="1356" t="s">
        <v>10</v>
      </c>
      <c r="L25" s="1357">
        <f>ROUND(SUM(ORÇAMENTO!L25),2)</f>
        <v>6135.8</v>
      </c>
      <c r="M25" s="1357">
        <f t="shared" si="4"/>
        <v>81.63</v>
      </c>
      <c r="N25" s="1358">
        <f t="shared" si="5"/>
        <v>500865.35</v>
      </c>
      <c r="O25" s="1359"/>
      <c r="Q25" s="317" t="str">
        <f t="shared" si="6"/>
        <v>x</v>
      </c>
      <c r="R25" s="317" t="str">
        <f t="shared" si="7"/>
        <v>x</v>
      </c>
      <c r="S25" s="317" t="str">
        <f t="shared" si="8"/>
        <v>x</v>
      </c>
      <c r="V25" s="314">
        <f>SUM(ORÇAMENTO!N25)</f>
        <v>500865.35</v>
      </c>
      <c r="W25" s="315">
        <f t="shared" si="10"/>
        <v>0</v>
      </c>
    </row>
    <row r="26" spans="1:23" ht="15" hidden="1" customHeight="1">
      <c r="A26" s="63">
        <v>810250</v>
      </c>
      <c r="B26" s="858" t="s">
        <v>2212</v>
      </c>
      <c r="C26" s="859" t="s">
        <v>2217</v>
      </c>
      <c r="D26" s="920" t="s">
        <v>2207</v>
      </c>
      <c r="E26" s="1005">
        <f>DMT!$F$34</f>
        <v>10</v>
      </c>
      <c r="F26" s="921">
        <f>ROUND(0.017*2.34,4)</f>
        <v>3.9800000000000002E-2</v>
      </c>
      <c r="G26" s="922">
        <f t="shared" si="11"/>
        <v>0.53252400000000011</v>
      </c>
      <c r="H26" s="864">
        <v>5.05</v>
      </c>
      <c r="I26" s="864">
        <f t="shared" si="3"/>
        <v>5.5825240000000003</v>
      </c>
      <c r="J26" s="865">
        <f t="shared" si="9"/>
        <v>6.82</v>
      </c>
      <c r="K26" s="866" t="s">
        <v>13</v>
      </c>
      <c r="L26" s="879">
        <f>ROUND(SUM(ORÇAMENTO!L26),2)</f>
        <v>0</v>
      </c>
      <c r="M26" s="879">
        <f t="shared" si="4"/>
        <v>0</v>
      </c>
      <c r="N26" s="907">
        <f t="shared" si="5"/>
        <v>0</v>
      </c>
      <c r="O26" s="880"/>
      <c r="Q26" s="317" t="str">
        <f t="shared" si="6"/>
        <v/>
      </c>
      <c r="R26" s="317" t="str">
        <f t="shared" si="7"/>
        <v/>
      </c>
      <c r="S26" s="317" t="str">
        <f t="shared" si="8"/>
        <v/>
      </c>
      <c r="V26" s="314">
        <f>SUM(ORÇAMENTO!N26)</f>
        <v>0</v>
      </c>
      <c r="W26" s="315">
        <f t="shared" si="10"/>
        <v>0</v>
      </c>
    </row>
    <row r="27" spans="1:23" ht="15" hidden="1" customHeight="1">
      <c r="A27" s="63">
        <v>810250</v>
      </c>
      <c r="B27" s="870" t="s">
        <v>2213</v>
      </c>
      <c r="C27" s="871" t="s">
        <v>2217</v>
      </c>
      <c r="D27" s="881" t="s">
        <v>2208</v>
      </c>
      <c r="E27" s="882">
        <f>DMT!$F$34</f>
        <v>10</v>
      </c>
      <c r="F27" s="883">
        <f>ROUND(0.01125*2.34,4)</f>
        <v>2.63E-2</v>
      </c>
      <c r="G27" s="884">
        <f t="shared" si="11"/>
        <v>0.35189400000000004</v>
      </c>
      <c r="H27" s="864">
        <v>5.05</v>
      </c>
      <c r="I27" s="876">
        <f t="shared" si="3"/>
        <v>5.4018939999999995</v>
      </c>
      <c r="J27" s="877">
        <f t="shared" si="9"/>
        <v>6.6</v>
      </c>
      <c r="K27" s="878" t="s">
        <v>13</v>
      </c>
      <c r="L27" s="879">
        <f>ROUND(SUM(ORÇAMENTO!L27),2)</f>
        <v>0</v>
      </c>
      <c r="M27" s="879">
        <f t="shared" si="4"/>
        <v>0</v>
      </c>
      <c r="N27" s="868">
        <f t="shared" si="5"/>
        <v>0</v>
      </c>
      <c r="O27" s="880"/>
      <c r="Q27" s="317" t="str">
        <f t="shared" si="6"/>
        <v/>
      </c>
      <c r="R27" s="317" t="str">
        <f t="shared" si="7"/>
        <v/>
      </c>
      <c r="S27" s="317" t="str">
        <f t="shared" si="8"/>
        <v/>
      </c>
      <c r="V27" s="314">
        <f>SUM(ORÇAMENTO!N27)</f>
        <v>0</v>
      </c>
      <c r="W27" s="315">
        <f t="shared" si="10"/>
        <v>0</v>
      </c>
    </row>
    <row r="28" spans="1:23" ht="15" hidden="1" customHeight="1">
      <c r="A28" s="63">
        <v>810250</v>
      </c>
      <c r="B28" s="870" t="s">
        <v>2214</v>
      </c>
      <c r="C28" s="871" t="s">
        <v>2217</v>
      </c>
      <c r="D28" s="881" t="s">
        <v>2209</v>
      </c>
      <c r="E28" s="882">
        <f>DMT!$F$34</f>
        <v>10</v>
      </c>
      <c r="F28" s="883">
        <f>ROUND(0.014*2.34,4)</f>
        <v>3.2800000000000003E-2</v>
      </c>
      <c r="G28" s="884">
        <f t="shared" si="11"/>
        <v>0.43886400000000009</v>
      </c>
      <c r="H28" s="864">
        <v>5.05</v>
      </c>
      <c r="I28" s="876">
        <f t="shared" si="3"/>
        <v>5.4888639999999995</v>
      </c>
      <c r="J28" s="877">
        <f t="shared" si="9"/>
        <v>6.71</v>
      </c>
      <c r="K28" s="878" t="s">
        <v>13</v>
      </c>
      <c r="L28" s="879">
        <f>ROUND(SUM(ORÇAMENTO!L28),2)</f>
        <v>0</v>
      </c>
      <c r="M28" s="879">
        <f t="shared" si="4"/>
        <v>0</v>
      </c>
      <c r="N28" s="868">
        <f t="shared" si="5"/>
        <v>0</v>
      </c>
      <c r="O28" s="880"/>
      <c r="Q28" s="317" t="str">
        <f t="shared" si="6"/>
        <v/>
      </c>
      <c r="R28" s="317" t="str">
        <f t="shared" si="7"/>
        <v/>
      </c>
      <c r="S28" s="317" t="str">
        <f t="shared" si="8"/>
        <v/>
      </c>
      <c r="V28" s="314">
        <f>SUM(ORÇAMENTO!N28)</f>
        <v>0</v>
      </c>
      <c r="W28" s="315">
        <f t="shared" si="10"/>
        <v>0</v>
      </c>
    </row>
    <row r="29" spans="1:23" ht="15" hidden="1" customHeight="1">
      <c r="A29" s="63" t="s">
        <v>451</v>
      </c>
      <c r="B29" s="870" t="s">
        <v>2211</v>
      </c>
      <c r="C29" s="871" t="s">
        <v>2217</v>
      </c>
      <c r="D29" s="881" t="s">
        <v>2210</v>
      </c>
      <c r="E29" s="882">
        <f>DMT!$F$16</f>
        <v>43.1</v>
      </c>
      <c r="F29" s="883">
        <f>ROUND(0.012*1.8,4)</f>
        <v>2.1600000000000001E-2</v>
      </c>
      <c r="G29" s="884">
        <f t="shared" si="11"/>
        <v>1.0540152</v>
      </c>
      <c r="H29" s="876">
        <v>5.05</v>
      </c>
      <c r="I29" s="876">
        <f t="shared" si="3"/>
        <v>6.1040152000000001</v>
      </c>
      <c r="J29" s="877">
        <f t="shared" si="9"/>
        <v>7.46</v>
      </c>
      <c r="K29" s="878" t="s">
        <v>13</v>
      </c>
      <c r="L29" s="879">
        <f>ROUND(SUM(ORÇAMENTO!L29),2)</f>
        <v>0</v>
      </c>
      <c r="M29" s="879">
        <f t="shared" si="4"/>
        <v>0</v>
      </c>
      <c r="N29" s="868">
        <f t="shared" si="5"/>
        <v>0</v>
      </c>
      <c r="O29" s="880"/>
      <c r="Q29" s="317" t="str">
        <f t="shared" si="6"/>
        <v/>
      </c>
      <c r="R29" s="317" t="str">
        <f t="shared" si="7"/>
        <v/>
      </c>
      <c r="S29" s="317" t="str">
        <f t="shared" si="8"/>
        <v/>
      </c>
      <c r="V29" s="314">
        <f>SUM(ORÇAMENTO!N29)</f>
        <v>0</v>
      </c>
      <c r="W29" s="315">
        <f t="shared" si="10"/>
        <v>0</v>
      </c>
    </row>
    <row r="30" spans="1:23" ht="15" hidden="1" customHeight="1">
      <c r="A30" s="63">
        <v>600310</v>
      </c>
      <c r="B30" s="870" t="s">
        <v>1522</v>
      </c>
      <c r="C30" s="871" t="s">
        <v>184</v>
      </c>
      <c r="D30" s="872" t="s">
        <v>442</v>
      </c>
      <c r="E30" s="873"/>
      <c r="F30" s="874"/>
      <c r="G30" s="875"/>
      <c r="H30" s="864">
        <v>142.88</v>
      </c>
      <c r="I30" s="876">
        <f t="shared" si="3"/>
        <v>142.88</v>
      </c>
      <c r="J30" s="877">
        <f t="shared" si="9"/>
        <v>174.63</v>
      </c>
      <c r="K30" s="878" t="s">
        <v>15</v>
      </c>
      <c r="L30" s="879">
        <f>ROUND(SUM(ORÇAMENTO!L30),2)</f>
        <v>0</v>
      </c>
      <c r="M30" s="879">
        <f t="shared" si="4"/>
        <v>0</v>
      </c>
      <c r="N30" s="868">
        <f t="shared" si="5"/>
        <v>0</v>
      </c>
      <c r="O30" s="880"/>
      <c r="Q30" s="317" t="str">
        <f t="shared" si="6"/>
        <v/>
      </c>
      <c r="R30" s="317" t="str">
        <f t="shared" si="7"/>
        <v/>
      </c>
      <c r="S30" s="317" t="str">
        <f t="shared" si="8"/>
        <v/>
      </c>
      <c r="V30" s="314">
        <f>SUM(ORÇAMENTO!N30)</f>
        <v>0</v>
      </c>
      <c r="W30" s="315">
        <f t="shared" si="10"/>
        <v>0</v>
      </c>
    </row>
    <row r="31" spans="1:23" ht="15" hidden="1" customHeight="1">
      <c r="A31" s="63">
        <v>800900</v>
      </c>
      <c r="B31" s="870" t="s">
        <v>1523</v>
      </c>
      <c r="C31" s="871" t="s">
        <v>184</v>
      </c>
      <c r="D31" s="872" t="s">
        <v>443</v>
      </c>
      <c r="E31" s="873"/>
      <c r="F31" s="874"/>
      <c r="G31" s="875"/>
      <c r="H31" s="864">
        <v>13.25</v>
      </c>
      <c r="I31" s="876">
        <f t="shared" si="3"/>
        <v>13.25</v>
      </c>
      <c r="J31" s="877">
        <f t="shared" si="9"/>
        <v>16.190000000000001</v>
      </c>
      <c r="K31" s="878" t="s">
        <v>12</v>
      </c>
      <c r="L31" s="879">
        <f>ROUND(SUM(ORÇAMENTO!L31),2)</f>
        <v>0</v>
      </c>
      <c r="M31" s="879">
        <f t="shared" si="4"/>
        <v>0</v>
      </c>
      <c r="N31" s="868">
        <f t="shared" si="5"/>
        <v>0</v>
      </c>
      <c r="O31" s="880"/>
      <c r="Q31" s="317" t="str">
        <f t="shared" si="6"/>
        <v/>
      </c>
      <c r="R31" s="317" t="str">
        <f t="shared" si="7"/>
        <v/>
      </c>
      <c r="S31" s="317" t="str">
        <f t="shared" si="8"/>
        <v/>
      </c>
      <c r="V31" s="314">
        <f>SUM(ORÇAMENTO!N31)</f>
        <v>0</v>
      </c>
      <c r="W31" s="315">
        <f t="shared" si="10"/>
        <v>0</v>
      </c>
    </row>
    <row r="32" spans="1:23" ht="15" hidden="1" customHeight="1">
      <c r="A32" s="63">
        <v>801100</v>
      </c>
      <c r="B32" s="870" t="s">
        <v>1524</v>
      </c>
      <c r="C32" s="871" t="s">
        <v>184</v>
      </c>
      <c r="D32" s="872" t="s">
        <v>278</v>
      </c>
      <c r="E32" s="873"/>
      <c r="F32" s="874"/>
      <c r="G32" s="875"/>
      <c r="H32" s="864">
        <v>19.149999999999999</v>
      </c>
      <c r="I32" s="876">
        <f t="shared" si="3"/>
        <v>19.149999999999999</v>
      </c>
      <c r="J32" s="877">
        <f t="shared" si="9"/>
        <v>23.41</v>
      </c>
      <c r="K32" s="878" t="s">
        <v>12</v>
      </c>
      <c r="L32" s="885">
        <f>ROUND(SUM(ORÇAMENTO!L32),2)</f>
        <v>0</v>
      </c>
      <c r="M32" s="886">
        <f t="shared" si="4"/>
        <v>0</v>
      </c>
      <c r="N32" s="868">
        <f t="shared" si="5"/>
        <v>0</v>
      </c>
      <c r="O32" s="880"/>
      <c r="Q32" s="317" t="str">
        <f t="shared" si="6"/>
        <v/>
      </c>
      <c r="R32" s="317" t="str">
        <f t="shared" si="7"/>
        <v/>
      </c>
      <c r="S32" s="317" t="str">
        <f t="shared" si="8"/>
        <v/>
      </c>
      <c r="V32" s="314">
        <f>SUM(ORÇAMENTO!N32)</f>
        <v>0</v>
      </c>
      <c r="W32" s="315">
        <f t="shared" si="10"/>
        <v>0</v>
      </c>
    </row>
    <row r="33" spans="1:23" ht="15" hidden="1" customHeight="1">
      <c r="A33" s="63">
        <v>600510</v>
      </c>
      <c r="B33" s="969" t="s">
        <v>1525</v>
      </c>
      <c r="C33" s="970" t="s">
        <v>184</v>
      </c>
      <c r="D33" s="1269" t="s">
        <v>444</v>
      </c>
      <c r="E33" s="1270"/>
      <c r="F33" s="941"/>
      <c r="G33" s="1271"/>
      <c r="H33" s="1268">
        <v>2.52</v>
      </c>
      <c r="I33" s="914">
        <f t="shared" si="3"/>
        <v>2.52</v>
      </c>
      <c r="J33" s="943">
        <f t="shared" si="9"/>
        <v>3.08</v>
      </c>
      <c r="K33" s="944" t="s">
        <v>13</v>
      </c>
      <c r="L33" s="1272">
        <f>ROUND(SUM(ORÇAMENTO!L33),2)</f>
        <v>0</v>
      </c>
      <c r="M33" s="1273">
        <f t="shared" si="4"/>
        <v>0</v>
      </c>
      <c r="N33" s="916">
        <f t="shared" si="5"/>
        <v>0</v>
      </c>
      <c r="O33" s="880"/>
      <c r="Q33" s="317" t="str">
        <f t="shared" si="6"/>
        <v/>
      </c>
      <c r="R33" s="317" t="str">
        <f t="shared" si="7"/>
        <v/>
      </c>
      <c r="S33" s="317" t="str">
        <f t="shared" si="8"/>
        <v/>
      </c>
      <c r="V33" s="314">
        <f>SUM(ORÇAMENTO!N33)</f>
        <v>0</v>
      </c>
      <c r="W33" s="315">
        <f t="shared" si="10"/>
        <v>0</v>
      </c>
    </row>
    <row r="34" spans="1:23" ht="28.5" customHeight="1" thickBot="1">
      <c r="A34" s="63" t="s">
        <v>1507</v>
      </c>
      <c r="B34" s="1360" t="s">
        <v>2225</v>
      </c>
      <c r="C34" s="1361" t="s">
        <v>2224</v>
      </c>
      <c r="D34" s="1350" t="s">
        <v>1508</v>
      </c>
      <c r="E34" s="1351"/>
      <c r="F34" s="1352"/>
      <c r="G34" s="1362"/>
      <c r="H34" s="1354">
        <v>2990.88</v>
      </c>
      <c r="I34" s="1354">
        <f t="shared" si="3"/>
        <v>2990.88</v>
      </c>
      <c r="J34" s="1355">
        <f t="shared" si="9"/>
        <v>3655.45</v>
      </c>
      <c r="K34" s="1356" t="s">
        <v>15</v>
      </c>
      <c r="L34" s="1363">
        <f>ROUND(SUM(ORÇAMENTO!L34),2)</f>
        <v>1</v>
      </c>
      <c r="M34" s="1357">
        <f t="shared" si="4"/>
        <v>3655.45</v>
      </c>
      <c r="N34" s="1358">
        <f t="shared" si="5"/>
        <v>3655.45</v>
      </c>
      <c r="O34" s="1359"/>
      <c r="P34" s="58"/>
      <c r="Q34" s="317" t="str">
        <f t="shared" si="6"/>
        <v>x</v>
      </c>
      <c r="R34" s="317" t="str">
        <f t="shared" si="7"/>
        <v>x</v>
      </c>
      <c r="S34" s="317" t="str">
        <f t="shared" si="8"/>
        <v>x</v>
      </c>
      <c r="V34" s="314">
        <f>SUM(ORÇAMENTO!N34)</f>
        <v>3655.45</v>
      </c>
      <c r="W34" s="315">
        <f t="shared" si="10"/>
        <v>0</v>
      </c>
    </row>
    <row r="35" spans="1:23" ht="28.5" hidden="1" customHeight="1">
      <c r="A35" s="63" t="s">
        <v>1509</v>
      </c>
      <c r="B35" s="1312" t="s">
        <v>2226</v>
      </c>
      <c r="C35" s="1313" t="s">
        <v>2224</v>
      </c>
      <c r="D35" s="920" t="s">
        <v>2227</v>
      </c>
      <c r="E35" s="1005"/>
      <c r="F35" s="921"/>
      <c r="G35" s="923"/>
      <c r="H35" s="864">
        <v>2542.7199999999998</v>
      </c>
      <c r="I35" s="864">
        <f t="shared" si="3"/>
        <v>2542.7199999999998</v>
      </c>
      <c r="J35" s="865">
        <f t="shared" si="9"/>
        <v>3107.71</v>
      </c>
      <c r="K35" s="866" t="s">
        <v>15</v>
      </c>
      <c r="L35" s="1006">
        <f>ROUND(SUM(ORÇAMENTO!L35),2)</f>
        <v>0</v>
      </c>
      <c r="M35" s="879">
        <f t="shared" si="4"/>
        <v>0</v>
      </c>
      <c r="N35" s="907">
        <f t="shared" si="5"/>
        <v>0</v>
      </c>
      <c r="O35" s="880"/>
      <c r="P35" s="58"/>
      <c r="Q35" s="317" t="str">
        <f t="shared" si="6"/>
        <v/>
      </c>
      <c r="R35" s="317" t="str">
        <f t="shared" si="7"/>
        <v/>
      </c>
      <c r="S35" s="317" t="str">
        <f t="shared" si="8"/>
        <v/>
      </c>
      <c r="V35" s="314">
        <f>SUM(ORÇAMENTO!N35)</f>
        <v>0</v>
      </c>
      <c r="W35" s="315">
        <f t="shared" si="10"/>
        <v>0</v>
      </c>
    </row>
    <row r="36" spans="1:23" ht="15" hidden="1" customHeight="1">
      <c r="A36" s="63" t="s">
        <v>1510</v>
      </c>
      <c r="B36" s="1220" t="s">
        <v>2229</v>
      </c>
      <c r="C36" s="1219" t="s">
        <v>2224</v>
      </c>
      <c r="D36" s="881" t="s">
        <v>2230</v>
      </c>
      <c r="E36" s="882"/>
      <c r="F36" s="883"/>
      <c r="G36" s="887"/>
      <c r="H36" s="864">
        <v>98.05</v>
      </c>
      <c r="I36" s="876">
        <f t="shared" si="3"/>
        <v>98.05</v>
      </c>
      <c r="J36" s="877">
        <f t="shared" si="9"/>
        <v>119.84</v>
      </c>
      <c r="K36" s="878" t="s">
        <v>15</v>
      </c>
      <c r="L36" s="885">
        <f>ROUND(SUM(ORÇAMENTO!L36),2)</f>
        <v>0</v>
      </c>
      <c r="M36" s="886">
        <f t="shared" si="4"/>
        <v>0</v>
      </c>
      <c r="N36" s="868">
        <f t="shared" si="5"/>
        <v>0</v>
      </c>
      <c r="O36" s="880"/>
      <c r="P36" s="58"/>
      <c r="Q36" s="317" t="str">
        <f t="shared" si="6"/>
        <v/>
      </c>
      <c r="R36" s="317" t="str">
        <f t="shared" si="7"/>
        <v/>
      </c>
      <c r="S36" s="317" t="str">
        <f t="shared" si="8"/>
        <v/>
      </c>
      <c r="V36" s="314">
        <f>SUM(ORÇAMENTO!N36)</f>
        <v>0</v>
      </c>
      <c r="W36" s="315">
        <f t="shared" si="10"/>
        <v>0</v>
      </c>
    </row>
    <row r="37" spans="1:23" ht="15" hidden="1" customHeight="1">
      <c r="A37" s="63">
        <v>841000</v>
      </c>
      <c r="B37" s="870" t="s">
        <v>1526</v>
      </c>
      <c r="C37" s="871" t="s">
        <v>184</v>
      </c>
      <c r="D37" s="872" t="s">
        <v>445</v>
      </c>
      <c r="E37" s="873"/>
      <c r="F37" s="874"/>
      <c r="G37" s="875"/>
      <c r="H37" s="864">
        <v>12.51</v>
      </c>
      <c r="I37" s="876">
        <f t="shared" si="3"/>
        <v>12.51</v>
      </c>
      <c r="J37" s="877">
        <f t="shared" si="9"/>
        <v>15.29</v>
      </c>
      <c r="K37" s="878" t="s">
        <v>13</v>
      </c>
      <c r="L37" s="885">
        <f>ROUND(SUM(ORÇAMENTO!L37),2)</f>
        <v>0</v>
      </c>
      <c r="M37" s="886">
        <f t="shared" si="4"/>
        <v>0</v>
      </c>
      <c r="N37" s="868">
        <f t="shared" si="5"/>
        <v>0</v>
      </c>
      <c r="O37" s="880"/>
      <c r="Q37" s="317" t="str">
        <f t="shared" si="6"/>
        <v/>
      </c>
      <c r="R37" s="317" t="str">
        <f t="shared" si="7"/>
        <v/>
      </c>
      <c r="S37" s="317" t="str">
        <f t="shared" si="8"/>
        <v/>
      </c>
      <c r="V37" s="314">
        <f>SUM(ORÇAMENTO!N37)</f>
        <v>0</v>
      </c>
      <c r="W37" s="315">
        <f t="shared" si="10"/>
        <v>0</v>
      </c>
    </row>
    <row r="38" spans="1:23" ht="15" hidden="1" customHeight="1">
      <c r="A38" s="63">
        <v>840000</v>
      </c>
      <c r="B38" s="870" t="s">
        <v>1527</v>
      </c>
      <c r="C38" s="871" t="s">
        <v>184</v>
      </c>
      <c r="D38" s="872" t="s">
        <v>264</v>
      </c>
      <c r="E38" s="873"/>
      <c r="F38" s="874"/>
      <c r="G38" s="875"/>
      <c r="H38" s="864">
        <v>34.53</v>
      </c>
      <c r="I38" s="876">
        <f t="shared" si="3"/>
        <v>34.53</v>
      </c>
      <c r="J38" s="877">
        <f t="shared" si="9"/>
        <v>42.2</v>
      </c>
      <c r="K38" s="878" t="s">
        <v>13</v>
      </c>
      <c r="L38" s="885">
        <f>ROUND(SUM(ORÇAMENTO!L38),2)</f>
        <v>0</v>
      </c>
      <c r="M38" s="886">
        <f t="shared" si="4"/>
        <v>0</v>
      </c>
      <c r="N38" s="868">
        <f t="shared" si="5"/>
        <v>0</v>
      </c>
      <c r="O38" s="880"/>
      <c r="Q38" s="317" t="str">
        <f t="shared" si="6"/>
        <v/>
      </c>
      <c r="R38" s="317" t="str">
        <f t="shared" si="7"/>
        <v/>
      </c>
      <c r="S38" s="317" t="str">
        <f t="shared" si="8"/>
        <v/>
      </c>
      <c r="V38" s="314">
        <f>SUM(ORÇAMENTO!N38)</f>
        <v>0</v>
      </c>
      <c r="W38" s="315">
        <f t="shared" si="10"/>
        <v>0</v>
      </c>
    </row>
    <row r="39" spans="1:23" ht="15" hidden="1" customHeight="1">
      <c r="A39" s="63">
        <v>100981</v>
      </c>
      <c r="B39" s="870">
        <v>100981</v>
      </c>
      <c r="C39" s="871" t="s">
        <v>590</v>
      </c>
      <c r="D39" s="872" t="s">
        <v>482</v>
      </c>
      <c r="E39" s="873"/>
      <c r="F39" s="874"/>
      <c r="G39" s="875"/>
      <c r="H39" s="876">
        <v>9.25</v>
      </c>
      <c r="I39" s="876">
        <f t="shared" si="3"/>
        <v>9.25</v>
      </c>
      <c r="J39" s="877">
        <f t="shared" si="9"/>
        <v>11.31</v>
      </c>
      <c r="K39" s="878" t="s">
        <v>10</v>
      </c>
      <c r="L39" s="885">
        <f>ROUND(SUM(ORÇAMENTO!L39),2)</f>
        <v>0</v>
      </c>
      <c r="M39" s="886">
        <f t="shared" si="4"/>
        <v>0</v>
      </c>
      <c r="N39" s="868">
        <f t="shared" si="5"/>
        <v>0</v>
      </c>
      <c r="O39" s="880"/>
      <c r="Q39" s="317" t="str">
        <f t="shared" si="6"/>
        <v/>
      </c>
      <c r="R39" s="317" t="str">
        <f t="shared" si="7"/>
        <v/>
      </c>
      <c r="S39" s="317" t="str">
        <f t="shared" si="8"/>
        <v/>
      </c>
      <c r="V39" s="314">
        <f>SUM(ORÇAMENTO!N39)</f>
        <v>0</v>
      </c>
      <c r="W39" s="315">
        <f t="shared" si="10"/>
        <v>0</v>
      </c>
    </row>
    <row r="40" spans="1:23" ht="15" hidden="1" customHeight="1">
      <c r="A40" s="63">
        <v>97623</v>
      </c>
      <c r="B40" s="870" t="s">
        <v>1706</v>
      </c>
      <c r="C40" s="871" t="s">
        <v>590</v>
      </c>
      <c r="D40" s="872" t="s">
        <v>1708</v>
      </c>
      <c r="E40" s="873"/>
      <c r="F40" s="874"/>
      <c r="G40" s="875"/>
      <c r="H40" s="876">
        <v>201.31</v>
      </c>
      <c r="I40" s="876">
        <f t="shared" si="3"/>
        <v>201.31</v>
      </c>
      <c r="J40" s="877">
        <f t="shared" si="9"/>
        <v>246.04</v>
      </c>
      <c r="K40" s="878" t="s">
        <v>10</v>
      </c>
      <c r="L40" s="885">
        <f>ROUND(SUM(ORÇAMENTO!L40),2)</f>
        <v>0</v>
      </c>
      <c r="M40" s="886">
        <f t="shared" si="4"/>
        <v>0</v>
      </c>
      <c r="N40" s="868">
        <f t="shared" si="5"/>
        <v>0</v>
      </c>
      <c r="O40" s="880"/>
      <c r="Q40" s="317" t="str">
        <f t="shared" si="6"/>
        <v/>
      </c>
      <c r="R40" s="317" t="str">
        <f t="shared" si="7"/>
        <v/>
      </c>
      <c r="S40" s="317" t="str">
        <f t="shared" si="8"/>
        <v/>
      </c>
      <c r="V40" s="314">
        <f>SUM(ORÇAMENTO!N40)</f>
        <v>0</v>
      </c>
      <c r="W40" s="315">
        <f t="shared" si="10"/>
        <v>0</v>
      </c>
    </row>
    <row r="41" spans="1:23" ht="15" hidden="1" customHeight="1">
      <c r="A41" s="63">
        <v>97624</v>
      </c>
      <c r="B41" s="870" t="s">
        <v>1703</v>
      </c>
      <c r="C41" s="871" t="s">
        <v>590</v>
      </c>
      <c r="D41" s="872" t="s">
        <v>1705</v>
      </c>
      <c r="E41" s="873"/>
      <c r="F41" s="874"/>
      <c r="G41" s="875"/>
      <c r="H41" s="876">
        <v>123.54</v>
      </c>
      <c r="I41" s="876">
        <f t="shared" si="3"/>
        <v>123.54</v>
      </c>
      <c r="J41" s="877">
        <f t="shared" si="9"/>
        <v>150.99</v>
      </c>
      <c r="K41" s="878" t="s">
        <v>10</v>
      </c>
      <c r="L41" s="885">
        <f>ROUND(SUM(ORÇAMENTO!L41),2)</f>
        <v>0</v>
      </c>
      <c r="M41" s="886">
        <f t="shared" si="4"/>
        <v>0</v>
      </c>
      <c r="N41" s="868">
        <f t="shared" si="5"/>
        <v>0</v>
      </c>
      <c r="O41" s="880"/>
      <c r="Q41" s="317" t="str">
        <f t="shared" si="6"/>
        <v/>
      </c>
      <c r="R41" s="317" t="str">
        <f t="shared" si="7"/>
        <v/>
      </c>
      <c r="S41" s="317" t="str">
        <f t="shared" si="8"/>
        <v/>
      </c>
      <c r="V41" s="314">
        <f>SUM(ORÇAMENTO!N41)</f>
        <v>0</v>
      </c>
      <c r="W41" s="315">
        <f t="shared" si="10"/>
        <v>0</v>
      </c>
    </row>
    <row r="42" spans="1:23" ht="15" hidden="1" customHeight="1">
      <c r="A42" s="63">
        <v>606500</v>
      </c>
      <c r="B42" s="870" t="s">
        <v>1709</v>
      </c>
      <c r="C42" s="871" t="s">
        <v>184</v>
      </c>
      <c r="D42" s="872" t="s">
        <v>466</v>
      </c>
      <c r="E42" s="873"/>
      <c r="F42" s="874"/>
      <c r="G42" s="875"/>
      <c r="H42" s="864">
        <v>182.46</v>
      </c>
      <c r="I42" s="876">
        <f t="shared" si="3"/>
        <v>182.46</v>
      </c>
      <c r="J42" s="877">
        <f t="shared" si="9"/>
        <v>223</v>
      </c>
      <c r="K42" s="878" t="s">
        <v>10</v>
      </c>
      <c r="L42" s="885">
        <f>ROUND(SUM(ORÇAMENTO!L42),2)</f>
        <v>0</v>
      </c>
      <c r="M42" s="886">
        <f t="shared" si="4"/>
        <v>0</v>
      </c>
      <c r="N42" s="868">
        <f t="shared" si="5"/>
        <v>0</v>
      </c>
      <c r="O42" s="880"/>
      <c r="Q42" s="317" t="str">
        <f t="shared" si="6"/>
        <v/>
      </c>
      <c r="R42" s="317" t="str">
        <f t="shared" si="7"/>
        <v/>
      </c>
      <c r="S42" s="317" t="str">
        <f t="shared" si="8"/>
        <v/>
      </c>
      <c r="V42" s="314">
        <f>SUM(ORÇAMENTO!N42)</f>
        <v>0</v>
      </c>
      <c r="W42" s="315">
        <f t="shared" si="10"/>
        <v>0</v>
      </c>
    </row>
    <row r="43" spans="1:23" ht="15" hidden="1" customHeight="1">
      <c r="A43" s="560" t="s">
        <v>165</v>
      </c>
      <c r="B43" s="888" t="s">
        <v>165</v>
      </c>
      <c r="C43" s="889"/>
      <c r="D43" s="890" t="s">
        <v>433</v>
      </c>
      <c r="E43" s="891"/>
      <c r="F43" s="892"/>
      <c r="G43" s="893"/>
      <c r="H43" s="894">
        <v>0</v>
      </c>
      <c r="I43" s="894"/>
      <c r="J43" s="894">
        <v>0</v>
      </c>
      <c r="K43" s="895" t="s">
        <v>506</v>
      </c>
      <c r="L43" s="896">
        <f>ROUND(SUM(ORÇAMENTO!L43),2)</f>
        <v>0</v>
      </c>
      <c r="M43" s="897">
        <f t="shared" si="4"/>
        <v>0</v>
      </c>
      <c r="N43" s="898">
        <f t="shared" si="5"/>
        <v>0</v>
      </c>
      <c r="O43" s="880"/>
      <c r="P43" s="58" t="str">
        <f>IF(OR(SUM(N44:N68)&gt;0,SUM(N44:N68)&gt;0),"y","")</f>
        <v/>
      </c>
      <c r="Q43" s="317" t="str">
        <f t="shared" si="6"/>
        <v/>
      </c>
      <c r="R43" s="317" t="str">
        <f t="shared" si="7"/>
        <v/>
      </c>
      <c r="S43" s="317" t="str">
        <f t="shared" si="8"/>
        <v/>
      </c>
      <c r="V43" s="314">
        <f>SUM(ORÇAMENTO!N43)</f>
        <v>0</v>
      </c>
      <c r="W43" s="315">
        <f t="shared" si="10"/>
        <v>0</v>
      </c>
    </row>
    <row r="44" spans="1:23" ht="15" hidden="1" customHeight="1">
      <c r="A44" s="560" t="s">
        <v>165</v>
      </c>
      <c r="B44" s="899"/>
      <c r="C44" s="900"/>
      <c r="D44" s="901"/>
      <c r="E44" s="902"/>
      <c r="F44" s="903"/>
      <c r="G44" s="904"/>
      <c r="H44" s="905">
        <v>0</v>
      </c>
      <c r="I44" s="876">
        <f t="shared" ref="I44:I68" si="12">IF(ISBLANK(H44),"",SUM(G44:H44))</f>
        <v>0</v>
      </c>
      <c r="J44" s="877">
        <f t="shared" ref="J44:J68" si="13">IF(ISBLANK(H44),0,ROUND(I44*(1+$E$10),2))</f>
        <v>0</v>
      </c>
      <c r="K44" s="903"/>
      <c r="L44" s="879">
        <f>ROUND(SUM(ORÇAMENTO!L44),2)</f>
        <v>0</v>
      </c>
      <c r="M44" s="879">
        <f t="shared" si="4"/>
        <v>0</v>
      </c>
      <c r="N44" s="868">
        <f t="shared" si="5"/>
        <v>0</v>
      </c>
      <c r="O44" s="880"/>
      <c r="Q44" s="317" t="str">
        <f t="shared" si="6"/>
        <v/>
      </c>
      <c r="R44" s="317" t="str">
        <f t="shared" si="7"/>
        <v/>
      </c>
      <c r="S44" s="317" t="str">
        <f t="shared" si="8"/>
        <v/>
      </c>
      <c r="V44" s="314">
        <f>SUM(ORÇAMENTO!N44)</f>
        <v>0</v>
      </c>
      <c r="W44" s="315">
        <f t="shared" si="10"/>
        <v>0</v>
      </c>
    </row>
    <row r="45" spans="1:23" ht="15" hidden="1" customHeight="1">
      <c r="A45" s="560" t="s">
        <v>165</v>
      </c>
      <c r="B45" s="899" t="s">
        <v>165</v>
      </c>
      <c r="C45" s="900" t="s">
        <v>165</v>
      </c>
      <c r="D45" s="906"/>
      <c r="E45" s="902"/>
      <c r="F45" s="903"/>
      <c r="G45" s="904"/>
      <c r="H45" s="905">
        <v>0</v>
      </c>
      <c r="I45" s="876">
        <f t="shared" si="12"/>
        <v>0</v>
      </c>
      <c r="J45" s="865">
        <f t="shared" si="13"/>
        <v>0</v>
      </c>
      <c r="K45" s="903" t="s">
        <v>506</v>
      </c>
      <c r="L45" s="879">
        <f>ROUND(SUM(ORÇAMENTO!L45),2)</f>
        <v>0</v>
      </c>
      <c r="M45" s="879">
        <f t="shared" si="4"/>
        <v>0</v>
      </c>
      <c r="N45" s="907">
        <f t="shared" si="5"/>
        <v>0</v>
      </c>
      <c r="O45" s="880"/>
      <c r="Q45" s="317" t="str">
        <f t="shared" si="6"/>
        <v/>
      </c>
      <c r="R45" s="317" t="str">
        <f t="shared" si="7"/>
        <v/>
      </c>
      <c r="S45" s="317" t="str">
        <f t="shared" si="8"/>
        <v/>
      </c>
      <c r="V45" s="314">
        <f>SUM(ORÇAMENTO!N45)</f>
        <v>0</v>
      </c>
      <c r="W45" s="315">
        <f t="shared" si="10"/>
        <v>0</v>
      </c>
    </row>
    <row r="46" spans="1:23" ht="15" hidden="1" customHeight="1">
      <c r="A46" s="560" t="s">
        <v>165</v>
      </c>
      <c r="B46" s="899" t="s">
        <v>165</v>
      </c>
      <c r="C46" s="900" t="s">
        <v>165</v>
      </c>
      <c r="D46" s="906"/>
      <c r="E46" s="902"/>
      <c r="F46" s="903"/>
      <c r="G46" s="904"/>
      <c r="H46" s="905">
        <v>0</v>
      </c>
      <c r="I46" s="876">
        <f t="shared" si="12"/>
        <v>0</v>
      </c>
      <c r="J46" s="865">
        <f t="shared" si="13"/>
        <v>0</v>
      </c>
      <c r="K46" s="903" t="s">
        <v>506</v>
      </c>
      <c r="L46" s="879">
        <f>ROUND(SUM(ORÇAMENTO!L46),2)</f>
        <v>0</v>
      </c>
      <c r="M46" s="879">
        <f t="shared" si="4"/>
        <v>0</v>
      </c>
      <c r="N46" s="868">
        <f t="shared" si="5"/>
        <v>0</v>
      </c>
      <c r="O46" s="880"/>
      <c r="Q46" s="317" t="str">
        <f t="shared" si="6"/>
        <v/>
      </c>
      <c r="R46" s="317" t="str">
        <f t="shared" si="7"/>
        <v/>
      </c>
      <c r="S46" s="317" t="str">
        <f t="shared" si="8"/>
        <v/>
      </c>
      <c r="V46" s="314">
        <f>SUM(ORÇAMENTO!N46)</f>
        <v>0</v>
      </c>
      <c r="W46" s="315">
        <f t="shared" si="10"/>
        <v>0</v>
      </c>
    </row>
    <row r="47" spans="1:23" ht="15" hidden="1" customHeight="1">
      <c r="A47" s="560" t="s">
        <v>165</v>
      </c>
      <c r="B47" s="899" t="s">
        <v>165</v>
      </c>
      <c r="C47" s="900" t="s">
        <v>165</v>
      </c>
      <c r="D47" s="906"/>
      <c r="E47" s="902"/>
      <c r="F47" s="903"/>
      <c r="G47" s="904"/>
      <c r="H47" s="905">
        <v>0</v>
      </c>
      <c r="I47" s="876">
        <f t="shared" si="12"/>
        <v>0</v>
      </c>
      <c r="J47" s="865">
        <f t="shared" si="13"/>
        <v>0</v>
      </c>
      <c r="K47" s="903" t="s">
        <v>506</v>
      </c>
      <c r="L47" s="879">
        <f>ROUND(SUM(ORÇAMENTO!L47),2)</f>
        <v>0</v>
      </c>
      <c r="M47" s="879">
        <f t="shared" si="4"/>
        <v>0</v>
      </c>
      <c r="N47" s="868">
        <f t="shared" si="5"/>
        <v>0</v>
      </c>
      <c r="O47" s="880"/>
      <c r="Q47" s="317" t="str">
        <f t="shared" si="6"/>
        <v/>
      </c>
      <c r="R47" s="317" t="str">
        <f t="shared" si="7"/>
        <v/>
      </c>
      <c r="S47" s="317" t="str">
        <f t="shared" si="8"/>
        <v/>
      </c>
      <c r="V47" s="314">
        <f>SUM(ORÇAMENTO!N47)</f>
        <v>0</v>
      </c>
      <c r="W47" s="315">
        <f t="shared" si="10"/>
        <v>0</v>
      </c>
    </row>
    <row r="48" spans="1:23" ht="15" hidden="1" customHeight="1">
      <c r="A48" s="560" t="s">
        <v>165</v>
      </c>
      <c r="B48" s="899" t="s">
        <v>165</v>
      </c>
      <c r="C48" s="900" t="s">
        <v>165</v>
      </c>
      <c r="D48" s="906"/>
      <c r="E48" s="902"/>
      <c r="F48" s="903"/>
      <c r="G48" s="904"/>
      <c r="H48" s="905">
        <v>0</v>
      </c>
      <c r="I48" s="876">
        <f t="shared" si="12"/>
        <v>0</v>
      </c>
      <c r="J48" s="865">
        <f t="shared" si="13"/>
        <v>0</v>
      </c>
      <c r="K48" s="903" t="s">
        <v>506</v>
      </c>
      <c r="L48" s="879">
        <f>ROUND(SUM(ORÇAMENTO!L48),2)</f>
        <v>0</v>
      </c>
      <c r="M48" s="879">
        <f t="shared" si="4"/>
        <v>0</v>
      </c>
      <c r="N48" s="868">
        <f t="shared" si="5"/>
        <v>0</v>
      </c>
      <c r="O48" s="880"/>
      <c r="Q48" s="317" t="str">
        <f t="shared" si="6"/>
        <v/>
      </c>
      <c r="R48" s="317" t="str">
        <f t="shared" si="7"/>
        <v/>
      </c>
      <c r="S48" s="317" t="str">
        <f t="shared" si="8"/>
        <v/>
      </c>
      <c r="V48" s="314">
        <f>SUM(ORÇAMENTO!N48)</f>
        <v>0</v>
      </c>
      <c r="W48" s="315">
        <f t="shared" si="10"/>
        <v>0</v>
      </c>
    </row>
    <row r="49" spans="1:23" ht="15" hidden="1" customHeight="1">
      <c r="A49" s="560" t="s">
        <v>165</v>
      </c>
      <c r="B49" s="899" t="s">
        <v>165</v>
      </c>
      <c r="C49" s="900" t="s">
        <v>165</v>
      </c>
      <c r="D49" s="906"/>
      <c r="E49" s="902"/>
      <c r="F49" s="903"/>
      <c r="G49" s="904"/>
      <c r="H49" s="905">
        <v>0</v>
      </c>
      <c r="I49" s="876">
        <f t="shared" si="12"/>
        <v>0</v>
      </c>
      <c r="J49" s="865">
        <f t="shared" si="13"/>
        <v>0</v>
      </c>
      <c r="K49" s="903" t="s">
        <v>506</v>
      </c>
      <c r="L49" s="879">
        <f>ROUND(SUM(ORÇAMENTO!L49),2)</f>
        <v>0</v>
      </c>
      <c r="M49" s="879">
        <f t="shared" si="4"/>
        <v>0</v>
      </c>
      <c r="N49" s="868">
        <f t="shared" si="5"/>
        <v>0</v>
      </c>
      <c r="O49" s="880"/>
      <c r="Q49" s="317" t="str">
        <f t="shared" si="6"/>
        <v/>
      </c>
      <c r="R49" s="317" t="str">
        <f t="shared" si="7"/>
        <v/>
      </c>
      <c r="S49" s="317" t="str">
        <f t="shared" si="8"/>
        <v/>
      </c>
      <c r="V49" s="314">
        <f>SUM(ORÇAMENTO!N49)</f>
        <v>0</v>
      </c>
      <c r="W49" s="315">
        <f t="shared" si="10"/>
        <v>0</v>
      </c>
    </row>
    <row r="50" spans="1:23" ht="15" hidden="1" customHeight="1">
      <c r="A50" s="560" t="s">
        <v>165</v>
      </c>
      <c r="B50" s="899" t="s">
        <v>165</v>
      </c>
      <c r="C50" s="900" t="s">
        <v>165</v>
      </c>
      <c r="D50" s="906"/>
      <c r="E50" s="902"/>
      <c r="F50" s="903"/>
      <c r="G50" s="904"/>
      <c r="H50" s="905">
        <v>0</v>
      </c>
      <c r="I50" s="876">
        <f t="shared" si="12"/>
        <v>0</v>
      </c>
      <c r="J50" s="865">
        <f t="shared" si="13"/>
        <v>0</v>
      </c>
      <c r="K50" s="903" t="s">
        <v>506</v>
      </c>
      <c r="L50" s="879">
        <f>ROUND(SUM(ORÇAMENTO!L50),2)</f>
        <v>0</v>
      </c>
      <c r="M50" s="879">
        <f t="shared" si="4"/>
        <v>0</v>
      </c>
      <c r="N50" s="868">
        <f t="shared" si="5"/>
        <v>0</v>
      </c>
      <c r="O50" s="880"/>
      <c r="Q50" s="317" t="str">
        <f t="shared" si="6"/>
        <v/>
      </c>
      <c r="R50" s="317" t="str">
        <f t="shared" si="7"/>
        <v/>
      </c>
      <c r="S50" s="317" t="str">
        <f t="shared" si="8"/>
        <v/>
      </c>
      <c r="V50" s="314">
        <f>SUM(ORÇAMENTO!N50)</f>
        <v>0</v>
      </c>
      <c r="W50" s="315">
        <f t="shared" si="10"/>
        <v>0</v>
      </c>
    </row>
    <row r="51" spans="1:23" ht="15" hidden="1" customHeight="1">
      <c r="A51" s="560" t="s">
        <v>165</v>
      </c>
      <c r="B51" s="899" t="s">
        <v>165</v>
      </c>
      <c r="C51" s="900" t="s">
        <v>165</v>
      </c>
      <c r="D51" s="906"/>
      <c r="E51" s="902"/>
      <c r="F51" s="903"/>
      <c r="G51" s="904"/>
      <c r="H51" s="905">
        <v>0</v>
      </c>
      <c r="I51" s="876">
        <f t="shared" si="12"/>
        <v>0</v>
      </c>
      <c r="J51" s="865">
        <f t="shared" si="13"/>
        <v>0</v>
      </c>
      <c r="K51" s="903" t="s">
        <v>506</v>
      </c>
      <c r="L51" s="879">
        <f>ROUND(SUM(ORÇAMENTO!L51),2)</f>
        <v>0</v>
      </c>
      <c r="M51" s="879">
        <f t="shared" si="4"/>
        <v>0</v>
      </c>
      <c r="N51" s="868">
        <f t="shared" si="5"/>
        <v>0</v>
      </c>
      <c r="O51" s="880"/>
      <c r="Q51" s="317" t="str">
        <f t="shared" si="6"/>
        <v/>
      </c>
      <c r="R51" s="317" t="str">
        <f t="shared" si="7"/>
        <v/>
      </c>
      <c r="S51" s="317" t="str">
        <f t="shared" si="8"/>
        <v/>
      </c>
      <c r="V51" s="314">
        <f>SUM(ORÇAMENTO!N51)</f>
        <v>0</v>
      </c>
      <c r="W51" s="315">
        <f t="shared" si="10"/>
        <v>0</v>
      </c>
    </row>
    <row r="52" spans="1:23" ht="15" hidden="1" customHeight="1">
      <c r="A52" s="560" t="s">
        <v>165</v>
      </c>
      <c r="B52" s="899" t="s">
        <v>165</v>
      </c>
      <c r="C52" s="900" t="s">
        <v>165</v>
      </c>
      <c r="D52" s="906"/>
      <c r="E52" s="902"/>
      <c r="F52" s="903"/>
      <c r="G52" s="904"/>
      <c r="H52" s="905">
        <v>0</v>
      </c>
      <c r="I52" s="876">
        <f t="shared" si="12"/>
        <v>0</v>
      </c>
      <c r="J52" s="865">
        <f t="shared" si="13"/>
        <v>0</v>
      </c>
      <c r="K52" s="903" t="s">
        <v>506</v>
      </c>
      <c r="L52" s="879">
        <f>ROUND(SUM(ORÇAMENTO!L52),2)</f>
        <v>0</v>
      </c>
      <c r="M52" s="879">
        <f t="shared" si="4"/>
        <v>0</v>
      </c>
      <c r="N52" s="868">
        <f t="shared" si="5"/>
        <v>0</v>
      </c>
      <c r="O52" s="880"/>
      <c r="Q52" s="317" t="str">
        <f t="shared" si="6"/>
        <v/>
      </c>
      <c r="R52" s="317" t="str">
        <f t="shared" si="7"/>
        <v/>
      </c>
      <c r="S52" s="317" t="str">
        <f t="shared" si="8"/>
        <v/>
      </c>
      <c r="V52" s="314">
        <f>SUM(ORÇAMENTO!N52)</f>
        <v>0</v>
      </c>
      <c r="W52" s="315">
        <f t="shared" si="10"/>
        <v>0</v>
      </c>
    </row>
    <row r="53" spans="1:23" ht="15" hidden="1" customHeight="1">
      <c r="A53" s="560" t="s">
        <v>165</v>
      </c>
      <c r="B53" s="899" t="s">
        <v>165</v>
      </c>
      <c r="C53" s="900" t="s">
        <v>165</v>
      </c>
      <c r="D53" s="906"/>
      <c r="E53" s="902"/>
      <c r="F53" s="903"/>
      <c r="G53" s="904"/>
      <c r="H53" s="905">
        <v>0</v>
      </c>
      <c r="I53" s="876">
        <f t="shared" si="12"/>
        <v>0</v>
      </c>
      <c r="J53" s="865">
        <f t="shared" si="13"/>
        <v>0</v>
      </c>
      <c r="K53" s="903" t="s">
        <v>506</v>
      </c>
      <c r="L53" s="879">
        <f>ROUND(SUM(ORÇAMENTO!L53),2)</f>
        <v>0</v>
      </c>
      <c r="M53" s="879">
        <f t="shared" si="4"/>
        <v>0</v>
      </c>
      <c r="N53" s="868">
        <f t="shared" si="5"/>
        <v>0</v>
      </c>
      <c r="O53" s="880"/>
      <c r="Q53" s="317" t="str">
        <f t="shared" si="6"/>
        <v/>
      </c>
      <c r="R53" s="317" t="str">
        <f t="shared" si="7"/>
        <v/>
      </c>
      <c r="S53" s="317" t="str">
        <f t="shared" si="8"/>
        <v/>
      </c>
      <c r="V53" s="314">
        <f>SUM(ORÇAMENTO!N53)</f>
        <v>0</v>
      </c>
      <c r="W53" s="315">
        <f t="shared" si="10"/>
        <v>0</v>
      </c>
    </row>
    <row r="54" spans="1:23" ht="15" hidden="1" customHeight="1">
      <c r="A54" s="560" t="s">
        <v>165</v>
      </c>
      <c r="B54" s="899" t="s">
        <v>165</v>
      </c>
      <c r="C54" s="900" t="s">
        <v>165</v>
      </c>
      <c r="D54" s="906"/>
      <c r="E54" s="902"/>
      <c r="F54" s="903"/>
      <c r="G54" s="904"/>
      <c r="H54" s="905">
        <v>0</v>
      </c>
      <c r="I54" s="876">
        <f t="shared" si="12"/>
        <v>0</v>
      </c>
      <c r="J54" s="865">
        <f t="shared" si="13"/>
        <v>0</v>
      </c>
      <c r="K54" s="903" t="s">
        <v>506</v>
      </c>
      <c r="L54" s="879">
        <f>ROUND(SUM(ORÇAMENTO!L54),2)</f>
        <v>0</v>
      </c>
      <c r="M54" s="879">
        <f t="shared" si="4"/>
        <v>0</v>
      </c>
      <c r="N54" s="868">
        <f t="shared" si="5"/>
        <v>0</v>
      </c>
      <c r="O54" s="880"/>
      <c r="Q54" s="317" t="str">
        <f t="shared" si="6"/>
        <v/>
      </c>
      <c r="R54" s="317" t="str">
        <f t="shared" si="7"/>
        <v/>
      </c>
      <c r="S54" s="317" t="str">
        <f t="shared" si="8"/>
        <v/>
      </c>
      <c r="V54" s="314">
        <f>SUM(ORÇAMENTO!N54)</f>
        <v>0</v>
      </c>
      <c r="W54" s="315">
        <f t="shared" si="10"/>
        <v>0</v>
      </c>
    </row>
    <row r="55" spans="1:23" ht="15" hidden="1" customHeight="1">
      <c r="A55" s="560" t="s">
        <v>165</v>
      </c>
      <c r="B55" s="899" t="s">
        <v>165</v>
      </c>
      <c r="C55" s="900" t="s">
        <v>165</v>
      </c>
      <c r="D55" s="906"/>
      <c r="E55" s="902"/>
      <c r="F55" s="903"/>
      <c r="G55" s="904"/>
      <c r="H55" s="905">
        <v>0</v>
      </c>
      <c r="I55" s="876">
        <f t="shared" si="12"/>
        <v>0</v>
      </c>
      <c r="J55" s="865">
        <f t="shared" si="13"/>
        <v>0</v>
      </c>
      <c r="K55" s="903" t="s">
        <v>506</v>
      </c>
      <c r="L55" s="879">
        <f>ROUND(SUM(ORÇAMENTO!L55),2)</f>
        <v>0</v>
      </c>
      <c r="M55" s="879">
        <f t="shared" si="4"/>
        <v>0</v>
      </c>
      <c r="N55" s="868">
        <f t="shared" si="5"/>
        <v>0</v>
      </c>
      <c r="O55" s="880"/>
      <c r="Q55" s="317" t="str">
        <f t="shared" si="6"/>
        <v/>
      </c>
      <c r="R55" s="317" t="str">
        <f t="shared" si="7"/>
        <v/>
      </c>
      <c r="S55" s="317" t="str">
        <f t="shared" si="8"/>
        <v/>
      </c>
      <c r="V55" s="314">
        <f>SUM(ORÇAMENTO!N55)</f>
        <v>0</v>
      </c>
      <c r="W55" s="315">
        <f t="shared" si="10"/>
        <v>0</v>
      </c>
    </row>
    <row r="56" spans="1:23" ht="15" hidden="1" customHeight="1">
      <c r="A56" s="560" t="s">
        <v>165</v>
      </c>
      <c r="B56" s="899" t="s">
        <v>165</v>
      </c>
      <c r="C56" s="900" t="s">
        <v>165</v>
      </c>
      <c r="D56" s="906"/>
      <c r="E56" s="902"/>
      <c r="F56" s="903"/>
      <c r="G56" s="904"/>
      <c r="H56" s="905">
        <v>0</v>
      </c>
      <c r="I56" s="876">
        <f t="shared" si="12"/>
        <v>0</v>
      </c>
      <c r="J56" s="865">
        <f t="shared" si="13"/>
        <v>0</v>
      </c>
      <c r="K56" s="903" t="s">
        <v>506</v>
      </c>
      <c r="L56" s="879">
        <f>ROUND(SUM(ORÇAMENTO!L56),2)</f>
        <v>0</v>
      </c>
      <c r="M56" s="879">
        <f t="shared" si="4"/>
        <v>0</v>
      </c>
      <c r="N56" s="868">
        <f t="shared" si="5"/>
        <v>0</v>
      </c>
      <c r="O56" s="880"/>
      <c r="Q56" s="317" t="str">
        <f t="shared" si="6"/>
        <v/>
      </c>
      <c r="R56" s="317" t="str">
        <f t="shared" si="7"/>
        <v/>
      </c>
      <c r="S56" s="317" t="str">
        <f t="shared" si="8"/>
        <v/>
      </c>
      <c r="V56" s="314">
        <f>SUM(ORÇAMENTO!N56)</f>
        <v>0</v>
      </c>
      <c r="W56" s="315">
        <f t="shared" si="10"/>
        <v>0</v>
      </c>
    </row>
    <row r="57" spans="1:23" ht="15" hidden="1" customHeight="1">
      <c r="A57" s="560" t="s">
        <v>165</v>
      </c>
      <c r="B57" s="899" t="s">
        <v>165</v>
      </c>
      <c r="C57" s="900" t="s">
        <v>165</v>
      </c>
      <c r="D57" s="906"/>
      <c r="E57" s="902"/>
      <c r="F57" s="903"/>
      <c r="G57" s="904"/>
      <c r="H57" s="905">
        <v>0</v>
      </c>
      <c r="I57" s="876">
        <f t="shared" si="12"/>
        <v>0</v>
      </c>
      <c r="J57" s="865">
        <f t="shared" si="13"/>
        <v>0</v>
      </c>
      <c r="K57" s="903" t="s">
        <v>506</v>
      </c>
      <c r="L57" s="879">
        <f>ROUND(SUM(ORÇAMENTO!L57),2)</f>
        <v>0</v>
      </c>
      <c r="M57" s="879">
        <f t="shared" si="4"/>
        <v>0</v>
      </c>
      <c r="N57" s="868">
        <f t="shared" si="5"/>
        <v>0</v>
      </c>
      <c r="O57" s="880"/>
      <c r="Q57" s="317" t="str">
        <f t="shared" si="6"/>
        <v/>
      </c>
      <c r="R57" s="317" t="str">
        <f t="shared" si="7"/>
        <v/>
      </c>
      <c r="S57" s="317" t="str">
        <f t="shared" si="8"/>
        <v/>
      </c>
      <c r="V57" s="314">
        <f>SUM(ORÇAMENTO!N57)</f>
        <v>0</v>
      </c>
      <c r="W57" s="315">
        <f t="shared" si="10"/>
        <v>0</v>
      </c>
    </row>
    <row r="58" spans="1:23" ht="15" hidden="1" customHeight="1">
      <c r="A58" s="560" t="s">
        <v>165</v>
      </c>
      <c r="B58" s="899" t="s">
        <v>165</v>
      </c>
      <c r="C58" s="900" t="s">
        <v>165</v>
      </c>
      <c r="D58" s="906"/>
      <c r="E58" s="902"/>
      <c r="F58" s="903"/>
      <c r="G58" s="904"/>
      <c r="H58" s="905">
        <v>0</v>
      </c>
      <c r="I58" s="876">
        <f t="shared" si="12"/>
        <v>0</v>
      </c>
      <c r="J58" s="865">
        <f t="shared" si="13"/>
        <v>0</v>
      </c>
      <c r="K58" s="903" t="s">
        <v>506</v>
      </c>
      <c r="L58" s="879">
        <f>ROUND(SUM(ORÇAMENTO!L58),2)</f>
        <v>0</v>
      </c>
      <c r="M58" s="879">
        <f t="shared" si="4"/>
        <v>0</v>
      </c>
      <c r="N58" s="868">
        <f t="shared" si="5"/>
        <v>0</v>
      </c>
      <c r="O58" s="880"/>
      <c r="Q58" s="317" t="str">
        <f t="shared" si="6"/>
        <v/>
      </c>
      <c r="R58" s="317" t="str">
        <f t="shared" si="7"/>
        <v/>
      </c>
      <c r="S58" s="317" t="str">
        <f t="shared" si="8"/>
        <v/>
      </c>
      <c r="V58" s="314">
        <f>SUM(ORÇAMENTO!N58)</f>
        <v>0</v>
      </c>
      <c r="W58" s="315">
        <f t="shared" si="10"/>
        <v>0</v>
      </c>
    </row>
    <row r="59" spans="1:23" ht="15" hidden="1" customHeight="1">
      <c r="A59" s="560" t="s">
        <v>165</v>
      </c>
      <c r="B59" s="899" t="s">
        <v>165</v>
      </c>
      <c r="C59" s="900" t="s">
        <v>165</v>
      </c>
      <c r="D59" s="906"/>
      <c r="E59" s="902"/>
      <c r="F59" s="903"/>
      <c r="G59" s="904"/>
      <c r="H59" s="905">
        <v>0</v>
      </c>
      <c r="I59" s="876">
        <f t="shared" si="12"/>
        <v>0</v>
      </c>
      <c r="J59" s="865">
        <f t="shared" si="13"/>
        <v>0</v>
      </c>
      <c r="K59" s="903" t="s">
        <v>506</v>
      </c>
      <c r="L59" s="879">
        <f>ROUND(SUM(ORÇAMENTO!L59),2)</f>
        <v>0</v>
      </c>
      <c r="M59" s="879">
        <f t="shared" si="4"/>
        <v>0</v>
      </c>
      <c r="N59" s="868">
        <f t="shared" si="5"/>
        <v>0</v>
      </c>
      <c r="O59" s="880"/>
      <c r="Q59" s="317" t="str">
        <f t="shared" si="6"/>
        <v/>
      </c>
      <c r="R59" s="317" t="str">
        <f t="shared" si="7"/>
        <v/>
      </c>
      <c r="S59" s="317" t="str">
        <f t="shared" si="8"/>
        <v/>
      </c>
      <c r="V59" s="314">
        <f>SUM(ORÇAMENTO!N59)</f>
        <v>0</v>
      </c>
      <c r="W59" s="315">
        <f t="shared" si="10"/>
        <v>0</v>
      </c>
    </row>
    <row r="60" spans="1:23" ht="15" hidden="1" customHeight="1">
      <c r="A60" s="560" t="s">
        <v>165</v>
      </c>
      <c r="B60" s="899" t="s">
        <v>165</v>
      </c>
      <c r="C60" s="900" t="s">
        <v>165</v>
      </c>
      <c r="D60" s="906"/>
      <c r="E60" s="902"/>
      <c r="F60" s="903"/>
      <c r="G60" s="904"/>
      <c r="H60" s="905">
        <v>0</v>
      </c>
      <c r="I60" s="876">
        <f t="shared" si="12"/>
        <v>0</v>
      </c>
      <c r="J60" s="865">
        <f t="shared" si="13"/>
        <v>0</v>
      </c>
      <c r="K60" s="903" t="s">
        <v>506</v>
      </c>
      <c r="L60" s="879">
        <f>ROUND(SUM(ORÇAMENTO!L60),2)</f>
        <v>0</v>
      </c>
      <c r="M60" s="879">
        <f t="shared" si="4"/>
        <v>0</v>
      </c>
      <c r="N60" s="868">
        <f t="shared" si="5"/>
        <v>0</v>
      </c>
      <c r="O60" s="880"/>
      <c r="Q60" s="317" t="str">
        <f t="shared" si="6"/>
        <v/>
      </c>
      <c r="R60" s="317" t="str">
        <f t="shared" si="7"/>
        <v/>
      </c>
      <c r="S60" s="317" t="str">
        <f t="shared" si="8"/>
        <v/>
      </c>
      <c r="V60" s="314">
        <f>SUM(ORÇAMENTO!N60)</f>
        <v>0</v>
      </c>
      <c r="W60" s="315">
        <f t="shared" si="10"/>
        <v>0</v>
      </c>
    </row>
    <row r="61" spans="1:23" ht="15" hidden="1" customHeight="1">
      <c r="A61" s="560" t="s">
        <v>165</v>
      </c>
      <c r="B61" s="899" t="s">
        <v>165</v>
      </c>
      <c r="C61" s="900" t="s">
        <v>165</v>
      </c>
      <c r="D61" s="906"/>
      <c r="E61" s="902"/>
      <c r="F61" s="903"/>
      <c r="G61" s="904"/>
      <c r="H61" s="905">
        <v>0</v>
      </c>
      <c r="I61" s="876">
        <f t="shared" si="12"/>
        <v>0</v>
      </c>
      <c r="J61" s="865">
        <f t="shared" si="13"/>
        <v>0</v>
      </c>
      <c r="K61" s="903" t="s">
        <v>506</v>
      </c>
      <c r="L61" s="879">
        <f>ROUND(SUM(ORÇAMENTO!L61),2)</f>
        <v>0</v>
      </c>
      <c r="M61" s="879">
        <f t="shared" si="4"/>
        <v>0</v>
      </c>
      <c r="N61" s="868">
        <f t="shared" si="5"/>
        <v>0</v>
      </c>
      <c r="O61" s="880"/>
      <c r="Q61" s="317" t="str">
        <f t="shared" si="6"/>
        <v/>
      </c>
      <c r="R61" s="317" t="str">
        <f t="shared" si="7"/>
        <v/>
      </c>
      <c r="S61" s="317" t="str">
        <f t="shared" si="8"/>
        <v/>
      </c>
      <c r="V61" s="314">
        <f>SUM(ORÇAMENTO!N61)</f>
        <v>0</v>
      </c>
      <c r="W61" s="315">
        <f t="shared" si="10"/>
        <v>0</v>
      </c>
    </row>
    <row r="62" spans="1:23" ht="15" hidden="1" customHeight="1">
      <c r="A62" s="560" t="s">
        <v>165</v>
      </c>
      <c r="B62" s="899" t="s">
        <v>165</v>
      </c>
      <c r="C62" s="900" t="s">
        <v>165</v>
      </c>
      <c r="D62" s="906"/>
      <c r="E62" s="902"/>
      <c r="F62" s="903"/>
      <c r="G62" s="904"/>
      <c r="H62" s="905">
        <v>0</v>
      </c>
      <c r="I62" s="876">
        <f t="shared" si="12"/>
        <v>0</v>
      </c>
      <c r="J62" s="865">
        <f t="shared" si="13"/>
        <v>0</v>
      </c>
      <c r="K62" s="903" t="s">
        <v>506</v>
      </c>
      <c r="L62" s="879">
        <f>ROUND(SUM(ORÇAMENTO!L62),2)</f>
        <v>0</v>
      </c>
      <c r="M62" s="879">
        <f t="shared" si="4"/>
        <v>0</v>
      </c>
      <c r="N62" s="868">
        <f t="shared" si="5"/>
        <v>0</v>
      </c>
      <c r="O62" s="880"/>
      <c r="Q62" s="317" t="str">
        <f t="shared" si="6"/>
        <v/>
      </c>
      <c r="R62" s="317" t="str">
        <f t="shared" si="7"/>
        <v/>
      </c>
      <c r="S62" s="317" t="str">
        <f t="shared" si="8"/>
        <v/>
      </c>
      <c r="V62" s="314">
        <f>SUM(ORÇAMENTO!N62)</f>
        <v>0</v>
      </c>
      <c r="W62" s="315">
        <f t="shared" si="10"/>
        <v>0</v>
      </c>
    </row>
    <row r="63" spans="1:23" ht="15" hidden="1" customHeight="1">
      <c r="A63" s="560" t="s">
        <v>165</v>
      </c>
      <c r="B63" s="899" t="s">
        <v>165</v>
      </c>
      <c r="C63" s="900" t="s">
        <v>165</v>
      </c>
      <c r="D63" s="906"/>
      <c r="E63" s="902"/>
      <c r="F63" s="903"/>
      <c r="G63" s="904"/>
      <c r="H63" s="905">
        <v>0</v>
      </c>
      <c r="I63" s="876">
        <f t="shared" si="12"/>
        <v>0</v>
      </c>
      <c r="J63" s="865">
        <f t="shared" si="13"/>
        <v>0</v>
      </c>
      <c r="K63" s="903" t="s">
        <v>506</v>
      </c>
      <c r="L63" s="879">
        <f>ROUND(SUM(ORÇAMENTO!L63),2)</f>
        <v>0</v>
      </c>
      <c r="M63" s="879">
        <f t="shared" si="4"/>
        <v>0</v>
      </c>
      <c r="N63" s="868">
        <f t="shared" si="5"/>
        <v>0</v>
      </c>
      <c r="O63" s="880"/>
      <c r="Q63" s="317" t="str">
        <f t="shared" si="6"/>
        <v/>
      </c>
      <c r="R63" s="317" t="str">
        <f t="shared" si="7"/>
        <v/>
      </c>
      <c r="S63" s="317" t="str">
        <f t="shared" si="8"/>
        <v/>
      </c>
      <c r="V63" s="314">
        <f>SUM(ORÇAMENTO!N63)</f>
        <v>0</v>
      </c>
      <c r="W63" s="315">
        <f t="shared" si="10"/>
        <v>0</v>
      </c>
    </row>
    <row r="64" spans="1:23" ht="15" hidden="1" customHeight="1">
      <c r="A64" s="560" t="s">
        <v>165</v>
      </c>
      <c r="B64" s="899" t="s">
        <v>165</v>
      </c>
      <c r="C64" s="900" t="s">
        <v>165</v>
      </c>
      <c r="D64" s="906"/>
      <c r="E64" s="902"/>
      <c r="F64" s="903"/>
      <c r="G64" s="904"/>
      <c r="H64" s="905">
        <v>0</v>
      </c>
      <c r="I64" s="876">
        <f t="shared" si="12"/>
        <v>0</v>
      </c>
      <c r="J64" s="865">
        <f t="shared" si="13"/>
        <v>0</v>
      </c>
      <c r="K64" s="903" t="s">
        <v>506</v>
      </c>
      <c r="L64" s="879">
        <f>ROUND(SUM(ORÇAMENTO!L64),2)</f>
        <v>0</v>
      </c>
      <c r="M64" s="879">
        <f t="shared" si="4"/>
        <v>0</v>
      </c>
      <c r="N64" s="868">
        <f t="shared" si="5"/>
        <v>0</v>
      </c>
      <c r="O64" s="880"/>
      <c r="Q64" s="317" t="str">
        <f t="shared" si="6"/>
        <v/>
      </c>
      <c r="R64" s="317" t="str">
        <f t="shared" si="7"/>
        <v/>
      </c>
      <c r="S64" s="317" t="str">
        <f t="shared" si="8"/>
        <v/>
      </c>
      <c r="V64" s="314">
        <f>SUM(ORÇAMENTO!N64)</f>
        <v>0</v>
      </c>
      <c r="W64" s="315">
        <f t="shared" si="10"/>
        <v>0</v>
      </c>
    </row>
    <row r="65" spans="1:23" ht="15" hidden="1" customHeight="1">
      <c r="A65" s="560" t="s">
        <v>165</v>
      </c>
      <c r="B65" s="899" t="s">
        <v>165</v>
      </c>
      <c r="C65" s="900" t="s">
        <v>165</v>
      </c>
      <c r="D65" s="906"/>
      <c r="E65" s="902"/>
      <c r="F65" s="903"/>
      <c r="G65" s="904"/>
      <c r="H65" s="905">
        <v>0</v>
      </c>
      <c r="I65" s="876">
        <f t="shared" si="12"/>
        <v>0</v>
      </c>
      <c r="J65" s="865">
        <f t="shared" si="13"/>
        <v>0</v>
      </c>
      <c r="K65" s="903" t="s">
        <v>506</v>
      </c>
      <c r="L65" s="879">
        <f>ROUND(SUM(ORÇAMENTO!L65),2)</f>
        <v>0</v>
      </c>
      <c r="M65" s="879">
        <f t="shared" si="4"/>
        <v>0</v>
      </c>
      <c r="N65" s="868">
        <f t="shared" si="5"/>
        <v>0</v>
      </c>
      <c r="O65" s="880"/>
      <c r="Q65" s="317" t="str">
        <f t="shared" si="6"/>
        <v/>
      </c>
      <c r="R65" s="317" t="str">
        <f t="shared" si="7"/>
        <v/>
      </c>
      <c r="S65" s="317" t="str">
        <f t="shared" si="8"/>
        <v/>
      </c>
      <c r="V65" s="314">
        <f>SUM(ORÇAMENTO!N65)</f>
        <v>0</v>
      </c>
      <c r="W65" s="315">
        <f t="shared" si="10"/>
        <v>0</v>
      </c>
    </row>
    <row r="66" spans="1:23" ht="15" hidden="1" customHeight="1">
      <c r="A66" s="560" t="s">
        <v>165</v>
      </c>
      <c r="B66" s="899" t="s">
        <v>165</v>
      </c>
      <c r="C66" s="900" t="s">
        <v>165</v>
      </c>
      <c r="D66" s="906"/>
      <c r="E66" s="902"/>
      <c r="F66" s="903"/>
      <c r="G66" s="904"/>
      <c r="H66" s="905">
        <v>0</v>
      </c>
      <c r="I66" s="876">
        <f t="shared" si="12"/>
        <v>0</v>
      </c>
      <c r="J66" s="865">
        <f t="shared" si="13"/>
        <v>0</v>
      </c>
      <c r="K66" s="903" t="s">
        <v>506</v>
      </c>
      <c r="L66" s="879">
        <f>ROUND(SUM(ORÇAMENTO!L66),2)</f>
        <v>0</v>
      </c>
      <c r="M66" s="879">
        <f t="shared" si="4"/>
        <v>0</v>
      </c>
      <c r="N66" s="868">
        <f t="shared" si="5"/>
        <v>0</v>
      </c>
      <c r="O66" s="880"/>
      <c r="Q66" s="317" t="str">
        <f t="shared" si="6"/>
        <v/>
      </c>
      <c r="R66" s="317" t="str">
        <f t="shared" si="7"/>
        <v/>
      </c>
      <c r="S66" s="317" t="str">
        <f t="shared" si="8"/>
        <v/>
      </c>
      <c r="V66" s="314">
        <f>SUM(ORÇAMENTO!N66)</f>
        <v>0</v>
      </c>
      <c r="W66" s="315">
        <f t="shared" si="10"/>
        <v>0</v>
      </c>
    </row>
    <row r="67" spans="1:23" ht="15" hidden="1" customHeight="1">
      <c r="A67" s="560" t="s">
        <v>165</v>
      </c>
      <c r="B67" s="899" t="s">
        <v>165</v>
      </c>
      <c r="C67" s="900" t="s">
        <v>165</v>
      </c>
      <c r="D67" s="906"/>
      <c r="E67" s="902"/>
      <c r="F67" s="903"/>
      <c r="G67" s="904"/>
      <c r="H67" s="905">
        <v>0</v>
      </c>
      <c r="I67" s="876">
        <f t="shared" si="12"/>
        <v>0</v>
      </c>
      <c r="J67" s="865">
        <f t="shared" si="13"/>
        <v>0</v>
      </c>
      <c r="K67" s="903" t="s">
        <v>506</v>
      </c>
      <c r="L67" s="879">
        <f>ROUND(SUM(ORÇAMENTO!L67),2)</f>
        <v>0</v>
      </c>
      <c r="M67" s="879">
        <f t="shared" si="4"/>
        <v>0</v>
      </c>
      <c r="N67" s="868">
        <f t="shared" si="5"/>
        <v>0</v>
      </c>
      <c r="O67" s="880"/>
      <c r="Q67" s="317" t="str">
        <f t="shared" si="6"/>
        <v/>
      </c>
      <c r="R67" s="317" t="str">
        <f t="shared" si="7"/>
        <v/>
      </c>
      <c r="S67" s="317" t="str">
        <f t="shared" si="8"/>
        <v/>
      </c>
      <c r="V67" s="314">
        <f>SUM(ORÇAMENTO!N67)</f>
        <v>0</v>
      </c>
      <c r="W67" s="315">
        <f t="shared" si="10"/>
        <v>0</v>
      </c>
    </row>
    <row r="68" spans="1:23" ht="15" hidden="1" customHeight="1" thickBot="1">
      <c r="A68" s="560" t="s">
        <v>165</v>
      </c>
      <c r="B68" s="1274" t="s">
        <v>165</v>
      </c>
      <c r="C68" s="1275" t="s">
        <v>165</v>
      </c>
      <c r="D68" s="1276"/>
      <c r="E68" s="910"/>
      <c r="F68" s="911"/>
      <c r="G68" s="912"/>
      <c r="H68" s="913">
        <v>0</v>
      </c>
      <c r="I68" s="914">
        <f t="shared" si="12"/>
        <v>0</v>
      </c>
      <c r="J68" s="915">
        <f t="shared" si="13"/>
        <v>0</v>
      </c>
      <c r="K68" s="911" t="s">
        <v>506</v>
      </c>
      <c r="L68" s="972">
        <f>ROUND(SUM(ORÇAMENTO!L68),2)</f>
        <v>0</v>
      </c>
      <c r="M68" s="972">
        <f t="shared" si="4"/>
        <v>0</v>
      </c>
      <c r="N68" s="916">
        <f t="shared" si="5"/>
        <v>0</v>
      </c>
      <c r="O68" s="880"/>
      <c r="Q68" s="317" t="str">
        <f t="shared" si="6"/>
        <v/>
      </c>
      <c r="R68" s="317" t="str">
        <f t="shared" si="7"/>
        <v/>
      </c>
      <c r="S68" s="317" t="str">
        <f t="shared" si="8"/>
        <v/>
      </c>
      <c r="V68" s="314">
        <f>SUM(ORÇAMENTO!N68)</f>
        <v>0</v>
      </c>
      <c r="W68" s="315">
        <f t="shared" si="10"/>
        <v>0</v>
      </c>
    </row>
    <row r="69" spans="1:23" ht="15" customHeight="1" thickBot="1">
      <c r="A69" s="63" t="s">
        <v>167</v>
      </c>
      <c r="B69" s="1102" t="s">
        <v>167</v>
      </c>
      <c r="C69" s="848"/>
      <c r="D69" s="926" t="s">
        <v>428</v>
      </c>
      <c r="E69" s="917"/>
      <c r="F69" s="851"/>
      <c r="G69" s="918"/>
      <c r="H69" s="919">
        <v>0</v>
      </c>
      <c r="I69" s="919"/>
      <c r="J69" s="919"/>
      <c r="K69" s="853" t="s">
        <v>506</v>
      </c>
      <c r="L69" s="854">
        <f>ROUND(SUM(ORÇAMENTO!L69),2)</f>
        <v>0</v>
      </c>
      <c r="M69" s="855">
        <f t="shared" si="4"/>
        <v>0</v>
      </c>
      <c r="N69" s="856">
        <f t="shared" si="5"/>
        <v>0</v>
      </c>
      <c r="O69" s="857">
        <f>SUM(N70:N116)</f>
        <v>516870.58</v>
      </c>
      <c r="P69" s="58" t="str">
        <f>IF(OR(O69&gt;0,O69&gt;0),"X","")</f>
        <v>X</v>
      </c>
      <c r="Q69" s="317" t="str">
        <f t="shared" si="6"/>
        <v>x</v>
      </c>
      <c r="R69" s="317" t="str">
        <f t="shared" si="7"/>
        <v>x</v>
      </c>
      <c r="S69" s="317" t="str">
        <f t="shared" si="8"/>
        <v>x</v>
      </c>
      <c r="V69" s="314">
        <f>SUM(ORÇAMENTO!N69)</f>
        <v>0</v>
      </c>
      <c r="W69" s="315">
        <f t="shared" si="10"/>
        <v>0</v>
      </c>
    </row>
    <row r="70" spans="1:23" ht="15" hidden="1" customHeight="1">
      <c r="A70" s="63">
        <v>400500</v>
      </c>
      <c r="B70" s="858" t="s">
        <v>1512</v>
      </c>
      <c r="C70" s="859" t="s">
        <v>184</v>
      </c>
      <c r="D70" s="920" t="s">
        <v>176</v>
      </c>
      <c r="E70" s="1005">
        <f>DMT!$F$8</f>
        <v>290</v>
      </c>
      <c r="F70" s="921">
        <v>1.73</v>
      </c>
      <c r="G70" s="922">
        <f>IF(E70&lt;=30,(1.07*E70+2.68)*F70,((1.07*30+2.68)+1.07*(E70-30))*F70)</f>
        <v>541.45540000000005</v>
      </c>
      <c r="H70" s="864">
        <v>83.83</v>
      </c>
      <c r="I70" s="864">
        <f t="shared" ref="I70:I90" si="14">IF(ISBLANK(H70),"",SUM(G70:H70))</f>
        <v>625.2854000000001</v>
      </c>
      <c r="J70" s="865">
        <f>IF(ISBLANK(H70),0,ROUND(I70*(1+$E$10),2))</f>
        <v>764.22</v>
      </c>
      <c r="K70" s="866" t="s">
        <v>10</v>
      </c>
      <c r="L70" s="879">
        <f>ROUND(SUM(ORÇAMENTO!L70),2)</f>
        <v>0</v>
      </c>
      <c r="M70" s="879">
        <f t="shared" si="4"/>
        <v>0</v>
      </c>
      <c r="N70" s="907">
        <f t="shared" si="5"/>
        <v>0</v>
      </c>
      <c r="O70" s="880"/>
      <c r="Q70" s="317" t="str">
        <f t="shared" si="6"/>
        <v/>
      </c>
      <c r="R70" s="317" t="str">
        <f t="shared" si="7"/>
        <v/>
      </c>
      <c r="S70" s="317" t="str">
        <f t="shared" si="8"/>
        <v/>
      </c>
      <c r="V70" s="314">
        <f>SUM(ORÇAMENTO!N70)</f>
        <v>0</v>
      </c>
      <c r="W70" s="315">
        <f t="shared" si="10"/>
        <v>0</v>
      </c>
    </row>
    <row r="71" spans="1:23" ht="15" hidden="1" customHeight="1">
      <c r="A71" s="63">
        <v>401200</v>
      </c>
      <c r="B71" s="870">
        <v>401200</v>
      </c>
      <c r="C71" s="871" t="s">
        <v>184</v>
      </c>
      <c r="D71" s="881" t="s">
        <v>173</v>
      </c>
      <c r="E71" s="882"/>
      <c r="F71" s="883"/>
      <c r="G71" s="884"/>
      <c r="H71" s="864">
        <v>1.55</v>
      </c>
      <c r="I71" s="876">
        <f t="shared" si="14"/>
        <v>1.55</v>
      </c>
      <c r="J71" s="877">
        <f t="shared" ref="J71:J90" si="15">IF(ISBLANK(H71),0,ROUND(I71*(1+$E$10),2))</f>
        <v>1.89</v>
      </c>
      <c r="K71" s="878" t="s">
        <v>10</v>
      </c>
      <c r="L71" s="879">
        <f>ROUND(SUM(ORÇAMENTO!L71),2)</f>
        <v>0</v>
      </c>
      <c r="M71" s="879">
        <f t="shared" si="4"/>
        <v>0</v>
      </c>
      <c r="N71" s="868">
        <f t="shared" si="5"/>
        <v>0</v>
      </c>
      <c r="O71" s="880"/>
      <c r="Q71" s="317" t="str">
        <f t="shared" si="6"/>
        <v/>
      </c>
      <c r="R71" s="317" t="str">
        <f t="shared" si="7"/>
        <v/>
      </c>
      <c r="S71" s="317" t="str">
        <f t="shared" si="8"/>
        <v/>
      </c>
      <c r="V71" s="314">
        <f>SUM(ORÇAMENTO!N71)</f>
        <v>0</v>
      </c>
      <c r="W71" s="315">
        <f t="shared" si="10"/>
        <v>0</v>
      </c>
    </row>
    <row r="72" spans="1:23" ht="15" hidden="1" customHeight="1">
      <c r="A72" s="63">
        <v>401000</v>
      </c>
      <c r="B72" s="870">
        <v>401000</v>
      </c>
      <c r="C72" s="871" t="s">
        <v>184</v>
      </c>
      <c r="D72" s="881" t="s">
        <v>175</v>
      </c>
      <c r="E72" s="882"/>
      <c r="F72" s="883"/>
      <c r="G72" s="884"/>
      <c r="H72" s="864">
        <v>6.67</v>
      </c>
      <c r="I72" s="876">
        <f t="shared" si="14"/>
        <v>6.67</v>
      </c>
      <c r="J72" s="877">
        <f t="shared" si="15"/>
        <v>8.15</v>
      </c>
      <c r="K72" s="878" t="s">
        <v>10</v>
      </c>
      <c r="L72" s="879">
        <f>ROUND(SUM(ORÇAMENTO!L72),2)</f>
        <v>0</v>
      </c>
      <c r="M72" s="879">
        <f t="shared" si="4"/>
        <v>0</v>
      </c>
      <c r="N72" s="868">
        <f t="shared" si="5"/>
        <v>0</v>
      </c>
      <c r="O72" s="880"/>
      <c r="Q72" s="317" t="str">
        <f t="shared" si="6"/>
        <v/>
      </c>
      <c r="R72" s="317" t="str">
        <f t="shared" si="7"/>
        <v/>
      </c>
      <c r="S72" s="317" t="str">
        <f t="shared" si="8"/>
        <v/>
      </c>
      <c r="V72" s="314">
        <f>SUM(ORÇAMENTO!N72)</f>
        <v>0</v>
      </c>
      <c r="W72" s="315">
        <f t="shared" si="10"/>
        <v>0</v>
      </c>
    </row>
    <row r="73" spans="1:23" ht="15" hidden="1" customHeight="1">
      <c r="A73" s="63">
        <v>401950</v>
      </c>
      <c r="B73" s="870">
        <v>401950</v>
      </c>
      <c r="C73" s="871" t="s">
        <v>184</v>
      </c>
      <c r="D73" s="881" t="s">
        <v>174</v>
      </c>
      <c r="E73" s="882"/>
      <c r="F73" s="883"/>
      <c r="G73" s="884"/>
      <c r="H73" s="864">
        <v>5.54</v>
      </c>
      <c r="I73" s="876">
        <f t="shared" si="14"/>
        <v>5.54</v>
      </c>
      <c r="J73" s="877">
        <f t="shared" si="15"/>
        <v>6.77</v>
      </c>
      <c r="K73" s="878" t="s">
        <v>10</v>
      </c>
      <c r="L73" s="879">
        <f>ROUND(SUM(ORÇAMENTO!L73),2)</f>
        <v>0</v>
      </c>
      <c r="M73" s="879">
        <f t="shared" si="4"/>
        <v>0</v>
      </c>
      <c r="N73" s="868">
        <f t="shared" si="5"/>
        <v>0</v>
      </c>
      <c r="O73" s="880"/>
      <c r="Q73" s="317" t="str">
        <f t="shared" si="6"/>
        <v/>
      </c>
      <c r="R73" s="317" t="str">
        <f t="shared" si="7"/>
        <v/>
      </c>
      <c r="S73" s="317" t="str">
        <f t="shared" si="8"/>
        <v/>
      </c>
      <c r="V73" s="314">
        <f>SUM(ORÇAMENTO!N73)</f>
        <v>0</v>
      </c>
      <c r="W73" s="315">
        <f t="shared" si="10"/>
        <v>0</v>
      </c>
    </row>
    <row r="74" spans="1:23" ht="15" hidden="1" customHeight="1">
      <c r="A74" s="63">
        <v>400000</v>
      </c>
      <c r="B74" s="870">
        <v>400000</v>
      </c>
      <c r="C74" s="871" t="s">
        <v>184</v>
      </c>
      <c r="D74" s="881" t="s">
        <v>169</v>
      </c>
      <c r="E74" s="882"/>
      <c r="F74" s="883"/>
      <c r="G74" s="884"/>
      <c r="H74" s="864">
        <v>1.1400000000000001</v>
      </c>
      <c r="I74" s="876">
        <f t="shared" si="14"/>
        <v>1.1400000000000001</v>
      </c>
      <c r="J74" s="877">
        <f t="shared" si="15"/>
        <v>1.39</v>
      </c>
      <c r="K74" s="878" t="s">
        <v>12</v>
      </c>
      <c r="L74" s="879">
        <f>ROUND(SUM(ORÇAMENTO!L74),2)</f>
        <v>0</v>
      </c>
      <c r="M74" s="879">
        <f t="shared" si="4"/>
        <v>0</v>
      </c>
      <c r="N74" s="868">
        <f t="shared" si="5"/>
        <v>0</v>
      </c>
      <c r="O74" s="880"/>
      <c r="P74" s="58"/>
      <c r="Q74" s="317" t="str">
        <f t="shared" si="6"/>
        <v/>
      </c>
      <c r="R74" s="317" t="str">
        <f t="shared" si="7"/>
        <v/>
      </c>
      <c r="S74" s="317" t="str">
        <f t="shared" si="8"/>
        <v/>
      </c>
      <c r="V74" s="314">
        <f>SUM(ORÇAMENTO!N74)</f>
        <v>0</v>
      </c>
      <c r="W74" s="315">
        <f t="shared" si="10"/>
        <v>0</v>
      </c>
    </row>
    <row r="75" spans="1:23" ht="15" hidden="1" customHeight="1">
      <c r="A75" s="63">
        <v>400300</v>
      </c>
      <c r="B75" s="870">
        <v>400300</v>
      </c>
      <c r="C75" s="871" t="s">
        <v>184</v>
      </c>
      <c r="D75" s="881" t="s">
        <v>170</v>
      </c>
      <c r="E75" s="882"/>
      <c r="F75" s="883"/>
      <c r="G75" s="884"/>
      <c r="H75" s="864">
        <v>49.34</v>
      </c>
      <c r="I75" s="876">
        <f t="shared" si="14"/>
        <v>49.34</v>
      </c>
      <c r="J75" s="877">
        <f t="shared" si="15"/>
        <v>60.3</v>
      </c>
      <c r="K75" s="878" t="s">
        <v>15</v>
      </c>
      <c r="L75" s="879">
        <f>ROUND(SUM(ORÇAMENTO!L75),2)</f>
        <v>0</v>
      </c>
      <c r="M75" s="879">
        <f t="shared" si="4"/>
        <v>0</v>
      </c>
      <c r="N75" s="868">
        <f t="shared" si="5"/>
        <v>0</v>
      </c>
      <c r="O75" s="880"/>
      <c r="P75" s="58"/>
      <c r="Q75" s="317" t="str">
        <f t="shared" si="6"/>
        <v/>
      </c>
      <c r="R75" s="317" t="str">
        <f t="shared" si="7"/>
        <v/>
      </c>
      <c r="S75" s="317" t="str">
        <f t="shared" si="8"/>
        <v/>
      </c>
      <c r="V75" s="314">
        <f>SUM(ORÇAMENTO!N75)</f>
        <v>0</v>
      </c>
      <c r="W75" s="315">
        <f t="shared" si="10"/>
        <v>0</v>
      </c>
    </row>
    <row r="76" spans="1:23" ht="15" hidden="1" customHeight="1">
      <c r="A76" s="63">
        <v>511130</v>
      </c>
      <c r="B76" s="870" t="s">
        <v>1528</v>
      </c>
      <c r="C76" s="871" t="s">
        <v>184</v>
      </c>
      <c r="D76" s="881" t="s">
        <v>447</v>
      </c>
      <c r="E76" s="882"/>
      <c r="F76" s="883"/>
      <c r="G76" s="884"/>
      <c r="H76" s="864">
        <v>1.23</v>
      </c>
      <c r="I76" s="876">
        <f t="shared" si="14"/>
        <v>1.23</v>
      </c>
      <c r="J76" s="877">
        <f t="shared" si="15"/>
        <v>1.5</v>
      </c>
      <c r="K76" s="878" t="s">
        <v>10</v>
      </c>
      <c r="L76" s="879">
        <f>ROUND(SUM(ORÇAMENTO!L76),2)</f>
        <v>0</v>
      </c>
      <c r="M76" s="879">
        <f t="shared" si="4"/>
        <v>0</v>
      </c>
      <c r="N76" s="868">
        <f t="shared" si="5"/>
        <v>0</v>
      </c>
      <c r="O76" s="880"/>
      <c r="P76" s="59"/>
      <c r="Q76" s="317" t="str">
        <f t="shared" si="6"/>
        <v/>
      </c>
      <c r="R76" s="317" t="str">
        <f t="shared" si="7"/>
        <v/>
      </c>
      <c r="S76" s="317" t="str">
        <f t="shared" si="8"/>
        <v/>
      </c>
      <c r="V76" s="314">
        <f>SUM(ORÇAMENTO!N76)</f>
        <v>0</v>
      </c>
      <c r="W76" s="315">
        <f t="shared" si="10"/>
        <v>0</v>
      </c>
    </row>
    <row r="77" spans="1:23" ht="15" hidden="1" customHeight="1">
      <c r="A77" s="63">
        <v>501000</v>
      </c>
      <c r="B77" s="870">
        <v>501000</v>
      </c>
      <c r="C77" s="871" t="s">
        <v>184</v>
      </c>
      <c r="D77" s="881" t="s">
        <v>446</v>
      </c>
      <c r="E77" s="902">
        <v>2</v>
      </c>
      <c r="F77" s="883">
        <v>1.8</v>
      </c>
      <c r="G77" s="884">
        <f>IF(E77&lt;=30,(1.07*E77+2.68)*F77,((1.07*30+2.68)+1.07*(E77-30))*F77)</f>
        <v>8.6760000000000002</v>
      </c>
      <c r="H77" s="864">
        <v>6.04</v>
      </c>
      <c r="I77" s="876">
        <f t="shared" si="14"/>
        <v>14.716000000000001</v>
      </c>
      <c r="J77" s="877">
        <f t="shared" si="15"/>
        <v>17.989999999999998</v>
      </c>
      <c r="K77" s="878" t="s">
        <v>10</v>
      </c>
      <c r="L77" s="879">
        <f>ROUND(SUM(ORÇAMENTO!L77),2)</f>
        <v>0</v>
      </c>
      <c r="M77" s="879">
        <f t="shared" si="4"/>
        <v>0</v>
      </c>
      <c r="N77" s="868">
        <f t="shared" si="5"/>
        <v>0</v>
      </c>
      <c r="O77" s="880"/>
      <c r="P77" s="59"/>
      <c r="Q77" s="317" t="str">
        <f t="shared" si="6"/>
        <v/>
      </c>
      <c r="R77" s="317" t="str">
        <f t="shared" si="7"/>
        <v/>
      </c>
      <c r="S77" s="317" t="str">
        <f t="shared" si="8"/>
        <v/>
      </c>
      <c r="V77" s="314">
        <f>SUM(ORÇAMENTO!N77)</f>
        <v>0</v>
      </c>
      <c r="W77" s="315">
        <f t="shared" si="10"/>
        <v>0</v>
      </c>
    </row>
    <row r="78" spans="1:23" ht="15" hidden="1" customHeight="1">
      <c r="A78" s="63">
        <v>101114</v>
      </c>
      <c r="B78" s="870">
        <v>101114</v>
      </c>
      <c r="C78" s="871" t="s">
        <v>590</v>
      </c>
      <c r="D78" s="881" t="s">
        <v>1890</v>
      </c>
      <c r="E78" s="882"/>
      <c r="F78" s="883">
        <v>0</v>
      </c>
      <c r="G78" s="884"/>
      <c r="H78" s="864">
        <v>4.37</v>
      </c>
      <c r="I78" s="876">
        <f t="shared" si="14"/>
        <v>4.37</v>
      </c>
      <c r="J78" s="877">
        <f t="shared" si="15"/>
        <v>5.34</v>
      </c>
      <c r="K78" s="878" t="s">
        <v>10</v>
      </c>
      <c r="L78" s="879">
        <f>ROUND(SUM(ORÇAMENTO!L78),2)</f>
        <v>0</v>
      </c>
      <c r="M78" s="879">
        <f t="shared" si="4"/>
        <v>0</v>
      </c>
      <c r="N78" s="868">
        <f t="shared" si="5"/>
        <v>0</v>
      </c>
      <c r="O78" s="880"/>
      <c r="Q78" s="317" t="str">
        <f t="shared" si="6"/>
        <v/>
      </c>
      <c r="R78" s="317" t="str">
        <f t="shared" si="7"/>
        <v/>
      </c>
      <c r="S78" s="317" t="str">
        <f t="shared" si="8"/>
        <v/>
      </c>
      <c r="V78" s="314">
        <f>SUM(ORÇAMENTO!N78)</f>
        <v>0</v>
      </c>
      <c r="W78" s="315">
        <f t="shared" si="10"/>
        <v>0</v>
      </c>
    </row>
    <row r="79" spans="1:23" ht="15" hidden="1" customHeight="1">
      <c r="A79" s="63">
        <v>101119</v>
      </c>
      <c r="B79" s="870">
        <v>101119</v>
      </c>
      <c r="C79" s="871" t="s">
        <v>590</v>
      </c>
      <c r="D79" s="881" t="s">
        <v>1891</v>
      </c>
      <c r="E79" s="882"/>
      <c r="F79" s="883"/>
      <c r="G79" s="884"/>
      <c r="H79" s="864">
        <v>8.36</v>
      </c>
      <c r="I79" s="876">
        <f t="shared" si="14"/>
        <v>8.36</v>
      </c>
      <c r="J79" s="877">
        <f t="shared" si="15"/>
        <v>10.220000000000001</v>
      </c>
      <c r="K79" s="878" t="s">
        <v>10</v>
      </c>
      <c r="L79" s="879">
        <f>ROUND(SUM(ORÇAMENTO!L79),2)</f>
        <v>0</v>
      </c>
      <c r="M79" s="879">
        <f t="shared" si="4"/>
        <v>0</v>
      </c>
      <c r="N79" s="868">
        <f t="shared" si="5"/>
        <v>0</v>
      </c>
      <c r="O79" s="880"/>
      <c r="Q79" s="317" t="str">
        <f t="shared" si="6"/>
        <v/>
      </c>
      <c r="R79" s="317" t="str">
        <f t="shared" si="7"/>
        <v/>
      </c>
      <c r="S79" s="317" t="str">
        <f t="shared" si="8"/>
        <v/>
      </c>
      <c r="V79" s="314">
        <f>SUM(ORÇAMENTO!N79)</f>
        <v>0</v>
      </c>
      <c r="W79" s="315">
        <f t="shared" si="10"/>
        <v>0</v>
      </c>
    </row>
    <row r="80" spans="1:23" ht="15" hidden="1" customHeight="1">
      <c r="A80" s="63">
        <v>430010</v>
      </c>
      <c r="B80" s="870">
        <v>430210</v>
      </c>
      <c r="C80" s="871" t="s">
        <v>184</v>
      </c>
      <c r="D80" s="881" t="s">
        <v>1892</v>
      </c>
      <c r="E80" s="882"/>
      <c r="F80" s="883"/>
      <c r="G80" s="884"/>
      <c r="H80" s="864">
        <v>40.54</v>
      </c>
      <c r="I80" s="876">
        <f>IF(ISBLANK(H80),"",SUM(G80:H80))</f>
        <v>40.54</v>
      </c>
      <c r="J80" s="877">
        <f t="shared" si="15"/>
        <v>49.55</v>
      </c>
      <c r="K80" s="878" t="s">
        <v>10</v>
      </c>
      <c r="L80" s="879">
        <f>ROUND(SUM(ORÇAMENTO!L80),2)</f>
        <v>0</v>
      </c>
      <c r="M80" s="879">
        <f t="shared" si="4"/>
        <v>0</v>
      </c>
      <c r="N80" s="868">
        <f t="shared" si="5"/>
        <v>0</v>
      </c>
      <c r="O80" s="880"/>
      <c r="Q80" s="317" t="str">
        <f t="shared" si="6"/>
        <v/>
      </c>
      <c r="R80" s="317" t="str">
        <f t="shared" si="7"/>
        <v/>
      </c>
      <c r="S80" s="317" t="str">
        <f t="shared" si="8"/>
        <v/>
      </c>
      <c r="V80" s="314">
        <f>SUM(ORÇAMENTO!N80)</f>
        <v>0</v>
      </c>
      <c r="W80" s="315">
        <f t="shared" si="10"/>
        <v>0</v>
      </c>
    </row>
    <row r="81" spans="1:23" ht="15" hidden="1" customHeight="1">
      <c r="A81" s="63" t="s">
        <v>1885</v>
      </c>
      <c r="B81" s="870" t="s">
        <v>1885</v>
      </c>
      <c r="C81" s="871" t="s">
        <v>2218</v>
      </c>
      <c r="D81" s="881" t="s">
        <v>1886</v>
      </c>
      <c r="E81" s="882"/>
      <c r="F81" s="883"/>
      <c r="G81" s="884"/>
      <c r="H81" s="876">
        <v>1.01</v>
      </c>
      <c r="I81" s="876">
        <f>IF(ISBLANK(H81),"",SUM(G81:H81))</f>
        <v>1.01</v>
      </c>
      <c r="J81" s="877">
        <f t="shared" si="15"/>
        <v>1.23</v>
      </c>
      <c r="K81" s="878" t="s">
        <v>1500</v>
      </c>
      <c r="L81" s="879">
        <f>ROUND(SUM(ORÇAMENTO!L81),2)</f>
        <v>0</v>
      </c>
      <c r="M81" s="879">
        <f t="shared" si="4"/>
        <v>0</v>
      </c>
      <c r="N81" s="868">
        <f t="shared" si="5"/>
        <v>0</v>
      </c>
      <c r="O81" s="880"/>
      <c r="Q81" s="317" t="str">
        <f t="shared" si="6"/>
        <v/>
      </c>
      <c r="R81" s="317" t="str">
        <f t="shared" si="7"/>
        <v/>
      </c>
      <c r="S81" s="317" t="str">
        <f t="shared" si="8"/>
        <v/>
      </c>
      <c r="V81" s="314">
        <f>SUM(ORÇAMENTO!N81)</f>
        <v>0</v>
      </c>
      <c r="W81" s="315">
        <f t="shared" si="10"/>
        <v>0</v>
      </c>
    </row>
    <row r="82" spans="1:23" ht="15" hidden="1" customHeight="1">
      <c r="A82" s="63">
        <v>520100</v>
      </c>
      <c r="B82" s="870" t="s">
        <v>1529</v>
      </c>
      <c r="C82" s="871" t="s">
        <v>184</v>
      </c>
      <c r="D82" s="881" t="s">
        <v>1887</v>
      </c>
      <c r="E82" s="882"/>
      <c r="F82" s="883">
        <v>0</v>
      </c>
      <c r="G82" s="884"/>
      <c r="H82" s="864">
        <v>5.45</v>
      </c>
      <c r="I82" s="876">
        <f t="shared" si="14"/>
        <v>5.45</v>
      </c>
      <c r="J82" s="877">
        <f t="shared" si="15"/>
        <v>6.66</v>
      </c>
      <c r="K82" s="878" t="s">
        <v>10</v>
      </c>
      <c r="L82" s="879">
        <f>ROUND(SUM(ORÇAMENTO!L82),2)</f>
        <v>0</v>
      </c>
      <c r="M82" s="879">
        <f t="shared" si="4"/>
        <v>0</v>
      </c>
      <c r="N82" s="868">
        <f t="shared" si="5"/>
        <v>0</v>
      </c>
      <c r="O82" s="880"/>
      <c r="Q82" s="317" t="str">
        <f t="shared" si="6"/>
        <v/>
      </c>
      <c r="R82" s="317" t="str">
        <f t="shared" si="7"/>
        <v/>
      </c>
      <c r="S82" s="317" t="str">
        <f t="shared" si="8"/>
        <v/>
      </c>
      <c r="V82" s="314">
        <f>SUM(ORÇAMENTO!N82)</f>
        <v>0</v>
      </c>
      <c r="W82" s="315">
        <f t="shared" si="10"/>
        <v>0</v>
      </c>
    </row>
    <row r="83" spans="1:23" ht="15" hidden="1" customHeight="1">
      <c r="A83" s="63">
        <v>520200</v>
      </c>
      <c r="B83" s="870" t="s">
        <v>1530</v>
      </c>
      <c r="C83" s="871" t="s">
        <v>184</v>
      </c>
      <c r="D83" s="881" t="s">
        <v>1888</v>
      </c>
      <c r="E83" s="882"/>
      <c r="F83" s="883"/>
      <c r="G83" s="884"/>
      <c r="H83" s="864">
        <v>6.66</v>
      </c>
      <c r="I83" s="876">
        <f t="shared" si="14"/>
        <v>6.66</v>
      </c>
      <c r="J83" s="877">
        <f t="shared" si="15"/>
        <v>8.14</v>
      </c>
      <c r="K83" s="878" t="s">
        <v>10</v>
      </c>
      <c r="L83" s="879">
        <f>ROUND(SUM(ORÇAMENTO!L83),2)</f>
        <v>0</v>
      </c>
      <c r="M83" s="879">
        <f t="shared" si="4"/>
        <v>0</v>
      </c>
      <c r="N83" s="868">
        <f t="shared" si="5"/>
        <v>0</v>
      </c>
      <c r="O83" s="880"/>
      <c r="Q83" s="317" t="str">
        <f t="shared" si="6"/>
        <v/>
      </c>
      <c r="R83" s="317" t="str">
        <f t="shared" si="7"/>
        <v/>
      </c>
      <c r="S83" s="317" t="str">
        <f t="shared" si="8"/>
        <v/>
      </c>
      <c r="V83" s="314">
        <f>SUM(ORÇAMENTO!N83)</f>
        <v>0</v>
      </c>
      <c r="W83" s="315">
        <f t="shared" si="10"/>
        <v>0</v>
      </c>
    </row>
    <row r="84" spans="1:23" ht="15" hidden="1" customHeight="1">
      <c r="A84" s="63">
        <v>431010</v>
      </c>
      <c r="B84" s="969">
        <v>431010</v>
      </c>
      <c r="C84" s="970" t="s">
        <v>184</v>
      </c>
      <c r="D84" s="939" t="s">
        <v>1889</v>
      </c>
      <c r="E84" s="940"/>
      <c r="F84" s="971">
        <v>0</v>
      </c>
      <c r="G84" s="1267"/>
      <c r="H84" s="1268">
        <v>44.4</v>
      </c>
      <c r="I84" s="914">
        <f t="shared" si="14"/>
        <v>44.4</v>
      </c>
      <c r="J84" s="943">
        <f t="shared" si="15"/>
        <v>54.27</v>
      </c>
      <c r="K84" s="944" t="s">
        <v>10</v>
      </c>
      <c r="L84" s="972">
        <f>ROUND(SUM(ORÇAMENTO!L84),2)</f>
        <v>0</v>
      </c>
      <c r="M84" s="972">
        <f t="shared" ref="M84:M147" si="16">IF(L84=0,0,ROUND(J84,2))</f>
        <v>0</v>
      </c>
      <c r="N84" s="916">
        <f t="shared" ref="N84:N147" si="17">IF(ISBLANK(L84),0,ROUND(L84*M84,2))</f>
        <v>0</v>
      </c>
      <c r="O84" s="880"/>
      <c r="Q84" s="317" t="str">
        <f t="shared" ref="Q84:Q147" si="18">IF(P84="X","x",IF(P84="xx","x",IF(P84="xy","x",IF(P84="y","x",IF(OR(N84&gt;0,N84&gt;0),"x","")))))</f>
        <v/>
      </c>
      <c r="R84" s="317" t="str">
        <f t="shared" ref="R84:R147" si="19">IF(P84="X","x",IF(P84="y","x",IF(P84="xx","x",IF(N84&gt;0,"x",""))))</f>
        <v/>
      </c>
      <c r="S84" s="317" t="str">
        <f t="shared" ref="S84:S147" si="20">IF(P84="X","x",IF(N84&gt;0,"x",""))</f>
        <v/>
      </c>
      <c r="V84" s="314">
        <f>SUM(ORÇAMENTO!N84)</f>
        <v>0</v>
      </c>
      <c r="W84" s="315">
        <f t="shared" si="10"/>
        <v>0</v>
      </c>
    </row>
    <row r="85" spans="1:23" ht="15" customHeight="1" thickBot="1">
      <c r="A85" s="63">
        <v>520100</v>
      </c>
      <c r="B85" s="1348" t="s">
        <v>1531</v>
      </c>
      <c r="C85" s="1349" t="s">
        <v>184</v>
      </c>
      <c r="D85" s="1350" t="s">
        <v>1893</v>
      </c>
      <c r="E85" s="1364">
        <v>2</v>
      </c>
      <c r="F85" s="1352">
        <v>1.5</v>
      </c>
      <c r="G85" s="1353">
        <f>IF(E85&lt;=30,(1.07*E85+2.68)*F85,((1.07*30+2.68)+1.07*(E85-30))*F85)</f>
        <v>7.23</v>
      </c>
      <c r="H85" s="1354">
        <v>5.45</v>
      </c>
      <c r="I85" s="1354">
        <f t="shared" si="14"/>
        <v>12.68</v>
      </c>
      <c r="J85" s="1355">
        <f t="shared" si="15"/>
        <v>15.5</v>
      </c>
      <c r="K85" s="1356" t="s">
        <v>10</v>
      </c>
      <c r="L85" s="1357">
        <f>ROUND(SUM(ORÇAMENTO!L85),2)</f>
        <v>19840</v>
      </c>
      <c r="M85" s="1357">
        <f t="shared" si="16"/>
        <v>15.5</v>
      </c>
      <c r="N85" s="1358">
        <f t="shared" si="17"/>
        <v>307520</v>
      </c>
      <c r="O85" s="1359"/>
      <c r="Q85" s="317" t="str">
        <f t="shared" si="18"/>
        <v>x</v>
      </c>
      <c r="R85" s="317" t="str">
        <f t="shared" si="19"/>
        <v>x</v>
      </c>
      <c r="S85" s="317" t="str">
        <f t="shared" si="20"/>
        <v>x</v>
      </c>
      <c r="V85" s="314">
        <f>SUM(ORÇAMENTO!N85)</f>
        <v>307520</v>
      </c>
      <c r="W85" s="315">
        <f t="shared" ref="W85:W148" si="21">N85-V85</f>
        <v>0</v>
      </c>
    </row>
    <row r="86" spans="1:23" ht="15" hidden="1" customHeight="1">
      <c r="A86" s="63">
        <v>520200</v>
      </c>
      <c r="B86" s="858" t="s">
        <v>1532</v>
      </c>
      <c r="C86" s="859" t="s">
        <v>184</v>
      </c>
      <c r="D86" s="920" t="s">
        <v>1894</v>
      </c>
      <c r="E86" s="1314">
        <v>2</v>
      </c>
      <c r="F86" s="921">
        <v>1.5</v>
      </c>
      <c r="G86" s="922">
        <f>IF(E86&lt;=30,(1.07*E86+2.68)*F86,((1.07*30+2.68)+1.07*(E86-30))*F86)</f>
        <v>7.23</v>
      </c>
      <c r="H86" s="864">
        <v>6.66</v>
      </c>
      <c r="I86" s="864">
        <f t="shared" si="14"/>
        <v>13.89</v>
      </c>
      <c r="J86" s="865">
        <f t="shared" si="15"/>
        <v>16.98</v>
      </c>
      <c r="K86" s="866" t="s">
        <v>10</v>
      </c>
      <c r="L86" s="879">
        <f>ROUND(SUM(ORÇAMENTO!L86),2)</f>
        <v>0</v>
      </c>
      <c r="M86" s="879">
        <f t="shared" si="16"/>
        <v>0</v>
      </c>
      <c r="N86" s="907">
        <f t="shared" si="17"/>
        <v>0</v>
      </c>
      <c r="O86" s="880"/>
      <c r="Q86" s="317" t="str">
        <f t="shared" si="18"/>
        <v/>
      </c>
      <c r="R86" s="317" t="str">
        <f t="shared" si="19"/>
        <v/>
      </c>
      <c r="S86" s="317" t="str">
        <f t="shared" si="20"/>
        <v/>
      </c>
      <c r="V86" s="314">
        <f>SUM(ORÇAMENTO!N86)</f>
        <v>0</v>
      </c>
      <c r="W86" s="315">
        <f t="shared" si="21"/>
        <v>0</v>
      </c>
    </row>
    <row r="87" spans="1:23" ht="15" hidden="1" customHeight="1">
      <c r="A87" s="63">
        <v>521300</v>
      </c>
      <c r="B87" s="870">
        <v>521300</v>
      </c>
      <c r="C87" s="871" t="s">
        <v>184</v>
      </c>
      <c r="D87" s="881" t="s">
        <v>1895</v>
      </c>
      <c r="E87" s="902">
        <v>2</v>
      </c>
      <c r="F87" s="883">
        <v>1.5</v>
      </c>
      <c r="G87" s="884">
        <f>IF(E87&lt;=30,(1.07*E87+2.68)*F87,((1.07*30+2.68)+1.07*(E87-30))*F87)</f>
        <v>7.23</v>
      </c>
      <c r="H87" s="864">
        <v>46.06</v>
      </c>
      <c r="I87" s="876">
        <f>IF(ISBLANK(H87),"",SUM(G87:H87))</f>
        <v>53.290000000000006</v>
      </c>
      <c r="J87" s="877">
        <f t="shared" si="15"/>
        <v>65.13</v>
      </c>
      <c r="K87" s="878" t="s">
        <v>10</v>
      </c>
      <c r="L87" s="879">
        <f>ROUND(SUM(ORÇAMENTO!L87),2)</f>
        <v>0</v>
      </c>
      <c r="M87" s="879">
        <f t="shared" si="16"/>
        <v>0</v>
      </c>
      <c r="N87" s="868">
        <f t="shared" si="17"/>
        <v>0</v>
      </c>
      <c r="O87" s="880"/>
      <c r="Q87" s="317" t="str">
        <f t="shared" si="18"/>
        <v/>
      </c>
      <c r="R87" s="317" t="str">
        <f t="shared" si="19"/>
        <v/>
      </c>
      <c r="S87" s="317" t="str">
        <f t="shared" si="20"/>
        <v/>
      </c>
      <c r="V87" s="314">
        <f>SUM(ORÇAMENTO!N87)</f>
        <v>0</v>
      </c>
      <c r="W87" s="315">
        <f t="shared" si="21"/>
        <v>0</v>
      </c>
    </row>
    <row r="88" spans="1:23" ht="15" hidden="1" customHeight="1">
      <c r="A88" s="63">
        <v>411000</v>
      </c>
      <c r="B88" s="870">
        <v>411000</v>
      </c>
      <c r="C88" s="871" t="s">
        <v>184</v>
      </c>
      <c r="D88" s="881" t="s">
        <v>172</v>
      </c>
      <c r="E88" s="882"/>
      <c r="F88" s="883"/>
      <c r="G88" s="884"/>
      <c r="H88" s="864">
        <v>9.51</v>
      </c>
      <c r="I88" s="876">
        <f t="shared" si="14"/>
        <v>9.51</v>
      </c>
      <c r="J88" s="877">
        <f t="shared" si="15"/>
        <v>11.62</v>
      </c>
      <c r="K88" s="878" t="s">
        <v>10</v>
      </c>
      <c r="L88" s="879">
        <f>ROUND(SUM(ORÇAMENTO!L88),2)</f>
        <v>0</v>
      </c>
      <c r="M88" s="879">
        <f t="shared" si="16"/>
        <v>0</v>
      </c>
      <c r="N88" s="868">
        <f t="shared" si="17"/>
        <v>0</v>
      </c>
      <c r="O88" s="880"/>
      <c r="P88" s="59"/>
      <c r="Q88" s="317" t="str">
        <f t="shared" si="18"/>
        <v/>
      </c>
      <c r="R88" s="317" t="str">
        <f t="shared" si="19"/>
        <v/>
      </c>
      <c r="S88" s="317" t="str">
        <f t="shared" si="20"/>
        <v/>
      </c>
      <c r="V88" s="314">
        <f>SUM(ORÇAMENTO!N88)</f>
        <v>0</v>
      </c>
      <c r="W88" s="315">
        <f t="shared" si="21"/>
        <v>0</v>
      </c>
    </row>
    <row r="89" spans="1:23" ht="15" hidden="1" customHeight="1">
      <c r="A89" s="63">
        <v>420200</v>
      </c>
      <c r="B89" s="969">
        <v>420200</v>
      </c>
      <c r="C89" s="970" t="s">
        <v>184</v>
      </c>
      <c r="D89" s="939" t="s">
        <v>483</v>
      </c>
      <c r="E89" s="910">
        <v>2</v>
      </c>
      <c r="F89" s="971">
        <v>0.5</v>
      </c>
      <c r="G89" s="1267">
        <f>IF(E89&lt;=30,(1.07*E89+2.68)*F89,((1.07*30+2.68)+1.07*(E89-30))*F89)</f>
        <v>2.41</v>
      </c>
      <c r="H89" s="1268">
        <v>11.51</v>
      </c>
      <c r="I89" s="914">
        <f>IF(ISBLANK(H89),"",SUM(G89:H89))*0.9</f>
        <v>12.528</v>
      </c>
      <c r="J89" s="943">
        <f t="shared" si="15"/>
        <v>15.31</v>
      </c>
      <c r="K89" s="944" t="s">
        <v>10</v>
      </c>
      <c r="L89" s="972">
        <f>ROUND(SUM(ORÇAMENTO!L89),2)</f>
        <v>0</v>
      </c>
      <c r="M89" s="972">
        <f t="shared" si="16"/>
        <v>0</v>
      </c>
      <c r="N89" s="916">
        <f t="shared" si="17"/>
        <v>0</v>
      </c>
      <c r="O89" s="880"/>
      <c r="P89" s="59"/>
      <c r="Q89" s="317" t="str">
        <f t="shared" si="18"/>
        <v/>
      </c>
      <c r="R89" s="317" t="str">
        <f t="shared" si="19"/>
        <v/>
      </c>
      <c r="S89" s="317" t="str">
        <f t="shared" si="20"/>
        <v/>
      </c>
      <c r="V89" s="314">
        <f>SUM(ORÇAMENTO!N89)</f>
        <v>0</v>
      </c>
      <c r="W89" s="315">
        <f t="shared" si="21"/>
        <v>0</v>
      </c>
    </row>
    <row r="90" spans="1:23" ht="15" customHeight="1">
      <c r="A90" s="63">
        <v>404000</v>
      </c>
      <c r="B90" s="973">
        <v>404000</v>
      </c>
      <c r="C90" s="974" t="s">
        <v>184</v>
      </c>
      <c r="D90" s="947" t="s">
        <v>171</v>
      </c>
      <c r="E90" s="1365">
        <v>2</v>
      </c>
      <c r="F90" s="949">
        <v>1.5</v>
      </c>
      <c r="G90" s="1366">
        <f>IF(E90&lt;=30,(1.07*E90+2.68)*F90,((1.07*30+2.68)+1.07*(E90-30))*F90)</f>
        <v>7.23</v>
      </c>
      <c r="H90" s="951">
        <v>11.43</v>
      </c>
      <c r="I90" s="951">
        <f t="shared" si="14"/>
        <v>18.66</v>
      </c>
      <c r="J90" s="952">
        <f t="shared" si="15"/>
        <v>22.81</v>
      </c>
      <c r="K90" s="953" t="s">
        <v>10</v>
      </c>
      <c r="L90" s="955">
        <f>ROUND(SUM(ORÇAMENTO!L90),2)</f>
        <v>157.5</v>
      </c>
      <c r="M90" s="955">
        <f t="shared" si="16"/>
        <v>22.81</v>
      </c>
      <c r="N90" s="956">
        <f t="shared" si="17"/>
        <v>3592.58</v>
      </c>
      <c r="O90" s="869"/>
      <c r="P90" s="59"/>
      <c r="Q90" s="317" t="str">
        <f t="shared" si="18"/>
        <v>x</v>
      </c>
      <c r="R90" s="317" t="str">
        <f t="shared" si="19"/>
        <v>x</v>
      </c>
      <c r="S90" s="317" t="str">
        <f t="shared" si="20"/>
        <v>x</v>
      </c>
      <c r="V90" s="314">
        <f>SUM(ORÇAMENTO!N90)</f>
        <v>3592.58</v>
      </c>
      <c r="W90" s="315">
        <f t="shared" si="21"/>
        <v>0</v>
      </c>
    </row>
    <row r="91" spans="1:23" ht="15" customHeight="1">
      <c r="A91" s="560" t="s">
        <v>165</v>
      </c>
      <c r="B91" s="888" t="s">
        <v>165</v>
      </c>
      <c r="C91" s="889"/>
      <c r="D91" s="890" t="s">
        <v>164</v>
      </c>
      <c r="E91" s="891"/>
      <c r="F91" s="892"/>
      <c r="G91" s="923"/>
      <c r="H91" s="894">
        <v>0</v>
      </c>
      <c r="I91" s="894"/>
      <c r="J91" s="894"/>
      <c r="K91" s="895" t="s">
        <v>506</v>
      </c>
      <c r="L91" s="896">
        <f>ROUND(SUM(ORÇAMENTO!L91),2)</f>
        <v>0</v>
      </c>
      <c r="M91" s="897">
        <f t="shared" si="16"/>
        <v>0</v>
      </c>
      <c r="N91" s="898">
        <f t="shared" si="17"/>
        <v>0</v>
      </c>
      <c r="O91" s="880"/>
      <c r="P91" s="58" t="str">
        <f>IF(OR(SUM(N92:N116)&gt;0,SUM(N92:N116)&gt;0),"y","")</f>
        <v>y</v>
      </c>
      <c r="Q91" s="317" t="str">
        <f t="shared" si="18"/>
        <v>x</v>
      </c>
      <c r="R91" s="317" t="str">
        <f t="shared" si="19"/>
        <v>x</v>
      </c>
      <c r="S91" s="317" t="str">
        <f t="shared" si="20"/>
        <v/>
      </c>
      <c r="V91" s="314">
        <f>SUM(ORÇAMENTO!N91)</f>
        <v>0</v>
      </c>
      <c r="W91" s="315">
        <f t="shared" si="21"/>
        <v>0</v>
      </c>
    </row>
    <row r="92" spans="1:23" ht="15" customHeight="1" thickBot="1">
      <c r="A92" s="560" t="s">
        <v>165</v>
      </c>
      <c r="B92" s="908" t="s">
        <v>2277</v>
      </c>
      <c r="C92" s="909" t="s">
        <v>184</v>
      </c>
      <c r="D92" s="1367" t="s">
        <v>2278</v>
      </c>
      <c r="E92" s="1368">
        <v>43.1</v>
      </c>
      <c r="F92" s="1369">
        <v>1.35</v>
      </c>
      <c r="G92" s="1370">
        <f t="shared" ref="G92" si="22">IF(E92&lt;=30,(1.07*E92+2.68)*F92,((1.07*30+2.68)+1.07*(E92-30))*F92)</f>
        <v>65.875950000000003</v>
      </c>
      <c r="H92" s="1371">
        <v>94.46</v>
      </c>
      <c r="I92" s="962">
        <f t="shared" ref="I92:I116" si="23">IF(ISBLANK(H92),"",SUM(G92:H92))</f>
        <v>160.33595</v>
      </c>
      <c r="J92" s="963">
        <f t="shared" ref="J92:J116" si="24">IF(ISBLANK(H92),0,ROUND(I92*(1+$E$10),2))</f>
        <v>195.96</v>
      </c>
      <c r="K92" s="1369" t="s">
        <v>10</v>
      </c>
      <c r="L92" s="1009">
        <f>ROUND(SUM(ORÇAMENTO!L92),2)</f>
        <v>1050</v>
      </c>
      <c r="M92" s="1008">
        <f t="shared" si="16"/>
        <v>195.96</v>
      </c>
      <c r="N92" s="967">
        <f t="shared" si="17"/>
        <v>205758</v>
      </c>
      <c r="O92" s="1372"/>
      <c r="Q92" s="317" t="str">
        <f t="shared" si="18"/>
        <v>x</v>
      </c>
      <c r="R92" s="317" t="str">
        <f t="shared" si="19"/>
        <v>x</v>
      </c>
      <c r="S92" s="317" t="str">
        <f t="shared" si="20"/>
        <v>x</v>
      </c>
      <c r="V92" s="314">
        <f>SUM(ORÇAMENTO!N92)</f>
        <v>205758</v>
      </c>
      <c r="W92" s="315">
        <f t="shared" si="21"/>
        <v>0</v>
      </c>
    </row>
    <row r="93" spans="1:23" ht="15" hidden="1" customHeight="1">
      <c r="A93" s="560" t="s">
        <v>165</v>
      </c>
      <c r="B93" s="1315" t="s">
        <v>165</v>
      </c>
      <c r="C93" s="1316" t="s">
        <v>165</v>
      </c>
      <c r="D93" s="906"/>
      <c r="E93" s="1314"/>
      <c r="F93" s="1317"/>
      <c r="G93" s="1318"/>
      <c r="H93" s="1319">
        <v>0</v>
      </c>
      <c r="I93" s="864">
        <f t="shared" si="23"/>
        <v>0</v>
      </c>
      <c r="J93" s="865">
        <f t="shared" si="24"/>
        <v>0</v>
      </c>
      <c r="K93" s="1317" t="s">
        <v>506</v>
      </c>
      <c r="L93" s="879">
        <f>ROUND(SUM(ORÇAMENTO!L93),2)</f>
        <v>0</v>
      </c>
      <c r="M93" s="879">
        <f t="shared" si="16"/>
        <v>0</v>
      </c>
      <c r="N93" s="907">
        <f t="shared" si="17"/>
        <v>0</v>
      </c>
      <c r="O93" s="880"/>
      <c r="Q93" s="317" t="str">
        <f t="shared" si="18"/>
        <v/>
      </c>
      <c r="R93" s="317" t="str">
        <f t="shared" si="19"/>
        <v/>
      </c>
      <c r="S93" s="317" t="str">
        <f t="shared" si="20"/>
        <v/>
      </c>
      <c r="V93" s="314">
        <f>SUM(ORÇAMENTO!N93)</f>
        <v>0</v>
      </c>
      <c r="W93" s="315">
        <f t="shared" si="21"/>
        <v>0</v>
      </c>
    </row>
    <row r="94" spans="1:23" ht="15" hidden="1" customHeight="1">
      <c r="A94" s="560" t="s">
        <v>165</v>
      </c>
      <c r="B94" s="899" t="s">
        <v>165</v>
      </c>
      <c r="C94" s="900" t="s">
        <v>165</v>
      </c>
      <c r="D94" s="901"/>
      <c r="E94" s="902"/>
      <c r="F94" s="903"/>
      <c r="G94" s="904"/>
      <c r="H94" s="905">
        <v>0</v>
      </c>
      <c r="I94" s="876">
        <f t="shared" si="23"/>
        <v>0</v>
      </c>
      <c r="J94" s="877">
        <f t="shared" si="24"/>
        <v>0</v>
      </c>
      <c r="K94" s="903" t="s">
        <v>506</v>
      </c>
      <c r="L94" s="879">
        <f>ROUND(SUM(ORÇAMENTO!L94),2)</f>
        <v>0</v>
      </c>
      <c r="M94" s="879">
        <f t="shared" si="16"/>
        <v>0</v>
      </c>
      <c r="N94" s="868">
        <f t="shared" si="17"/>
        <v>0</v>
      </c>
      <c r="O94" s="880"/>
      <c r="Q94" s="317" t="str">
        <f t="shared" si="18"/>
        <v/>
      </c>
      <c r="R94" s="317" t="str">
        <f t="shared" si="19"/>
        <v/>
      </c>
      <c r="S94" s="317" t="str">
        <f t="shared" si="20"/>
        <v/>
      </c>
      <c r="V94" s="314">
        <f>SUM(ORÇAMENTO!N94)</f>
        <v>0</v>
      </c>
      <c r="W94" s="315">
        <f t="shared" si="21"/>
        <v>0</v>
      </c>
    </row>
    <row r="95" spans="1:23" ht="15" hidden="1" customHeight="1">
      <c r="A95" s="560" t="s">
        <v>165</v>
      </c>
      <c r="B95" s="899" t="s">
        <v>165</v>
      </c>
      <c r="C95" s="900" t="s">
        <v>165</v>
      </c>
      <c r="D95" s="901"/>
      <c r="E95" s="902"/>
      <c r="F95" s="903"/>
      <c r="G95" s="904"/>
      <c r="H95" s="905">
        <v>0</v>
      </c>
      <c r="I95" s="876">
        <f t="shared" si="23"/>
        <v>0</v>
      </c>
      <c r="J95" s="877">
        <f t="shared" si="24"/>
        <v>0</v>
      </c>
      <c r="K95" s="903" t="s">
        <v>506</v>
      </c>
      <c r="L95" s="879">
        <f>ROUND(SUM(ORÇAMENTO!L95),2)</f>
        <v>0</v>
      </c>
      <c r="M95" s="879">
        <f t="shared" si="16"/>
        <v>0</v>
      </c>
      <c r="N95" s="868">
        <f t="shared" si="17"/>
        <v>0</v>
      </c>
      <c r="O95" s="880"/>
      <c r="Q95" s="317" t="str">
        <f t="shared" si="18"/>
        <v/>
      </c>
      <c r="R95" s="317" t="str">
        <f t="shared" si="19"/>
        <v/>
      </c>
      <c r="S95" s="317" t="str">
        <f t="shared" si="20"/>
        <v/>
      </c>
      <c r="V95" s="314">
        <f>SUM(ORÇAMENTO!N95)</f>
        <v>0</v>
      </c>
      <c r="W95" s="315">
        <f t="shared" si="21"/>
        <v>0</v>
      </c>
    </row>
    <row r="96" spans="1:23" ht="15" hidden="1" customHeight="1">
      <c r="A96" s="560" t="s">
        <v>165</v>
      </c>
      <c r="B96" s="899" t="s">
        <v>165</v>
      </c>
      <c r="C96" s="900" t="s">
        <v>165</v>
      </c>
      <c r="D96" s="901"/>
      <c r="E96" s="902"/>
      <c r="F96" s="903"/>
      <c r="G96" s="904"/>
      <c r="H96" s="905">
        <v>0</v>
      </c>
      <c r="I96" s="876">
        <f t="shared" si="23"/>
        <v>0</v>
      </c>
      <c r="J96" s="877">
        <f t="shared" si="24"/>
        <v>0</v>
      </c>
      <c r="K96" s="903" t="s">
        <v>506</v>
      </c>
      <c r="L96" s="879">
        <f>ROUND(SUM(ORÇAMENTO!L96),2)</f>
        <v>0</v>
      </c>
      <c r="M96" s="879">
        <f t="shared" si="16"/>
        <v>0</v>
      </c>
      <c r="N96" s="868">
        <f t="shared" si="17"/>
        <v>0</v>
      </c>
      <c r="O96" s="880"/>
      <c r="Q96" s="317" t="str">
        <f t="shared" si="18"/>
        <v/>
      </c>
      <c r="R96" s="317" t="str">
        <f t="shared" si="19"/>
        <v/>
      </c>
      <c r="S96" s="317" t="str">
        <f t="shared" si="20"/>
        <v/>
      </c>
      <c r="V96" s="314">
        <f>SUM(ORÇAMENTO!N96)</f>
        <v>0</v>
      </c>
      <c r="W96" s="315">
        <f t="shared" si="21"/>
        <v>0</v>
      </c>
    </row>
    <row r="97" spans="1:23" ht="15" hidden="1" customHeight="1">
      <c r="A97" s="560" t="s">
        <v>165</v>
      </c>
      <c r="B97" s="899" t="s">
        <v>165</v>
      </c>
      <c r="C97" s="900" t="s">
        <v>165</v>
      </c>
      <c r="D97" s="901"/>
      <c r="E97" s="902"/>
      <c r="F97" s="903"/>
      <c r="G97" s="904"/>
      <c r="H97" s="905">
        <v>0</v>
      </c>
      <c r="I97" s="876">
        <f t="shared" si="23"/>
        <v>0</v>
      </c>
      <c r="J97" s="877">
        <f t="shared" si="24"/>
        <v>0</v>
      </c>
      <c r="K97" s="903" t="s">
        <v>506</v>
      </c>
      <c r="L97" s="879">
        <f>ROUND(SUM(ORÇAMENTO!L97),2)</f>
        <v>0</v>
      </c>
      <c r="M97" s="879">
        <f t="shared" si="16"/>
        <v>0</v>
      </c>
      <c r="N97" s="868">
        <f t="shared" si="17"/>
        <v>0</v>
      </c>
      <c r="O97" s="880"/>
      <c r="Q97" s="317" t="str">
        <f t="shared" si="18"/>
        <v/>
      </c>
      <c r="R97" s="317" t="str">
        <f t="shared" si="19"/>
        <v/>
      </c>
      <c r="S97" s="317" t="str">
        <f t="shared" si="20"/>
        <v/>
      </c>
      <c r="V97" s="314">
        <f>SUM(ORÇAMENTO!N97)</f>
        <v>0</v>
      </c>
      <c r="W97" s="315">
        <f t="shared" si="21"/>
        <v>0</v>
      </c>
    </row>
    <row r="98" spans="1:23" ht="15" hidden="1" customHeight="1">
      <c r="A98" s="560" t="s">
        <v>165</v>
      </c>
      <c r="B98" s="899" t="s">
        <v>165</v>
      </c>
      <c r="C98" s="900" t="s">
        <v>165</v>
      </c>
      <c r="D98" s="901"/>
      <c r="E98" s="902"/>
      <c r="F98" s="903"/>
      <c r="G98" s="904"/>
      <c r="H98" s="905">
        <v>0</v>
      </c>
      <c r="I98" s="876">
        <f t="shared" si="23"/>
        <v>0</v>
      </c>
      <c r="J98" s="877">
        <f t="shared" si="24"/>
        <v>0</v>
      </c>
      <c r="K98" s="903" t="s">
        <v>506</v>
      </c>
      <c r="L98" s="879">
        <f>ROUND(SUM(ORÇAMENTO!L98),2)</f>
        <v>0</v>
      </c>
      <c r="M98" s="879">
        <f t="shared" si="16"/>
        <v>0</v>
      </c>
      <c r="N98" s="868">
        <f t="shared" si="17"/>
        <v>0</v>
      </c>
      <c r="O98" s="880"/>
      <c r="Q98" s="317" t="str">
        <f t="shared" si="18"/>
        <v/>
      </c>
      <c r="R98" s="317" t="str">
        <f t="shared" si="19"/>
        <v/>
      </c>
      <c r="S98" s="317" t="str">
        <f t="shared" si="20"/>
        <v/>
      </c>
      <c r="V98" s="314">
        <f>SUM(ORÇAMENTO!N98)</f>
        <v>0</v>
      </c>
      <c r="W98" s="315">
        <f t="shared" si="21"/>
        <v>0</v>
      </c>
    </row>
    <row r="99" spans="1:23" ht="15" hidden="1" customHeight="1">
      <c r="A99" s="560" t="s">
        <v>165</v>
      </c>
      <c r="B99" s="899" t="s">
        <v>165</v>
      </c>
      <c r="C99" s="900" t="s">
        <v>165</v>
      </c>
      <c r="D99" s="901"/>
      <c r="E99" s="902"/>
      <c r="F99" s="903"/>
      <c r="G99" s="904"/>
      <c r="H99" s="905">
        <v>0</v>
      </c>
      <c r="I99" s="876">
        <f t="shared" si="23"/>
        <v>0</v>
      </c>
      <c r="J99" s="877">
        <f t="shared" si="24"/>
        <v>0</v>
      </c>
      <c r="K99" s="903" t="s">
        <v>506</v>
      </c>
      <c r="L99" s="879">
        <f>ROUND(SUM(ORÇAMENTO!L99),2)</f>
        <v>0</v>
      </c>
      <c r="M99" s="879">
        <f t="shared" si="16"/>
        <v>0</v>
      </c>
      <c r="N99" s="868">
        <f t="shared" si="17"/>
        <v>0</v>
      </c>
      <c r="O99" s="880"/>
      <c r="Q99" s="317" t="str">
        <f t="shared" si="18"/>
        <v/>
      </c>
      <c r="R99" s="317" t="str">
        <f t="shared" si="19"/>
        <v/>
      </c>
      <c r="S99" s="317" t="str">
        <f t="shared" si="20"/>
        <v/>
      </c>
      <c r="V99" s="314">
        <f>SUM(ORÇAMENTO!N99)</f>
        <v>0</v>
      </c>
      <c r="W99" s="315">
        <f t="shared" si="21"/>
        <v>0</v>
      </c>
    </row>
    <row r="100" spans="1:23" ht="15" hidden="1" customHeight="1">
      <c r="A100" s="560" t="s">
        <v>165</v>
      </c>
      <c r="B100" s="899" t="s">
        <v>165</v>
      </c>
      <c r="C100" s="900" t="s">
        <v>165</v>
      </c>
      <c r="D100" s="901"/>
      <c r="E100" s="902"/>
      <c r="F100" s="903"/>
      <c r="G100" s="904"/>
      <c r="H100" s="905">
        <v>0</v>
      </c>
      <c r="I100" s="876">
        <f t="shared" si="23"/>
        <v>0</v>
      </c>
      <c r="J100" s="877">
        <f t="shared" si="24"/>
        <v>0</v>
      </c>
      <c r="K100" s="903" t="s">
        <v>506</v>
      </c>
      <c r="L100" s="879">
        <f>ROUND(SUM(ORÇAMENTO!L100),2)</f>
        <v>0</v>
      </c>
      <c r="M100" s="879">
        <f t="shared" si="16"/>
        <v>0</v>
      </c>
      <c r="N100" s="868">
        <f t="shared" si="17"/>
        <v>0</v>
      </c>
      <c r="O100" s="880"/>
      <c r="Q100" s="317" t="str">
        <f t="shared" si="18"/>
        <v/>
      </c>
      <c r="R100" s="317" t="str">
        <f t="shared" si="19"/>
        <v/>
      </c>
      <c r="S100" s="317" t="str">
        <f t="shared" si="20"/>
        <v/>
      </c>
      <c r="V100" s="314">
        <f>SUM(ORÇAMENTO!N100)</f>
        <v>0</v>
      </c>
      <c r="W100" s="315">
        <f t="shared" si="21"/>
        <v>0</v>
      </c>
    </row>
    <row r="101" spans="1:23" ht="15" hidden="1" customHeight="1">
      <c r="A101" s="560" t="s">
        <v>165</v>
      </c>
      <c r="B101" s="899" t="s">
        <v>165</v>
      </c>
      <c r="C101" s="900" t="s">
        <v>165</v>
      </c>
      <c r="D101" s="901"/>
      <c r="E101" s="902"/>
      <c r="F101" s="903"/>
      <c r="G101" s="904"/>
      <c r="H101" s="905">
        <v>0</v>
      </c>
      <c r="I101" s="876">
        <f t="shared" si="23"/>
        <v>0</v>
      </c>
      <c r="J101" s="877">
        <f t="shared" si="24"/>
        <v>0</v>
      </c>
      <c r="K101" s="903" t="s">
        <v>506</v>
      </c>
      <c r="L101" s="879">
        <f>ROUND(SUM(ORÇAMENTO!L101),2)</f>
        <v>0</v>
      </c>
      <c r="M101" s="879">
        <f t="shared" si="16"/>
        <v>0</v>
      </c>
      <c r="N101" s="868">
        <f t="shared" si="17"/>
        <v>0</v>
      </c>
      <c r="O101" s="880"/>
      <c r="Q101" s="317" t="str">
        <f t="shared" si="18"/>
        <v/>
      </c>
      <c r="R101" s="317" t="str">
        <f t="shared" si="19"/>
        <v/>
      </c>
      <c r="S101" s="317" t="str">
        <f t="shared" si="20"/>
        <v/>
      </c>
      <c r="V101" s="314">
        <f>SUM(ORÇAMENTO!N101)</f>
        <v>0</v>
      </c>
      <c r="W101" s="315">
        <f t="shared" si="21"/>
        <v>0</v>
      </c>
    </row>
    <row r="102" spans="1:23" ht="15" hidden="1" customHeight="1">
      <c r="A102" s="560" t="s">
        <v>165</v>
      </c>
      <c r="B102" s="899" t="s">
        <v>165</v>
      </c>
      <c r="C102" s="900" t="s">
        <v>165</v>
      </c>
      <c r="D102" s="901"/>
      <c r="E102" s="902"/>
      <c r="F102" s="903"/>
      <c r="G102" s="904"/>
      <c r="H102" s="905">
        <v>0</v>
      </c>
      <c r="I102" s="876">
        <f t="shared" si="23"/>
        <v>0</v>
      </c>
      <c r="J102" s="877">
        <f t="shared" si="24"/>
        <v>0</v>
      </c>
      <c r="K102" s="903" t="s">
        <v>506</v>
      </c>
      <c r="L102" s="879">
        <f>ROUND(SUM(ORÇAMENTO!L102),2)</f>
        <v>0</v>
      </c>
      <c r="M102" s="879">
        <f t="shared" si="16"/>
        <v>0</v>
      </c>
      <c r="N102" s="868">
        <f t="shared" si="17"/>
        <v>0</v>
      </c>
      <c r="O102" s="880"/>
      <c r="Q102" s="317" t="str">
        <f t="shared" si="18"/>
        <v/>
      </c>
      <c r="R102" s="317" t="str">
        <f t="shared" si="19"/>
        <v/>
      </c>
      <c r="S102" s="317" t="str">
        <f t="shared" si="20"/>
        <v/>
      </c>
      <c r="V102" s="314">
        <f>SUM(ORÇAMENTO!N102)</f>
        <v>0</v>
      </c>
      <c r="W102" s="315">
        <f t="shared" si="21"/>
        <v>0</v>
      </c>
    </row>
    <row r="103" spans="1:23" ht="15" hidden="1" customHeight="1">
      <c r="A103" s="560" t="s">
        <v>165</v>
      </c>
      <c r="B103" s="899" t="s">
        <v>165</v>
      </c>
      <c r="C103" s="900" t="s">
        <v>165</v>
      </c>
      <c r="D103" s="901"/>
      <c r="E103" s="902"/>
      <c r="F103" s="903"/>
      <c r="G103" s="904"/>
      <c r="H103" s="905">
        <v>0</v>
      </c>
      <c r="I103" s="876">
        <f t="shared" si="23"/>
        <v>0</v>
      </c>
      <c r="J103" s="877">
        <f t="shared" si="24"/>
        <v>0</v>
      </c>
      <c r="K103" s="903" t="s">
        <v>506</v>
      </c>
      <c r="L103" s="879">
        <f>ROUND(SUM(ORÇAMENTO!L103),2)</f>
        <v>0</v>
      </c>
      <c r="M103" s="879">
        <f t="shared" si="16"/>
        <v>0</v>
      </c>
      <c r="N103" s="868">
        <f t="shared" si="17"/>
        <v>0</v>
      </c>
      <c r="O103" s="880"/>
      <c r="Q103" s="317" t="str">
        <f t="shared" si="18"/>
        <v/>
      </c>
      <c r="R103" s="317" t="str">
        <f t="shared" si="19"/>
        <v/>
      </c>
      <c r="S103" s="317" t="str">
        <f t="shared" si="20"/>
        <v/>
      </c>
      <c r="V103" s="314">
        <f>SUM(ORÇAMENTO!N103)</f>
        <v>0</v>
      </c>
      <c r="W103" s="315">
        <f t="shared" si="21"/>
        <v>0</v>
      </c>
    </row>
    <row r="104" spans="1:23" ht="15" hidden="1" customHeight="1">
      <c r="A104" s="560" t="s">
        <v>165</v>
      </c>
      <c r="B104" s="899" t="s">
        <v>165</v>
      </c>
      <c r="C104" s="900" t="s">
        <v>165</v>
      </c>
      <c r="D104" s="901"/>
      <c r="E104" s="902"/>
      <c r="F104" s="903"/>
      <c r="G104" s="904"/>
      <c r="H104" s="905">
        <v>0</v>
      </c>
      <c r="I104" s="876">
        <f t="shared" si="23"/>
        <v>0</v>
      </c>
      <c r="J104" s="877">
        <f t="shared" si="24"/>
        <v>0</v>
      </c>
      <c r="K104" s="903" t="s">
        <v>506</v>
      </c>
      <c r="L104" s="879">
        <f>ROUND(SUM(ORÇAMENTO!L104),2)</f>
        <v>0</v>
      </c>
      <c r="M104" s="879">
        <f t="shared" si="16"/>
        <v>0</v>
      </c>
      <c r="N104" s="868">
        <f t="shared" si="17"/>
        <v>0</v>
      </c>
      <c r="O104" s="880"/>
      <c r="Q104" s="317" t="str">
        <f t="shared" si="18"/>
        <v/>
      </c>
      <c r="R104" s="317" t="str">
        <f t="shared" si="19"/>
        <v/>
      </c>
      <c r="S104" s="317" t="str">
        <f t="shared" si="20"/>
        <v/>
      </c>
      <c r="V104" s="314">
        <f>SUM(ORÇAMENTO!N104)</f>
        <v>0</v>
      </c>
      <c r="W104" s="315">
        <f t="shared" si="21"/>
        <v>0</v>
      </c>
    </row>
    <row r="105" spans="1:23" ht="15" hidden="1" customHeight="1">
      <c r="A105" s="560" t="s">
        <v>165</v>
      </c>
      <c r="B105" s="899" t="s">
        <v>165</v>
      </c>
      <c r="C105" s="900" t="s">
        <v>165</v>
      </c>
      <c r="D105" s="901"/>
      <c r="E105" s="902"/>
      <c r="F105" s="903"/>
      <c r="G105" s="904"/>
      <c r="H105" s="905">
        <v>0</v>
      </c>
      <c r="I105" s="876">
        <f t="shared" si="23"/>
        <v>0</v>
      </c>
      <c r="J105" s="877">
        <f t="shared" si="24"/>
        <v>0</v>
      </c>
      <c r="K105" s="903" t="s">
        <v>506</v>
      </c>
      <c r="L105" s="879">
        <f>ROUND(SUM(ORÇAMENTO!L105),2)</f>
        <v>0</v>
      </c>
      <c r="M105" s="879">
        <f t="shared" si="16"/>
        <v>0</v>
      </c>
      <c r="N105" s="868">
        <f t="shared" si="17"/>
        <v>0</v>
      </c>
      <c r="O105" s="880"/>
      <c r="Q105" s="317" t="str">
        <f t="shared" si="18"/>
        <v/>
      </c>
      <c r="R105" s="317" t="str">
        <f t="shared" si="19"/>
        <v/>
      </c>
      <c r="S105" s="317" t="str">
        <f t="shared" si="20"/>
        <v/>
      </c>
      <c r="V105" s="314">
        <f>SUM(ORÇAMENTO!N105)</f>
        <v>0</v>
      </c>
      <c r="W105" s="315">
        <f t="shared" si="21"/>
        <v>0</v>
      </c>
    </row>
    <row r="106" spans="1:23" ht="15" hidden="1" customHeight="1">
      <c r="A106" s="560" t="s">
        <v>165</v>
      </c>
      <c r="B106" s="899" t="s">
        <v>165</v>
      </c>
      <c r="C106" s="900" t="s">
        <v>165</v>
      </c>
      <c r="D106" s="901"/>
      <c r="E106" s="902"/>
      <c r="F106" s="903"/>
      <c r="G106" s="904"/>
      <c r="H106" s="905">
        <v>0</v>
      </c>
      <c r="I106" s="876">
        <f t="shared" si="23"/>
        <v>0</v>
      </c>
      <c r="J106" s="877">
        <f t="shared" si="24"/>
        <v>0</v>
      </c>
      <c r="K106" s="903" t="s">
        <v>506</v>
      </c>
      <c r="L106" s="879">
        <f>ROUND(SUM(ORÇAMENTO!L106),2)</f>
        <v>0</v>
      </c>
      <c r="M106" s="879">
        <f t="shared" si="16"/>
        <v>0</v>
      </c>
      <c r="N106" s="868">
        <f t="shared" si="17"/>
        <v>0</v>
      </c>
      <c r="O106" s="880"/>
      <c r="Q106" s="317" t="str">
        <f t="shared" si="18"/>
        <v/>
      </c>
      <c r="R106" s="317" t="str">
        <f t="shared" si="19"/>
        <v/>
      </c>
      <c r="S106" s="317" t="str">
        <f t="shared" si="20"/>
        <v/>
      </c>
      <c r="V106" s="314">
        <f>SUM(ORÇAMENTO!N106)</f>
        <v>0</v>
      </c>
      <c r="W106" s="315">
        <f t="shared" si="21"/>
        <v>0</v>
      </c>
    </row>
    <row r="107" spans="1:23" ht="15" hidden="1" customHeight="1">
      <c r="A107" s="560" t="s">
        <v>165</v>
      </c>
      <c r="B107" s="899" t="s">
        <v>165</v>
      </c>
      <c r="C107" s="900" t="s">
        <v>165</v>
      </c>
      <c r="D107" s="901"/>
      <c r="E107" s="902"/>
      <c r="F107" s="903"/>
      <c r="G107" s="904"/>
      <c r="H107" s="905">
        <v>0</v>
      </c>
      <c r="I107" s="876">
        <f t="shared" si="23"/>
        <v>0</v>
      </c>
      <c r="J107" s="877">
        <f t="shared" si="24"/>
        <v>0</v>
      </c>
      <c r="K107" s="903" t="s">
        <v>506</v>
      </c>
      <c r="L107" s="879">
        <f>ROUND(SUM(ORÇAMENTO!L107),2)</f>
        <v>0</v>
      </c>
      <c r="M107" s="879">
        <f t="shared" si="16"/>
        <v>0</v>
      </c>
      <c r="N107" s="868">
        <f t="shared" si="17"/>
        <v>0</v>
      </c>
      <c r="O107" s="880"/>
      <c r="Q107" s="317" t="str">
        <f t="shared" si="18"/>
        <v/>
      </c>
      <c r="R107" s="317" t="str">
        <f t="shared" si="19"/>
        <v/>
      </c>
      <c r="S107" s="317" t="str">
        <f t="shared" si="20"/>
        <v/>
      </c>
      <c r="V107" s="314">
        <f>SUM(ORÇAMENTO!N107)</f>
        <v>0</v>
      </c>
      <c r="W107" s="315">
        <f t="shared" si="21"/>
        <v>0</v>
      </c>
    </row>
    <row r="108" spans="1:23" ht="15" hidden="1" customHeight="1">
      <c r="A108" s="560" t="s">
        <v>165</v>
      </c>
      <c r="B108" s="899" t="s">
        <v>165</v>
      </c>
      <c r="C108" s="900" t="s">
        <v>165</v>
      </c>
      <c r="D108" s="901"/>
      <c r="E108" s="902"/>
      <c r="F108" s="903"/>
      <c r="G108" s="904"/>
      <c r="H108" s="905">
        <v>0</v>
      </c>
      <c r="I108" s="876">
        <f t="shared" si="23"/>
        <v>0</v>
      </c>
      <c r="J108" s="877">
        <f t="shared" si="24"/>
        <v>0</v>
      </c>
      <c r="K108" s="903" t="s">
        <v>506</v>
      </c>
      <c r="L108" s="879">
        <f>ROUND(SUM(ORÇAMENTO!L108),2)</f>
        <v>0</v>
      </c>
      <c r="M108" s="879">
        <f t="shared" si="16"/>
        <v>0</v>
      </c>
      <c r="N108" s="868">
        <f t="shared" si="17"/>
        <v>0</v>
      </c>
      <c r="O108" s="880"/>
      <c r="Q108" s="317" t="str">
        <f t="shared" si="18"/>
        <v/>
      </c>
      <c r="R108" s="317" t="str">
        <f t="shared" si="19"/>
        <v/>
      </c>
      <c r="S108" s="317" t="str">
        <f t="shared" si="20"/>
        <v/>
      </c>
      <c r="V108" s="314">
        <f>SUM(ORÇAMENTO!N108)</f>
        <v>0</v>
      </c>
      <c r="W108" s="315">
        <f t="shared" si="21"/>
        <v>0</v>
      </c>
    </row>
    <row r="109" spans="1:23" ht="15" hidden="1" customHeight="1">
      <c r="A109" s="560" t="s">
        <v>165</v>
      </c>
      <c r="B109" s="899" t="s">
        <v>165</v>
      </c>
      <c r="C109" s="900" t="s">
        <v>165</v>
      </c>
      <c r="D109" s="901"/>
      <c r="E109" s="902"/>
      <c r="F109" s="903"/>
      <c r="G109" s="904"/>
      <c r="H109" s="905">
        <v>0</v>
      </c>
      <c r="I109" s="876">
        <f t="shared" si="23"/>
        <v>0</v>
      </c>
      <c r="J109" s="877">
        <f t="shared" si="24"/>
        <v>0</v>
      </c>
      <c r="K109" s="903" t="s">
        <v>506</v>
      </c>
      <c r="L109" s="879">
        <f>ROUND(SUM(ORÇAMENTO!L109),2)</f>
        <v>0</v>
      </c>
      <c r="M109" s="879">
        <f t="shared" si="16"/>
        <v>0</v>
      </c>
      <c r="N109" s="868">
        <f t="shared" si="17"/>
        <v>0</v>
      </c>
      <c r="O109" s="880"/>
      <c r="Q109" s="317" t="str">
        <f t="shared" si="18"/>
        <v/>
      </c>
      <c r="R109" s="317" t="str">
        <f t="shared" si="19"/>
        <v/>
      </c>
      <c r="S109" s="317" t="str">
        <f t="shared" si="20"/>
        <v/>
      </c>
      <c r="V109" s="314">
        <f>SUM(ORÇAMENTO!N109)</f>
        <v>0</v>
      </c>
      <c r="W109" s="315">
        <f t="shared" si="21"/>
        <v>0</v>
      </c>
    </row>
    <row r="110" spans="1:23" ht="15" hidden="1" customHeight="1">
      <c r="A110" s="560" t="s">
        <v>165</v>
      </c>
      <c r="B110" s="899" t="s">
        <v>165</v>
      </c>
      <c r="C110" s="900" t="s">
        <v>165</v>
      </c>
      <c r="D110" s="901"/>
      <c r="E110" s="902"/>
      <c r="F110" s="903"/>
      <c r="G110" s="904"/>
      <c r="H110" s="905">
        <v>0</v>
      </c>
      <c r="I110" s="876">
        <f t="shared" si="23"/>
        <v>0</v>
      </c>
      <c r="J110" s="877">
        <f t="shared" si="24"/>
        <v>0</v>
      </c>
      <c r="K110" s="903" t="s">
        <v>506</v>
      </c>
      <c r="L110" s="879">
        <f>ROUND(SUM(ORÇAMENTO!L110),2)</f>
        <v>0</v>
      </c>
      <c r="M110" s="879">
        <f t="shared" si="16"/>
        <v>0</v>
      </c>
      <c r="N110" s="868">
        <f t="shared" si="17"/>
        <v>0</v>
      </c>
      <c r="O110" s="880"/>
      <c r="Q110" s="317" t="str">
        <f t="shared" si="18"/>
        <v/>
      </c>
      <c r="R110" s="317" t="str">
        <f t="shared" si="19"/>
        <v/>
      </c>
      <c r="S110" s="317" t="str">
        <f t="shared" si="20"/>
        <v/>
      </c>
      <c r="V110" s="314">
        <f>SUM(ORÇAMENTO!N110)</f>
        <v>0</v>
      </c>
      <c r="W110" s="315">
        <f t="shared" si="21"/>
        <v>0</v>
      </c>
    </row>
    <row r="111" spans="1:23" ht="15" hidden="1" customHeight="1">
      <c r="A111" s="560" t="s">
        <v>165</v>
      </c>
      <c r="B111" s="899" t="s">
        <v>165</v>
      </c>
      <c r="C111" s="900" t="s">
        <v>165</v>
      </c>
      <c r="D111" s="901"/>
      <c r="E111" s="902"/>
      <c r="F111" s="903"/>
      <c r="G111" s="904"/>
      <c r="H111" s="905">
        <v>0</v>
      </c>
      <c r="I111" s="876">
        <f t="shared" si="23"/>
        <v>0</v>
      </c>
      <c r="J111" s="877">
        <f t="shared" si="24"/>
        <v>0</v>
      </c>
      <c r="K111" s="903" t="s">
        <v>506</v>
      </c>
      <c r="L111" s="879">
        <f>ROUND(SUM(ORÇAMENTO!L111),2)</f>
        <v>0</v>
      </c>
      <c r="M111" s="879">
        <f t="shared" si="16"/>
        <v>0</v>
      </c>
      <c r="N111" s="868">
        <f t="shared" si="17"/>
        <v>0</v>
      </c>
      <c r="O111" s="880"/>
      <c r="Q111" s="317" t="str">
        <f t="shared" si="18"/>
        <v/>
      </c>
      <c r="R111" s="317" t="str">
        <f t="shared" si="19"/>
        <v/>
      </c>
      <c r="S111" s="317" t="str">
        <f t="shared" si="20"/>
        <v/>
      </c>
      <c r="V111" s="314">
        <f>SUM(ORÇAMENTO!N111)</f>
        <v>0</v>
      </c>
      <c r="W111" s="315">
        <f t="shared" si="21"/>
        <v>0</v>
      </c>
    </row>
    <row r="112" spans="1:23" ht="15" hidden="1" customHeight="1">
      <c r="A112" s="560" t="s">
        <v>165</v>
      </c>
      <c r="B112" s="899" t="s">
        <v>165</v>
      </c>
      <c r="C112" s="900" t="s">
        <v>165</v>
      </c>
      <c r="D112" s="901"/>
      <c r="E112" s="902"/>
      <c r="F112" s="903"/>
      <c r="G112" s="904"/>
      <c r="H112" s="905">
        <v>0</v>
      </c>
      <c r="I112" s="876">
        <f t="shared" si="23"/>
        <v>0</v>
      </c>
      <c r="J112" s="877">
        <f t="shared" si="24"/>
        <v>0</v>
      </c>
      <c r="K112" s="903" t="s">
        <v>506</v>
      </c>
      <c r="L112" s="879">
        <f>ROUND(SUM(ORÇAMENTO!L112),2)</f>
        <v>0</v>
      </c>
      <c r="M112" s="879">
        <f t="shared" si="16"/>
        <v>0</v>
      </c>
      <c r="N112" s="868">
        <f t="shared" si="17"/>
        <v>0</v>
      </c>
      <c r="O112" s="880"/>
      <c r="Q112" s="317" t="str">
        <f t="shared" si="18"/>
        <v/>
      </c>
      <c r="R112" s="317" t="str">
        <f t="shared" si="19"/>
        <v/>
      </c>
      <c r="S112" s="317" t="str">
        <f t="shared" si="20"/>
        <v/>
      </c>
      <c r="V112" s="314">
        <f>SUM(ORÇAMENTO!N112)</f>
        <v>0</v>
      </c>
      <c r="W112" s="315">
        <f t="shared" si="21"/>
        <v>0</v>
      </c>
    </row>
    <row r="113" spans="1:23" ht="15" hidden="1" customHeight="1">
      <c r="A113" s="560" t="s">
        <v>165</v>
      </c>
      <c r="B113" s="899" t="s">
        <v>165</v>
      </c>
      <c r="C113" s="900" t="s">
        <v>165</v>
      </c>
      <c r="D113" s="901"/>
      <c r="E113" s="902"/>
      <c r="F113" s="903"/>
      <c r="G113" s="904"/>
      <c r="H113" s="905">
        <v>0</v>
      </c>
      <c r="I113" s="876">
        <f t="shared" si="23"/>
        <v>0</v>
      </c>
      <c r="J113" s="877">
        <f t="shared" si="24"/>
        <v>0</v>
      </c>
      <c r="K113" s="903" t="s">
        <v>506</v>
      </c>
      <c r="L113" s="879">
        <f>ROUND(SUM(ORÇAMENTO!L113),2)</f>
        <v>0</v>
      </c>
      <c r="M113" s="879">
        <f t="shared" si="16"/>
        <v>0</v>
      </c>
      <c r="N113" s="868">
        <f t="shared" si="17"/>
        <v>0</v>
      </c>
      <c r="O113" s="880"/>
      <c r="Q113" s="317" t="str">
        <f t="shared" si="18"/>
        <v/>
      </c>
      <c r="R113" s="317" t="str">
        <f t="shared" si="19"/>
        <v/>
      </c>
      <c r="S113" s="317" t="str">
        <f t="shared" si="20"/>
        <v/>
      </c>
      <c r="V113" s="314">
        <f>SUM(ORÇAMENTO!N113)</f>
        <v>0</v>
      </c>
      <c r="W113" s="315">
        <f t="shared" si="21"/>
        <v>0</v>
      </c>
    </row>
    <row r="114" spans="1:23" ht="15" hidden="1" customHeight="1">
      <c r="A114" s="560" t="s">
        <v>165</v>
      </c>
      <c r="B114" s="899" t="s">
        <v>165</v>
      </c>
      <c r="C114" s="900" t="s">
        <v>165</v>
      </c>
      <c r="D114" s="901"/>
      <c r="E114" s="902"/>
      <c r="F114" s="903"/>
      <c r="G114" s="904"/>
      <c r="H114" s="905">
        <v>0</v>
      </c>
      <c r="I114" s="876">
        <f t="shared" si="23"/>
        <v>0</v>
      </c>
      <c r="J114" s="877">
        <f t="shared" si="24"/>
        <v>0</v>
      </c>
      <c r="K114" s="903" t="s">
        <v>506</v>
      </c>
      <c r="L114" s="879">
        <f>ROUND(SUM(ORÇAMENTO!L114),2)</f>
        <v>0</v>
      </c>
      <c r="M114" s="879">
        <f t="shared" si="16"/>
        <v>0</v>
      </c>
      <c r="N114" s="868">
        <f t="shared" si="17"/>
        <v>0</v>
      </c>
      <c r="O114" s="880"/>
      <c r="Q114" s="317" t="str">
        <f t="shared" si="18"/>
        <v/>
      </c>
      <c r="R114" s="317" t="str">
        <f t="shared" si="19"/>
        <v/>
      </c>
      <c r="S114" s="317" t="str">
        <f t="shared" si="20"/>
        <v/>
      </c>
      <c r="V114" s="314">
        <f>SUM(ORÇAMENTO!N114)</f>
        <v>0</v>
      </c>
      <c r="W114" s="315">
        <f t="shared" si="21"/>
        <v>0</v>
      </c>
    </row>
    <row r="115" spans="1:23" ht="15" hidden="1" customHeight="1">
      <c r="A115" s="560" t="s">
        <v>165</v>
      </c>
      <c r="B115" s="899" t="s">
        <v>165</v>
      </c>
      <c r="C115" s="900" t="s">
        <v>165</v>
      </c>
      <c r="D115" s="901"/>
      <c r="E115" s="902"/>
      <c r="F115" s="903"/>
      <c r="G115" s="904"/>
      <c r="H115" s="905">
        <v>0</v>
      </c>
      <c r="I115" s="876">
        <f t="shared" si="23"/>
        <v>0</v>
      </c>
      <c r="J115" s="877">
        <f t="shared" si="24"/>
        <v>0</v>
      </c>
      <c r="K115" s="903" t="s">
        <v>506</v>
      </c>
      <c r="L115" s="879">
        <f>ROUND(SUM(ORÇAMENTO!L115),2)</f>
        <v>0</v>
      </c>
      <c r="M115" s="879">
        <f t="shared" si="16"/>
        <v>0</v>
      </c>
      <c r="N115" s="868">
        <f t="shared" si="17"/>
        <v>0</v>
      </c>
      <c r="O115" s="880"/>
      <c r="Q115" s="317" t="str">
        <f t="shared" si="18"/>
        <v/>
      </c>
      <c r="R115" s="317" t="str">
        <f t="shared" si="19"/>
        <v/>
      </c>
      <c r="S115" s="317" t="str">
        <f t="shared" si="20"/>
        <v/>
      </c>
      <c r="V115" s="314">
        <f>SUM(ORÇAMENTO!N115)</f>
        <v>0</v>
      </c>
      <c r="W115" s="315">
        <f t="shared" si="21"/>
        <v>0</v>
      </c>
    </row>
    <row r="116" spans="1:23" ht="15" hidden="1" customHeight="1" thickBot="1">
      <c r="A116" s="560" t="s">
        <v>165</v>
      </c>
      <c r="B116" s="1274" t="s">
        <v>165</v>
      </c>
      <c r="C116" s="1275" t="s">
        <v>165</v>
      </c>
      <c r="D116" s="1277"/>
      <c r="E116" s="910"/>
      <c r="F116" s="911"/>
      <c r="G116" s="912"/>
      <c r="H116" s="913">
        <v>0</v>
      </c>
      <c r="I116" s="914">
        <f t="shared" si="23"/>
        <v>0</v>
      </c>
      <c r="J116" s="943">
        <f t="shared" si="24"/>
        <v>0</v>
      </c>
      <c r="K116" s="911" t="s">
        <v>506</v>
      </c>
      <c r="L116" s="972">
        <f>ROUND(SUM(ORÇAMENTO!L116),2)</f>
        <v>0</v>
      </c>
      <c r="M116" s="972">
        <f t="shared" si="16"/>
        <v>0</v>
      </c>
      <c r="N116" s="916">
        <f t="shared" si="17"/>
        <v>0</v>
      </c>
      <c r="O116" s="880"/>
      <c r="Q116" s="317" t="str">
        <f t="shared" si="18"/>
        <v/>
      </c>
      <c r="R116" s="317" t="str">
        <f t="shared" si="19"/>
        <v/>
      </c>
      <c r="S116" s="317" t="str">
        <f t="shared" si="20"/>
        <v/>
      </c>
      <c r="V116" s="314">
        <f>SUM(ORÇAMENTO!N116)</f>
        <v>0</v>
      </c>
      <c r="W116" s="315">
        <f t="shared" si="21"/>
        <v>0</v>
      </c>
    </row>
    <row r="117" spans="1:23" ht="15" customHeight="1" thickBot="1">
      <c r="A117" s="63" t="s">
        <v>185</v>
      </c>
      <c r="B117" s="924" t="s">
        <v>185</v>
      </c>
      <c r="C117" s="925"/>
      <c r="D117" s="926" t="s">
        <v>434</v>
      </c>
      <c r="E117" s="917"/>
      <c r="F117" s="851"/>
      <c r="G117" s="919"/>
      <c r="H117" s="919">
        <v>0</v>
      </c>
      <c r="I117" s="919"/>
      <c r="J117" s="919"/>
      <c r="K117" s="853" t="s">
        <v>506</v>
      </c>
      <c r="L117" s="854">
        <f>ROUND(SUM(ORÇAMENTO!L117),2)</f>
        <v>0</v>
      </c>
      <c r="M117" s="855"/>
      <c r="N117" s="856"/>
      <c r="O117" s="857">
        <f>SUM(N118:N227)</f>
        <v>1241242.72</v>
      </c>
      <c r="P117" s="58" t="str">
        <f>IF(OR(O117&gt;0,O117&gt;0),"X","")</f>
        <v>X</v>
      </c>
      <c r="Q117" s="317" t="str">
        <f t="shared" si="18"/>
        <v>x</v>
      </c>
      <c r="R117" s="317" t="str">
        <f t="shared" si="19"/>
        <v>x</v>
      </c>
      <c r="S117" s="317" t="str">
        <f t="shared" si="20"/>
        <v>x</v>
      </c>
      <c r="V117" s="314">
        <f>SUM(ORÇAMENTO!N117)</f>
        <v>0</v>
      </c>
      <c r="W117" s="315">
        <f t="shared" si="21"/>
        <v>0</v>
      </c>
    </row>
    <row r="118" spans="1:23" ht="15" hidden="1" customHeight="1">
      <c r="A118" s="557">
        <v>520100</v>
      </c>
      <c r="B118" s="858" t="s">
        <v>1542</v>
      </c>
      <c r="C118" s="859" t="s">
        <v>184</v>
      </c>
      <c r="D118" s="920" t="s">
        <v>270</v>
      </c>
      <c r="E118" s="1314">
        <v>0.5</v>
      </c>
      <c r="F118" s="862">
        <f>1.5*1.4</f>
        <v>2.0999999999999996</v>
      </c>
      <c r="G118" s="1320">
        <f>IF(E118&lt;=30,(1.07*E118+2.68)*F118,((1.07*30+2.68)+1.07*(E118-30))*F118)</f>
        <v>6.7514999999999992</v>
      </c>
      <c r="H118" s="1321">
        <v>5.45</v>
      </c>
      <c r="I118" s="864">
        <f t="shared" ref="I118:I124" si="25">IF(ISBLANK(H118),"",SUM(G118:H118))</f>
        <v>12.201499999999999</v>
      </c>
      <c r="J118" s="865">
        <f>IF(ISBLANK(H118),0,ROUND(I118*(1+$E$10),2))</f>
        <v>14.91</v>
      </c>
      <c r="K118" s="866" t="s">
        <v>10</v>
      </c>
      <c r="L118" s="879">
        <f>ROUND(SUM(ORÇAMENTO!L118),2)</f>
        <v>0</v>
      </c>
      <c r="M118" s="879">
        <f t="shared" si="16"/>
        <v>0</v>
      </c>
      <c r="N118" s="907">
        <f t="shared" si="17"/>
        <v>0</v>
      </c>
      <c r="O118" s="880"/>
      <c r="Q118" s="317" t="str">
        <f t="shared" si="18"/>
        <v/>
      </c>
      <c r="R118" s="317" t="str">
        <f t="shared" si="19"/>
        <v/>
      </c>
      <c r="S118" s="317" t="str">
        <f t="shared" si="20"/>
        <v/>
      </c>
      <c r="V118" s="314">
        <f>SUM(ORÇAMENTO!N118)</f>
        <v>0</v>
      </c>
      <c r="W118" s="315">
        <f t="shared" si="21"/>
        <v>0</v>
      </c>
    </row>
    <row r="119" spans="1:23" ht="15" hidden="1" customHeight="1">
      <c r="A119" s="557">
        <v>520100</v>
      </c>
      <c r="B119" s="870" t="s">
        <v>1543</v>
      </c>
      <c r="C119" s="871" t="s">
        <v>184</v>
      </c>
      <c r="D119" s="881" t="s">
        <v>271</v>
      </c>
      <c r="E119" s="902">
        <v>15</v>
      </c>
      <c r="F119" s="874">
        <f>1.5*1.4</f>
        <v>2.0999999999999996</v>
      </c>
      <c r="G119" s="927">
        <f>IF(E119&lt;=30,(1.07*E119+2.68)*F119,((1.07*30+2.68)+1.07*(E119-30))*F119)</f>
        <v>39.332999999999991</v>
      </c>
      <c r="H119" s="928">
        <v>5.45</v>
      </c>
      <c r="I119" s="876">
        <f t="shared" si="25"/>
        <v>44.782999999999994</v>
      </c>
      <c r="J119" s="877">
        <f t="shared" ref="J119:J182" si="26">IF(ISBLANK(H119),0,ROUND(I119*(1+$E$10),2))</f>
        <v>54.73</v>
      </c>
      <c r="K119" s="878" t="s">
        <v>10</v>
      </c>
      <c r="L119" s="879">
        <f>ROUND(SUM(ORÇAMENTO!L119),2)</f>
        <v>0</v>
      </c>
      <c r="M119" s="879">
        <f t="shared" si="16"/>
        <v>0</v>
      </c>
      <c r="N119" s="868">
        <f t="shared" si="17"/>
        <v>0</v>
      </c>
      <c r="O119" s="880"/>
      <c r="Q119" s="317" t="str">
        <f t="shared" si="18"/>
        <v/>
      </c>
      <c r="R119" s="317" t="str">
        <f t="shared" si="19"/>
        <v/>
      </c>
      <c r="S119" s="317" t="str">
        <f t="shared" si="20"/>
        <v/>
      </c>
      <c r="V119" s="314">
        <f>SUM(ORÇAMENTO!N119)</f>
        <v>0</v>
      </c>
      <c r="W119" s="315">
        <f t="shared" si="21"/>
        <v>0</v>
      </c>
    </row>
    <row r="120" spans="1:23" ht="15" hidden="1" customHeight="1">
      <c r="A120" s="557">
        <v>532100</v>
      </c>
      <c r="B120" s="870">
        <v>532100</v>
      </c>
      <c r="C120" s="871" t="s">
        <v>184</v>
      </c>
      <c r="D120" s="881" t="s">
        <v>182</v>
      </c>
      <c r="E120" s="902">
        <v>20</v>
      </c>
      <c r="F120" s="883">
        <v>2.1</v>
      </c>
      <c r="G120" s="927">
        <f t="shared" ref="G120:G123" si="27">IF(E120&lt;=30,(1.07*E120+2.68)*F120,((1.07*30+2.68)+1.07*(E120-30))*F120)</f>
        <v>50.568000000000005</v>
      </c>
      <c r="H120" s="876">
        <v>92.64</v>
      </c>
      <c r="I120" s="876">
        <f t="shared" si="25"/>
        <v>143.208</v>
      </c>
      <c r="J120" s="877">
        <f t="shared" si="26"/>
        <v>175.03</v>
      </c>
      <c r="K120" s="878" t="s">
        <v>10</v>
      </c>
      <c r="L120" s="879">
        <f>ROUND(SUM(ORÇAMENTO!L120),2)</f>
        <v>0</v>
      </c>
      <c r="M120" s="879">
        <f t="shared" si="16"/>
        <v>0</v>
      </c>
      <c r="N120" s="868">
        <f t="shared" si="17"/>
        <v>0</v>
      </c>
      <c r="O120" s="880"/>
      <c r="Q120" s="317" t="str">
        <f t="shared" si="18"/>
        <v/>
      </c>
      <c r="R120" s="317" t="str">
        <f t="shared" si="19"/>
        <v/>
      </c>
      <c r="S120" s="317" t="str">
        <f t="shared" si="20"/>
        <v/>
      </c>
      <c r="V120" s="314">
        <f>SUM(ORÇAMENTO!N120)</f>
        <v>0</v>
      </c>
      <c r="W120" s="315">
        <f t="shared" si="21"/>
        <v>0</v>
      </c>
    </row>
    <row r="121" spans="1:23" ht="15" hidden="1" customHeight="1">
      <c r="A121" s="557">
        <v>452010</v>
      </c>
      <c r="B121" s="929">
        <v>452010</v>
      </c>
      <c r="C121" s="930" t="s">
        <v>184</v>
      </c>
      <c r="D121" s="881" t="s">
        <v>188</v>
      </c>
      <c r="E121" s="902">
        <v>20</v>
      </c>
      <c r="F121" s="874">
        <v>1.98</v>
      </c>
      <c r="G121" s="927">
        <f t="shared" si="27"/>
        <v>47.678400000000003</v>
      </c>
      <c r="H121" s="876">
        <v>15.69</v>
      </c>
      <c r="I121" s="876">
        <f t="shared" si="25"/>
        <v>63.368400000000001</v>
      </c>
      <c r="J121" s="877">
        <f t="shared" si="26"/>
        <v>77.45</v>
      </c>
      <c r="K121" s="878" t="s">
        <v>10</v>
      </c>
      <c r="L121" s="879">
        <f>ROUND(SUM(ORÇAMENTO!L121),2)</f>
        <v>0</v>
      </c>
      <c r="M121" s="879">
        <f t="shared" si="16"/>
        <v>0</v>
      </c>
      <c r="N121" s="868">
        <f t="shared" si="17"/>
        <v>0</v>
      </c>
      <c r="O121" s="880"/>
      <c r="Q121" s="317" t="str">
        <f t="shared" si="18"/>
        <v/>
      </c>
      <c r="R121" s="317" t="str">
        <f t="shared" si="19"/>
        <v/>
      </c>
      <c r="S121" s="317" t="str">
        <f t="shared" si="20"/>
        <v/>
      </c>
      <c r="V121" s="314">
        <f>SUM(ORÇAMENTO!N121)</f>
        <v>0</v>
      </c>
      <c r="W121" s="315">
        <f t="shared" si="21"/>
        <v>0</v>
      </c>
    </row>
    <row r="122" spans="1:23" ht="15" hidden="1" customHeight="1">
      <c r="A122" s="63">
        <v>532500</v>
      </c>
      <c r="B122" s="870" t="s">
        <v>1514</v>
      </c>
      <c r="C122" s="871" t="s">
        <v>184</v>
      </c>
      <c r="D122" s="931" t="s">
        <v>329</v>
      </c>
      <c r="E122" s="882">
        <f>DMT!$F$8</f>
        <v>290</v>
      </c>
      <c r="F122" s="883">
        <v>1.7250000000000001</v>
      </c>
      <c r="G122" s="927">
        <f t="shared" si="27"/>
        <v>539.89050000000009</v>
      </c>
      <c r="H122" s="876">
        <v>102.38</v>
      </c>
      <c r="I122" s="876">
        <f t="shared" si="25"/>
        <v>642.27050000000008</v>
      </c>
      <c r="J122" s="877">
        <f t="shared" si="26"/>
        <v>784.98</v>
      </c>
      <c r="K122" s="878" t="s">
        <v>10</v>
      </c>
      <c r="L122" s="879">
        <f>ROUND(SUM(ORÇAMENTO!L122),2)</f>
        <v>0</v>
      </c>
      <c r="M122" s="879">
        <f t="shared" si="16"/>
        <v>0</v>
      </c>
      <c r="N122" s="868">
        <f t="shared" si="17"/>
        <v>0</v>
      </c>
      <c r="O122" s="880"/>
      <c r="Q122" s="317" t="str">
        <f t="shared" si="18"/>
        <v/>
      </c>
      <c r="R122" s="317" t="str">
        <f t="shared" si="19"/>
        <v/>
      </c>
      <c r="S122" s="317" t="str">
        <f t="shared" si="20"/>
        <v/>
      </c>
      <c r="V122" s="314">
        <f>SUM(ORÇAMENTO!N122)</f>
        <v>0</v>
      </c>
      <c r="W122" s="315">
        <f t="shared" si="21"/>
        <v>0</v>
      </c>
    </row>
    <row r="123" spans="1:23" ht="15" hidden="1" customHeight="1">
      <c r="A123" s="63">
        <v>603900</v>
      </c>
      <c r="B123" s="870" t="s">
        <v>1724</v>
      </c>
      <c r="C123" s="871" t="s">
        <v>184</v>
      </c>
      <c r="D123" s="931" t="s">
        <v>330</v>
      </c>
      <c r="E123" s="882">
        <f>DMT!F10</f>
        <v>43.1</v>
      </c>
      <c r="F123" s="883">
        <v>1.5</v>
      </c>
      <c r="G123" s="927">
        <f t="shared" si="27"/>
        <v>73.19550000000001</v>
      </c>
      <c r="H123" s="876">
        <v>131.84</v>
      </c>
      <c r="I123" s="876">
        <f t="shared" si="25"/>
        <v>205.03550000000001</v>
      </c>
      <c r="J123" s="877">
        <f t="shared" si="26"/>
        <v>250.59</v>
      </c>
      <c r="K123" s="878" t="s">
        <v>10</v>
      </c>
      <c r="L123" s="879">
        <f>ROUND(SUM(ORÇAMENTO!L123),2)</f>
        <v>0</v>
      </c>
      <c r="M123" s="879">
        <f t="shared" si="16"/>
        <v>0</v>
      </c>
      <c r="N123" s="868">
        <f t="shared" si="17"/>
        <v>0</v>
      </c>
      <c r="O123" s="880"/>
      <c r="Q123" s="317" t="str">
        <f t="shared" si="18"/>
        <v/>
      </c>
      <c r="R123" s="317" t="str">
        <f t="shared" si="19"/>
        <v/>
      </c>
      <c r="S123" s="317" t="str">
        <f t="shared" si="20"/>
        <v/>
      </c>
      <c r="V123" s="314">
        <f>SUM(ORÇAMENTO!N123)</f>
        <v>0</v>
      </c>
      <c r="W123" s="315">
        <f t="shared" si="21"/>
        <v>0</v>
      </c>
    </row>
    <row r="124" spans="1:23" ht="15" hidden="1" customHeight="1">
      <c r="A124" s="63">
        <v>605000</v>
      </c>
      <c r="B124" s="870" t="s">
        <v>298</v>
      </c>
      <c r="C124" s="871" t="s">
        <v>184</v>
      </c>
      <c r="D124" s="881" t="s">
        <v>259</v>
      </c>
      <c r="E124" s="882"/>
      <c r="F124" s="883"/>
      <c r="G124" s="884">
        <f>SUM(G125:G127)</f>
        <v>449.80907000000002</v>
      </c>
      <c r="H124" s="876">
        <v>425.25</v>
      </c>
      <c r="I124" s="876">
        <f t="shared" si="25"/>
        <v>875.05907000000002</v>
      </c>
      <c r="J124" s="877">
        <f t="shared" si="26"/>
        <v>1069.5</v>
      </c>
      <c r="K124" s="878" t="s">
        <v>10</v>
      </c>
      <c r="L124" s="879">
        <f>ROUND(SUM(ORÇAMENTO!L124),2)</f>
        <v>0</v>
      </c>
      <c r="M124" s="879">
        <f t="shared" si="16"/>
        <v>0</v>
      </c>
      <c r="N124" s="868">
        <f t="shared" si="17"/>
        <v>0</v>
      </c>
      <c r="O124" s="880"/>
      <c r="Q124" s="317" t="str">
        <f t="shared" si="18"/>
        <v/>
      </c>
      <c r="R124" s="317" t="str">
        <f t="shared" si="19"/>
        <v/>
      </c>
      <c r="S124" s="317" t="str">
        <f t="shared" si="20"/>
        <v/>
      </c>
      <c r="V124" s="314">
        <f>SUM(ORÇAMENTO!N124)</f>
        <v>0</v>
      </c>
      <c r="W124" s="315">
        <f t="shared" si="21"/>
        <v>0</v>
      </c>
    </row>
    <row r="125" spans="1:23" ht="15" hidden="1" customHeight="1">
      <c r="A125" s="63" t="s">
        <v>147</v>
      </c>
      <c r="B125" s="870" t="s">
        <v>147</v>
      </c>
      <c r="C125" s="871"/>
      <c r="D125" s="931" t="s">
        <v>190</v>
      </c>
      <c r="E125" s="882">
        <f>DMT!$D$20</f>
        <v>445</v>
      </c>
      <c r="F125" s="883">
        <v>0.18</v>
      </c>
      <c r="G125" s="884">
        <f>IF(E125&lt;=30,(0.78*E125+7.82)*F125,((0.78*30+7.82)+0.78*(E125-30))*F125)</f>
        <v>63.885600000000004</v>
      </c>
      <c r="H125" s="876">
        <v>0</v>
      </c>
      <c r="I125" s="876"/>
      <c r="J125" s="877">
        <f t="shared" si="26"/>
        <v>0</v>
      </c>
      <c r="K125" s="932" t="s">
        <v>506</v>
      </c>
      <c r="L125" s="933">
        <f>ROUND(SUM(ORÇAMENTO!L125),2)</f>
        <v>0</v>
      </c>
      <c r="M125" s="934">
        <f t="shared" si="16"/>
        <v>0</v>
      </c>
      <c r="N125" s="868">
        <f t="shared" si="17"/>
        <v>0</v>
      </c>
      <c r="O125" s="880"/>
      <c r="P125" s="58" t="str">
        <f>IF(N124&gt;0,"xx",IF(N124&gt;0,"xy",""))</f>
        <v/>
      </c>
      <c r="Q125" s="317" t="str">
        <f t="shared" si="18"/>
        <v/>
      </c>
      <c r="R125" s="317" t="str">
        <f t="shared" si="19"/>
        <v/>
      </c>
      <c r="S125" s="317" t="str">
        <f t="shared" si="20"/>
        <v/>
      </c>
      <c r="V125" s="314">
        <f>SUM(ORÇAMENTO!N125)</f>
        <v>0</v>
      </c>
      <c r="W125" s="315">
        <f t="shared" si="21"/>
        <v>0</v>
      </c>
    </row>
    <row r="126" spans="1:23" ht="15" hidden="1" customHeight="1">
      <c r="A126" s="63" t="s">
        <v>147</v>
      </c>
      <c r="B126" s="870" t="s">
        <v>147</v>
      </c>
      <c r="C126" s="871"/>
      <c r="D126" s="931" t="s">
        <v>229</v>
      </c>
      <c r="E126" s="882">
        <f>DMT!$F$8</f>
        <v>290</v>
      </c>
      <c r="F126" s="883">
        <v>1.06</v>
      </c>
      <c r="G126" s="884">
        <f t="shared" ref="G126:G131" si="28">IF(E126&lt;=30,(1.07*E126+2.68)*F126,((1.07*30+2.68)+1.07*(E126-30))*F126)</f>
        <v>331.75880000000001</v>
      </c>
      <c r="H126" s="876">
        <v>0</v>
      </c>
      <c r="I126" s="876"/>
      <c r="J126" s="877">
        <f t="shared" si="26"/>
        <v>0</v>
      </c>
      <c r="K126" s="932" t="s">
        <v>506</v>
      </c>
      <c r="L126" s="933">
        <f>ROUND(SUM(ORÇAMENTO!L126),2)</f>
        <v>0</v>
      </c>
      <c r="M126" s="934">
        <f t="shared" si="16"/>
        <v>0</v>
      </c>
      <c r="N126" s="868">
        <f t="shared" si="17"/>
        <v>0</v>
      </c>
      <c r="O126" s="880"/>
      <c r="P126" s="58" t="str">
        <f>IF(N124&gt;0,"xx",IF(N124&gt;0,"xy",""))</f>
        <v/>
      </c>
      <c r="Q126" s="317" t="str">
        <f t="shared" si="18"/>
        <v/>
      </c>
      <c r="R126" s="317" t="str">
        <f t="shared" si="19"/>
        <v/>
      </c>
      <c r="S126" s="317" t="str">
        <f t="shared" si="20"/>
        <v/>
      </c>
      <c r="V126" s="314">
        <f>SUM(ORÇAMENTO!N126)</f>
        <v>0</v>
      </c>
      <c r="W126" s="315">
        <f t="shared" si="21"/>
        <v>0</v>
      </c>
    </row>
    <row r="127" spans="1:23" ht="15" hidden="1" customHeight="1">
      <c r="A127" s="63" t="s">
        <v>147</v>
      </c>
      <c r="B127" s="870" t="s">
        <v>147</v>
      </c>
      <c r="C127" s="871"/>
      <c r="D127" s="931" t="s">
        <v>233</v>
      </c>
      <c r="E127" s="882">
        <f>DMT!$F$10</f>
        <v>43.1</v>
      </c>
      <c r="F127" s="883">
        <v>1.1100000000000001</v>
      </c>
      <c r="G127" s="884">
        <f t="shared" si="28"/>
        <v>54.164670000000008</v>
      </c>
      <c r="H127" s="876">
        <v>0</v>
      </c>
      <c r="I127" s="876"/>
      <c r="J127" s="877">
        <f t="shared" si="26"/>
        <v>0</v>
      </c>
      <c r="K127" s="932" t="s">
        <v>506</v>
      </c>
      <c r="L127" s="933">
        <f>ROUND(SUM(ORÇAMENTO!L127),2)</f>
        <v>0</v>
      </c>
      <c r="M127" s="934">
        <f t="shared" si="16"/>
        <v>0</v>
      </c>
      <c r="N127" s="868">
        <f t="shared" si="17"/>
        <v>0</v>
      </c>
      <c r="O127" s="880"/>
      <c r="P127" s="58" t="str">
        <f>IF(N124&gt;0,"xx",IF(N124&gt;0,"xy",""))</f>
        <v/>
      </c>
      <c r="Q127" s="317" t="str">
        <f t="shared" si="18"/>
        <v/>
      </c>
      <c r="R127" s="317" t="str">
        <f t="shared" si="19"/>
        <v/>
      </c>
      <c r="S127" s="317" t="str">
        <f t="shared" si="20"/>
        <v/>
      </c>
      <c r="V127" s="314">
        <f>SUM(ORÇAMENTO!N127)</f>
        <v>0</v>
      </c>
      <c r="W127" s="315">
        <f t="shared" si="21"/>
        <v>0</v>
      </c>
    </row>
    <row r="128" spans="1:23" ht="15" hidden="1" customHeight="1">
      <c r="A128" s="63">
        <v>400500</v>
      </c>
      <c r="B128" s="870" t="s">
        <v>1513</v>
      </c>
      <c r="C128" s="871" t="s">
        <v>184</v>
      </c>
      <c r="D128" s="881" t="s">
        <v>1716</v>
      </c>
      <c r="E128" s="882">
        <f>DMT!$F$8</f>
        <v>290</v>
      </c>
      <c r="F128" s="883">
        <v>1.73</v>
      </c>
      <c r="G128" s="927">
        <f t="shared" si="28"/>
        <v>541.45540000000005</v>
      </c>
      <c r="H128" s="876">
        <v>83.83</v>
      </c>
      <c r="I128" s="876">
        <f>IF(ISBLANK(H128),"",SUM(G128:H128))</f>
        <v>625.2854000000001</v>
      </c>
      <c r="J128" s="877">
        <f t="shared" si="26"/>
        <v>764.22</v>
      </c>
      <c r="K128" s="878" t="s">
        <v>10</v>
      </c>
      <c r="L128" s="879">
        <f>ROUND(SUM(ORÇAMENTO!L128),2)</f>
        <v>0</v>
      </c>
      <c r="M128" s="879">
        <f t="shared" si="16"/>
        <v>0</v>
      </c>
      <c r="N128" s="868">
        <f t="shared" si="17"/>
        <v>0</v>
      </c>
      <c r="O128" s="880"/>
      <c r="Q128" s="317" t="str">
        <f t="shared" si="18"/>
        <v/>
      </c>
      <c r="R128" s="317" t="str">
        <f t="shared" si="19"/>
        <v/>
      </c>
      <c r="S128" s="317" t="str">
        <f t="shared" si="20"/>
        <v/>
      </c>
      <c r="V128" s="314">
        <f>SUM(ORÇAMENTO!N128)</f>
        <v>0</v>
      </c>
      <c r="W128" s="315">
        <f t="shared" si="21"/>
        <v>0</v>
      </c>
    </row>
    <row r="129" spans="1:23" ht="15" hidden="1" customHeight="1">
      <c r="A129" s="63">
        <v>532500</v>
      </c>
      <c r="B129" s="870" t="s">
        <v>1515</v>
      </c>
      <c r="C129" s="871" t="s">
        <v>184</v>
      </c>
      <c r="D129" s="881" t="s">
        <v>1719</v>
      </c>
      <c r="E129" s="882">
        <f>DMT!$F$8</f>
        <v>290</v>
      </c>
      <c r="F129" s="883">
        <v>1.7250000000000001</v>
      </c>
      <c r="G129" s="927">
        <f t="shared" si="28"/>
        <v>539.89050000000009</v>
      </c>
      <c r="H129" s="876">
        <v>102.38</v>
      </c>
      <c r="I129" s="876">
        <f>IF(ISBLANK(H129),"",SUM(G129:H129))</f>
        <v>642.27050000000008</v>
      </c>
      <c r="J129" s="877">
        <f t="shared" si="26"/>
        <v>784.98</v>
      </c>
      <c r="K129" s="878" t="s">
        <v>10</v>
      </c>
      <c r="L129" s="879">
        <f>ROUND(SUM(ORÇAMENTO!L129),2)</f>
        <v>0</v>
      </c>
      <c r="M129" s="879">
        <f t="shared" si="16"/>
        <v>0</v>
      </c>
      <c r="N129" s="868">
        <f t="shared" si="17"/>
        <v>0</v>
      </c>
      <c r="O129" s="880"/>
      <c r="Q129" s="317" t="str">
        <f t="shared" si="18"/>
        <v/>
      </c>
      <c r="R129" s="317" t="str">
        <f t="shared" si="19"/>
        <v/>
      </c>
      <c r="S129" s="317" t="str">
        <f t="shared" si="20"/>
        <v/>
      </c>
      <c r="V129" s="314">
        <f>SUM(ORÇAMENTO!N129)</f>
        <v>0</v>
      </c>
      <c r="W129" s="315">
        <f t="shared" si="21"/>
        <v>0</v>
      </c>
    </row>
    <row r="130" spans="1:23" ht="15" hidden="1" customHeight="1">
      <c r="A130" s="557">
        <v>532600</v>
      </c>
      <c r="B130" s="870" t="s">
        <v>1548</v>
      </c>
      <c r="C130" s="871" t="s">
        <v>184</v>
      </c>
      <c r="D130" s="881" t="s">
        <v>1717</v>
      </c>
      <c r="E130" s="873">
        <f>DMT!$F$12</f>
        <v>43.1</v>
      </c>
      <c r="F130" s="883">
        <f>ROUND(1.5*1.5,4)</f>
        <v>2.25</v>
      </c>
      <c r="G130" s="927">
        <f t="shared" si="28"/>
        <v>109.79325000000001</v>
      </c>
      <c r="H130" s="876">
        <v>16.07</v>
      </c>
      <c r="I130" s="876">
        <f>IF(ISBLANK(H130),"",SUM(G130:H130))</f>
        <v>125.86325000000002</v>
      </c>
      <c r="J130" s="877">
        <f t="shared" si="26"/>
        <v>153.83000000000001</v>
      </c>
      <c r="K130" s="878" t="s">
        <v>10</v>
      </c>
      <c r="L130" s="879">
        <f>ROUND(SUM(ORÇAMENTO!L130),2)</f>
        <v>0</v>
      </c>
      <c r="M130" s="879">
        <f t="shared" si="16"/>
        <v>0</v>
      </c>
      <c r="N130" s="868">
        <f t="shared" si="17"/>
        <v>0</v>
      </c>
      <c r="O130" s="880"/>
      <c r="Q130" s="317" t="str">
        <f t="shared" si="18"/>
        <v/>
      </c>
      <c r="R130" s="317" t="str">
        <f t="shared" si="19"/>
        <v/>
      </c>
      <c r="S130" s="317" t="str">
        <f t="shared" si="20"/>
        <v/>
      </c>
      <c r="V130" s="314">
        <f>SUM(ORÇAMENTO!N130)</f>
        <v>0</v>
      </c>
      <c r="W130" s="315">
        <f t="shared" si="21"/>
        <v>0</v>
      </c>
    </row>
    <row r="131" spans="1:23" ht="15" hidden="1" customHeight="1">
      <c r="A131" s="63">
        <v>603900</v>
      </c>
      <c r="B131" s="870" t="s">
        <v>1714</v>
      </c>
      <c r="C131" s="871" t="s">
        <v>184</v>
      </c>
      <c r="D131" s="881" t="s">
        <v>1718</v>
      </c>
      <c r="E131" s="882">
        <f>DMT!$F$11</f>
        <v>10</v>
      </c>
      <c r="F131" s="883">
        <v>1.5</v>
      </c>
      <c r="G131" s="927">
        <f t="shared" si="28"/>
        <v>20.07</v>
      </c>
      <c r="H131" s="876">
        <v>131.84</v>
      </c>
      <c r="I131" s="876">
        <f>IF(ISBLANK(H131),"",SUM(G131:H131))</f>
        <v>151.91</v>
      </c>
      <c r="J131" s="877">
        <f t="shared" si="26"/>
        <v>185.66</v>
      </c>
      <c r="K131" s="878" t="s">
        <v>10</v>
      </c>
      <c r="L131" s="879">
        <f>ROUND(SUM(ORÇAMENTO!L131),2)</f>
        <v>0</v>
      </c>
      <c r="M131" s="879">
        <f t="shared" si="16"/>
        <v>0</v>
      </c>
      <c r="N131" s="868">
        <f t="shared" si="17"/>
        <v>0</v>
      </c>
      <c r="O131" s="880"/>
      <c r="Q131" s="317" t="str">
        <f t="shared" si="18"/>
        <v/>
      </c>
      <c r="R131" s="317" t="str">
        <f t="shared" si="19"/>
        <v/>
      </c>
      <c r="S131" s="317" t="str">
        <f t="shared" si="20"/>
        <v/>
      </c>
      <c r="V131" s="314">
        <f>SUM(ORÇAMENTO!N131)</f>
        <v>0</v>
      </c>
      <c r="W131" s="315">
        <f t="shared" si="21"/>
        <v>0</v>
      </c>
    </row>
    <row r="132" spans="1:23" ht="15" hidden="1" customHeight="1">
      <c r="A132" s="557">
        <v>511130</v>
      </c>
      <c r="B132" s="870" t="s">
        <v>1533</v>
      </c>
      <c r="C132" s="871" t="s">
        <v>184</v>
      </c>
      <c r="D132" s="881" t="s">
        <v>448</v>
      </c>
      <c r="E132" s="882"/>
      <c r="F132" s="883"/>
      <c r="G132" s="884"/>
      <c r="H132" s="928">
        <v>1.23</v>
      </c>
      <c r="I132" s="876">
        <f t="shared" ref="I132:I141" si="29">IF(ISBLANK(H132),"",SUM(G132:H132))</f>
        <v>1.23</v>
      </c>
      <c r="J132" s="877">
        <f t="shared" si="26"/>
        <v>1.5</v>
      </c>
      <c r="K132" s="878" t="s">
        <v>10</v>
      </c>
      <c r="L132" s="879">
        <f>ROUND(SUM(ORÇAMENTO!L132),2)</f>
        <v>0</v>
      </c>
      <c r="M132" s="879">
        <f t="shared" si="16"/>
        <v>0</v>
      </c>
      <c r="N132" s="868">
        <f t="shared" si="17"/>
        <v>0</v>
      </c>
      <c r="O132" s="880"/>
      <c r="P132" s="59"/>
      <c r="Q132" s="317" t="str">
        <f t="shared" si="18"/>
        <v/>
      </c>
      <c r="R132" s="317" t="str">
        <f t="shared" si="19"/>
        <v/>
      </c>
      <c r="S132" s="317" t="str">
        <f t="shared" si="20"/>
        <v/>
      </c>
      <c r="V132" s="314">
        <f>SUM(ORÇAMENTO!N132)</f>
        <v>0</v>
      </c>
      <c r="W132" s="315">
        <f t="shared" si="21"/>
        <v>0</v>
      </c>
    </row>
    <row r="133" spans="1:23" ht="15" hidden="1" customHeight="1">
      <c r="A133" s="557">
        <v>533500</v>
      </c>
      <c r="B133" s="870" t="s">
        <v>1534</v>
      </c>
      <c r="C133" s="871" t="s">
        <v>184</v>
      </c>
      <c r="D133" s="881" t="s">
        <v>449</v>
      </c>
      <c r="E133" s="873">
        <f>DMT!$F$31</f>
        <v>17</v>
      </c>
      <c r="F133" s="874">
        <v>1.95</v>
      </c>
      <c r="G133" s="927">
        <f t="shared" ref="G133:G134" si="30">IF(E133&lt;=30,(1.07*E133+2.68)*F133,((1.07*30+2.68)+1.07*(E133-30))*F133)</f>
        <v>40.6965</v>
      </c>
      <c r="H133" s="876">
        <v>25.79</v>
      </c>
      <c r="I133" s="876">
        <f t="shared" si="29"/>
        <v>66.486500000000007</v>
      </c>
      <c r="J133" s="877">
        <f t="shared" si="26"/>
        <v>81.260000000000005</v>
      </c>
      <c r="K133" s="878" t="s">
        <v>10</v>
      </c>
      <c r="L133" s="879">
        <f>ROUND(SUM(ORÇAMENTO!L133),2)</f>
        <v>0</v>
      </c>
      <c r="M133" s="879">
        <f t="shared" si="16"/>
        <v>0</v>
      </c>
      <c r="N133" s="868">
        <f t="shared" si="17"/>
        <v>0</v>
      </c>
      <c r="O133" s="880"/>
      <c r="Q133" s="317" t="str">
        <f t="shared" si="18"/>
        <v/>
      </c>
      <c r="R133" s="317" t="str">
        <f t="shared" si="19"/>
        <v/>
      </c>
      <c r="S133" s="317" t="str">
        <f t="shared" si="20"/>
        <v/>
      </c>
      <c r="V133" s="314">
        <f>SUM(ORÇAMENTO!N133)</f>
        <v>0</v>
      </c>
      <c r="W133" s="315">
        <f t="shared" si="21"/>
        <v>0</v>
      </c>
    </row>
    <row r="134" spans="1:23" ht="15" hidden="1" customHeight="1">
      <c r="A134" s="557">
        <v>533100</v>
      </c>
      <c r="B134" s="969" t="s">
        <v>1536</v>
      </c>
      <c r="C134" s="970" t="s">
        <v>184</v>
      </c>
      <c r="D134" s="939" t="s">
        <v>450</v>
      </c>
      <c r="E134" s="1270">
        <f>DMT!$F$12</f>
        <v>43.1</v>
      </c>
      <c r="F134" s="941">
        <v>1.98</v>
      </c>
      <c r="G134" s="1278">
        <f t="shared" si="30"/>
        <v>96.618060000000014</v>
      </c>
      <c r="H134" s="914">
        <v>30.58</v>
      </c>
      <c r="I134" s="914">
        <f t="shared" si="29"/>
        <v>127.19806000000001</v>
      </c>
      <c r="J134" s="943">
        <f t="shared" si="26"/>
        <v>155.46</v>
      </c>
      <c r="K134" s="944" t="s">
        <v>10</v>
      </c>
      <c r="L134" s="972">
        <f>ROUND(SUM(ORÇAMENTO!L134),2)</f>
        <v>0</v>
      </c>
      <c r="M134" s="972">
        <f t="shared" si="16"/>
        <v>0</v>
      </c>
      <c r="N134" s="916">
        <f t="shared" si="17"/>
        <v>0</v>
      </c>
      <c r="O134" s="880"/>
      <c r="Q134" s="317" t="str">
        <f t="shared" si="18"/>
        <v/>
      </c>
      <c r="R134" s="317" t="str">
        <f t="shared" si="19"/>
        <v/>
      </c>
      <c r="S134" s="317" t="str">
        <f t="shared" si="20"/>
        <v/>
      </c>
      <c r="V134" s="314">
        <f>SUM(ORÇAMENTO!N134)</f>
        <v>0</v>
      </c>
      <c r="W134" s="315">
        <f t="shared" si="21"/>
        <v>0</v>
      </c>
    </row>
    <row r="135" spans="1:23" ht="15" customHeight="1" thickBot="1">
      <c r="A135" s="557">
        <v>511100</v>
      </c>
      <c r="B135" s="1348" t="s">
        <v>1552</v>
      </c>
      <c r="C135" s="1349" t="s">
        <v>184</v>
      </c>
      <c r="D135" s="1350" t="s">
        <v>181</v>
      </c>
      <c r="E135" s="1373"/>
      <c r="F135" s="1352">
        <v>0</v>
      </c>
      <c r="G135" s="1374">
        <v>0</v>
      </c>
      <c r="H135" s="1354">
        <v>4.25</v>
      </c>
      <c r="I135" s="1354">
        <f t="shared" si="29"/>
        <v>4.25</v>
      </c>
      <c r="J135" s="1355">
        <f t="shared" si="26"/>
        <v>5.19</v>
      </c>
      <c r="K135" s="1356" t="s">
        <v>12</v>
      </c>
      <c r="L135" s="1357">
        <f>ROUND(SUM(ORÇAMENTO!L135),2)</f>
        <v>15339.5</v>
      </c>
      <c r="M135" s="1357">
        <f t="shared" si="16"/>
        <v>5.19</v>
      </c>
      <c r="N135" s="1358">
        <f t="shared" si="17"/>
        <v>79612.009999999995</v>
      </c>
      <c r="O135" s="1359"/>
      <c r="Q135" s="317" t="str">
        <f t="shared" si="18"/>
        <v>x</v>
      </c>
      <c r="R135" s="317" t="str">
        <f t="shared" si="19"/>
        <v>x</v>
      </c>
      <c r="S135" s="317" t="str">
        <f t="shared" si="20"/>
        <v>x</v>
      </c>
      <c r="V135" s="314">
        <f>SUM(ORÇAMENTO!N135)</f>
        <v>79612.009999999995</v>
      </c>
      <c r="W135" s="315">
        <f t="shared" si="21"/>
        <v>0</v>
      </c>
    </row>
    <row r="136" spans="1:23" ht="15" hidden="1" customHeight="1">
      <c r="A136" s="557">
        <v>511000</v>
      </c>
      <c r="B136" s="858" t="s">
        <v>1540</v>
      </c>
      <c r="C136" s="859" t="s">
        <v>184</v>
      </c>
      <c r="D136" s="920" t="s">
        <v>168</v>
      </c>
      <c r="E136" s="861">
        <v>0</v>
      </c>
      <c r="F136" s="921"/>
      <c r="G136" s="1320">
        <v>0</v>
      </c>
      <c r="H136" s="864">
        <v>4.91</v>
      </c>
      <c r="I136" s="864">
        <f t="shared" si="29"/>
        <v>4.91</v>
      </c>
      <c r="J136" s="865">
        <f t="shared" si="26"/>
        <v>6</v>
      </c>
      <c r="K136" s="866" t="s">
        <v>12</v>
      </c>
      <c r="L136" s="879">
        <f>ROUND(SUM(ORÇAMENTO!L136),2)</f>
        <v>0</v>
      </c>
      <c r="M136" s="879">
        <f t="shared" si="16"/>
        <v>0</v>
      </c>
      <c r="N136" s="907">
        <f t="shared" si="17"/>
        <v>0</v>
      </c>
      <c r="O136" s="880"/>
      <c r="Q136" s="317" t="str">
        <f t="shared" si="18"/>
        <v/>
      </c>
      <c r="R136" s="317" t="str">
        <f t="shared" si="19"/>
        <v/>
      </c>
      <c r="S136" s="317" t="str">
        <f t="shared" si="20"/>
        <v/>
      </c>
      <c r="V136" s="314">
        <f>SUM(ORÇAMENTO!N136)</f>
        <v>0</v>
      </c>
      <c r="W136" s="315">
        <f t="shared" si="21"/>
        <v>0</v>
      </c>
    </row>
    <row r="137" spans="1:23" ht="15" hidden="1" customHeight="1">
      <c r="A137" s="557">
        <v>511300</v>
      </c>
      <c r="B137" s="870" t="s">
        <v>1554</v>
      </c>
      <c r="C137" s="871" t="s">
        <v>184</v>
      </c>
      <c r="D137" s="881" t="s">
        <v>180</v>
      </c>
      <c r="E137" s="873">
        <v>0</v>
      </c>
      <c r="F137" s="883">
        <v>0</v>
      </c>
      <c r="G137" s="927">
        <v>0</v>
      </c>
      <c r="H137" s="876">
        <v>0.28999999999999998</v>
      </c>
      <c r="I137" s="876">
        <f t="shared" si="29"/>
        <v>0.28999999999999998</v>
      </c>
      <c r="J137" s="877">
        <f t="shared" si="26"/>
        <v>0.35</v>
      </c>
      <c r="K137" s="878" t="s">
        <v>12</v>
      </c>
      <c r="L137" s="879">
        <f>ROUND(SUM(ORÇAMENTO!L137),2)</f>
        <v>0</v>
      </c>
      <c r="M137" s="879">
        <f t="shared" si="16"/>
        <v>0</v>
      </c>
      <c r="N137" s="868">
        <f t="shared" si="17"/>
        <v>0</v>
      </c>
      <c r="O137" s="880"/>
      <c r="Q137" s="317" t="str">
        <f t="shared" si="18"/>
        <v/>
      </c>
      <c r="R137" s="317" t="str">
        <f t="shared" si="19"/>
        <v/>
      </c>
      <c r="S137" s="317" t="str">
        <f t="shared" si="20"/>
        <v/>
      </c>
      <c r="V137" s="314">
        <f>SUM(ORÇAMENTO!N137)</f>
        <v>0</v>
      </c>
      <c r="W137" s="315">
        <f t="shared" si="21"/>
        <v>0</v>
      </c>
    </row>
    <row r="138" spans="1:23" ht="15" hidden="1" customHeight="1">
      <c r="A138" s="557">
        <v>100576</v>
      </c>
      <c r="B138" s="870" t="s">
        <v>1728</v>
      </c>
      <c r="C138" s="871" t="s">
        <v>590</v>
      </c>
      <c r="D138" s="881" t="s">
        <v>183</v>
      </c>
      <c r="E138" s="873">
        <v>0</v>
      </c>
      <c r="F138" s="883"/>
      <c r="G138" s="927">
        <v>0</v>
      </c>
      <c r="H138" s="876">
        <v>2.6</v>
      </c>
      <c r="I138" s="876">
        <f>IF(ISBLANK(H138),"",SUM(G138:H138))</f>
        <v>2.6</v>
      </c>
      <c r="J138" s="877">
        <f t="shared" si="26"/>
        <v>3.18</v>
      </c>
      <c r="K138" s="878" t="s">
        <v>12</v>
      </c>
      <c r="L138" s="879">
        <f>ROUND(SUM(ORÇAMENTO!L138),2)</f>
        <v>0</v>
      </c>
      <c r="M138" s="879">
        <f t="shared" si="16"/>
        <v>0</v>
      </c>
      <c r="N138" s="868">
        <f t="shared" si="17"/>
        <v>0</v>
      </c>
      <c r="O138" s="880"/>
      <c r="Q138" s="317" t="str">
        <f t="shared" si="18"/>
        <v/>
      </c>
      <c r="R138" s="317" t="str">
        <f t="shared" si="19"/>
        <v/>
      </c>
      <c r="S138" s="317" t="str">
        <f t="shared" si="20"/>
        <v/>
      </c>
      <c r="V138" s="314">
        <f>SUM(ORÇAMENTO!N138)</f>
        <v>0</v>
      </c>
      <c r="W138" s="315">
        <f t="shared" si="21"/>
        <v>0</v>
      </c>
    </row>
    <row r="139" spans="1:23" ht="15" hidden="1" customHeight="1">
      <c r="A139" s="557">
        <v>450000</v>
      </c>
      <c r="B139" s="929">
        <v>450000</v>
      </c>
      <c r="C139" s="930" t="s">
        <v>184</v>
      </c>
      <c r="D139" s="881" t="s">
        <v>187</v>
      </c>
      <c r="E139" s="935">
        <v>15</v>
      </c>
      <c r="F139" s="874">
        <v>1.98</v>
      </c>
      <c r="G139" s="884">
        <f t="shared" ref="G139:G141" si="31">IF(E139&lt;=30,(1.07*E139+2.68)*F139,((1.07*30+2.68)+1.07*(E139-30))*F139)</f>
        <v>37.0854</v>
      </c>
      <c r="H139" s="876">
        <v>15.69</v>
      </c>
      <c r="I139" s="876">
        <f t="shared" si="29"/>
        <v>52.775399999999998</v>
      </c>
      <c r="J139" s="877">
        <f t="shared" si="26"/>
        <v>64.5</v>
      </c>
      <c r="K139" s="878" t="s">
        <v>10</v>
      </c>
      <c r="L139" s="879">
        <f>ROUND(SUM(ORÇAMENTO!L139),2)</f>
        <v>0</v>
      </c>
      <c r="M139" s="879">
        <f t="shared" si="16"/>
        <v>0</v>
      </c>
      <c r="N139" s="868">
        <f t="shared" si="17"/>
        <v>0</v>
      </c>
      <c r="O139" s="880"/>
      <c r="Q139" s="317" t="str">
        <f t="shared" si="18"/>
        <v/>
      </c>
      <c r="R139" s="317" t="str">
        <f t="shared" si="19"/>
        <v/>
      </c>
      <c r="S139" s="317" t="str">
        <f t="shared" si="20"/>
        <v/>
      </c>
      <c r="V139" s="314">
        <f>SUM(ORÇAMENTO!N139)</f>
        <v>0</v>
      </c>
      <c r="W139" s="315">
        <f t="shared" si="21"/>
        <v>0</v>
      </c>
    </row>
    <row r="140" spans="1:23" ht="15" hidden="1" customHeight="1">
      <c r="A140" s="557">
        <v>541000</v>
      </c>
      <c r="B140" s="870">
        <v>541000</v>
      </c>
      <c r="C140" s="871" t="s">
        <v>184</v>
      </c>
      <c r="D140" s="881" t="s">
        <v>189</v>
      </c>
      <c r="E140" s="902">
        <v>15</v>
      </c>
      <c r="F140" s="883">
        <v>2.02</v>
      </c>
      <c r="G140" s="884">
        <f t="shared" si="31"/>
        <v>37.834600000000002</v>
      </c>
      <c r="H140" s="876">
        <v>28.94</v>
      </c>
      <c r="I140" s="876">
        <f t="shared" si="29"/>
        <v>66.774600000000007</v>
      </c>
      <c r="J140" s="877">
        <f t="shared" si="26"/>
        <v>81.61</v>
      </c>
      <c r="K140" s="878" t="s">
        <v>10</v>
      </c>
      <c r="L140" s="879">
        <f>ROUND(SUM(ORÇAMENTO!L140),2)</f>
        <v>0</v>
      </c>
      <c r="M140" s="879">
        <f t="shared" si="16"/>
        <v>0</v>
      </c>
      <c r="N140" s="868">
        <f t="shared" si="17"/>
        <v>0</v>
      </c>
      <c r="O140" s="880"/>
      <c r="Q140" s="317" t="str">
        <f t="shared" si="18"/>
        <v/>
      </c>
      <c r="R140" s="317" t="str">
        <f t="shared" si="19"/>
        <v/>
      </c>
      <c r="S140" s="317" t="str">
        <f t="shared" si="20"/>
        <v/>
      </c>
      <c r="V140" s="314">
        <f>SUM(ORÇAMENTO!N140)</f>
        <v>0</v>
      </c>
      <c r="W140" s="315">
        <f t="shared" si="21"/>
        <v>0</v>
      </c>
    </row>
    <row r="141" spans="1:23" ht="15" hidden="1" customHeight="1">
      <c r="A141" s="557">
        <v>533100</v>
      </c>
      <c r="B141" s="870" t="s">
        <v>1537</v>
      </c>
      <c r="C141" s="871" t="s">
        <v>184</v>
      </c>
      <c r="D141" s="881" t="s">
        <v>186</v>
      </c>
      <c r="E141" s="935">
        <v>15</v>
      </c>
      <c r="F141" s="874">
        <v>2.1</v>
      </c>
      <c r="G141" s="884">
        <f t="shared" si="31"/>
        <v>39.333000000000006</v>
      </c>
      <c r="H141" s="876">
        <v>30.58</v>
      </c>
      <c r="I141" s="876">
        <f t="shared" si="29"/>
        <v>69.913000000000011</v>
      </c>
      <c r="J141" s="877">
        <f t="shared" si="26"/>
        <v>85.45</v>
      </c>
      <c r="K141" s="878" t="s">
        <v>10</v>
      </c>
      <c r="L141" s="879">
        <f>ROUND(SUM(ORÇAMENTO!L141),2)</f>
        <v>0</v>
      </c>
      <c r="M141" s="879">
        <f t="shared" si="16"/>
        <v>0</v>
      </c>
      <c r="N141" s="868">
        <f t="shared" si="17"/>
        <v>0</v>
      </c>
      <c r="O141" s="880"/>
      <c r="Q141" s="317" t="str">
        <f t="shared" si="18"/>
        <v/>
      </c>
      <c r="R141" s="317" t="str">
        <f t="shared" si="19"/>
        <v/>
      </c>
      <c r="S141" s="317" t="str">
        <f t="shared" si="20"/>
        <v/>
      </c>
      <c r="V141" s="314">
        <f>SUM(ORÇAMENTO!N141)</f>
        <v>0</v>
      </c>
      <c r="W141" s="315">
        <f t="shared" si="21"/>
        <v>0</v>
      </c>
    </row>
    <row r="142" spans="1:23" ht="15" hidden="1" customHeight="1">
      <c r="A142" s="557">
        <v>542000</v>
      </c>
      <c r="B142" s="870">
        <v>542000</v>
      </c>
      <c r="C142" s="871" t="s">
        <v>184</v>
      </c>
      <c r="D142" s="881" t="s">
        <v>2169</v>
      </c>
      <c r="E142" s="873"/>
      <c r="F142" s="883"/>
      <c r="G142" s="927">
        <f>SUM(G143:G144)</f>
        <v>46.032619999999994</v>
      </c>
      <c r="H142" s="876">
        <v>58.55</v>
      </c>
      <c r="I142" s="876">
        <f>IF(ISBLANK(H142),"",SUM(G142:H142))</f>
        <v>104.58261999999999</v>
      </c>
      <c r="J142" s="877">
        <f t="shared" si="26"/>
        <v>127.82</v>
      </c>
      <c r="K142" s="878" t="s">
        <v>10</v>
      </c>
      <c r="L142" s="879">
        <f>ROUND(SUM(ORÇAMENTO!L142),2)</f>
        <v>0</v>
      </c>
      <c r="M142" s="879">
        <f t="shared" si="16"/>
        <v>0</v>
      </c>
      <c r="N142" s="868">
        <f t="shared" si="17"/>
        <v>0</v>
      </c>
      <c r="O142" s="880"/>
      <c r="Q142" s="317" t="str">
        <f t="shared" si="18"/>
        <v/>
      </c>
      <c r="R142" s="317" t="str">
        <f t="shared" si="19"/>
        <v/>
      </c>
      <c r="S142" s="317" t="str">
        <f t="shared" si="20"/>
        <v/>
      </c>
      <c r="V142" s="314">
        <f>SUM(ORÇAMENTO!N142)</f>
        <v>0</v>
      </c>
      <c r="W142" s="315">
        <f t="shared" si="21"/>
        <v>0</v>
      </c>
    </row>
    <row r="143" spans="1:23" ht="15" hidden="1" customHeight="1">
      <c r="A143" s="557" t="s">
        <v>147</v>
      </c>
      <c r="B143" s="870" t="s">
        <v>147</v>
      </c>
      <c r="C143" s="871"/>
      <c r="D143" s="931" t="s">
        <v>190</v>
      </c>
      <c r="E143" s="873">
        <f>DMT!$D$51</f>
        <v>445</v>
      </c>
      <c r="F143" s="883">
        <v>3.6999999999999998E-2</v>
      </c>
      <c r="G143" s="884">
        <f>IF(E143&lt;=30,(0.78*E143+7.82)*F143,((0.78*30+7.82)+0.78*(E143-30))*F143)</f>
        <v>13.13204</v>
      </c>
      <c r="H143" s="876">
        <v>0</v>
      </c>
      <c r="I143" s="876"/>
      <c r="J143" s="877">
        <f t="shared" si="26"/>
        <v>0</v>
      </c>
      <c r="K143" s="878" t="s">
        <v>506</v>
      </c>
      <c r="L143" s="933">
        <f>ROUND(SUM(ORÇAMENTO!L143),2)</f>
        <v>0</v>
      </c>
      <c r="M143" s="934">
        <f t="shared" si="16"/>
        <v>0</v>
      </c>
      <c r="N143" s="868">
        <f t="shared" si="17"/>
        <v>0</v>
      </c>
      <c r="O143" s="880"/>
      <c r="P143" s="58" t="str">
        <f>IF(N142&gt;0,"xx",IF(N142&gt;0,"xy",""))</f>
        <v/>
      </c>
      <c r="Q143" s="317" t="str">
        <f t="shared" si="18"/>
        <v/>
      </c>
      <c r="R143" s="317" t="str">
        <f t="shared" si="19"/>
        <v/>
      </c>
      <c r="S143" s="317" t="str">
        <f t="shared" si="20"/>
        <v/>
      </c>
      <c r="V143" s="314">
        <f>SUM(ORÇAMENTO!N143)</f>
        <v>0</v>
      </c>
      <c r="W143" s="315">
        <f t="shared" si="21"/>
        <v>0</v>
      </c>
    </row>
    <row r="144" spans="1:23" ht="15" hidden="1" customHeight="1">
      <c r="A144" s="557" t="s">
        <v>147</v>
      </c>
      <c r="B144" s="870" t="s">
        <v>147</v>
      </c>
      <c r="C144" s="871"/>
      <c r="D144" s="931" t="s">
        <v>191</v>
      </c>
      <c r="E144" s="873">
        <f>DMT!$F$50</f>
        <v>14</v>
      </c>
      <c r="F144" s="883">
        <v>1.863</v>
      </c>
      <c r="G144" s="884">
        <f t="shared" ref="G144" si="32">IF(E144&lt;=30,(1.07*E144+2.68)*F144,((1.07*30+2.68)+1.07*(E144-30))*F144)</f>
        <v>32.900579999999998</v>
      </c>
      <c r="H144" s="876">
        <v>0</v>
      </c>
      <c r="I144" s="876"/>
      <c r="J144" s="877">
        <f t="shared" si="26"/>
        <v>0</v>
      </c>
      <c r="K144" s="878" t="s">
        <v>506</v>
      </c>
      <c r="L144" s="933">
        <f>ROUND(SUM(ORÇAMENTO!L144),2)</f>
        <v>0</v>
      </c>
      <c r="M144" s="934">
        <f t="shared" si="16"/>
        <v>0</v>
      </c>
      <c r="N144" s="868">
        <f t="shared" si="17"/>
        <v>0</v>
      </c>
      <c r="O144" s="880"/>
      <c r="P144" s="58" t="str">
        <f>IF(N142&gt;0,"xx",IF(N142&gt;0,"xy",""))</f>
        <v/>
      </c>
      <c r="Q144" s="317" t="str">
        <f t="shared" si="18"/>
        <v/>
      </c>
      <c r="R144" s="317" t="str">
        <f t="shared" si="19"/>
        <v/>
      </c>
      <c r="S144" s="317" t="str">
        <f t="shared" si="20"/>
        <v/>
      </c>
      <c r="V144" s="314">
        <f>SUM(ORÇAMENTO!N144)</f>
        <v>0</v>
      </c>
      <c r="W144" s="315">
        <f t="shared" si="21"/>
        <v>0</v>
      </c>
    </row>
    <row r="145" spans="1:23" ht="15" hidden="1" customHeight="1">
      <c r="A145" s="557">
        <v>543000</v>
      </c>
      <c r="B145" s="870">
        <v>543000</v>
      </c>
      <c r="C145" s="871" t="s">
        <v>184</v>
      </c>
      <c r="D145" s="881" t="s">
        <v>2170</v>
      </c>
      <c r="E145" s="873"/>
      <c r="F145" s="883"/>
      <c r="G145" s="927">
        <f>SUM(G146:G147)</f>
        <v>52.103300000000004</v>
      </c>
      <c r="H145" s="876">
        <v>72.05</v>
      </c>
      <c r="I145" s="876">
        <f>IF(ISBLANK(H145),"",SUM(G145:H145))</f>
        <v>124.1533</v>
      </c>
      <c r="J145" s="877">
        <f t="shared" si="26"/>
        <v>151.74</v>
      </c>
      <c r="K145" s="878" t="s">
        <v>10</v>
      </c>
      <c r="L145" s="879">
        <f>ROUND(SUM(ORÇAMENTO!L145),2)</f>
        <v>0</v>
      </c>
      <c r="M145" s="879">
        <f t="shared" si="16"/>
        <v>0</v>
      </c>
      <c r="N145" s="868">
        <f t="shared" si="17"/>
        <v>0</v>
      </c>
      <c r="O145" s="880"/>
      <c r="Q145" s="317" t="str">
        <f t="shared" si="18"/>
        <v/>
      </c>
      <c r="R145" s="317" t="str">
        <f t="shared" si="19"/>
        <v/>
      </c>
      <c r="S145" s="317" t="str">
        <f t="shared" si="20"/>
        <v/>
      </c>
      <c r="V145" s="314">
        <f>SUM(ORÇAMENTO!N145)</f>
        <v>0</v>
      </c>
      <c r="W145" s="315">
        <f t="shared" si="21"/>
        <v>0</v>
      </c>
    </row>
    <row r="146" spans="1:23" ht="15" hidden="1" customHeight="1">
      <c r="A146" s="557" t="s">
        <v>147</v>
      </c>
      <c r="B146" s="870" t="s">
        <v>147</v>
      </c>
      <c r="C146" s="871"/>
      <c r="D146" s="931" t="s">
        <v>190</v>
      </c>
      <c r="E146" s="873">
        <f>DMT!$D$51</f>
        <v>445</v>
      </c>
      <c r="F146" s="883">
        <v>5.5E-2</v>
      </c>
      <c r="G146" s="884">
        <f>IF(E146&lt;=30,(0.78*E146+7.82)*F146,((0.78*30+7.82)+0.78*(E146-30))*F146)</f>
        <v>19.520600000000002</v>
      </c>
      <c r="H146" s="876">
        <v>0</v>
      </c>
      <c r="I146" s="876"/>
      <c r="J146" s="877">
        <f t="shared" si="26"/>
        <v>0</v>
      </c>
      <c r="K146" s="878" t="s">
        <v>506</v>
      </c>
      <c r="L146" s="933">
        <f>ROUND(SUM(ORÇAMENTO!L146),2)</f>
        <v>0</v>
      </c>
      <c r="M146" s="934">
        <f t="shared" si="16"/>
        <v>0</v>
      </c>
      <c r="N146" s="868">
        <f t="shared" si="17"/>
        <v>0</v>
      </c>
      <c r="O146" s="880"/>
      <c r="P146" s="58" t="str">
        <f>IF(N145&gt;0,"xx",IF(N145&gt;0,"xy",""))</f>
        <v/>
      </c>
      <c r="Q146" s="317" t="str">
        <f t="shared" si="18"/>
        <v/>
      </c>
      <c r="R146" s="317" t="str">
        <f t="shared" si="19"/>
        <v/>
      </c>
      <c r="S146" s="317" t="str">
        <f t="shared" si="20"/>
        <v/>
      </c>
      <c r="V146" s="314">
        <f>SUM(ORÇAMENTO!N146)</f>
        <v>0</v>
      </c>
      <c r="W146" s="315">
        <f t="shared" si="21"/>
        <v>0</v>
      </c>
    </row>
    <row r="147" spans="1:23" ht="15" hidden="1" customHeight="1">
      <c r="A147" s="557" t="s">
        <v>147</v>
      </c>
      <c r="B147" s="870" t="s">
        <v>147</v>
      </c>
      <c r="C147" s="871"/>
      <c r="D147" s="931" t="s">
        <v>191</v>
      </c>
      <c r="E147" s="873">
        <f>DMT!$F$50</f>
        <v>14</v>
      </c>
      <c r="F147" s="883">
        <v>1.845</v>
      </c>
      <c r="G147" s="884">
        <f t="shared" ref="G147" si="33">IF(E147&lt;=30,(1.07*E147+2.68)*F147,((1.07*30+2.68)+1.07*(E147-30))*F147)</f>
        <v>32.582700000000003</v>
      </c>
      <c r="H147" s="876">
        <v>0</v>
      </c>
      <c r="I147" s="876"/>
      <c r="J147" s="877">
        <f t="shared" si="26"/>
        <v>0</v>
      </c>
      <c r="K147" s="878" t="s">
        <v>506</v>
      </c>
      <c r="L147" s="933">
        <f>ROUND(SUM(ORÇAMENTO!L147),2)</f>
        <v>0</v>
      </c>
      <c r="M147" s="934">
        <f t="shared" si="16"/>
        <v>0</v>
      </c>
      <c r="N147" s="868">
        <f t="shared" si="17"/>
        <v>0</v>
      </c>
      <c r="O147" s="880"/>
      <c r="P147" s="58" t="str">
        <f>IF(N145&gt;0,"xx",IF(N145&gt;0,"xy",""))</f>
        <v/>
      </c>
      <c r="Q147" s="317" t="str">
        <f t="shared" si="18"/>
        <v/>
      </c>
      <c r="R147" s="317" t="str">
        <f t="shared" si="19"/>
        <v/>
      </c>
      <c r="S147" s="317" t="str">
        <f t="shared" si="20"/>
        <v/>
      </c>
      <c r="V147" s="314">
        <f>SUM(ORÇAMENTO!N147)</f>
        <v>0</v>
      </c>
      <c r="W147" s="315">
        <f t="shared" si="21"/>
        <v>0</v>
      </c>
    </row>
    <row r="148" spans="1:23" ht="15" hidden="1" customHeight="1">
      <c r="A148" s="557">
        <v>544000</v>
      </c>
      <c r="B148" s="870">
        <v>544000</v>
      </c>
      <c r="C148" s="871" t="s">
        <v>184</v>
      </c>
      <c r="D148" s="881" t="s">
        <v>2171</v>
      </c>
      <c r="E148" s="873"/>
      <c r="F148" s="883"/>
      <c r="G148" s="927">
        <f>SUM(G149:G150)</f>
        <v>56.616460000000004</v>
      </c>
      <c r="H148" s="876">
        <v>76.39</v>
      </c>
      <c r="I148" s="876">
        <f>IF(ISBLANK(H148),"",SUM(G148:H148))</f>
        <v>133.00646</v>
      </c>
      <c r="J148" s="877">
        <f t="shared" si="26"/>
        <v>162.56</v>
      </c>
      <c r="K148" s="878" t="s">
        <v>10</v>
      </c>
      <c r="L148" s="879">
        <f>ROUND(SUM(ORÇAMENTO!L148),2)</f>
        <v>0</v>
      </c>
      <c r="M148" s="879">
        <f t="shared" ref="M148:M211" si="34">IF(L148=0,0,ROUND(J148,2))</f>
        <v>0</v>
      </c>
      <c r="N148" s="868">
        <f t="shared" ref="N148:N211" si="35">IF(ISBLANK(L148),0,ROUND(L148*M148,2))</f>
        <v>0</v>
      </c>
      <c r="O148" s="880"/>
      <c r="Q148" s="317" t="str">
        <f t="shared" ref="Q148:Q211" si="36">IF(P148="X","x",IF(P148="xx","x",IF(P148="xy","x",IF(P148="y","x",IF(OR(N148&gt;0,N148&gt;0),"x","")))))</f>
        <v/>
      </c>
      <c r="R148" s="317" t="str">
        <f t="shared" ref="R148:R211" si="37">IF(P148="X","x",IF(P148="y","x",IF(P148="xx","x",IF(N148&gt;0,"x",""))))</f>
        <v/>
      </c>
      <c r="S148" s="317" t="str">
        <f t="shared" ref="S148:S211" si="38">IF(P148="X","x",IF(N148&gt;0,"x",""))</f>
        <v/>
      </c>
      <c r="V148" s="314">
        <f>SUM(ORÇAMENTO!N148)</f>
        <v>0</v>
      </c>
      <c r="W148" s="315">
        <f t="shared" si="21"/>
        <v>0</v>
      </c>
    </row>
    <row r="149" spans="1:23" ht="15" hidden="1" customHeight="1">
      <c r="A149" s="557" t="s">
        <v>147</v>
      </c>
      <c r="B149" s="870" t="s">
        <v>147</v>
      </c>
      <c r="C149" s="871"/>
      <c r="D149" s="931" t="s">
        <v>190</v>
      </c>
      <c r="E149" s="873">
        <f>DMT!$D$51</f>
        <v>445</v>
      </c>
      <c r="F149" s="883">
        <v>7.0999999999999994E-2</v>
      </c>
      <c r="G149" s="884">
        <f>IF(E149&lt;=30,(0.78*E149+7.82)*F149,((0.78*30+7.82)+0.78*(E149-30))*F149)</f>
        <v>25.19932</v>
      </c>
      <c r="H149" s="876">
        <v>0</v>
      </c>
      <c r="I149" s="876"/>
      <c r="J149" s="877">
        <f t="shared" si="26"/>
        <v>0</v>
      </c>
      <c r="K149" s="878" t="s">
        <v>506</v>
      </c>
      <c r="L149" s="933">
        <f>ROUND(SUM(ORÇAMENTO!L149),2)</f>
        <v>0</v>
      </c>
      <c r="M149" s="934">
        <f t="shared" si="34"/>
        <v>0</v>
      </c>
      <c r="N149" s="868">
        <f t="shared" si="35"/>
        <v>0</v>
      </c>
      <c r="O149" s="880"/>
      <c r="P149" s="58" t="str">
        <f>IF(N148&gt;0,"xx",IF(N148&gt;0,"xy",""))</f>
        <v/>
      </c>
      <c r="Q149" s="317" t="str">
        <f t="shared" si="36"/>
        <v/>
      </c>
      <c r="R149" s="317" t="str">
        <f t="shared" si="37"/>
        <v/>
      </c>
      <c r="S149" s="317" t="str">
        <f t="shared" si="38"/>
        <v/>
      </c>
      <c r="V149" s="314">
        <f>SUM(ORÇAMENTO!N149)</f>
        <v>0</v>
      </c>
      <c r="W149" s="315">
        <f t="shared" ref="W149:W212" si="39">N149-V149</f>
        <v>0</v>
      </c>
    </row>
    <row r="150" spans="1:23" ht="15" hidden="1" customHeight="1">
      <c r="A150" s="557" t="s">
        <v>147</v>
      </c>
      <c r="B150" s="870" t="s">
        <v>147</v>
      </c>
      <c r="C150" s="871"/>
      <c r="D150" s="931" t="s">
        <v>191</v>
      </c>
      <c r="E150" s="873">
        <f>DMT!$F$50</f>
        <v>14</v>
      </c>
      <c r="F150" s="883">
        <v>1.7789999999999999</v>
      </c>
      <c r="G150" s="884">
        <f t="shared" ref="G150" si="40">IF(E150&lt;=30,(1.07*E150+2.68)*F150,((1.07*30+2.68)+1.07*(E150-30))*F150)</f>
        <v>31.41714</v>
      </c>
      <c r="H150" s="876">
        <v>0</v>
      </c>
      <c r="I150" s="876"/>
      <c r="J150" s="877">
        <f t="shared" si="26"/>
        <v>0</v>
      </c>
      <c r="K150" s="878" t="s">
        <v>506</v>
      </c>
      <c r="L150" s="933">
        <f>ROUND(SUM(ORÇAMENTO!L150),2)</f>
        <v>0</v>
      </c>
      <c r="M150" s="934">
        <f t="shared" si="34"/>
        <v>0</v>
      </c>
      <c r="N150" s="868">
        <f t="shared" si="35"/>
        <v>0</v>
      </c>
      <c r="O150" s="880"/>
      <c r="P150" s="58" t="str">
        <f>IF(N148&gt;0,"xx",IF(N148&gt;0,"xy",""))</f>
        <v/>
      </c>
      <c r="Q150" s="317" t="str">
        <f t="shared" si="36"/>
        <v/>
      </c>
      <c r="R150" s="317" t="str">
        <f t="shared" si="37"/>
        <v/>
      </c>
      <c r="S150" s="317" t="str">
        <f t="shared" si="38"/>
        <v/>
      </c>
      <c r="V150" s="314">
        <f>SUM(ORÇAMENTO!N150)</f>
        <v>0</v>
      </c>
      <c r="W150" s="315">
        <f t="shared" si="39"/>
        <v>0</v>
      </c>
    </row>
    <row r="151" spans="1:23" ht="15" hidden="1" customHeight="1">
      <c r="A151" s="557">
        <v>545000</v>
      </c>
      <c r="B151" s="870">
        <v>545000</v>
      </c>
      <c r="C151" s="871" t="s">
        <v>184</v>
      </c>
      <c r="D151" s="881" t="s">
        <v>2172</v>
      </c>
      <c r="E151" s="873"/>
      <c r="F151" s="883"/>
      <c r="G151" s="927">
        <f>SUM(G152:G153)</f>
        <v>62.349879999999999</v>
      </c>
      <c r="H151" s="876">
        <v>88.51</v>
      </c>
      <c r="I151" s="876">
        <f>IF(ISBLANK(H151),"",SUM(G151:H151))</f>
        <v>150.85988</v>
      </c>
      <c r="J151" s="877">
        <f t="shared" si="26"/>
        <v>184.38</v>
      </c>
      <c r="K151" s="878" t="s">
        <v>10</v>
      </c>
      <c r="L151" s="879">
        <f>ROUND(SUM(ORÇAMENTO!L151),2)</f>
        <v>0</v>
      </c>
      <c r="M151" s="879">
        <f t="shared" si="34"/>
        <v>0</v>
      </c>
      <c r="N151" s="868">
        <f t="shared" si="35"/>
        <v>0</v>
      </c>
      <c r="O151" s="880"/>
      <c r="Q151" s="317" t="str">
        <f t="shared" si="36"/>
        <v/>
      </c>
      <c r="R151" s="317" t="str">
        <f t="shared" si="37"/>
        <v/>
      </c>
      <c r="S151" s="317" t="str">
        <f t="shared" si="38"/>
        <v/>
      </c>
      <c r="V151" s="314">
        <f>SUM(ORÇAMENTO!N151)</f>
        <v>0</v>
      </c>
      <c r="W151" s="315">
        <f t="shared" si="39"/>
        <v>0</v>
      </c>
    </row>
    <row r="152" spans="1:23" ht="15" hidden="1" customHeight="1">
      <c r="A152" s="557" t="s">
        <v>147</v>
      </c>
      <c r="B152" s="870" t="s">
        <v>147</v>
      </c>
      <c r="C152" s="871"/>
      <c r="D152" s="931" t="s">
        <v>190</v>
      </c>
      <c r="E152" s="873">
        <f>DMT!$D$51</f>
        <v>445</v>
      </c>
      <c r="F152" s="883">
        <v>8.7999999999999995E-2</v>
      </c>
      <c r="G152" s="884">
        <f>IF(E152&lt;=30,(0.78*E152+7.82)*F152,((0.78*30+7.82)+0.78*(E152-30))*F152)</f>
        <v>31.232959999999999</v>
      </c>
      <c r="H152" s="876">
        <v>0</v>
      </c>
      <c r="I152" s="876"/>
      <c r="J152" s="877">
        <f t="shared" si="26"/>
        <v>0</v>
      </c>
      <c r="K152" s="878" t="s">
        <v>506</v>
      </c>
      <c r="L152" s="933">
        <f>ROUND(SUM(ORÇAMENTO!L152),2)</f>
        <v>0</v>
      </c>
      <c r="M152" s="934">
        <f t="shared" si="34"/>
        <v>0</v>
      </c>
      <c r="N152" s="868">
        <f t="shared" si="35"/>
        <v>0</v>
      </c>
      <c r="O152" s="880"/>
      <c r="P152" s="58" t="str">
        <f>IF(N151&gt;0,"xx",IF(N151&gt;0,"xy",""))</f>
        <v/>
      </c>
      <c r="Q152" s="317" t="str">
        <f t="shared" si="36"/>
        <v/>
      </c>
      <c r="R152" s="317" t="str">
        <f t="shared" si="37"/>
        <v/>
      </c>
      <c r="S152" s="317" t="str">
        <f t="shared" si="38"/>
        <v/>
      </c>
      <c r="V152" s="314">
        <f>SUM(ORÇAMENTO!N152)</f>
        <v>0</v>
      </c>
      <c r="W152" s="315">
        <f t="shared" si="39"/>
        <v>0</v>
      </c>
    </row>
    <row r="153" spans="1:23" ht="15" hidden="1" customHeight="1">
      <c r="A153" s="557" t="s">
        <v>147</v>
      </c>
      <c r="B153" s="870" t="s">
        <v>147</v>
      </c>
      <c r="C153" s="871"/>
      <c r="D153" s="931" t="s">
        <v>191</v>
      </c>
      <c r="E153" s="873">
        <f>DMT!$F$50</f>
        <v>14</v>
      </c>
      <c r="F153" s="883">
        <v>1.762</v>
      </c>
      <c r="G153" s="884">
        <f t="shared" ref="G153" si="41">IF(E153&lt;=30,(1.07*E153+2.68)*F153,((1.07*30+2.68)+1.07*(E153-30))*F153)</f>
        <v>31.11692</v>
      </c>
      <c r="H153" s="876">
        <v>0</v>
      </c>
      <c r="I153" s="876"/>
      <c r="J153" s="877">
        <f t="shared" si="26"/>
        <v>0</v>
      </c>
      <c r="K153" s="878" t="s">
        <v>506</v>
      </c>
      <c r="L153" s="933">
        <f>ROUND(SUM(ORÇAMENTO!L153),2)</f>
        <v>0</v>
      </c>
      <c r="M153" s="934">
        <f t="shared" si="34"/>
        <v>0</v>
      </c>
      <c r="N153" s="868">
        <f t="shared" si="35"/>
        <v>0</v>
      </c>
      <c r="O153" s="880"/>
      <c r="P153" s="58" t="str">
        <f>IF(N151&gt;0,"xx",IF(N151&gt;0,"xy",""))</f>
        <v/>
      </c>
      <c r="Q153" s="317" t="str">
        <f t="shared" si="36"/>
        <v/>
      </c>
      <c r="R153" s="317" t="str">
        <f t="shared" si="37"/>
        <v/>
      </c>
      <c r="S153" s="317" t="str">
        <f t="shared" si="38"/>
        <v/>
      </c>
      <c r="V153" s="314">
        <f>SUM(ORÇAMENTO!N153)</f>
        <v>0</v>
      </c>
      <c r="W153" s="315">
        <f t="shared" si="39"/>
        <v>0</v>
      </c>
    </row>
    <row r="154" spans="1:23" ht="15" hidden="1" customHeight="1">
      <c r="A154" s="557">
        <v>546000</v>
      </c>
      <c r="B154" s="870">
        <v>546000</v>
      </c>
      <c r="C154" s="871" t="s">
        <v>184</v>
      </c>
      <c r="D154" s="881" t="s">
        <v>2173</v>
      </c>
      <c r="E154" s="873"/>
      <c r="F154" s="883"/>
      <c r="G154" s="927">
        <f>SUM(G155:G156)</f>
        <v>68.083299999999994</v>
      </c>
      <c r="H154" s="876">
        <v>100.63</v>
      </c>
      <c r="I154" s="876">
        <f>IF(ISBLANK(H154),"",SUM(G154:H154))</f>
        <v>168.7133</v>
      </c>
      <c r="J154" s="877">
        <f t="shared" si="26"/>
        <v>206.2</v>
      </c>
      <c r="K154" s="878" t="s">
        <v>10</v>
      </c>
      <c r="L154" s="879">
        <f>ROUND(SUM(ORÇAMENTO!L154),2)</f>
        <v>0</v>
      </c>
      <c r="M154" s="879">
        <f t="shared" si="34"/>
        <v>0</v>
      </c>
      <c r="N154" s="868">
        <f t="shared" si="35"/>
        <v>0</v>
      </c>
      <c r="O154" s="880"/>
      <c r="Q154" s="317" t="str">
        <f t="shared" si="36"/>
        <v/>
      </c>
      <c r="R154" s="317" t="str">
        <f t="shared" si="37"/>
        <v/>
      </c>
      <c r="S154" s="317" t="str">
        <f t="shared" si="38"/>
        <v/>
      </c>
      <c r="V154" s="314">
        <f>SUM(ORÇAMENTO!N154)</f>
        <v>0</v>
      </c>
      <c r="W154" s="315">
        <f t="shared" si="39"/>
        <v>0</v>
      </c>
    </row>
    <row r="155" spans="1:23" ht="15" hidden="1" customHeight="1">
      <c r="A155" s="557" t="s">
        <v>147</v>
      </c>
      <c r="B155" s="870" t="s">
        <v>147</v>
      </c>
      <c r="C155" s="871"/>
      <c r="D155" s="931" t="s">
        <v>190</v>
      </c>
      <c r="E155" s="873">
        <f>DMT!$D$51</f>
        <v>445</v>
      </c>
      <c r="F155" s="883">
        <v>0.105</v>
      </c>
      <c r="G155" s="884">
        <f>IF(E155&lt;=30,(0.78*E155+7.82)*F155,((0.78*30+7.82)+0.78*(E155-30))*F155)</f>
        <v>37.266599999999997</v>
      </c>
      <c r="H155" s="876">
        <v>0</v>
      </c>
      <c r="I155" s="876"/>
      <c r="J155" s="877">
        <f t="shared" si="26"/>
        <v>0</v>
      </c>
      <c r="K155" s="878" t="s">
        <v>506</v>
      </c>
      <c r="L155" s="933">
        <f>ROUND(SUM(ORÇAMENTO!L155),2)</f>
        <v>0</v>
      </c>
      <c r="M155" s="934">
        <f t="shared" si="34"/>
        <v>0</v>
      </c>
      <c r="N155" s="868">
        <f t="shared" si="35"/>
        <v>0</v>
      </c>
      <c r="O155" s="880"/>
      <c r="P155" s="58" t="str">
        <f>IF(N154&gt;0,"xx",IF(N154&gt;0,"xy",""))</f>
        <v/>
      </c>
      <c r="Q155" s="317" t="str">
        <f t="shared" si="36"/>
        <v/>
      </c>
      <c r="R155" s="317" t="str">
        <f t="shared" si="37"/>
        <v/>
      </c>
      <c r="S155" s="317" t="str">
        <f t="shared" si="38"/>
        <v/>
      </c>
      <c r="V155" s="314">
        <f>SUM(ORÇAMENTO!N155)</f>
        <v>0</v>
      </c>
      <c r="W155" s="315">
        <f t="shared" si="39"/>
        <v>0</v>
      </c>
    </row>
    <row r="156" spans="1:23" ht="15" hidden="1" customHeight="1">
      <c r="A156" s="557" t="s">
        <v>147</v>
      </c>
      <c r="B156" s="870" t="s">
        <v>147</v>
      </c>
      <c r="C156" s="871"/>
      <c r="D156" s="931" t="s">
        <v>191</v>
      </c>
      <c r="E156" s="873">
        <f>DMT!$F$50</f>
        <v>14</v>
      </c>
      <c r="F156" s="883">
        <v>1.7450000000000001</v>
      </c>
      <c r="G156" s="884">
        <f t="shared" ref="G156" si="42">IF(E156&lt;=30,(1.07*E156+2.68)*F156,((1.07*30+2.68)+1.07*(E156-30))*F156)</f>
        <v>30.816700000000001</v>
      </c>
      <c r="H156" s="876">
        <v>0</v>
      </c>
      <c r="I156" s="876"/>
      <c r="J156" s="877">
        <f t="shared" si="26"/>
        <v>0</v>
      </c>
      <c r="K156" s="878" t="s">
        <v>506</v>
      </c>
      <c r="L156" s="933">
        <f>ROUND(SUM(ORÇAMENTO!L156),2)</f>
        <v>0</v>
      </c>
      <c r="M156" s="934">
        <f t="shared" si="34"/>
        <v>0</v>
      </c>
      <c r="N156" s="868">
        <f t="shared" si="35"/>
        <v>0</v>
      </c>
      <c r="O156" s="880"/>
      <c r="P156" s="58" t="str">
        <f>IF(N154&gt;0,"xx",IF(N154&gt;0,"xy",""))</f>
        <v/>
      </c>
      <c r="Q156" s="317" t="str">
        <f t="shared" si="36"/>
        <v/>
      </c>
      <c r="R156" s="317" t="str">
        <f t="shared" si="37"/>
        <v/>
      </c>
      <c r="S156" s="317" t="str">
        <f t="shared" si="38"/>
        <v/>
      </c>
      <c r="V156" s="314">
        <f>SUM(ORÇAMENTO!N156)</f>
        <v>0</v>
      </c>
      <c r="W156" s="315">
        <f t="shared" si="39"/>
        <v>0</v>
      </c>
    </row>
    <row r="157" spans="1:23" ht="15" hidden="1" customHeight="1">
      <c r="A157" s="557">
        <v>547000</v>
      </c>
      <c r="B157" s="870">
        <v>547000</v>
      </c>
      <c r="C157" s="871" t="s">
        <v>184</v>
      </c>
      <c r="D157" s="881" t="s">
        <v>2174</v>
      </c>
      <c r="E157" s="873"/>
      <c r="F157" s="883"/>
      <c r="G157" s="927">
        <f>SUM(G158:G159)</f>
        <v>73.461800000000011</v>
      </c>
      <c r="H157" s="876">
        <v>113.68</v>
      </c>
      <c r="I157" s="876">
        <f>IF(ISBLANK(H157),"",SUM(G157:H157))</f>
        <v>187.14180000000002</v>
      </c>
      <c r="J157" s="877">
        <f t="shared" si="26"/>
        <v>228.72</v>
      </c>
      <c r="K157" s="878" t="s">
        <v>10</v>
      </c>
      <c r="L157" s="879">
        <f>ROUND(SUM(ORÇAMENTO!L157),2)</f>
        <v>0</v>
      </c>
      <c r="M157" s="879">
        <f t="shared" si="34"/>
        <v>0</v>
      </c>
      <c r="N157" s="868">
        <f t="shared" si="35"/>
        <v>0</v>
      </c>
      <c r="O157" s="880"/>
      <c r="Q157" s="317" t="str">
        <f t="shared" si="36"/>
        <v/>
      </c>
      <c r="R157" s="317" t="str">
        <f t="shared" si="37"/>
        <v/>
      </c>
      <c r="S157" s="317" t="str">
        <f t="shared" si="38"/>
        <v/>
      </c>
      <c r="V157" s="314">
        <f>SUM(ORÇAMENTO!N157)</f>
        <v>0</v>
      </c>
      <c r="W157" s="315">
        <f t="shared" si="39"/>
        <v>0</v>
      </c>
    </row>
    <row r="158" spans="1:23" ht="15" hidden="1" customHeight="1">
      <c r="A158" s="557" t="s">
        <v>147</v>
      </c>
      <c r="B158" s="870" t="s">
        <v>147</v>
      </c>
      <c r="C158" s="871"/>
      <c r="D158" s="931" t="s">
        <v>190</v>
      </c>
      <c r="E158" s="873">
        <f>DMT!$D$51</f>
        <v>445</v>
      </c>
      <c r="F158" s="883">
        <v>0.121</v>
      </c>
      <c r="G158" s="884">
        <f>IF(E158&lt;=30,(0.78*E158+7.82)*F158,((0.78*30+7.82)+0.78*(E158-30))*F158)</f>
        <v>42.945320000000002</v>
      </c>
      <c r="H158" s="876">
        <v>0</v>
      </c>
      <c r="I158" s="876"/>
      <c r="J158" s="877">
        <f t="shared" si="26"/>
        <v>0</v>
      </c>
      <c r="K158" s="878" t="s">
        <v>506</v>
      </c>
      <c r="L158" s="933">
        <f>ROUND(SUM(ORÇAMENTO!L158),2)</f>
        <v>0</v>
      </c>
      <c r="M158" s="934">
        <f t="shared" si="34"/>
        <v>0</v>
      </c>
      <c r="N158" s="868">
        <f t="shared" si="35"/>
        <v>0</v>
      </c>
      <c r="O158" s="880"/>
      <c r="P158" s="58" t="str">
        <f>IF(N157&gt;0,"xx",IF(N157&gt;0,"xy",""))</f>
        <v/>
      </c>
      <c r="Q158" s="317" t="str">
        <f t="shared" si="36"/>
        <v/>
      </c>
      <c r="R158" s="317" t="str">
        <f t="shared" si="37"/>
        <v/>
      </c>
      <c r="S158" s="317" t="str">
        <f t="shared" si="38"/>
        <v/>
      </c>
      <c r="V158" s="314">
        <f>SUM(ORÇAMENTO!N158)</f>
        <v>0</v>
      </c>
      <c r="W158" s="315">
        <f t="shared" si="39"/>
        <v>0</v>
      </c>
    </row>
    <row r="159" spans="1:23" ht="15" hidden="1" customHeight="1">
      <c r="A159" s="557" t="s">
        <v>147</v>
      </c>
      <c r="B159" s="870" t="s">
        <v>147</v>
      </c>
      <c r="C159" s="871"/>
      <c r="D159" s="931" t="s">
        <v>191</v>
      </c>
      <c r="E159" s="873">
        <f>DMT!$F$50</f>
        <v>14</v>
      </c>
      <c r="F159" s="883">
        <v>1.728</v>
      </c>
      <c r="G159" s="884">
        <f t="shared" ref="G159" si="43">IF(E159&lt;=30,(1.07*E159+2.68)*F159,((1.07*30+2.68)+1.07*(E159-30))*F159)</f>
        <v>30.516480000000001</v>
      </c>
      <c r="H159" s="876">
        <v>0</v>
      </c>
      <c r="I159" s="876"/>
      <c r="J159" s="877">
        <f t="shared" si="26"/>
        <v>0</v>
      </c>
      <c r="K159" s="878" t="s">
        <v>506</v>
      </c>
      <c r="L159" s="933">
        <f>ROUND(SUM(ORÇAMENTO!L159),2)</f>
        <v>0</v>
      </c>
      <c r="M159" s="934">
        <f t="shared" si="34"/>
        <v>0</v>
      </c>
      <c r="N159" s="868">
        <f t="shared" si="35"/>
        <v>0</v>
      </c>
      <c r="O159" s="880"/>
      <c r="P159" s="58" t="str">
        <f>IF(N157&gt;0,"xx",IF(N157&gt;0,"xy",""))</f>
        <v/>
      </c>
      <c r="Q159" s="317" t="str">
        <f t="shared" si="36"/>
        <v/>
      </c>
      <c r="R159" s="317" t="str">
        <f t="shared" si="37"/>
        <v/>
      </c>
      <c r="S159" s="317" t="str">
        <f t="shared" si="38"/>
        <v/>
      </c>
      <c r="V159" s="314">
        <f>SUM(ORÇAMENTO!N159)</f>
        <v>0</v>
      </c>
      <c r="W159" s="315">
        <f t="shared" si="39"/>
        <v>0</v>
      </c>
    </row>
    <row r="160" spans="1:23" ht="15" hidden="1" customHeight="1">
      <c r="A160" s="557">
        <v>542100</v>
      </c>
      <c r="B160" s="870">
        <v>542100</v>
      </c>
      <c r="C160" s="871" t="s">
        <v>184</v>
      </c>
      <c r="D160" s="881" t="s">
        <v>2175</v>
      </c>
      <c r="E160" s="873"/>
      <c r="F160" s="883"/>
      <c r="G160" s="927">
        <f>SUM(G161:G163)</f>
        <v>103.50754000000001</v>
      </c>
      <c r="H160" s="876">
        <v>59.6</v>
      </c>
      <c r="I160" s="876">
        <f>IF(ISBLANK(H160),"",SUM(G160:H160))</f>
        <v>163.10754</v>
      </c>
      <c r="J160" s="877">
        <f t="shared" si="26"/>
        <v>199.35</v>
      </c>
      <c r="K160" s="878" t="s">
        <v>10</v>
      </c>
      <c r="L160" s="879">
        <f>ROUND(SUM(ORÇAMENTO!L160),2)</f>
        <v>0</v>
      </c>
      <c r="M160" s="879">
        <f t="shared" si="34"/>
        <v>0</v>
      </c>
      <c r="N160" s="868">
        <f t="shared" si="35"/>
        <v>0</v>
      </c>
      <c r="O160" s="880"/>
      <c r="Q160" s="317" t="str">
        <f t="shared" si="36"/>
        <v/>
      </c>
      <c r="R160" s="317" t="str">
        <f t="shared" si="37"/>
        <v/>
      </c>
      <c r="S160" s="317" t="str">
        <f t="shared" si="38"/>
        <v/>
      </c>
      <c r="V160" s="314">
        <f>SUM(ORÇAMENTO!N160)</f>
        <v>0</v>
      </c>
      <c r="W160" s="315">
        <f t="shared" si="39"/>
        <v>0</v>
      </c>
    </row>
    <row r="161" spans="1:23" ht="15" hidden="1" customHeight="1">
      <c r="A161" s="557" t="s">
        <v>147</v>
      </c>
      <c r="B161" s="870" t="s">
        <v>147</v>
      </c>
      <c r="C161" s="871"/>
      <c r="D161" s="931" t="s">
        <v>190</v>
      </c>
      <c r="E161" s="873">
        <f>DMT!$D$51</f>
        <v>445</v>
      </c>
      <c r="F161" s="883">
        <v>3.6999999999999998E-2</v>
      </c>
      <c r="G161" s="884">
        <f>IF(E161&lt;=30,(0.78*E161+7.82)*F161,((0.78*30+7.82)+0.78*(E161-30))*F161)</f>
        <v>13.13204</v>
      </c>
      <c r="H161" s="876">
        <v>0</v>
      </c>
      <c r="I161" s="876"/>
      <c r="J161" s="877">
        <f t="shared" si="26"/>
        <v>0</v>
      </c>
      <c r="K161" s="878" t="s">
        <v>506</v>
      </c>
      <c r="L161" s="933">
        <f>ROUND(SUM(ORÇAMENTO!L161),2)</f>
        <v>0</v>
      </c>
      <c r="M161" s="934">
        <f t="shared" si="34"/>
        <v>0</v>
      </c>
      <c r="N161" s="868">
        <f t="shared" si="35"/>
        <v>0</v>
      </c>
      <c r="O161" s="880"/>
      <c r="P161" s="58" t="str">
        <f>IF(N160&gt;0,"xx",IF(N160&gt;0,"xy",""))</f>
        <v/>
      </c>
      <c r="Q161" s="317" t="str">
        <f t="shared" si="36"/>
        <v/>
      </c>
      <c r="R161" s="317" t="str">
        <f t="shared" si="37"/>
        <v/>
      </c>
      <c r="S161" s="317" t="str">
        <f t="shared" si="38"/>
        <v/>
      </c>
      <c r="V161" s="314">
        <f>SUM(ORÇAMENTO!N161)</f>
        <v>0</v>
      </c>
      <c r="W161" s="315">
        <f t="shared" si="39"/>
        <v>0</v>
      </c>
    </row>
    <row r="162" spans="1:23" ht="15" hidden="1" customHeight="1">
      <c r="A162" s="557" t="s">
        <v>147</v>
      </c>
      <c r="B162" s="870" t="s">
        <v>147</v>
      </c>
      <c r="C162" s="871"/>
      <c r="D162" s="931" t="s">
        <v>191</v>
      </c>
      <c r="E162" s="873">
        <f>DMT!$F$50</f>
        <v>14</v>
      </c>
      <c r="F162" s="883">
        <v>1.9</v>
      </c>
      <c r="G162" s="884">
        <f t="shared" ref="G162:G163" si="44">IF(E162&lt;=30,(1.07*E162+2.68)*F162,((1.07*30+2.68)+1.07*(E162-30))*F162)</f>
        <v>33.554000000000002</v>
      </c>
      <c r="H162" s="876">
        <v>0</v>
      </c>
      <c r="I162" s="876"/>
      <c r="J162" s="877">
        <f t="shared" si="26"/>
        <v>0</v>
      </c>
      <c r="K162" s="878" t="s">
        <v>506</v>
      </c>
      <c r="L162" s="933">
        <f>ROUND(SUM(ORÇAMENTO!L162),2)</f>
        <v>0</v>
      </c>
      <c r="M162" s="934">
        <f t="shared" si="34"/>
        <v>0</v>
      </c>
      <c r="N162" s="868">
        <f t="shared" si="35"/>
        <v>0</v>
      </c>
      <c r="O162" s="880"/>
      <c r="P162" s="58" t="str">
        <f>IF(N160&gt;0,"xx",IF(N160&gt;0,"xy",""))</f>
        <v/>
      </c>
      <c r="Q162" s="317" t="str">
        <f t="shared" si="36"/>
        <v/>
      </c>
      <c r="R162" s="317" t="str">
        <f t="shared" si="37"/>
        <v/>
      </c>
      <c r="S162" s="317" t="str">
        <f t="shared" si="38"/>
        <v/>
      </c>
      <c r="V162" s="314">
        <f>SUM(ORÇAMENTO!N162)</f>
        <v>0</v>
      </c>
      <c r="W162" s="315">
        <f t="shared" si="39"/>
        <v>0</v>
      </c>
    </row>
    <row r="163" spans="1:23" ht="15" hidden="1" customHeight="1">
      <c r="A163" s="557" t="s">
        <v>147</v>
      </c>
      <c r="B163" s="870" t="s">
        <v>147</v>
      </c>
      <c r="C163" s="871"/>
      <c r="D163" s="931" t="s">
        <v>192</v>
      </c>
      <c r="E163" s="873">
        <f>DMT!$F$27</f>
        <v>26</v>
      </c>
      <c r="F163" s="883">
        <v>1.863</v>
      </c>
      <c r="G163" s="884">
        <f t="shared" si="44"/>
        <v>56.8215</v>
      </c>
      <c r="H163" s="876">
        <v>0</v>
      </c>
      <c r="I163" s="876"/>
      <c r="J163" s="877">
        <f t="shared" si="26"/>
        <v>0</v>
      </c>
      <c r="K163" s="878" t="s">
        <v>506</v>
      </c>
      <c r="L163" s="933">
        <f>ROUND(SUM(ORÇAMENTO!L163),2)</f>
        <v>0</v>
      </c>
      <c r="M163" s="934">
        <f t="shared" si="34"/>
        <v>0</v>
      </c>
      <c r="N163" s="868">
        <f t="shared" si="35"/>
        <v>0</v>
      </c>
      <c r="O163" s="880"/>
      <c r="P163" s="58" t="str">
        <f>IF($N$142&gt;0,"xx",IF($N$142&gt;0,"xy",""))</f>
        <v/>
      </c>
      <c r="Q163" s="317" t="str">
        <f t="shared" si="36"/>
        <v/>
      </c>
      <c r="R163" s="317" t="str">
        <f t="shared" si="37"/>
        <v/>
      </c>
      <c r="S163" s="317" t="str">
        <f t="shared" si="38"/>
        <v/>
      </c>
      <c r="V163" s="314">
        <f>SUM(ORÇAMENTO!N163)</f>
        <v>0</v>
      </c>
      <c r="W163" s="315">
        <f t="shared" si="39"/>
        <v>0</v>
      </c>
    </row>
    <row r="164" spans="1:23" ht="15" hidden="1" customHeight="1">
      <c r="A164" s="557">
        <v>543100</v>
      </c>
      <c r="B164" s="870">
        <v>543100</v>
      </c>
      <c r="C164" s="871" t="s">
        <v>184</v>
      </c>
      <c r="D164" s="881" t="s">
        <v>2176</v>
      </c>
      <c r="E164" s="873"/>
      <c r="F164" s="883"/>
      <c r="G164" s="927">
        <f>SUM(G165:G167)</f>
        <v>109.34710000000001</v>
      </c>
      <c r="H164" s="876">
        <v>70.010000000000005</v>
      </c>
      <c r="I164" s="876">
        <f>IF(ISBLANK(H164),"",SUM(G164:H164))</f>
        <v>179.3571</v>
      </c>
      <c r="J164" s="877">
        <f t="shared" si="26"/>
        <v>219.21</v>
      </c>
      <c r="K164" s="878" t="s">
        <v>10</v>
      </c>
      <c r="L164" s="879">
        <f>ROUND(SUM(ORÇAMENTO!L164),2)</f>
        <v>0</v>
      </c>
      <c r="M164" s="879">
        <f t="shared" si="34"/>
        <v>0</v>
      </c>
      <c r="N164" s="868">
        <f t="shared" si="35"/>
        <v>0</v>
      </c>
      <c r="O164" s="880"/>
      <c r="Q164" s="317" t="str">
        <f t="shared" si="36"/>
        <v/>
      </c>
      <c r="R164" s="317" t="str">
        <f t="shared" si="37"/>
        <v/>
      </c>
      <c r="S164" s="317" t="str">
        <f t="shared" si="38"/>
        <v/>
      </c>
      <c r="V164" s="314">
        <f>SUM(ORÇAMENTO!N164)</f>
        <v>0</v>
      </c>
      <c r="W164" s="315">
        <f t="shared" si="39"/>
        <v>0</v>
      </c>
    </row>
    <row r="165" spans="1:23" ht="15" hidden="1" customHeight="1">
      <c r="A165" s="557" t="s">
        <v>147</v>
      </c>
      <c r="B165" s="870" t="s">
        <v>147</v>
      </c>
      <c r="C165" s="871"/>
      <c r="D165" s="931" t="s">
        <v>190</v>
      </c>
      <c r="E165" s="873">
        <f>DMT!$D$51</f>
        <v>445</v>
      </c>
      <c r="F165" s="883">
        <v>5.5E-2</v>
      </c>
      <c r="G165" s="884">
        <f>IF(E165&lt;=30,(0.78*E165+7.82)*F165,((0.78*30+7.82)+0.78*(E165-30))*F165)</f>
        <v>19.520600000000002</v>
      </c>
      <c r="H165" s="876">
        <v>0</v>
      </c>
      <c r="I165" s="876"/>
      <c r="J165" s="877">
        <f t="shared" si="26"/>
        <v>0</v>
      </c>
      <c r="K165" s="878" t="s">
        <v>506</v>
      </c>
      <c r="L165" s="933">
        <f>ROUND(SUM(ORÇAMENTO!L165),2)</f>
        <v>0</v>
      </c>
      <c r="M165" s="934">
        <f t="shared" si="34"/>
        <v>0</v>
      </c>
      <c r="N165" s="868">
        <f t="shared" si="35"/>
        <v>0</v>
      </c>
      <c r="O165" s="880"/>
      <c r="P165" s="58" t="str">
        <f>IF(N164&gt;0,"xx",IF(N164&gt;0,"xy",""))</f>
        <v/>
      </c>
      <c r="Q165" s="317" t="str">
        <f t="shared" si="36"/>
        <v/>
      </c>
      <c r="R165" s="317" t="str">
        <f t="shared" si="37"/>
        <v/>
      </c>
      <c r="S165" s="317" t="str">
        <f t="shared" si="38"/>
        <v/>
      </c>
      <c r="V165" s="314">
        <f>SUM(ORÇAMENTO!N165)</f>
        <v>0</v>
      </c>
      <c r="W165" s="315">
        <f t="shared" si="39"/>
        <v>0</v>
      </c>
    </row>
    <row r="166" spans="1:23" ht="15" hidden="1" customHeight="1">
      <c r="A166" s="557" t="s">
        <v>147</v>
      </c>
      <c r="B166" s="870" t="s">
        <v>147</v>
      </c>
      <c r="C166" s="871"/>
      <c r="D166" s="931" t="s">
        <v>191</v>
      </c>
      <c r="E166" s="873">
        <f>DMT!$F$50</f>
        <v>14</v>
      </c>
      <c r="F166" s="883">
        <v>1.9</v>
      </c>
      <c r="G166" s="884">
        <f t="shared" ref="G166:G167" si="45">IF(E166&lt;=30,(1.07*E166+2.68)*F166,((1.07*30+2.68)+1.07*(E166-30))*F166)</f>
        <v>33.554000000000002</v>
      </c>
      <c r="H166" s="876">
        <v>0</v>
      </c>
      <c r="I166" s="876"/>
      <c r="J166" s="877">
        <f t="shared" si="26"/>
        <v>0</v>
      </c>
      <c r="K166" s="878" t="s">
        <v>506</v>
      </c>
      <c r="L166" s="933">
        <f>ROUND(SUM(ORÇAMENTO!L166),2)</f>
        <v>0</v>
      </c>
      <c r="M166" s="934">
        <f t="shared" si="34"/>
        <v>0</v>
      </c>
      <c r="N166" s="868">
        <f t="shared" si="35"/>
        <v>0</v>
      </c>
      <c r="O166" s="880"/>
      <c r="P166" s="58" t="str">
        <f>IF(N164&gt;0,"xx",IF(N164&gt;0,"xy",""))</f>
        <v/>
      </c>
      <c r="Q166" s="317" t="str">
        <f t="shared" si="36"/>
        <v/>
      </c>
      <c r="R166" s="317" t="str">
        <f t="shared" si="37"/>
        <v/>
      </c>
      <c r="S166" s="317" t="str">
        <f t="shared" si="38"/>
        <v/>
      </c>
      <c r="V166" s="314">
        <f>SUM(ORÇAMENTO!N166)</f>
        <v>0</v>
      </c>
      <c r="W166" s="315">
        <f t="shared" si="39"/>
        <v>0</v>
      </c>
    </row>
    <row r="167" spans="1:23" ht="15" hidden="1" customHeight="1">
      <c r="A167" s="557" t="s">
        <v>147</v>
      </c>
      <c r="B167" s="870" t="s">
        <v>147</v>
      </c>
      <c r="C167" s="871"/>
      <c r="D167" s="931" t="s">
        <v>192</v>
      </c>
      <c r="E167" s="873">
        <f>DMT!$F$27</f>
        <v>26</v>
      </c>
      <c r="F167" s="883">
        <v>1.845</v>
      </c>
      <c r="G167" s="884">
        <f t="shared" si="45"/>
        <v>56.272500000000001</v>
      </c>
      <c r="H167" s="876">
        <v>0</v>
      </c>
      <c r="I167" s="876"/>
      <c r="J167" s="877">
        <f t="shared" si="26"/>
        <v>0</v>
      </c>
      <c r="K167" s="878" t="s">
        <v>506</v>
      </c>
      <c r="L167" s="933">
        <f>ROUND(SUM(ORÇAMENTO!L167),2)</f>
        <v>0</v>
      </c>
      <c r="M167" s="934">
        <f t="shared" si="34"/>
        <v>0</v>
      </c>
      <c r="N167" s="868">
        <f t="shared" si="35"/>
        <v>0</v>
      </c>
      <c r="O167" s="880"/>
      <c r="P167" s="58" t="str">
        <f>IF($N$142&gt;0,"xx",IF($N$142&gt;0,"xy",""))</f>
        <v/>
      </c>
      <c r="Q167" s="317" t="str">
        <f t="shared" si="36"/>
        <v/>
      </c>
      <c r="R167" s="317" t="str">
        <f t="shared" si="37"/>
        <v/>
      </c>
      <c r="S167" s="317" t="str">
        <f t="shared" si="38"/>
        <v/>
      </c>
      <c r="V167" s="314">
        <f>SUM(ORÇAMENTO!N167)</f>
        <v>0</v>
      </c>
      <c r="W167" s="315">
        <f t="shared" si="39"/>
        <v>0</v>
      </c>
    </row>
    <row r="168" spans="1:23" ht="15" hidden="1" customHeight="1">
      <c r="A168" s="557">
        <v>544100</v>
      </c>
      <c r="B168" s="870">
        <v>544100</v>
      </c>
      <c r="C168" s="871" t="s">
        <v>184</v>
      </c>
      <c r="D168" s="881" t="s">
        <v>2177</v>
      </c>
      <c r="E168" s="873"/>
      <c r="F168" s="883"/>
      <c r="G168" s="927">
        <f>SUM(G169:G171)</f>
        <v>112.12982</v>
      </c>
      <c r="H168" s="876">
        <v>72.23</v>
      </c>
      <c r="I168" s="876">
        <f>IF(ISBLANK(H168),"",SUM(G168:H168))</f>
        <v>184.35982000000001</v>
      </c>
      <c r="J168" s="877">
        <f t="shared" si="26"/>
        <v>225.32</v>
      </c>
      <c r="K168" s="878" t="s">
        <v>10</v>
      </c>
      <c r="L168" s="879">
        <f>ROUND(SUM(ORÇAMENTO!L168),2)</f>
        <v>0</v>
      </c>
      <c r="M168" s="879">
        <f t="shared" si="34"/>
        <v>0</v>
      </c>
      <c r="N168" s="868">
        <f t="shared" si="35"/>
        <v>0</v>
      </c>
      <c r="O168" s="880"/>
      <c r="Q168" s="317" t="str">
        <f t="shared" si="36"/>
        <v/>
      </c>
      <c r="R168" s="317" t="str">
        <f t="shared" si="37"/>
        <v/>
      </c>
      <c r="S168" s="317" t="str">
        <f t="shared" si="38"/>
        <v/>
      </c>
      <c r="V168" s="314">
        <f>SUM(ORÇAMENTO!N168)</f>
        <v>0</v>
      </c>
      <c r="W168" s="315">
        <f t="shared" si="39"/>
        <v>0</v>
      </c>
    </row>
    <row r="169" spans="1:23" ht="15" hidden="1" customHeight="1">
      <c r="A169" s="557" t="s">
        <v>147</v>
      </c>
      <c r="B169" s="870" t="s">
        <v>147</v>
      </c>
      <c r="C169" s="871"/>
      <c r="D169" s="931" t="s">
        <v>190</v>
      </c>
      <c r="E169" s="873">
        <f>DMT!$D$51</f>
        <v>445</v>
      </c>
      <c r="F169" s="883">
        <v>7.0999999999999994E-2</v>
      </c>
      <c r="G169" s="884">
        <f>IF(E169&lt;=30,(0.78*E169+7.82)*F169,((0.78*30+7.82)+0.78*(E169-30))*F169)</f>
        <v>25.19932</v>
      </c>
      <c r="H169" s="876">
        <v>0</v>
      </c>
      <c r="I169" s="876"/>
      <c r="J169" s="877">
        <f t="shared" si="26"/>
        <v>0</v>
      </c>
      <c r="K169" s="878" t="s">
        <v>506</v>
      </c>
      <c r="L169" s="933">
        <f>ROUND(SUM(ORÇAMENTO!L169),2)</f>
        <v>0</v>
      </c>
      <c r="M169" s="934">
        <f t="shared" si="34"/>
        <v>0</v>
      </c>
      <c r="N169" s="868">
        <f t="shared" si="35"/>
        <v>0</v>
      </c>
      <c r="O169" s="880"/>
      <c r="P169" s="58" t="str">
        <f>IF(N168&gt;0,"xx",IF(N168&gt;0,"xy",""))</f>
        <v/>
      </c>
      <c r="Q169" s="317" t="str">
        <f t="shared" si="36"/>
        <v/>
      </c>
      <c r="R169" s="317" t="str">
        <f t="shared" si="37"/>
        <v/>
      </c>
      <c r="S169" s="317" t="str">
        <f t="shared" si="38"/>
        <v/>
      </c>
      <c r="V169" s="314">
        <f>SUM(ORÇAMENTO!N169)</f>
        <v>0</v>
      </c>
      <c r="W169" s="315">
        <f t="shared" si="39"/>
        <v>0</v>
      </c>
    </row>
    <row r="170" spans="1:23" ht="15" hidden="1" customHeight="1">
      <c r="A170" s="557" t="s">
        <v>147</v>
      </c>
      <c r="B170" s="870" t="s">
        <v>147</v>
      </c>
      <c r="C170" s="871"/>
      <c r="D170" s="931" t="s">
        <v>191</v>
      </c>
      <c r="E170" s="873">
        <f>DMT!$F$50</f>
        <v>14</v>
      </c>
      <c r="F170" s="883">
        <v>1.85</v>
      </c>
      <c r="G170" s="884">
        <f t="shared" ref="G170:G171" si="46">IF(E170&lt;=30,(1.07*E170+2.68)*F170,((1.07*30+2.68)+1.07*(E170-30))*F170)</f>
        <v>32.670999999999999</v>
      </c>
      <c r="H170" s="876">
        <v>0</v>
      </c>
      <c r="I170" s="876"/>
      <c r="J170" s="877">
        <f t="shared" si="26"/>
        <v>0</v>
      </c>
      <c r="K170" s="878" t="s">
        <v>506</v>
      </c>
      <c r="L170" s="933">
        <f>ROUND(SUM(ORÇAMENTO!L170),2)</f>
        <v>0</v>
      </c>
      <c r="M170" s="934">
        <f t="shared" si="34"/>
        <v>0</v>
      </c>
      <c r="N170" s="868">
        <f t="shared" si="35"/>
        <v>0</v>
      </c>
      <c r="O170" s="880"/>
      <c r="P170" s="58" t="str">
        <f>IF(N168&gt;0,"xx",IF(N168&gt;0,"xy",""))</f>
        <v/>
      </c>
      <c r="Q170" s="317" t="str">
        <f t="shared" si="36"/>
        <v/>
      </c>
      <c r="R170" s="317" t="str">
        <f t="shared" si="37"/>
        <v/>
      </c>
      <c r="S170" s="317" t="str">
        <f t="shared" si="38"/>
        <v/>
      </c>
      <c r="V170" s="314">
        <f>SUM(ORÇAMENTO!N170)</f>
        <v>0</v>
      </c>
      <c r="W170" s="315">
        <f t="shared" si="39"/>
        <v>0</v>
      </c>
    </row>
    <row r="171" spans="1:23" ht="15" hidden="1" customHeight="1">
      <c r="A171" s="557" t="s">
        <v>147</v>
      </c>
      <c r="B171" s="870" t="s">
        <v>147</v>
      </c>
      <c r="C171" s="871"/>
      <c r="D171" s="931" t="s">
        <v>192</v>
      </c>
      <c r="E171" s="873">
        <f>DMT!$F$27</f>
        <v>26</v>
      </c>
      <c r="F171" s="883">
        <v>1.7789999999999999</v>
      </c>
      <c r="G171" s="884">
        <f t="shared" si="46"/>
        <v>54.259499999999996</v>
      </c>
      <c r="H171" s="876">
        <v>0</v>
      </c>
      <c r="I171" s="876"/>
      <c r="J171" s="877">
        <f t="shared" si="26"/>
        <v>0</v>
      </c>
      <c r="K171" s="878" t="s">
        <v>506</v>
      </c>
      <c r="L171" s="933">
        <f>ROUND(SUM(ORÇAMENTO!L171),2)</f>
        <v>0</v>
      </c>
      <c r="M171" s="934">
        <f t="shared" si="34"/>
        <v>0</v>
      </c>
      <c r="N171" s="868">
        <f t="shared" si="35"/>
        <v>0</v>
      </c>
      <c r="O171" s="880"/>
      <c r="P171" s="58" t="str">
        <f>IF($N$142&gt;0,"xx",IF($N$142&gt;0,"xy",""))</f>
        <v/>
      </c>
      <c r="Q171" s="317" t="str">
        <f t="shared" si="36"/>
        <v/>
      </c>
      <c r="R171" s="317" t="str">
        <f t="shared" si="37"/>
        <v/>
      </c>
      <c r="S171" s="317" t="str">
        <f t="shared" si="38"/>
        <v/>
      </c>
      <c r="V171" s="314">
        <f>SUM(ORÇAMENTO!N171)</f>
        <v>0</v>
      </c>
      <c r="W171" s="315">
        <f t="shared" si="39"/>
        <v>0</v>
      </c>
    </row>
    <row r="172" spans="1:23" ht="15" hidden="1" customHeight="1">
      <c r="A172" s="557">
        <v>545100</v>
      </c>
      <c r="B172" s="870">
        <v>545100</v>
      </c>
      <c r="C172" s="871" t="s">
        <v>184</v>
      </c>
      <c r="D172" s="881" t="s">
        <v>2178</v>
      </c>
      <c r="E172" s="873"/>
      <c r="F172" s="883"/>
      <c r="G172" s="927">
        <f>SUM(G173:G175)</f>
        <v>117.64496</v>
      </c>
      <c r="H172" s="876">
        <v>82.05</v>
      </c>
      <c r="I172" s="876">
        <f>IF(ISBLANK(H172),"",SUM(G172:H172))</f>
        <v>199.69495999999998</v>
      </c>
      <c r="J172" s="877">
        <f t="shared" si="26"/>
        <v>244.07</v>
      </c>
      <c r="K172" s="878" t="s">
        <v>10</v>
      </c>
      <c r="L172" s="879">
        <f>ROUND(SUM(ORÇAMENTO!L172),2)</f>
        <v>0</v>
      </c>
      <c r="M172" s="879">
        <f t="shared" si="34"/>
        <v>0</v>
      </c>
      <c r="N172" s="868">
        <f t="shared" si="35"/>
        <v>0</v>
      </c>
      <c r="O172" s="880"/>
      <c r="Q172" s="317" t="str">
        <f t="shared" si="36"/>
        <v/>
      </c>
      <c r="R172" s="317" t="str">
        <f t="shared" si="37"/>
        <v/>
      </c>
      <c r="S172" s="317" t="str">
        <f t="shared" si="38"/>
        <v/>
      </c>
      <c r="V172" s="314">
        <f>SUM(ORÇAMENTO!N172)</f>
        <v>0</v>
      </c>
      <c r="W172" s="315">
        <f t="shared" si="39"/>
        <v>0</v>
      </c>
    </row>
    <row r="173" spans="1:23" ht="15" hidden="1" customHeight="1">
      <c r="A173" s="557" t="s">
        <v>147</v>
      </c>
      <c r="B173" s="870" t="s">
        <v>147</v>
      </c>
      <c r="C173" s="871"/>
      <c r="D173" s="931" t="s">
        <v>190</v>
      </c>
      <c r="E173" s="873">
        <f>DMT!$D$51</f>
        <v>445</v>
      </c>
      <c r="F173" s="883">
        <v>8.7999999999999995E-2</v>
      </c>
      <c r="G173" s="884">
        <f>IF(E173&lt;=30,(0.78*E173+7.82)*F173,((0.78*30+7.82)+0.78*(E173-30))*F173)</f>
        <v>31.232959999999999</v>
      </c>
      <c r="H173" s="876">
        <v>0</v>
      </c>
      <c r="I173" s="876"/>
      <c r="J173" s="877">
        <f t="shared" si="26"/>
        <v>0</v>
      </c>
      <c r="K173" s="878" t="s">
        <v>506</v>
      </c>
      <c r="L173" s="933">
        <f>ROUND(SUM(ORÇAMENTO!L173),2)</f>
        <v>0</v>
      </c>
      <c r="M173" s="934">
        <f t="shared" si="34"/>
        <v>0</v>
      </c>
      <c r="N173" s="868">
        <f t="shared" si="35"/>
        <v>0</v>
      </c>
      <c r="O173" s="880"/>
      <c r="P173" s="58" t="str">
        <f>IF(N172&gt;0,"xx",IF(N172&gt;0,"xy",""))</f>
        <v/>
      </c>
      <c r="Q173" s="317" t="str">
        <f t="shared" si="36"/>
        <v/>
      </c>
      <c r="R173" s="317" t="str">
        <f t="shared" si="37"/>
        <v/>
      </c>
      <c r="S173" s="317" t="str">
        <f t="shared" si="38"/>
        <v/>
      </c>
      <c r="V173" s="314">
        <f>SUM(ORÇAMENTO!N173)</f>
        <v>0</v>
      </c>
      <c r="W173" s="315">
        <f t="shared" si="39"/>
        <v>0</v>
      </c>
    </row>
    <row r="174" spans="1:23" ht="15" hidden="1" customHeight="1">
      <c r="A174" s="557" t="s">
        <v>147</v>
      </c>
      <c r="B174" s="870" t="s">
        <v>147</v>
      </c>
      <c r="C174" s="871"/>
      <c r="D174" s="931" t="s">
        <v>191</v>
      </c>
      <c r="E174" s="873">
        <f>DMT!$F$50</f>
        <v>14</v>
      </c>
      <c r="F174" s="883">
        <v>1.85</v>
      </c>
      <c r="G174" s="884">
        <f t="shared" ref="G174:G175" si="47">IF(E174&lt;=30,(1.07*E174+2.68)*F174,((1.07*30+2.68)+1.07*(E174-30))*F174)</f>
        <v>32.670999999999999</v>
      </c>
      <c r="H174" s="876">
        <v>0</v>
      </c>
      <c r="I174" s="876"/>
      <c r="J174" s="877">
        <f t="shared" si="26"/>
        <v>0</v>
      </c>
      <c r="K174" s="878" t="s">
        <v>506</v>
      </c>
      <c r="L174" s="933">
        <f>ROUND(SUM(ORÇAMENTO!L174),2)</f>
        <v>0</v>
      </c>
      <c r="M174" s="934">
        <f t="shared" si="34"/>
        <v>0</v>
      </c>
      <c r="N174" s="868">
        <f t="shared" si="35"/>
        <v>0</v>
      </c>
      <c r="O174" s="880"/>
      <c r="P174" s="58" t="str">
        <f>IF(N172&gt;0,"xx",IF(N172&gt;0,"xy",""))</f>
        <v/>
      </c>
      <c r="Q174" s="317" t="str">
        <f t="shared" si="36"/>
        <v/>
      </c>
      <c r="R174" s="317" t="str">
        <f t="shared" si="37"/>
        <v/>
      </c>
      <c r="S174" s="317" t="str">
        <f t="shared" si="38"/>
        <v/>
      </c>
      <c r="V174" s="314">
        <f>SUM(ORÇAMENTO!N174)</f>
        <v>0</v>
      </c>
      <c r="W174" s="315">
        <f t="shared" si="39"/>
        <v>0</v>
      </c>
    </row>
    <row r="175" spans="1:23" ht="15" hidden="1" customHeight="1">
      <c r="A175" s="557" t="s">
        <v>147</v>
      </c>
      <c r="B175" s="870" t="s">
        <v>147</v>
      </c>
      <c r="C175" s="871"/>
      <c r="D175" s="931" t="s">
        <v>192</v>
      </c>
      <c r="E175" s="873">
        <f>DMT!$F$27</f>
        <v>26</v>
      </c>
      <c r="F175" s="883">
        <v>1.762</v>
      </c>
      <c r="G175" s="884">
        <f t="shared" si="47"/>
        <v>53.741</v>
      </c>
      <c r="H175" s="876">
        <v>0</v>
      </c>
      <c r="I175" s="876"/>
      <c r="J175" s="877">
        <f t="shared" si="26"/>
        <v>0</v>
      </c>
      <c r="K175" s="878" t="s">
        <v>506</v>
      </c>
      <c r="L175" s="933">
        <f>ROUND(SUM(ORÇAMENTO!L175),2)</f>
        <v>0</v>
      </c>
      <c r="M175" s="934">
        <f t="shared" si="34"/>
        <v>0</v>
      </c>
      <c r="N175" s="868">
        <f t="shared" si="35"/>
        <v>0</v>
      </c>
      <c r="O175" s="880"/>
      <c r="P175" s="58" t="str">
        <f>IF($N$142&gt;0,"xx",IF($N$142&gt;0,"xy",""))</f>
        <v/>
      </c>
      <c r="Q175" s="317" t="str">
        <f t="shared" si="36"/>
        <v/>
      </c>
      <c r="R175" s="317" t="str">
        <f t="shared" si="37"/>
        <v/>
      </c>
      <c r="S175" s="317" t="str">
        <f t="shared" si="38"/>
        <v/>
      </c>
      <c r="V175" s="314">
        <f>SUM(ORÇAMENTO!N175)</f>
        <v>0</v>
      </c>
      <c r="W175" s="315">
        <f t="shared" si="39"/>
        <v>0</v>
      </c>
    </row>
    <row r="176" spans="1:23" ht="15" hidden="1" customHeight="1">
      <c r="A176" s="557">
        <v>546100</v>
      </c>
      <c r="B176" s="870">
        <v>546100</v>
      </c>
      <c r="C176" s="871" t="s">
        <v>184</v>
      </c>
      <c r="D176" s="881" t="s">
        <v>2179</v>
      </c>
      <c r="E176" s="873"/>
      <c r="F176" s="883"/>
      <c r="G176" s="927">
        <f>SUM(G177:G179)</f>
        <v>123.1601</v>
      </c>
      <c r="H176" s="876">
        <v>91.87</v>
      </c>
      <c r="I176" s="876">
        <f>IF(ISBLANK(H176),"",SUM(G176:H176))</f>
        <v>215.0301</v>
      </c>
      <c r="J176" s="877">
        <f t="shared" si="26"/>
        <v>262.81</v>
      </c>
      <c r="K176" s="878" t="s">
        <v>10</v>
      </c>
      <c r="L176" s="879">
        <f>ROUND(SUM(ORÇAMENTO!L176),2)</f>
        <v>0</v>
      </c>
      <c r="M176" s="879">
        <f t="shared" si="34"/>
        <v>0</v>
      </c>
      <c r="N176" s="868">
        <f t="shared" si="35"/>
        <v>0</v>
      </c>
      <c r="O176" s="880"/>
      <c r="Q176" s="317" t="str">
        <f t="shared" si="36"/>
        <v/>
      </c>
      <c r="R176" s="317" t="str">
        <f t="shared" si="37"/>
        <v/>
      </c>
      <c r="S176" s="317" t="str">
        <f t="shared" si="38"/>
        <v/>
      </c>
      <c r="V176" s="314">
        <f>SUM(ORÇAMENTO!N176)</f>
        <v>0</v>
      </c>
      <c r="W176" s="315">
        <f t="shared" si="39"/>
        <v>0</v>
      </c>
    </row>
    <row r="177" spans="1:23" ht="15" hidden="1" customHeight="1">
      <c r="A177" s="557" t="s">
        <v>147</v>
      </c>
      <c r="B177" s="870" t="s">
        <v>147</v>
      </c>
      <c r="C177" s="871"/>
      <c r="D177" s="931" t="s">
        <v>190</v>
      </c>
      <c r="E177" s="873">
        <f>DMT!$D$51</f>
        <v>445</v>
      </c>
      <c r="F177" s="883">
        <v>0.105</v>
      </c>
      <c r="G177" s="884">
        <f>IF(E177&lt;=30,(0.78*E177+7.82)*F177,((0.78*30+7.82)+0.78*(E177-30))*F177)</f>
        <v>37.266599999999997</v>
      </c>
      <c r="H177" s="876">
        <v>0</v>
      </c>
      <c r="I177" s="876"/>
      <c r="J177" s="877">
        <f t="shared" si="26"/>
        <v>0</v>
      </c>
      <c r="K177" s="878" t="s">
        <v>506</v>
      </c>
      <c r="L177" s="933">
        <f>ROUND(SUM(ORÇAMENTO!L177),2)</f>
        <v>0</v>
      </c>
      <c r="M177" s="934">
        <f t="shared" si="34"/>
        <v>0</v>
      </c>
      <c r="N177" s="868">
        <f t="shared" si="35"/>
        <v>0</v>
      </c>
      <c r="O177" s="880"/>
      <c r="P177" s="58" t="str">
        <f>IF(N176&gt;0,"xx",IF(N176&gt;0,"xy",""))</f>
        <v/>
      </c>
      <c r="Q177" s="317" t="str">
        <f t="shared" si="36"/>
        <v/>
      </c>
      <c r="R177" s="317" t="str">
        <f t="shared" si="37"/>
        <v/>
      </c>
      <c r="S177" s="317" t="str">
        <f t="shared" si="38"/>
        <v/>
      </c>
      <c r="V177" s="314">
        <f>SUM(ORÇAMENTO!N177)</f>
        <v>0</v>
      </c>
      <c r="W177" s="315">
        <f t="shared" si="39"/>
        <v>0</v>
      </c>
    </row>
    <row r="178" spans="1:23" ht="15" hidden="1" customHeight="1">
      <c r="A178" s="557" t="s">
        <v>147</v>
      </c>
      <c r="B178" s="870" t="s">
        <v>147</v>
      </c>
      <c r="C178" s="871"/>
      <c r="D178" s="931" t="s">
        <v>191</v>
      </c>
      <c r="E178" s="873">
        <f>DMT!$F$50</f>
        <v>14</v>
      </c>
      <c r="F178" s="883">
        <v>1.85</v>
      </c>
      <c r="G178" s="884">
        <f t="shared" ref="G178:G179" si="48">IF(E178&lt;=30,(1.07*E178+2.68)*F178,((1.07*30+2.68)+1.07*(E178-30))*F178)</f>
        <v>32.670999999999999</v>
      </c>
      <c r="H178" s="876">
        <v>0</v>
      </c>
      <c r="I178" s="876"/>
      <c r="J178" s="877">
        <f t="shared" si="26"/>
        <v>0</v>
      </c>
      <c r="K178" s="878" t="s">
        <v>506</v>
      </c>
      <c r="L178" s="933">
        <f>ROUND(SUM(ORÇAMENTO!L178),2)</f>
        <v>0</v>
      </c>
      <c r="M178" s="934">
        <f t="shared" si="34"/>
        <v>0</v>
      </c>
      <c r="N178" s="868">
        <f t="shared" si="35"/>
        <v>0</v>
      </c>
      <c r="O178" s="880"/>
      <c r="P178" s="58" t="str">
        <f>IF(N176&gt;0,"xx",IF(N176&gt;0,"xy",""))</f>
        <v/>
      </c>
      <c r="Q178" s="317" t="str">
        <f t="shared" si="36"/>
        <v/>
      </c>
      <c r="R178" s="317" t="str">
        <f t="shared" si="37"/>
        <v/>
      </c>
      <c r="S178" s="317" t="str">
        <f t="shared" si="38"/>
        <v/>
      </c>
      <c r="V178" s="314">
        <f>SUM(ORÇAMENTO!N178)</f>
        <v>0</v>
      </c>
      <c r="W178" s="315">
        <f t="shared" si="39"/>
        <v>0</v>
      </c>
    </row>
    <row r="179" spans="1:23" ht="15" hidden="1" customHeight="1">
      <c r="A179" s="557" t="s">
        <v>147</v>
      </c>
      <c r="B179" s="870" t="s">
        <v>147</v>
      </c>
      <c r="C179" s="871"/>
      <c r="D179" s="931" t="s">
        <v>192</v>
      </c>
      <c r="E179" s="873">
        <f>DMT!$F$27</f>
        <v>26</v>
      </c>
      <c r="F179" s="883">
        <v>1.7450000000000001</v>
      </c>
      <c r="G179" s="884">
        <f t="shared" si="48"/>
        <v>53.222500000000004</v>
      </c>
      <c r="H179" s="876">
        <v>0</v>
      </c>
      <c r="I179" s="876"/>
      <c r="J179" s="877">
        <f t="shared" si="26"/>
        <v>0</v>
      </c>
      <c r="K179" s="878" t="s">
        <v>506</v>
      </c>
      <c r="L179" s="933">
        <f>ROUND(SUM(ORÇAMENTO!L179),2)</f>
        <v>0</v>
      </c>
      <c r="M179" s="934">
        <f t="shared" si="34"/>
        <v>0</v>
      </c>
      <c r="N179" s="868">
        <f t="shared" si="35"/>
        <v>0</v>
      </c>
      <c r="O179" s="880"/>
      <c r="P179" s="58" t="str">
        <f>IF($N$142&gt;0,"xx",IF($N$142&gt;0,"xy",""))</f>
        <v/>
      </c>
      <c r="Q179" s="317" t="str">
        <f t="shared" si="36"/>
        <v/>
      </c>
      <c r="R179" s="317" t="str">
        <f t="shared" si="37"/>
        <v/>
      </c>
      <c r="S179" s="317" t="str">
        <f t="shared" si="38"/>
        <v/>
      </c>
      <c r="V179" s="314">
        <f>SUM(ORÇAMENTO!N179)</f>
        <v>0</v>
      </c>
      <c r="W179" s="315">
        <f t="shared" si="39"/>
        <v>0</v>
      </c>
    </row>
    <row r="180" spans="1:23" ht="15" hidden="1" customHeight="1">
      <c r="A180" s="557">
        <v>547100</v>
      </c>
      <c r="B180" s="870">
        <v>547100</v>
      </c>
      <c r="C180" s="871" t="s">
        <v>184</v>
      </c>
      <c r="D180" s="881" t="s">
        <v>2180</v>
      </c>
      <c r="E180" s="873"/>
      <c r="F180" s="883"/>
      <c r="G180" s="927">
        <f>SUM(G181:G183)</f>
        <v>128.32032000000001</v>
      </c>
      <c r="H180" s="876">
        <v>101.11</v>
      </c>
      <c r="I180" s="876">
        <f>IF(ISBLANK(H180),"",SUM(G180:H180))</f>
        <v>229.43031999999999</v>
      </c>
      <c r="J180" s="877">
        <f t="shared" si="26"/>
        <v>280.41000000000003</v>
      </c>
      <c r="K180" s="878" t="s">
        <v>10</v>
      </c>
      <c r="L180" s="879">
        <f>ROUND(SUM(ORÇAMENTO!L180),2)</f>
        <v>0</v>
      </c>
      <c r="M180" s="879">
        <f t="shared" si="34"/>
        <v>0</v>
      </c>
      <c r="N180" s="868">
        <f t="shared" si="35"/>
        <v>0</v>
      </c>
      <c r="O180" s="880"/>
      <c r="Q180" s="317" t="str">
        <f t="shared" si="36"/>
        <v/>
      </c>
      <c r="R180" s="317" t="str">
        <f t="shared" si="37"/>
        <v/>
      </c>
      <c r="S180" s="317" t="str">
        <f t="shared" si="38"/>
        <v/>
      </c>
      <c r="V180" s="314">
        <f>SUM(ORÇAMENTO!N180)</f>
        <v>0</v>
      </c>
      <c r="W180" s="315">
        <f t="shared" si="39"/>
        <v>0</v>
      </c>
    </row>
    <row r="181" spans="1:23" ht="15" hidden="1" customHeight="1">
      <c r="A181" s="557" t="s">
        <v>147</v>
      </c>
      <c r="B181" s="870" t="s">
        <v>147</v>
      </c>
      <c r="C181" s="871"/>
      <c r="D181" s="931" t="s">
        <v>190</v>
      </c>
      <c r="E181" s="873">
        <f>DMT!$D$51</f>
        <v>445</v>
      </c>
      <c r="F181" s="883">
        <v>0.121</v>
      </c>
      <c r="G181" s="884">
        <f>IF(E181&lt;=30,(0.78*E181+7.82)*F181,((0.78*30+7.82)+0.78*(E181-30))*F181)</f>
        <v>42.945320000000002</v>
      </c>
      <c r="H181" s="876">
        <v>0</v>
      </c>
      <c r="I181" s="876"/>
      <c r="J181" s="877">
        <f t="shared" si="26"/>
        <v>0</v>
      </c>
      <c r="K181" s="878" t="s">
        <v>506</v>
      </c>
      <c r="L181" s="933">
        <f>ROUND(SUM(ORÇAMENTO!L181),2)</f>
        <v>0</v>
      </c>
      <c r="M181" s="934">
        <f t="shared" si="34"/>
        <v>0</v>
      </c>
      <c r="N181" s="868">
        <f t="shared" si="35"/>
        <v>0</v>
      </c>
      <c r="O181" s="880"/>
      <c r="P181" s="58" t="str">
        <f>IF(N180&gt;0,"xx",IF(N180&gt;0,"xy",""))</f>
        <v/>
      </c>
      <c r="Q181" s="317" t="str">
        <f t="shared" si="36"/>
        <v/>
      </c>
      <c r="R181" s="317" t="str">
        <f t="shared" si="37"/>
        <v/>
      </c>
      <c r="S181" s="317" t="str">
        <f t="shared" si="38"/>
        <v/>
      </c>
      <c r="V181" s="314">
        <f>SUM(ORÇAMENTO!N181)</f>
        <v>0</v>
      </c>
      <c r="W181" s="315">
        <f t="shared" si="39"/>
        <v>0</v>
      </c>
    </row>
    <row r="182" spans="1:23" ht="15" hidden="1" customHeight="1">
      <c r="A182" s="557" t="s">
        <v>147</v>
      </c>
      <c r="B182" s="870" t="s">
        <v>147</v>
      </c>
      <c r="C182" s="871"/>
      <c r="D182" s="931" t="s">
        <v>191</v>
      </c>
      <c r="E182" s="873">
        <f>DMT!$F$50</f>
        <v>14</v>
      </c>
      <c r="F182" s="883">
        <v>1.85</v>
      </c>
      <c r="G182" s="884">
        <f t="shared" ref="G182:G189" si="49">IF(E182&lt;=30,(1.07*E182+2.68)*F182,((1.07*30+2.68)+1.07*(E182-30))*F182)</f>
        <v>32.670999999999999</v>
      </c>
      <c r="H182" s="876">
        <v>0</v>
      </c>
      <c r="I182" s="876"/>
      <c r="J182" s="877">
        <f t="shared" si="26"/>
        <v>0</v>
      </c>
      <c r="K182" s="878" t="s">
        <v>506</v>
      </c>
      <c r="L182" s="933">
        <f>ROUND(SUM(ORÇAMENTO!L182),2)</f>
        <v>0</v>
      </c>
      <c r="M182" s="934">
        <f t="shared" si="34"/>
        <v>0</v>
      </c>
      <c r="N182" s="868">
        <f t="shared" si="35"/>
        <v>0</v>
      </c>
      <c r="O182" s="880"/>
      <c r="P182" s="58" t="str">
        <f>IF(N180&gt;0,"xx",IF(N180&gt;0,"xy",""))</f>
        <v/>
      </c>
      <c r="Q182" s="317" t="str">
        <f t="shared" si="36"/>
        <v/>
      </c>
      <c r="R182" s="317" t="str">
        <f t="shared" si="37"/>
        <v/>
      </c>
      <c r="S182" s="317" t="str">
        <f t="shared" si="38"/>
        <v/>
      </c>
      <c r="V182" s="314">
        <f>SUM(ORÇAMENTO!N182)</f>
        <v>0</v>
      </c>
      <c r="W182" s="315">
        <f t="shared" si="39"/>
        <v>0</v>
      </c>
    </row>
    <row r="183" spans="1:23" ht="15" hidden="1" customHeight="1">
      <c r="A183" s="557" t="s">
        <v>147</v>
      </c>
      <c r="B183" s="870" t="s">
        <v>147</v>
      </c>
      <c r="C183" s="871"/>
      <c r="D183" s="931" t="s">
        <v>192</v>
      </c>
      <c r="E183" s="873">
        <f>DMT!$F$27</f>
        <v>26</v>
      </c>
      <c r="F183" s="883">
        <v>1.728</v>
      </c>
      <c r="G183" s="884">
        <f t="shared" si="49"/>
        <v>52.704000000000001</v>
      </c>
      <c r="H183" s="876">
        <v>0</v>
      </c>
      <c r="I183" s="876"/>
      <c r="J183" s="877">
        <f t="shared" ref="J183:J201" si="50">IF(ISBLANK(H183),0,ROUND(I183*(1+$E$10),2))</f>
        <v>0</v>
      </c>
      <c r="K183" s="878" t="s">
        <v>506</v>
      </c>
      <c r="L183" s="933">
        <f>ROUND(SUM(ORÇAMENTO!L183),2)</f>
        <v>0</v>
      </c>
      <c r="M183" s="934">
        <f t="shared" si="34"/>
        <v>0</v>
      </c>
      <c r="N183" s="868">
        <f t="shared" si="35"/>
        <v>0</v>
      </c>
      <c r="O183" s="880"/>
      <c r="P183" s="58" t="str">
        <f>IF($N$142&gt;0,"xx",IF($N$142&gt;0,"xy",""))</f>
        <v/>
      </c>
      <c r="Q183" s="317" t="str">
        <f t="shared" si="36"/>
        <v/>
      </c>
      <c r="R183" s="317" t="str">
        <f t="shared" si="37"/>
        <v/>
      </c>
      <c r="S183" s="317" t="str">
        <f t="shared" si="38"/>
        <v/>
      </c>
      <c r="V183" s="314">
        <f>SUM(ORÇAMENTO!N183)</f>
        <v>0</v>
      </c>
      <c r="W183" s="315">
        <f t="shared" si="39"/>
        <v>0</v>
      </c>
    </row>
    <row r="184" spans="1:23" ht="15" hidden="1" customHeight="1">
      <c r="A184" s="557">
        <v>530200</v>
      </c>
      <c r="B184" s="870" t="s">
        <v>1556</v>
      </c>
      <c r="C184" s="871" t="s">
        <v>184</v>
      </c>
      <c r="D184" s="881" t="s">
        <v>193</v>
      </c>
      <c r="E184" s="873">
        <f>DMT!$F$9</f>
        <v>43.1</v>
      </c>
      <c r="F184" s="874">
        <v>2.2000000000000002</v>
      </c>
      <c r="G184" s="884">
        <f t="shared" si="49"/>
        <v>107.35340000000002</v>
      </c>
      <c r="H184" s="876">
        <v>98.29</v>
      </c>
      <c r="I184" s="876">
        <f>IF(ISBLANK(H184),"",SUM(G184:H184))</f>
        <v>205.64340000000004</v>
      </c>
      <c r="J184" s="877">
        <f t="shared" si="50"/>
        <v>251.34</v>
      </c>
      <c r="K184" s="878" t="s">
        <v>10</v>
      </c>
      <c r="L184" s="879">
        <f>ROUND(SUM(ORÇAMENTO!L184),2)</f>
        <v>0</v>
      </c>
      <c r="M184" s="879">
        <f t="shared" si="34"/>
        <v>0</v>
      </c>
      <c r="N184" s="868">
        <f t="shared" si="35"/>
        <v>0</v>
      </c>
      <c r="O184" s="880"/>
      <c r="Q184" s="317" t="str">
        <f t="shared" si="36"/>
        <v/>
      </c>
      <c r="R184" s="317" t="str">
        <f t="shared" si="37"/>
        <v/>
      </c>
      <c r="S184" s="317" t="str">
        <f t="shared" si="38"/>
        <v/>
      </c>
      <c r="V184" s="314">
        <f>SUM(ORÇAMENTO!N184)</f>
        <v>0</v>
      </c>
      <c r="W184" s="315">
        <f t="shared" si="39"/>
        <v>0</v>
      </c>
    </row>
    <row r="185" spans="1:23" ht="15" hidden="1" customHeight="1">
      <c r="A185" s="557" t="s">
        <v>814</v>
      </c>
      <c r="B185" s="870" t="s">
        <v>1642</v>
      </c>
      <c r="C185" s="871" t="s">
        <v>2217</v>
      </c>
      <c r="D185" s="881" t="s">
        <v>527</v>
      </c>
      <c r="E185" s="873">
        <f>DMT!$F$12</f>
        <v>43.1</v>
      </c>
      <c r="F185" s="874">
        <v>1.95</v>
      </c>
      <c r="G185" s="884">
        <f t="shared" si="49"/>
        <v>95.154150000000001</v>
      </c>
      <c r="H185" s="914">
        <v>67.75</v>
      </c>
      <c r="I185" s="876">
        <f>IF(ISBLANK(H185),"",SUM(G185:H185))</f>
        <v>162.90415000000002</v>
      </c>
      <c r="J185" s="877">
        <f t="shared" si="50"/>
        <v>199.1</v>
      </c>
      <c r="K185" s="878" t="s">
        <v>10</v>
      </c>
      <c r="L185" s="879">
        <f>ROUND(SUM(ORÇAMENTO!L185),2)</f>
        <v>0</v>
      </c>
      <c r="M185" s="879">
        <f t="shared" si="34"/>
        <v>0</v>
      </c>
      <c r="N185" s="868">
        <f t="shared" si="35"/>
        <v>0</v>
      </c>
      <c r="O185" s="880"/>
      <c r="Q185" s="317" t="str">
        <f t="shared" si="36"/>
        <v/>
      </c>
      <c r="R185" s="317" t="str">
        <f t="shared" si="37"/>
        <v/>
      </c>
      <c r="S185" s="317" t="str">
        <f t="shared" si="38"/>
        <v/>
      </c>
      <c r="V185" s="314">
        <f>SUM(ORÇAMENTO!N185)</f>
        <v>0</v>
      </c>
      <c r="W185" s="315">
        <f t="shared" si="39"/>
        <v>0</v>
      </c>
    </row>
    <row r="186" spans="1:23" ht="15" hidden="1" customHeight="1">
      <c r="A186" s="557" t="s">
        <v>815</v>
      </c>
      <c r="B186" s="870" t="s">
        <v>1643</v>
      </c>
      <c r="C186" s="871" t="s">
        <v>2217</v>
      </c>
      <c r="D186" s="881" t="s">
        <v>2113</v>
      </c>
      <c r="E186" s="873">
        <f>DMT!$F$12</f>
        <v>43.1</v>
      </c>
      <c r="F186" s="874">
        <v>2.1</v>
      </c>
      <c r="G186" s="884">
        <f t="shared" si="49"/>
        <v>102.47370000000001</v>
      </c>
      <c r="H186" s="914">
        <v>31.47</v>
      </c>
      <c r="I186" s="876">
        <f>IF(ISBLANK(H186),"",SUM(G186:H186))</f>
        <v>133.94370000000001</v>
      </c>
      <c r="J186" s="877">
        <f t="shared" si="50"/>
        <v>163.71</v>
      </c>
      <c r="K186" s="878" t="s">
        <v>10</v>
      </c>
      <c r="L186" s="879">
        <f>ROUND(SUM(ORÇAMENTO!L186),2)</f>
        <v>0</v>
      </c>
      <c r="M186" s="879">
        <f t="shared" si="34"/>
        <v>0</v>
      </c>
      <c r="N186" s="868">
        <f t="shared" si="35"/>
        <v>0</v>
      </c>
      <c r="O186" s="880"/>
      <c r="Q186" s="317" t="str">
        <f t="shared" si="36"/>
        <v/>
      </c>
      <c r="R186" s="317" t="str">
        <f t="shared" si="37"/>
        <v/>
      </c>
      <c r="S186" s="317" t="str">
        <f t="shared" si="38"/>
        <v/>
      </c>
      <c r="V186" s="314">
        <f>SUM(ORÇAMENTO!N186)</f>
        <v>0</v>
      </c>
      <c r="W186" s="315">
        <f t="shared" si="39"/>
        <v>0</v>
      </c>
    </row>
    <row r="187" spans="1:23" ht="15" hidden="1" customHeight="1">
      <c r="A187" s="557">
        <v>530200</v>
      </c>
      <c r="B187" s="870" t="s">
        <v>1730</v>
      </c>
      <c r="C187" s="871" t="s">
        <v>184</v>
      </c>
      <c r="D187" s="881" t="s">
        <v>452</v>
      </c>
      <c r="E187" s="873">
        <f>DMT!$F$9</f>
        <v>43.1</v>
      </c>
      <c r="F187" s="874">
        <v>2.2000000000000002</v>
      </c>
      <c r="G187" s="884">
        <f t="shared" si="49"/>
        <v>107.35340000000002</v>
      </c>
      <c r="H187" s="876">
        <v>98.29</v>
      </c>
      <c r="I187" s="876">
        <f>IF(ISBLANK(H187),"",SUM(G187:H187))</f>
        <v>205.64340000000004</v>
      </c>
      <c r="J187" s="877">
        <f t="shared" si="50"/>
        <v>251.34</v>
      </c>
      <c r="K187" s="878" t="s">
        <v>10</v>
      </c>
      <c r="L187" s="879">
        <f>ROUND(SUM(ORÇAMENTO!L187),2)</f>
        <v>0</v>
      </c>
      <c r="M187" s="879">
        <f t="shared" si="34"/>
        <v>0</v>
      </c>
      <c r="N187" s="868">
        <f t="shared" si="35"/>
        <v>0</v>
      </c>
      <c r="O187" s="880"/>
      <c r="Q187" s="317" t="str">
        <f t="shared" si="36"/>
        <v/>
      </c>
      <c r="R187" s="317" t="str">
        <f t="shared" si="37"/>
        <v/>
      </c>
      <c r="S187" s="317" t="str">
        <f t="shared" si="38"/>
        <v/>
      </c>
      <c r="V187" s="314">
        <f>SUM(ORÇAMENTO!N187)</f>
        <v>0</v>
      </c>
      <c r="W187" s="315">
        <f t="shared" si="39"/>
        <v>0</v>
      </c>
    </row>
    <row r="188" spans="1:23" ht="15" hidden="1" customHeight="1">
      <c r="A188" s="557">
        <v>516200</v>
      </c>
      <c r="B188" s="969">
        <v>516200</v>
      </c>
      <c r="C188" s="970" t="s">
        <v>184</v>
      </c>
      <c r="D188" s="939" t="s">
        <v>206</v>
      </c>
      <c r="E188" s="1270">
        <f>DMT!$F$14</f>
        <v>43.1</v>
      </c>
      <c r="F188" s="941">
        <v>1.95</v>
      </c>
      <c r="G188" s="1267">
        <f t="shared" si="49"/>
        <v>95.154150000000001</v>
      </c>
      <c r="H188" s="914">
        <v>104.14</v>
      </c>
      <c r="I188" s="914">
        <f>IF(ISBLANK(H188),"",SUM(G188:H188))*0.85</f>
        <v>169.40002749999999</v>
      </c>
      <c r="J188" s="943">
        <f t="shared" si="50"/>
        <v>207.04</v>
      </c>
      <c r="K188" s="944" t="s">
        <v>10</v>
      </c>
      <c r="L188" s="972">
        <f>ROUND(SUM(ORÇAMENTO!L188),2)</f>
        <v>0</v>
      </c>
      <c r="M188" s="972">
        <f t="shared" si="34"/>
        <v>0</v>
      </c>
      <c r="N188" s="916">
        <f t="shared" si="35"/>
        <v>0</v>
      </c>
      <c r="O188" s="880"/>
      <c r="Q188" s="317" t="str">
        <f t="shared" si="36"/>
        <v/>
      </c>
      <c r="R188" s="317" t="str">
        <f t="shared" si="37"/>
        <v/>
      </c>
      <c r="S188" s="317" t="str">
        <f t="shared" si="38"/>
        <v/>
      </c>
      <c r="V188" s="314">
        <f>SUM(ORÇAMENTO!N188)</f>
        <v>0</v>
      </c>
      <c r="W188" s="315">
        <f t="shared" si="39"/>
        <v>0</v>
      </c>
    </row>
    <row r="189" spans="1:23" ht="15" customHeight="1" thickBot="1">
      <c r="A189" s="557">
        <v>531000</v>
      </c>
      <c r="B189" s="1348" t="s">
        <v>1770</v>
      </c>
      <c r="C189" s="1349" t="s">
        <v>184</v>
      </c>
      <c r="D189" s="1350" t="s">
        <v>194</v>
      </c>
      <c r="E189" s="1373">
        <v>43.1</v>
      </c>
      <c r="F189" s="1352">
        <v>2.4</v>
      </c>
      <c r="G189" s="1353">
        <f t="shared" si="49"/>
        <v>117.11280000000001</v>
      </c>
      <c r="H189" s="1354">
        <v>132.22999999999999</v>
      </c>
      <c r="I189" s="1354">
        <f>IF(ISBLANK(H189),"",SUM(G189:H189))</f>
        <v>249.34280000000001</v>
      </c>
      <c r="J189" s="1355">
        <f t="shared" si="50"/>
        <v>304.75</v>
      </c>
      <c r="K189" s="1356" t="s">
        <v>10</v>
      </c>
      <c r="L189" s="1357">
        <f>L135*0.12</f>
        <v>1840.74</v>
      </c>
      <c r="M189" s="1357">
        <f t="shared" si="34"/>
        <v>304.75</v>
      </c>
      <c r="N189" s="1358">
        <f t="shared" si="35"/>
        <v>560965.52</v>
      </c>
      <c r="O189" s="1359"/>
      <c r="Q189" s="317" t="str">
        <f t="shared" si="36"/>
        <v>x</v>
      </c>
      <c r="R189" s="317" t="str">
        <f t="shared" si="37"/>
        <v>x</v>
      </c>
      <c r="S189" s="317" t="str">
        <f t="shared" si="38"/>
        <v>x</v>
      </c>
      <c r="V189" s="314">
        <f>SUM(ORÇAMENTO!N189)</f>
        <v>560965.52</v>
      </c>
      <c r="W189" s="315">
        <f t="shared" si="39"/>
        <v>0</v>
      </c>
    </row>
    <row r="190" spans="1:23" ht="15" hidden="1" customHeight="1">
      <c r="A190" s="557">
        <v>531120</v>
      </c>
      <c r="B190" s="858">
        <v>531120</v>
      </c>
      <c r="C190" s="859" t="s">
        <v>184</v>
      </c>
      <c r="D190" s="920" t="s">
        <v>200</v>
      </c>
      <c r="E190" s="861"/>
      <c r="F190" s="921"/>
      <c r="G190" s="1320">
        <f>SUM(G191:G193)</f>
        <v>106.00032000000002</v>
      </c>
      <c r="H190" s="864">
        <v>186.24</v>
      </c>
      <c r="I190" s="864">
        <f>IF(ISBLANK(H190),"",SUM(G190:H190))*0.9</f>
        <v>263.01628800000003</v>
      </c>
      <c r="J190" s="865">
        <f t="shared" si="50"/>
        <v>321.45999999999998</v>
      </c>
      <c r="K190" s="866" t="s">
        <v>10</v>
      </c>
      <c r="L190" s="879">
        <f>ROUND(SUM(ORÇAMENTO!L190),2)</f>
        <v>0</v>
      </c>
      <c r="M190" s="879">
        <f t="shared" si="34"/>
        <v>0</v>
      </c>
      <c r="N190" s="907">
        <f t="shared" si="35"/>
        <v>0</v>
      </c>
      <c r="O190" s="880"/>
      <c r="Q190" s="317" t="str">
        <f t="shared" si="36"/>
        <v/>
      </c>
      <c r="R190" s="317" t="str">
        <f t="shared" si="37"/>
        <v/>
      </c>
      <c r="S190" s="317" t="str">
        <f t="shared" si="38"/>
        <v/>
      </c>
      <c r="V190" s="314">
        <f>SUM(ORÇAMENTO!N190)</f>
        <v>0</v>
      </c>
      <c r="W190" s="315">
        <f t="shared" si="39"/>
        <v>0</v>
      </c>
    </row>
    <row r="191" spans="1:23" ht="15" hidden="1" customHeight="1">
      <c r="A191" s="557" t="s">
        <v>147</v>
      </c>
      <c r="B191" s="870" t="s">
        <v>147</v>
      </c>
      <c r="C191" s="871"/>
      <c r="D191" s="931" t="s">
        <v>190</v>
      </c>
      <c r="E191" s="873">
        <f>DMT!$D$51</f>
        <v>445</v>
      </c>
      <c r="F191" s="883">
        <v>9.6000000000000002E-2</v>
      </c>
      <c r="G191" s="884">
        <f>IF(E191&lt;=30,(0.78*E191+7.82)*F191,((0.78*30+7.82)+0.78*(E191-30))*F191)</f>
        <v>34.072320000000005</v>
      </c>
      <c r="H191" s="876">
        <v>0</v>
      </c>
      <c r="I191" s="876"/>
      <c r="J191" s="877">
        <f t="shared" si="50"/>
        <v>0</v>
      </c>
      <c r="K191" s="878" t="s">
        <v>506</v>
      </c>
      <c r="L191" s="933">
        <f>ROUND(SUM(ORÇAMENTO!L191),2)</f>
        <v>0</v>
      </c>
      <c r="M191" s="934">
        <f t="shared" si="34"/>
        <v>0</v>
      </c>
      <c r="N191" s="868">
        <f t="shared" si="35"/>
        <v>0</v>
      </c>
      <c r="O191" s="880"/>
      <c r="P191" s="58" t="str">
        <f>IF(N190&gt;0,"xx",IF(N190&gt;0,"xy",""))</f>
        <v/>
      </c>
      <c r="Q191" s="317" t="str">
        <f t="shared" si="36"/>
        <v/>
      </c>
      <c r="R191" s="317" t="str">
        <f t="shared" si="37"/>
        <v/>
      </c>
      <c r="S191" s="317" t="str">
        <f t="shared" si="38"/>
        <v/>
      </c>
      <c r="V191" s="314">
        <f>SUM(ORÇAMENTO!N191)</f>
        <v>0</v>
      </c>
      <c r="W191" s="315">
        <f t="shared" si="39"/>
        <v>0</v>
      </c>
    </row>
    <row r="192" spans="1:23" ht="15" hidden="1" customHeight="1">
      <c r="A192" s="557" t="s">
        <v>147</v>
      </c>
      <c r="B192" s="870" t="s">
        <v>147</v>
      </c>
      <c r="C192" s="871"/>
      <c r="D192" s="931" t="s">
        <v>201</v>
      </c>
      <c r="E192" s="873"/>
      <c r="F192" s="883">
        <v>2.4</v>
      </c>
      <c r="G192" s="884">
        <f t="shared" ref="G192:G201" si="51">IF(E192&lt;=30,(1.07*E192+2.68)*F192,((1.07*30+2.68)+1.07*(E192-30))*F192)</f>
        <v>6.4320000000000004</v>
      </c>
      <c r="H192" s="876">
        <v>0</v>
      </c>
      <c r="I192" s="876"/>
      <c r="J192" s="877">
        <f t="shared" si="50"/>
        <v>0</v>
      </c>
      <c r="K192" s="878" t="s">
        <v>506</v>
      </c>
      <c r="L192" s="933">
        <f>ROUND(SUM(ORÇAMENTO!L192),2)</f>
        <v>0</v>
      </c>
      <c r="M192" s="934">
        <f t="shared" si="34"/>
        <v>0</v>
      </c>
      <c r="N192" s="868">
        <f t="shared" si="35"/>
        <v>0</v>
      </c>
      <c r="O192" s="880"/>
      <c r="P192" s="58" t="str">
        <f>IF(N190&gt;0,"xx",IF(N190&gt;0,"xy",""))</f>
        <v/>
      </c>
      <c r="Q192" s="317" t="str">
        <f t="shared" si="36"/>
        <v/>
      </c>
      <c r="R192" s="317" t="str">
        <f t="shared" si="37"/>
        <v/>
      </c>
      <c r="S192" s="317" t="str">
        <f t="shared" si="38"/>
        <v/>
      </c>
      <c r="V192" s="314">
        <f>SUM(ORÇAMENTO!N192)</f>
        <v>0</v>
      </c>
      <c r="W192" s="315">
        <f t="shared" si="39"/>
        <v>0</v>
      </c>
    </row>
    <row r="193" spans="1:23" ht="15" hidden="1" customHeight="1">
      <c r="A193" s="557" t="s">
        <v>147</v>
      </c>
      <c r="B193" s="870" t="s">
        <v>147</v>
      </c>
      <c r="C193" s="871"/>
      <c r="D193" s="931" t="s">
        <v>202</v>
      </c>
      <c r="E193" s="873">
        <f>DMT!$F$26</f>
        <v>23</v>
      </c>
      <c r="F193" s="883">
        <v>2.4</v>
      </c>
      <c r="G193" s="884">
        <f t="shared" si="51"/>
        <v>65.496000000000009</v>
      </c>
      <c r="H193" s="876">
        <v>0</v>
      </c>
      <c r="I193" s="876"/>
      <c r="J193" s="877">
        <f t="shared" si="50"/>
        <v>0</v>
      </c>
      <c r="K193" s="878" t="s">
        <v>506</v>
      </c>
      <c r="L193" s="933">
        <f>ROUND(SUM(ORÇAMENTO!L193),2)</f>
        <v>0</v>
      </c>
      <c r="M193" s="934">
        <f t="shared" si="34"/>
        <v>0</v>
      </c>
      <c r="N193" s="868">
        <f t="shared" si="35"/>
        <v>0</v>
      </c>
      <c r="O193" s="880"/>
      <c r="P193" s="58" t="str">
        <f>IF($N$142&gt;0,"xx",IF($N$142&gt;0,"xy",""))</f>
        <v/>
      </c>
      <c r="Q193" s="317" t="str">
        <f t="shared" si="36"/>
        <v/>
      </c>
      <c r="R193" s="317" t="str">
        <f t="shared" si="37"/>
        <v/>
      </c>
      <c r="S193" s="317" t="str">
        <f t="shared" si="38"/>
        <v/>
      </c>
      <c r="V193" s="314">
        <f>SUM(ORÇAMENTO!N193)</f>
        <v>0</v>
      </c>
      <c r="W193" s="315">
        <f t="shared" si="39"/>
        <v>0</v>
      </c>
    </row>
    <row r="194" spans="1:23" ht="15" hidden="1" customHeight="1">
      <c r="A194" s="557">
        <v>531350</v>
      </c>
      <c r="B194" s="870">
        <v>531350</v>
      </c>
      <c r="C194" s="871" t="s">
        <v>184</v>
      </c>
      <c r="D194" s="881" t="s">
        <v>195</v>
      </c>
      <c r="E194" s="873"/>
      <c r="F194" s="874"/>
      <c r="G194" s="927">
        <f>SUM(G195:G196)</f>
        <v>99.057910000000007</v>
      </c>
      <c r="H194" s="876">
        <v>105.23</v>
      </c>
      <c r="I194" s="876">
        <f>IF(ISBLANK(H194),"",SUM(G194:H194))</f>
        <v>204.28791000000001</v>
      </c>
      <c r="J194" s="877">
        <f t="shared" si="50"/>
        <v>249.68</v>
      </c>
      <c r="K194" s="878" t="s">
        <v>10</v>
      </c>
      <c r="L194" s="879">
        <f>ROUND(SUM(ORÇAMENTO!L194),2)</f>
        <v>0</v>
      </c>
      <c r="M194" s="879">
        <f t="shared" si="34"/>
        <v>0</v>
      </c>
      <c r="N194" s="868">
        <f t="shared" si="35"/>
        <v>0</v>
      </c>
      <c r="O194" s="880"/>
      <c r="Q194" s="317" t="str">
        <f t="shared" si="36"/>
        <v/>
      </c>
      <c r="R194" s="317" t="str">
        <f t="shared" si="37"/>
        <v/>
      </c>
      <c r="S194" s="317" t="str">
        <f t="shared" si="38"/>
        <v/>
      </c>
      <c r="V194" s="314">
        <f>SUM(ORÇAMENTO!N194)</f>
        <v>0</v>
      </c>
      <c r="W194" s="315">
        <f t="shared" si="39"/>
        <v>0</v>
      </c>
    </row>
    <row r="195" spans="1:23" ht="15" hidden="1" customHeight="1">
      <c r="A195" s="557" t="s">
        <v>147</v>
      </c>
      <c r="B195" s="870" t="s">
        <v>147</v>
      </c>
      <c r="C195" s="871"/>
      <c r="D195" s="931" t="s">
        <v>196</v>
      </c>
      <c r="E195" s="873">
        <f>DMT!$F$14</f>
        <v>43.1</v>
      </c>
      <c r="F195" s="874">
        <v>1.35</v>
      </c>
      <c r="G195" s="884">
        <f t="shared" si="51"/>
        <v>65.875950000000003</v>
      </c>
      <c r="H195" s="876">
        <v>0</v>
      </c>
      <c r="I195" s="876"/>
      <c r="J195" s="877">
        <f t="shared" si="50"/>
        <v>0</v>
      </c>
      <c r="K195" s="878" t="s">
        <v>506</v>
      </c>
      <c r="L195" s="933">
        <f>ROUND(SUM(ORÇAMENTO!L195),2)</f>
        <v>0</v>
      </c>
      <c r="M195" s="934">
        <f t="shared" si="34"/>
        <v>0</v>
      </c>
      <c r="N195" s="868">
        <f t="shared" si="35"/>
        <v>0</v>
      </c>
      <c r="O195" s="880"/>
      <c r="P195" s="58" t="str">
        <f>IF(N194&gt;0,"xx",IF(N194&gt;0,"xy",""))</f>
        <v/>
      </c>
      <c r="Q195" s="317" t="str">
        <f t="shared" si="36"/>
        <v/>
      </c>
      <c r="R195" s="317" t="str">
        <f t="shared" si="37"/>
        <v/>
      </c>
      <c r="S195" s="317" t="str">
        <f t="shared" si="38"/>
        <v/>
      </c>
      <c r="V195" s="314">
        <f>SUM(ORÇAMENTO!N195)</f>
        <v>0</v>
      </c>
      <c r="W195" s="315">
        <f t="shared" si="39"/>
        <v>0</v>
      </c>
    </row>
    <row r="196" spans="1:23" ht="15" hidden="1" customHeight="1">
      <c r="A196" s="557" t="s">
        <v>147</v>
      </c>
      <c r="B196" s="969" t="s">
        <v>147</v>
      </c>
      <c r="C196" s="970"/>
      <c r="D196" s="988" t="s">
        <v>197</v>
      </c>
      <c r="E196" s="1270">
        <f>DMT!$F$9</f>
        <v>43.1</v>
      </c>
      <c r="F196" s="941">
        <v>0.68</v>
      </c>
      <c r="G196" s="1267">
        <f t="shared" si="51"/>
        <v>33.181960000000004</v>
      </c>
      <c r="H196" s="914">
        <v>0</v>
      </c>
      <c r="I196" s="914"/>
      <c r="J196" s="943">
        <f t="shared" si="50"/>
        <v>0</v>
      </c>
      <c r="K196" s="944" t="s">
        <v>506</v>
      </c>
      <c r="L196" s="1279">
        <f>ROUND(SUM(ORÇAMENTO!L196),2)</f>
        <v>0</v>
      </c>
      <c r="M196" s="1280">
        <f t="shared" si="34"/>
        <v>0</v>
      </c>
      <c r="N196" s="916">
        <f t="shared" si="35"/>
        <v>0</v>
      </c>
      <c r="O196" s="880"/>
      <c r="P196" s="58" t="str">
        <f>IF(N194&gt;0,"xx",IF(N194&gt;0,"xy",""))</f>
        <v/>
      </c>
      <c r="Q196" s="317" t="str">
        <f t="shared" si="36"/>
        <v/>
      </c>
      <c r="R196" s="317" t="str">
        <f t="shared" si="37"/>
        <v/>
      </c>
      <c r="S196" s="317" t="str">
        <f t="shared" si="38"/>
        <v/>
      </c>
      <c r="V196" s="314">
        <f>SUM(ORÇAMENTO!N196)</f>
        <v>0</v>
      </c>
      <c r="W196" s="315">
        <f t="shared" si="39"/>
        <v>0</v>
      </c>
    </row>
    <row r="197" spans="1:23" ht="15" customHeight="1">
      <c r="A197" s="557">
        <v>531300</v>
      </c>
      <c r="B197" s="973">
        <v>531300</v>
      </c>
      <c r="C197" s="974" t="s">
        <v>184</v>
      </c>
      <c r="D197" s="947" t="s">
        <v>198</v>
      </c>
      <c r="E197" s="1375"/>
      <c r="F197" s="1376"/>
      <c r="G197" s="1377">
        <f>SUM(G198:G199)</f>
        <v>99.057910000000007</v>
      </c>
      <c r="H197" s="951">
        <v>108.49</v>
      </c>
      <c r="I197" s="951">
        <f>IF(ISBLANK(H197),"",SUM(G197:H197))</f>
        <v>207.54791</v>
      </c>
      <c r="J197" s="952">
        <f t="shared" si="50"/>
        <v>253.67</v>
      </c>
      <c r="K197" s="953" t="s">
        <v>10</v>
      </c>
      <c r="L197" s="955">
        <f>(L135-3500)*0.2</f>
        <v>2367.9</v>
      </c>
      <c r="M197" s="955">
        <f t="shared" si="34"/>
        <v>253.67</v>
      </c>
      <c r="N197" s="956">
        <f t="shared" si="35"/>
        <v>600665.18999999994</v>
      </c>
      <c r="O197" s="869"/>
      <c r="Q197" s="317" t="str">
        <f t="shared" si="36"/>
        <v>x</v>
      </c>
      <c r="R197" s="317" t="str">
        <f t="shared" si="37"/>
        <v>x</v>
      </c>
      <c r="S197" s="317" t="str">
        <f t="shared" si="38"/>
        <v>x</v>
      </c>
      <c r="V197" s="314">
        <f>SUM(ORÇAMENTO!N197)</f>
        <v>600665.18999999994</v>
      </c>
      <c r="W197" s="315">
        <f t="shared" si="39"/>
        <v>0</v>
      </c>
    </row>
    <row r="198" spans="1:23" ht="15" customHeight="1">
      <c r="A198" s="557" t="s">
        <v>147</v>
      </c>
      <c r="B198" s="870" t="s">
        <v>147</v>
      </c>
      <c r="C198" s="871"/>
      <c r="D198" s="931" t="s">
        <v>196</v>
      </c>
      <c r="E198" s="873">
        <v>43.1</v>
      </c>
      <c r="F198" s="874">
        <v>1.35</v>
      </c>
      <c r="G198" s="884">
        <f t="shared" si="51"/>
        <v>65.875950000000003</v>
      </c>
      <c r="H198" s="876">
        <v>0</v>
      </c>
      <c r="I198" s="876"/>
      <c r="J198" s="877">
        <f t="shared" si="50"/>
        <v>0</v>
      </c>
      <c r="K198" s="878" t="s">
        <v>506</v>
      </c>
      <c r="L198" s="933">
        <f>ROUND(SUM(ORÇAMENTO!L198),2)</f>
        <v>0</v>
      </c>
      <c r="M198" s="934">
        <f t="shared" si="34"/>
        <v>0</v>
      </c>
      <c r="N198" s="868">
        <f t="shared" si="35"/>
        <v>0</v>
      </c>
      <c r="O198" s="880"/>
      <c r="P198" s="58" t="str">
        <f>IF(N197&gt;0,"xx",IF(N197&gt;0,"xy",""))</f>
        <v>xx</v>
      </c>
      <c r="Q198" s="317" t="str">
        <f t="shared" si="36"/>
        <v>x</v>
      </c>
      <c r="R198" s="317" t="str">
        <f t="shared" si="37"/>
        <v>x</v>
      </c>
      <c r="S198" s="317" t="str">
        <f t="shared" si="38"/>
        <v/>
      </c>
      <c r="V198" s="314">
        <f>SUM(ORÇAMENTO!N198)</f>
        <v>0</v>
      </c>
      <c r="W198" s="315">
        <f t="shared" si="39"/>
        <v>0</v>
      </c>
    </row>
    <row r="199" spans="1:23" ht="15" customHeight="1" thickBot="1">
      <c r="A199" s="557" t="s">
        <v>147</v>
      </c>
      <c r="B199" s="978" t="s">
        <v>147</v>
      </c>
      <c r="C199" s="958"/>
      <c r="D199" s="986" t="s">
        <v>197</v>
      </c>
      <c r="E199" s="1378">
        <v>43.1</v>
      </c>
      <c r="F199" s="1379">
        <v>0.68</v>
      </c>
      <c r="G199" s="1370">
        <f t="shared" si="51"/>
        <v>33.181960000000004</v>
      </c>
      <c r="H199" s="962">
        <v>0</v>
      </c>
      <c r="I199" s="962"/>
      <c r="J199" s="963">
        <f t="shared" si="50"/>
        <v>0</v>
      </c>
      <c r="K199" s="964" t="s">
        <v>506</v>
      </c>
      <c r="L199" s="1380">
        <f>ROUND(SUM(ORÇAMENTO!L199),2)</f>
        <v>0</v>
      </c>
      <c r="M199" s="987">
        <f t="shared" si="34"/>
        <v>0</v>
      </c>
      <c r="N199" s="967">
        <f t="shared" si="35"/>
        <v>0</v>
      </c>
      <c r="O199" s="1372"/>
      <c r="P199" s="58" t="str">
        <f>IF(N197&gt;0,"xx",IF(N197&gt;0,"xy",""))</f>
        <v>xx</v>
      </c>
      <c r="Q199" s="317" t="str">
        <f t="shared" si="36"/>
        <v>x</v>
      </c>
      <c r="R199" s="317" t="str">
        <f t="shared" si="37"/>
        <v>x</v>
      </c>
      <c r="S199" s="317" t="str">
        <f t="shared" si="38"/>
        <v/>
      </c>
      <c r="V199" s="314">
        <f>SUM(ORÇAMENTO!N199)</f>
        <v>0</v>
      </c>
      <c r="W199" s="315">
        <f t="shared" si="39"/>
        <v>0</v>
      </c>
    </row>
    <row r="200" spans="1:23" ht="15" hidden="1" customHeight="1">
      <c r="A200" s="557">
        <v>532000</v>
      </c>
      <c r="B200" s="858">
        <v>532000</v>
      </c>
      <c r="C200" s="859" t="s">
        <v>184</v>
      </c>
      <c r="D200" s="920" t="s">
        <v>199</v>
      </c>
      <c r="E200" s="1005">
        <f>DMT!$F$13</f>
        <v>43.1</v>
      </c>
      <c r="F200" s="921">
        <v>2.2000000000000002</v>
      </c>
      <c r="G200" s="922">
        <f t="shared" si="51"/>
        <v>107.35340000000002</v>
      </c>
      <c r="H200" s="864">
        <v>121.99</v>
      </c>
      <c r="I200" s="864">
        <f>IF(ISBLANK(H200),"",SUM(G200:H200))</f>
        <v>229.34340000000003</v>
      </c>
      <c r="J200" s="865">
        <f t="shared" si="50"/>
        <v>280.3</v>
      </c>
      <c r="K200" s="866" t="s">
        <v>10</v>
      </c>
      <c r="L200" s="1006">
        <f>ROUND(SUM(ORÇAMENTO!L200),2)</f>
        <v>0</v>
      </c>
      <c r="M200" s="879">
        <f t="shared" si="34"/>
        <v>0</v>
      </c>
      <c r="N200" s="907">
        <f t="shared" si="35"/>
        <v>0</v>
      </c>
      <c r="O200" s="880"/>
      <c r="Q200" s="317" t="str">
        <f t="shared" si="36"/>
        <v/>
      </c>
      <c r="R200" s="317" t="str">
        <f t="shared" si="37"/>
        <v/>
      </c>
      <c r="S200" s="317" t="str">
        <f t="shared" si="38"/>
        <v/>
      </c>
      <c r="V200" s="314">
        <f>SUM(ORÇAMENTO!N200)</f>
        <v>0</v>
      </c>
      <c r="W200" s="315">
        <f t="shared" si="39"/>
        <v>0</v>
      </c>
    </row>
    <row r="201" spans="1:23" ht="30.75" hidden="1" customHeight="1">
      <c r="A201" s="557">
        <v>96398</v>
      </c>
      <c r="B201" s="870">
        <v>96398</v>
      </c>
      <c r="C201" s="871" t="s">
        <v>590</v>
      </c>
      <c r="D201" s="881" t="s">
        <v>1898</v>
      </c>
      <c r="E201" s="882">
        <f>DMT!$F$21</f>
        <v>43.1</v>
      </c>
      <c r="F201" s="883">
        <v>2.4</v>
      </c>
      <c r="G201" s="884">
        <f t="shared" si="51"/>
        <v>117.11280000000001</v>
      </c>
      <c r="H201" s="876">
        <v>246.41</v>
      </c>
      <c r="I201" s="876">
        <f>IF(ISBLANK(H201),"",SUM(G201:H201))</f>
        <v>363.52280000000002</v>
      </c>
      <c r="J201" s="877">
        <f t="shared" si="50"/>
        <v>444.3</v>
      </c>
      <c r="K201" s="878" t="s">
        <v>10</v>
      </c>
      <c r="L201" s="885">
        <f>ROUND(SUM(ORÇAMENTO!L201),2)</f>
        <v>0</v>
      </c>
      <c r="M201" s="886">
        <f t="shared" si="34"/>
        <v>0</v>
      </c>
      <c r="N201" s="868">
        <f t="shared" si="35"/>
        <v>0</v>
      </c>
      <c r="O201" s="880"/>
      <c r="Q201" s="317" t="str">
        <f t="shared" si="36"/>
        <v/>
      </c>
      <c r="R201" s="317" t="str">
        <f t="shared" si="37"/>
        <v/>
      </c>
      <c r="S201" s="317" t="str">
        <f t="shared" si="38"/>
        <v/>
      </c>
      <c r="V201" s="314">
        <f>SUM(ORÇAMENTO!N201)</f>
        <v>0</v>
      </c>
      <c r="W201" s="315">
        <f t="shared" si="39"/>
        <v>0</v>
      </c>
    </row>
    <row r="202" spans="1:23" ht="15" hidden="1" customHeight="1">
      <c r="A202" s="560" t="s">
        <v>165</v>
      </c>
      <c r="B202" s="888" t="s">
        <v>165</v>
      </c>
      <c r="C202" s="889"/>
      <c r="D202" s="890" t="s">
        <v>435</v>
      </c>
      <c r="E202" s="891"/>
      <c r="F202" s="892"/>
      <c r="G202" s="891"/>
      <c r="H202" s="894">
        <v>0</v>
      </c>
      <c r="I202" s="894"/>
      <c r="J202" s="894">
        <v>0</v>
      </c>
      <c r="K202" s="936" t="s">
        <v>506</v>
      </c>
      <c r="L202" s="896">
        <f>ROUND(SUM(ORÇAMENTO!L202),2)</f>
        <v>0</v>
      </c>
      <c r="M202" s="897">
        <f t="shared" si="34"/>
        <v>0</v>
      </c>
      <c r="N202" s="898">
        <f t="shared" si="35"/>
        <v>0</v>
      </c>
      <c r="O202" s="880"/>
      <c r="P202" s="58" t="str">
        <f>IF(OR(SUM(N203:N227)&gt;0,SUM(N203:N227)&gt;0),"y","")</f>
        <v/>
      </c>
      <c r="Q202" s="317" t="str">
        <f t="shared" si="36"/>
        <v/>
      </c>
      <c r="R202" s="317" t="str">
        <f t="shared" si="37"/>
        <v/>
      </c>
      <c r="S202" s="317" t="str">
        <f t="shared" si="38"/>
        <v/>
      </c>
      <c r="V202" s="314">
        <f>SUM(ORÇAMENTO!N202)</f>
        <v>0</v>
      </c>
      <c r="W202" s="315">
        <f t="shared" si="39"/>
        <v>0</v>
      </c>
    </row>
    <row r="203" spans="1:23" ht="15" hidden="1" customHeight="1">
      <c r="A203" s="560" t="s">
        <v>165</v>
      </c>
      <c r="B203" s="899" t="s">
        <v>165</v>
      </c>
      <c r="C203" s="900" t="s">
        <v>165</v>
      </c>
      <c r="D203" s="901"/>
      <c r="E203" s="902"/>
      <c r="F203" s="903"/>
      <c r="G203" s="904"/>
      <c r="H203" s="905">
        <v>0</v>
      </c>
      <c r="I203" s="876">
        <f t="shared" ref="I203:I227" si="52">IF(ISBLANK(H203),"",SUM(G203:H203))</f>
        <v>0</v>
      </c>
      <c r="J203" s="877">
        <f t="shared" ref="J203:J227" si="53">IF(ISBLANK(H203),0,ROUND(I203*(1+$E$10),2))</f>
        <v>0</v>
      </c>
      <c r="K203" s="903" t="s">
        <v>506</v>
      </c>
      <c r="L203" s="885">
        <f>ROUND(SUM(ORÇAMENTO!L203),2)</f>
        <v>0</v>
      </c>
      <c r="M203" s="886">
        <f t="shared" si="34"/>
        <v>0</v>
      </c>
      <c r="N203" s="868">
        <f t="shared" si="35"/>
        <v>0</v>
      </c>
      <c r="O203" s="880"/>
      <c r="Q203" s="317" t="str">
        <f t="shared" si="36"/>
        <v/>
      </c>
      <c r="R203" s="317" t="str">
        <f t="shared" si="37"/>
        <v/>
      </c>
      <c r="S203" s="317" t="str">
        <f t="shared" si="38"/>
        <v/>
      </c>
      <c r="V203" s="314">
        <f>SUM(ORÇAMENTO!N203)</f>
        <v>0</v>
      </c>
      <c r="W203" s="315">
        <f t="shared" si="39"/>
        <v>0</v>
      </c>
    </row>
    <row r="204" spans="1:23" ht="15" hidden="1" customHeight="1">
      <c r="A204" s="560" t="s">
        <v>165</v>
      </c>
      <c r="B204" s="899" t="s">
        <v>165</v>
      </c>
      <c r="C204" s="900" t="s">
        <v>165</v>
      </c>
      <c r="D204" s="901"/>
      <c r="E204" s="902"/>
      <c r="F204" s="903"/>
      <c r="G204" s="904"/>
      <c r="H204" s="905">
        <v>0</v>
      </c>
      <c r="I204" s="876">
        <f t="shared" si="52"/>
        <v>0</v>
      </c>
      <c r="J204" s="877">
        <f t="shared" si="53"/>
        <v>0</v>
      </c>
      <c r="K204" s="903" t="s">
        <v>506</v>
      </c>
      <c r="L204" s="879">
        <f>ROUND(SUM(ORÇAMENTO!L204),2)</f>
        <v>0</v>
      </c>
      <c r="M204" s="879">
        <f t="shared" si="34"/>
        <v>0</v>
      </c>
      <c r="N204" s="907">
        <f t="shared" si="35"/>
        <v>0</v>
      </c>
      <c r="O204" s="880"/>
      <c r="Q204" s="317" t="str">
        <f t="shared" si="36"/>
        <v/>
      </c>
      <c r="R204" s="317" t="str">
        <f t="shared" si="37"/>
        <v/>
      </c>
      <c r="S204" s="317" t="str">
        <f t="shared" si="38"/>
        <v/>
      </c>
      <c r="V204" s="314">
        <f>SUM(ORÇAMENTO!N204)</f>
        <v>0</v>
      </c>
      <c r="W204" s="315">
        <f t="shared" si="39"/>
        <v>0</v>
      </c>
    </row>
    <row r="205" spans="1:23" ht="15" hidden="1" customHeight="1">
      <c r="A205" s="560" t="s">
        <v>165</v>
      </c>
      <c r="B205" s="899" t="s">
        <v>165</v>
      </c>
      <c r="C205" s="900" t="s">
        <v>165</v>
      </c>
      <c r="D205" s="901"/>
      <c r="E205" s="902"/>
      <c r="F205" s="903"/>
      <c r="G205" s="904"/>
      <c r="H205" s="905">
        <v>0</v>
      </c>
      <c r="I205" s="876">
        <f t="shared" si="52"/>
        <v>0</v>
      </c>
      <c r="J205" s="877">
        <f t="shared" si="53"/>
        <v>0</v>
      </c>
      <c r="K205" s="903" t="s">
        <v>506</v>
      </c>
      <c r="L205" s="879">
        <f>ROUND(SUM(ORÇAMENTO!L205),2)</f>
        <v>0</v>
      </c>
      <c r="M205" s="879">
        <f t="shared" si="34"/>
        <v>0</v>
      </c>
      <c r="N205" s="868">
        <f t="shared" si="35"/>
        <v>0</v>
      </c>
      <c r="O205" s="880"/>
      <c r="Q205" s="317" t="str">
        <f t="shared" si="36"/>
        <v/>
      </c>
      <c r="R205" s="317" t="str">
        <f t="shared" si="37"/>
        <v/>
      </c>
      <c r="S205" s="317" t="str">
        <f t="shared" si="38"/>
        <v/>
      </c>
      <c r="V205" s="314">
        <f>SUM(ORÇAMENTO!N205)</f>
        <v>0</v>
      </c>
      <c r="W205" s="315">
        <f t="shared" si="39"/>
        <v>0</v>
      </c>
    </row>
    <row r="206" spans="1:23" ht="15" hidden="1" customHeight="1">
      <c r="A206" s="560" t="s">
        <v>165</v>
      </c>
      <c r="B206" s="899" t="s">
        <v>165</v>
      </c>
      <c r="C206" s="900" t="s">
        <v>165</v>
      </c>
      <c r="D206" s="901"/>
      <c r="E206" s="902"/>
      <c r="F206" s="903"/>
      <c r="G206" s="904"/>
      <c r="H206" s="905">
        <v>0</v>
      </c>
      <c r="I206" s="876">
        <f t="shared" si="52"/>
        <v>0</v>
      </c>
      <c r="J206" s="877">
        <f t="shared" si="53"/>
        <v>0</v>
      </c>
      <c r="K206" s="903" t="s">
        <v>506</v>
      </c>
      <c r="L206" s="879">
        <f>ROUND(SUM(ORÇAMENTO!L206),2)</f>
        <v>0</v>
      </c>
      <c r="M206" s="879">
        <f t="shared" si="34"/>
        <v>0</v>
      </c>
      <c r="N206" s="868">
        <f t="shared" si="35"/>
        <v>0</v>
      </c>
      <c r="O206" s="880"/>
      <c r="Q206" s="317" t="str">
        <f t="shared" si="36"/>
        <v/>
      </c>
      <c r="R206" s="317" t="str">
        <f t="shared" si="37"/>
        <v/>
      </c>
      <c r="S206" s="317" t="str">
        <f t="shared" si="38"/>
        <v/>
      </c>
      <c r="V206" s="314">
        <f>SUM(ORÇAMENTO!N206)</f>
        <v>0</v>
      </c>
      <c r="W206" s="315">
        <f t="shared" si="39"/>
        <v>0</v>
      </c>
    </row>
    <row r="207" spans="1:23" ht="15" hidden="1" customHeight="1">
      <c r="A207" s="560" t="s">
        <v>165</v>
      </c>
      <c r="B207" s="899" t="s">
        <v>165</v>
      </c>
      <c r="C207" s="900" t="s">
        <v>165</v>
      </c>
      <c r="D207" s="901"/>
      <c r="E207" s="902"/>
      <c r="F207" s="903"/>
      <c r="G207" s="904"/>
      <c r="H207" s="905">
        <v>0</v>
      </c>
      <c r="I207" s="876">
        <f t="shared" si="52"/>
        <v>0</v>
      </c>
      <c r="J207" s="877">
        <f t="shared" si="53"/>
        <v>0</v>
      </c>
      <c r="K207" s="903" t="s">
        <v>506</v>
      </c>
      <c r="L207" s="879">
        <f>ROUND(SUM(ORÇAMENTO!L207),2)</f>
        <v>0</v>
      </c>
      <c r="M207" s="879">
        <f t="shared" si="34"/>
        <v>0</v>
      </c>
      <c r="N207" s="868">
        <f t="shared" si="35"/>
        <v>0</v>
      </c>
      <c r="O207" s="880"/>
      <c r="Q207" s="317" t="str">
        <f t="shared" si="36"/>
        <v/>
      </c>
      <c r="R207" s="317" t="str">
        <f t="shared" si="37"/>
        <v/>
      </c>
      <c r="S207" s="317" t="str">
        <f t="shared" si="38"/>
        <v/>
      </c>
      <c r="V207" s="314">
        <f>SUM(ORÇAMENTO!N207)</f>
        <v>0</v>
      </c>
      <c r="W207" s="315">
        <f t="shared" si="39"/>
        <v>0</v>
      </c>
    </row>
    <row r="208" spans="1:23" ht="15" hidden="1" customHeight="1">
      <c r="A208" s="560" t="s">
        <v>165</v>
      </c>
      <c r="B208" s="899" t="s">
        <v>165</v>
      </c>
      <c r="C208" s="900" t="s">
        <v>165</v>
      </c>
      <c r="D208" s="901"/>
      <c r="E208" s="902"/>
      <c r="F208" s="903"/>
      <c r="G208" s="904"/>
      <c r="H208" s="905">
        <v>0</v>
      </c>
      <c r="I208" s="876">
        <f t="shared" si="52"/>
        <v>0</v>
      </c>
      <c r="J208" s="877">
        <f t="shared" si="53"/>
        <v>0</v>
      </c>
      <c r="K208" s="903" t="s">
        <v>506</v>
      </c>
      <c r="L208" s="879">
        <f>ROUND(SUM(ORÇAMENTO!L208),2)</f>
        <v>0</v>
      </c>
      <c r="M208" s="879">
        <f t="shared" si="34"/>
        <v>0</v>
      </c>
      <c r="N208" s="868">
        <f t="shared" si="35"/>
        <v>0</v>
      </c>
      <c r="O208" s="880"/>
      <c r="Q208" s="317" t="str">
        <f t="shared" si="36"/>
        <v/>
      </c>
      <c r="R208" s="317" t="str">
        <f t="shared" si="37"/>
        <v/>
      </c>
      <c r="S208" s="317" t="str">
        <f t="shared" si="38"/>
        <v/>
      </c>
      <c r="V208" s="314">
        <f>SUM(ORÇAMENTO!N208)</f>
        <v>0</v>
      </c>
      <c r="W208" s="315">
        <f t="shared" si="39"/>
        <v>0</v>
      </c>
    </row>
    <row r="209" spans="1:23" ht="15" hidden="1" customHeight="1">
      <c r="A209" s="560" t="s">
        <v>165</v>
      </c>
      <c r="B209" s="899" t="s">
        <v>165</v>
      </c>
      <c r="C209" s="900" t="s">
        <v>165</v>
      </c>
      <c r="D209" s="901"/>
      <c r="E209" s="902"/>
      <c r="F209" s="903"/>
      <c r="G209" s="904"/>
      <c r="H209" s="905">
        <v>0</v>
      </c>
      <c r="I209" s="876">
        <f t="shared" si="52"/>
        <v>0</v>
      </c>
      <c r="J209" s="877">
        <f t="shared" si="53"/>
        <v>0</v>
      </c>
      <c r="K209" s="903" t="s">
        <v>506</v>
      </c>
      <c r="L209" s="879">
        <f>ROUND(SUM(ORÇAMENTO!L209),2)</f>
        <v>0</v>
      </c>
      <c r="M209" s="879">
        <f t="shared" si="34"/>
        <v>0</v>
      </c>
      <c r="N209" s="868">
        <f t="shared" si="35"/>
        <v>0</v>
      </c>
      <c r="O209" s="880"/>
      <c r="Q209" s="317" t="str">
        <f t="shared" si="36"/>
        <v/>
      </c>
      <c r="R209" s="317" t="str">
        <f t="shared" si="37"/>
        <v/>
      </c>
      <c r="S209" s="317" t="str">
        <f t="shared" si="38"/>
        <v/>
      </c>
      <c r="V209" s="314">
        <f>SUM(ORÇAMENTO!N209)</f>
        <v>0</v>
      </c>
      <c r="W209" s="315">
        <f t="shared" si="39"/>
        <v>0</v>
      </c>
    </row>
    <row r="210" spans="1:23" ht="15" hidden="1" customHeight="1">
      <c r="A210" s="560" t="s">
        <v>165</v>
      </c>
      <c r="B210" s="899" t="s">
        <v>165</v>
      </c>
      <c r="C210" s="900" t="s">
        <v>165</v>
      </c>
      <c r="D210" s="901"/>
      <c r="E210" s="902"/>
      <c r="F210" s="903"/>
      <c r="G210" s="904"/>
      <c r="H210" s="905">
        <v>0</v>
      </c>
      <c r="I210" s="876">
        <f t="shared" si="52"/>
        <v>0</v>
      </c>
      <c r="J210" s="877">
        <f t="shared" si="53"/>
        <v>0</v>
      </c>
      <c r="K210" s="903" t="s">
        <v>506</v>
      </c>
      <c r="L210" s="879">
        <f>ROUND(SUM(ORÇAMENTO!L210),2)</f>
        <v>0</v>
      </c>
      <c r="M210" s="879">
        <f t="shared" si="34"/>
        <v>0</v>
      </c>
      <c r="N210" s="868">
        <f t="shared" si="35"/>
        <v>0</v>
      </c>
      <c r="O210" s="880"/>
      <c r="Q210" s="317" t="str">
        <f t="shared" si="36"/>
        <v/>
      </c>
      <c r="R210" s="317" t="str">
        <f t="shared" si="37"/>
        <v/>
      </c>
      <c r="S210" s="317" t="str">
        <f t="shared" si="38"/>
        <v/>
      </c>
      <c r="V210" s="314">
        <f>SUM(ORÇAMENTO!N210)</f>
        <v>0</v>
      </c>
      <c r="W210" s="315">
        <f t="shared" si="39"/>
        <v>0</v>
      </c>
    </row>
    <row r="211" spans="1:23" ht="15" hidden="1" customHeight="1">
      <c r="A211" s="560" t="s">
        <v>165</v>
      </c>
      <c r="B211" s="899" t="s">
        <v>165</v>
      </c>
      <c r="C211" s="900" t="s">
        <v>165</v>
      </c>
      <c r="D211" s="901"/>
      <c r="E211" s="902"/>
      <c r="F211" s="903"/>
      <c r="G211" s="904"/>
      <c r="H211" s="905">
        <v>0</v>
      </c>
      <c r="I211" s="876">
        <f t="shared" si="52"/>
        <v>0</v>
      </c>
      <c r="J211" s="877">
        <f t="shared" si="53"/>
        <v>0</v>
      </c>
      <c r="K211" s="903" t="s">
        <v>506</v>
      </c>
      <c r="L211" s="879">
        <f>ROUND(SUM(ORÇAMENTO!L211),2)</f>
        <v>0</v>
      </c>
      <c r="M211" s="879">
        <f t="shared" si="34"/>
        <v>0</v>
      </c>
      <c r="N211" s="868">
        <f t="shared" si="35"/>
        <v>0</v>
      </c>
      <c r="O211" s="880"/>
      <c r="Q211" s="317" t="str">
        <f t="shared" si="36"/>
        <v/>
      </c>
      <c r="R211" s="317" t="str">
        <f t="shared" si="37"/>
        <v/>
      </c>
      <c r="S211" s="317" t="str">
        <f t="shared" si="38"/>
        <v/>
      </c>
      <c r="V211" s="314">
        <f>SUM(ORÇAMENTO!N211)</f>
        <v>0</v>
      </c>
      <c r="W211" s="315">
        <f t="shared" si="39"/>
        <v>0</v>
      </c>
    </row>
    <row r="212" spans="1:23" ht="15" hidden="1" customHeight="1">
      <c r="A212" s="560" t="s">
        <v>165</v>
      </c>
      <c r="B212" s="899" t="s">
        <v>165</v>
      </c>
      <c r="C212" s="900" t="s">
        <v>165</v>
      </c>
      <c r="D212" s="901"/>
      <c r="E212" s="902"/>
      <c r="F212" s="903"/>
      <c r="G212" s="904"/>
      <c r="H212" s="905">
        <v>0</v>
      </c>
      <c r="I212" s="876">
        <f t="shared" si="52"/>
        <v>0</v>
      </c>
      <c r="J212" s="877">
        <f t="shared" si="53"/>
        <v>0</v>
      </c>
      <c r="K212" s="903" t="s">
        <v>506</v>
      </c>
      <c r="L212" s="879">
        <f>ROUND(SUM(ORÇAMENTO!L212),2)</f>
        <v>0</v>
      </c>
      <c r="M212" s="879">
        <f t="shared" ref="M212:M275" si="54">IF(L212=0,0,ROUND(J212,2))</f>
        <v>0</v>
      </c>
      <c r="N212" s="868">
        <f t="shared" ref="N212:N275" si="55">IF(ISBLANK(L212),0,ROUND(L212*M212,2))</f>
        <v>0</v>
      </c>
      <c r="O212" s="880"/>
      <c r="Q212" s="317" t="str">
        <f t="shared" ref="Q212:Q275" si="56">IF(P212="X","x",IF(P212="xx","x",IF(P212="xy","x",IF(P212="y","x",IF(OR(N212&gt;0,N212&gt;0),"x","")))))</f>
        <v/>
      </c>
      <c r="R212" s="317" t="str">
        <f t="shared" ref="R212:R275" si="57">IF(P212="X","x",IF(P212="y","x",IF(P212="xx","x",IF(N212&gt;0,"x",""))))</f>
        <v/>
      </c>
      <c r="S212" s="317" t="str">
        <f t="shared" ref="S212:S275" si="58">IF(P212="X","x",IF(N212&gt;0,"x",""))</f>
        <v/>
      </c>
      <c r="V212" s="314">
        <f>SUM(ORÇAMENTO!N212)</f>
        <v>0</v>
      </c>
      <c r="W212" s="315">
        <f t="shared" si="39"/>
        <v>0</v>
      </c>
    </row>
    <row r="213" spans="1:23" ht="15" hidden="1" customHeight="1">
      <c r="A213" s="560" t="s">
        <v>165</v>
      </c>
      <c r="B213" s="899" t="s">
        <v>165</v>
      </c>
      <c r="C213" s="900" t="s">
        <v>165</v>
      </c>
      <c r="D213" s="901"/>
      <c r="E213" s="902"/>
      <c r="F213" s="903"/>
      <c r="G213" s="904"/>
      <c r="H213" s="905">
        <v>0</v>
      </c>
      <c r="I213" s="876">
        <f t="shared" si="52"/>
        <v>0</v>
      </c>
      <c r="J213" s="877">
        <f t="shared" si="53"/>
        <v>0</v>
      </c>
      <c r="K213" s="903" t="s">
        <v>506</v>
      </c>
      <c r="L213" s="879">
        <f>ROUND(SUM(ORÇAMENTO!L213),2)</f>
        <v>0</v>
      </c>
      <c r="M213" s="879">
        <f t="shared" si="54"/>
        <v>0</v>
      </c>
      <c r="N213" s="868">
        <f t="shared" si="55"/>
        <v>0</v>
      </c>
      <c r="O213" s="880"/>
      <c r="Q213" s="317" t="str">
        <f t="shared" si="56"/>
        <v/>
      </c>
      <c r="R213" s="317" t="str">
        <f t="shared" si="57"/>
        <v/>
      </c>
      <c r="S213" s="317" t="str">
        <f t="shared" si="58"/>
        <v/>
      </c>
      <c r="V213" s="314">
        <f>SUM(ORÇAMENTO!N213)</f>
        <v>0</v>
      </c>
      <c r="W213" s="315">
        <f t="shared" ref="W213:W276" si="59">N213-V213</f>
        <v>0</v>
      </c>
    </row>
    <row r="214" spans="1:23" ht="15" hidden="1" customHeight="1">
      <c r="A214" s="560" t="s">
        <v>165</v>
      </c>
      <c r="B214" s="899" t="s">
        <v>165</v>
      </c>
      <c r="C214" s="900" t="s">
        <v>165</v>
      </c>
      <c r="D214" s="901"/>
      <c r="E214" s="902"/>
      <c r="F214" s="903"/>
      <c r="G214" s="904"/>
      <c r="H214" s="905">
        <v>0</v>
      </c>
      <c r="I214" s="876">
        <f t="shared" si="52"/>
        <v>0</v>
      </c>
      <c r="J214" s="877">
        <f t="shared" si="53"/>
        <v>0</v>
      </c>
      <c r="K214" s="903" t="s">
        <v>506</v>
      </c>
      <c r="L214" s="879">
        <f>ROUND(SUM(ORÇAMENTO!L214),2)</f>
        <v>0</v>
      </c>
      <c r="M214" s="879">
        <f t="shared" si="54"/>
        <v>0</v>
      </c>
      <c r="N214" s="868">
        <f t="shared" si="55"/>
        <v>0</v>
      </c>
      <c r="O214" s="880"/>
      <c r="Q214" s="317" t="str">
        <f t="shared" si="56"/>
        <v/>
      </c>
      <c r="R214" s="317" t="str">
        <f t="shared" si="57"/>
        <v/>
      </c>
      <c r="S214" s="317" t="str">
        <f t="shared" si="58"/>
        <v/>
      </c>
      <c r="V214" s="314">
        <f>SUM(ORÇAMENTO!N214)</f>
        <v>0</v>
      </c>
      <c r="W214" s="315">
        <f t="shared" si="59"/>
        <v>0</v>
      </c>
    </row>
    <row r="215" spans="1:23" ht="15" hidden="1" customHeight="1">
      <c r="A215" s="560" t="s">
        <v>165</v>
      </c>
      <c r="B215" s="899" t="s">
        <v>165</v>
      </c>
      <c r="C215" s="900" t="s">
        <v>165</v>
      </c>
      <c r="D215" s="901"/>
      <c r="E215" s="902"/>
      <c r="F215" s="903"/>
      <c r="G215" s="904"/>
      <c r="H215" s="905">
        <v>0</v>
      </c>
      <c r="I215" s="876">
        <f t="shared" si="52"/>
        <v>0</v>
      </c>
      <c r="J215" s="877">
        <f t="shared" si="53"/>
        <v>0</v>
      </c>
      <c r="K215" s="903" t="s">
        <v>506</v>
      </c>
      <c r="L215" s="879">
        <f>ROUND(SUM(ORÇAMENTO!L215),2)</f>
        <v>0</v>
      </c>
      <c r="M215" s="879">
        <f t="shared" si="54"/>
        <v>0</v>
      </c>
      <c r="N215" s="868">
        <f t="shared" si="55"/>
        <v>0</v>
      </c>
      <c r="O215" s="880"/>
      <c r="Q215" s="317" t="str">
        <f t="shared" si="56"/>
        <v/>
      </c>
      <c r="R215" s="317" t="str">
        <f t="shared" si="57"/>
        <v/>
      </c>
      <c r="S215" s="317" t="str">
        <f t="shared" si="58"/>
        <v/>
      </c>
      <c r="V215" s="314">
        <f>SUM(ORÇAMENTO!N215)</f>
        <v>0</v>
      </c>
      <c r="W215" s="315">
        <f t="shared" si="59"/>
        <v>0</v>
      </c>
    </row>
    <row r="216" spans="1:23" ht="15" hidden="1" customHeight="1">
      <c r="A216" s="560" t="s">
        <v>165</v>
      </c>
      <c r="B216" s="899" t="s">
        <v>165</v>
      </c>
      <c r="C216" s="900" t="s">
        <v>165</v>
      </c>
      <c r="D216" s="901"/>
      <c r="E216" s="902"/>
      <c r="F216" s="903"/>
      <c r="G216" s="904"/>
      <c r="H216" s="905">
        <v>0</v>
      </c>
      <c r="I216" s="876">
        <f t="shared" si="52"/>
        <v>0</v>
      </c>
      <c r="J216" s="877">
        <f t="shared" si="53"/>
        <v>0</v>
      </c>
      <c r="K216" s="903" t="s">
        <v>506</v>
      </c>
      <c r="L216" s="879">
        <f>ROUND(SUM(ORÇAMENTO!L216),2)</f>
        <v>0</v>
      </c>
      <c r="M216" s="879">
        <f t="shared" si="54"/>
        <v>0</v>
      </c>
      <c r="N216" s="868">
        <f t="shared" si="55"/>
        <v>0</v>
      </c>
      <c r="O216" s="880"/>
      <c r="Q216" s="317" t="str">
        <f t="shared" si="56"/>
        <v/>
      </c>
      <c r="R216" s="317" t="str">
        <f t="shared" si="57"/>
        <v/>
      </c>
      <c r="S216" s="317" t="str">
        <f t="shared" si="58"/>
        <v/>
      </c>
      <c r="V216" s="314">
        <f>SUM(ORÇAMENTO!N216)</f>
        <v>0</v>
      </c>
      <c r="W216" s="315">
        <f t="shared" si="59"/>
        <v>0</v>
      </c>
    </row>
    <row r="217" spans="1:23" ht="15" hidden="1" customHeight="1">
      <c r="A217" s="560" t="s">
        <v>165</v>
      </c>
      <c r="B217" s="899" t="s">
        <v>165</v>
      </c>
      <c r="C217" s="900" t="s">
        <v>165</v>
      </c>
      <c r="D217" s="901"/>
      <c r="E217" s="902"/>
      <c r="F217" s="903"/>
      <c r="G217" s="904"/>
      <c r="H217" s="905">
        <v>0</v>
      </c>
      <c r="I217" s="876">
        <f t="shared" si="52"/>
        <v>0</v>
      </c>
      <c r="J217" s="877">
        <f t="shared" si="53"/>
        <v>0</v>
      </c>
      <c r="K217" s="903" t="s">
        <v>506</v>
      </c>
      <c r="L217" s="879">
        <f>ROUND(SUM(ORÇAMENTO!L217),2)</f>
        <v>0</v>
      </c>
      <c r="M217" s="879">
        <f t="shared" si="54"/>
        <v>0</v>
      </c>
      <c r="N217" s="868">
        <f t="shared" si="55"/>
        <v>0</v>
      </c>
      <c r="O217" s="880"/>
      <c r="Q217" s="317" t="str">
        <f t="shared" si="56"/>
        <v/>
      </c>
      <c r="R217" s="317" t="str">
        <f t="shared" si="57"/>
        <v/>
      </c>
      <c r="S217" s="317" t="str">
        <f t="shared" si="58"/>
        <v/>
      </c>
      <c r="V217" s="314">
        <f>SUM(ORÇAMENTO!N217)</f>
        <v>0</v>
      </c>
      <c r="W217" s="315">
        <f t="shared" si="59"/>
        <v>0</v>
      </c>
    </row>
    <row r="218" spans="1:23" ht="15" hidden="1" customHeight="1">
      <c r="A218" s="560" t="s">
        <v>165</v>
      </c>
      <c r="B218" s="899" t="s">
        <v>165</v>
      </c>
      <c r="C218" s="900" t="s">
        <v>165</v>
      </c>
      <c r="D218" s="901"/>
      <c r="E218" s="902"/>
      <c r="F218" s="903"/>
      <c r="G218" s="904"/>
      <c r="H218" s="905">
        <v>0</v>
      </c>
      <c r="I218" s="876">
        <f t="shared" si="52"/>
        <v>0</v>
      </c>
      <c r="J218" s="877">
        <f t="shared" si="53"/>
        <v>0</v>
      </c>
      <c r="K218" s="903" t="s">
        <v>506</v>
      </c>
      <c r="L218" s="879">
        <f>ROUND(SUM(ORÇAMENTO!L218),2)</f>
        <v>0</v>
      </c>
      <c r="M218" s="879">
        <f t="shared" si="54"/>
        <v>0</v>
      </c>
      <c r="N218" s="868">
        <f t="shared" si="55"/>
        <v>0</v>
      </c>
      <c r="O218" s="880"/>
      <c r="Q218" s="317" t="str">
        <f t="shared" si="56"/>
        <v/>
      </c>
      <c r="R218" s="317" t="str">
        <f t="shared" si="57"/>
        <v/>
      </c>
      <c r="S218" s="317" t="str">
        <f t="shared" si="58"/>
        <v/>
      </c>
      <c r="V218" s="314">
        <f>SUM(ORÇAMENTO!N218)</f>
        <v>0</v>
      </c>
      <c r="W218" s="315">
        <f t="shared" si="59"/>
        <v>0</v>
      </c>
    </row>
    <row r="219" spans="1:23" ht="15" hidden="1" customHeight="1">
      <c r="A219" s="560" t="s">
        <v>165</v>
      </c>
      <c r="B219" s="899" t="s">
        <v>165</v>
      </c>
      <c r="C219" s="900" t="s">
        <v>165</v>
      </c>
      <c r="D219" s="901"/>
      <c r="E219" s="902"/>
      <c r="F219" s="903"/>
      <c r="G219" s="904"/>
      <c r="H219" s="905">
        <v>0</v>
      </c>
      <c r="I219" s="876">
        <f t="shared" si="52"/>
        <v>0</v>
      </c>
      <c r="J219" s="877">
        <f t="shared" si="53"/>
        <v>0</v>
      </c>
      <c r="K219" s="903" t="s">
        <v>506</v>
      </c>
      <c r="L219" s="879">
        <f>ROUND(SUM(ORÇAMENTO!L219),2)</f>
        <v>0</v>
      </c>
      <c r="M219" s="879">
        <f t="shared" si="54"/>
        <v>0</v>
      </c>
      <c r="N219" s="868">
        <f t="shared" si="55"/>
        <v>0</v>
      </c>
      <c r="O219" s="880"/>
      <c r="Q219" s="317" t="str">
        <f t="shared" si="56"/>
        <v/>
      </c>
      <c r="R219" s="317" t="str">
        <f t="shared" si="57"/>
        <v/>
      </c>
      <c r="S219" s="317" t="str">
        <f t="shared" si="58"/>
        <v/>
      </c>
      <c r="V219" s="314">
        <f>SUM(ORÇAMENTO!N219)</f>
        <v>0</v>
      </c>
      <c r="W219" s="315">
        <f t="shared" si="59"/>
        <v>0</v>
      </c>
    </row>
    <row r="220" spans="1:23" ht="15" hidden="1" customHeight="1">
      <c r="A220" s="560" t="s">
        <v>165</v>
      </c>
      <c r="B220" s="899" t="s">
        <v>165</v>
      </c>
      <c r="C220" s="900" t="s">
        <v>165</v>
      </c>
      <c r="D220" s="901"/>
      <c r="E220" s="902"/>
      <c r="F220" s="903"/>
      <c r="G220" s="904"/>
      <c r="H220" s="905">
        <v>0</v>
      </c>
      <c r="I220" s="876">
        <f t="shared" si="52"/>
        <v>0</v>
      </c>
      <c r="J220" s="877">
        <f t="shared" si="53"/>
        <v>0</v>
      </c>
      <c r="K220" s="903" t="s">
        <v>506</v>
      </c>
      <c r="L220" s="879">
        <f>ROUND(SUM(ORÇAMENTO!L220),2)</f>
        <v>0</v>
      </c>
      <c r="M220" s="879">
        <f t="shared" si="54"/>
        <v>0</v>
      </c>
      <c r="N220" s="868">
        <f t="shared" si="55"/>
        <v>0</v>
      </c>
      <c r="O220" s="880"/>
      <c r="Q220" s="317" t="str">
        <f t="shared" si="56"/>
        <v/>
      </c>
      <c r="R220" s="317" t="str">
        <f t="shared" si="57"/>
        <v/>
      </c>
      <c r="S220" s="317" t="str">
        <f t="shared" si="58"/>
        <v/>
      </c>
      <c r="V220" s="314">
        <f>SUM(ORÇAMENTO!N220)</f>
        <v>0</v>
      </c>
      <c r="W220" s="315">
        <f t="shared" si="59"/>
        <v>0</v>
      </c>
    </row>
    <row r="221" spans="1:23" ht="15" hidden="1" customHeight="1">
      <c r="A221" s="560" t="s">
        <v>165</v>
      </c>
      <c r="B221" s="899" t="s">
        <v>165</v>
      </c>
      <c r="C221" s="900" t="s">
        <v>165</v>
      </c>
      <c r="D221" s="901"/>
      <c r="E221" s="902"/>
      <c r="F221" s="903"/>
      <c r="G221" s="904"/>
      <c r="H221" s="905">
        <v>0</v>
      </c>
      <c r="I221" s="876">
        <f t="shared" si="52"/>
        <v>0</v>
      </c>
      <c r="J221" s="877">
        <f t="shared" si="53"/>
        <v>0</v>
      </c>
      <c r="K221" s="903" t="s">
        <v>506</v>
      </c>
      <c r="L221" s="879">
        <f>ROUND(SUM(ORÇAMENTO!L221),2)</f>
        <v>0</v>
      </c>
      <c r="M221" s="879">
        <f t="shared" si="54"/>
        <v>0</v>
      </c>
      <c r="N221" s="868">
        <f t="shared" si="55"/>
        <v>0</v>
      </c>
      <c r="O221" s="880"/>
      <c r="Q221" s="317" t="str">
        <f t="shared" si="56"/>
        <v/>
      </c>
      <c r="R221" s="317" t="str">
        <f t="shared" si="57"/>
        <v/>
      </c>
      <c r="S221" s="317" t="str">
        <f t="shared" si="58"/>
        <v/>
      </c>
      <c r="V221" s="314">
        <f>SUM(ORÇAMENTO!N221)</f>
        <v>0</v>
      </c>
      <c r="W221" s="315">
        <f t="shared" si="59"/>
        <v>0</v>
      </c>
    </row>
    <row r="222" spans="1:23" ht="15" hidden="1" customHeight="1">
      <c r="A222" s="560" t="s">
        <v>165</v>
      </c>
      <c r="B222" s="899" t="s">
        <v>165</v>
      </c>
      <c r="C222" s="900" t="s">
        <v>165</v>
      </c>
      <c r="D222" s="901"/>
      <c r="E222" s="902"/>
      <c r="F222" s="903"/>
      <c r="G222" s="904"/>
      <c r="H222" s="905">
        <v>0</v>
      </c>
      <c r="I222" s="876">
        <f t="shared" si="52"/>
        <v>0</v>
      </c>
      <c r="J222" s="877">
        <f t="shared" si="53"/>
        <v>0</v>
      </c>
      <c r="K222" s="903" t="s">
        <v>506</v>
      </c>
      <c r="L222" s="879">
        <f>ROUND(SUM(ORÇAMENTO!L222),2)</f>
        <v>0</v>
      </c>
      <c r="M222" s="879">
        <f t="shared" si="54"/>
        <v>0</v>
      </c>
      <c r="N222" s="868">
        <f t="shared" si="55"/>
        <v>0</v>
      </c>
      <c r="O222" s="880"/>
      <c r="Q222" s="317" t="str">
        <f t="shared" si="56"/>
        <v/>
      </c>
      <c r="R222" s="317" t="str">
        <f t="shared" si="57"/>
        <v/>
      </c>
      <c r="S222" s="317" t="str">
        <f t="shared" si="58"/>
        <v/>
      </c>
      <c r="V222" s="314">
        <f>SUM(ORÇAMENTO!N222)</f>
        <v>0</v>
      </c>
      <c r="W222" s="315">
        <f t="shared" si="59"/>
        <v>0</v>
      </c>
    </row>
    <row r="223" spans="1:23" ht="15" hidden="1" customHeight="1">
      <c r="A223" s="560" t="s">
        <v>165</v>
      </c>
      <c r="B223" s="899" t="s">
        <v>165</v>
      </c>
      <c r="C223" s="900" t="s">
        <v>165</v>
      </c>
      <c r="D223" s="901"/>
      <c r="E223" s="902"/>
      <c r="F223" s="903"/>
      <c r="G223" s="904"/>
      <c r="H223" s="905">
        <v>0</v>
      </c>
      <c r="I223" s="876">
        <f t="shared" si="52"/>
        <v>0</v>
      </c>
      <c r="J223" s="877">
        <f t="shared" si="53"/>
        <v>0</v>
      </c>
      <c r="K223" s="903" t="s">
        <v>506</v>
      </c>
      <c r="L223" s="879">
        <f>ROUND(SUM(ORÇAMENTO!L223),2)</f>
        <v>0</v>
      </c>
      <c r="M223" s="879">
        <f t="shared" si="54"/>
        <v>0</v>
      </c>
      <c r="N223" s="868">
        <f t="shared" si="55"/>
        <v>0</v>
      </c>
      <c r="O223" s="880"/>
      <c r="Q223" s="317" t="str">
        <f t="shared" si="56"/>
        <v/>
      </c>
      <c r="R223" s="317" t="str">
        <f t="shared" si="57"/>
        <v/>
      </c>
      <c r="S223" s="317" t="str">
        <f t="shared" si="58"/>
        <v/>
      </c>
      <c r="V223" s="314">
        <f>SUM(ORÇAMENTO!N223)</f>
        <v>0</v>
      </c>
      <c r="W223" s="315">
        <f t="shared" si="59"/>
        <v>0</v>
      </c>
    </row>
    <row r="224" spans="1:23" ht="15" hidden="1" customHeight="1">
      <c r="A224" s="560" t="s">
        <v>165</v>
      </c>
      <c r="B224" s="899" t="s">
        <v>165</v>
      </c>
      <c r="C224" s="900" t="s">
        <v>165</v>
      </c>
      <c r="D224" s="901"/>
      <c r="E224" s="902"/>
      <c r="F224" s="903"/>
      <c r="G224" s="904"/>
      <c r="H224" s="905">
        <v>0</v>
      </c>
      <c r="I224" s="876">
        <f t="shared" si="52"/>
        <v>0</v>
      </c>
      <c r="J224" s="877">
        <f t="shared" si="53"/>
        <v>0</v>
      </c>
      <c r="K224" s="903" t="s">
        <v>506</v>
      </c>
      <c r="L224" s="879">
        <f>ROUND(SUM(ORÇAMENTO!L224),2)</f>
        <v>0</v>
      </c>
      <c r="M224" s="879">
        <f t="shared" si="54"/>
        <v>0</v>
      </c>
      <c r="N224" s="868">
        <f t="shared" si="55"/>
        <v>0</v>
      </c>
      <c r="O224" s="880"/>
      <c r="Q224" s="317" t="str">
        <f t="shared" si="56"/>
        <v/>
      </c>
      <c r="R224" s="317" t="str">
        <f t="shared" si="57"/>
        <v/>
      </c>
      <c r="S224" s="317" t="str">
        <f t="shared" si="58"/>
        <v/>
      </c>
      <c r="V224" s="314">
        <f>SUM(ORÇAMENTO!N224)</f>
        <v>0</v>
      </c>
      <c r="W224" s="315">
        <f t="shared" si="59"/>
        <v>0</v>
      </c>
    </row>
    <row r="225" spans="1:23" ht="15" hidden="1" customHeight="1">
      <c r="A225" s="560" t="s">
        <v>165</v>
      </c>
      <c r="B225" s="899" t="s">
        <v>165</v>
      </c>
      <c r="C225" s="900" t="s">
        <v>165</v>
      </c>
      <c r="D225" s="901"/>
      <c r="E225" s="902"/>
      <c r="F225" s="903"/>
      <c r="G225" s="904"/>
      <c r="H225" s="905">
        <v>0</v>
      </c>
      <c r="I225" s="876">
        <f t="shared" si="52"/>
        <v>0</v>
      </c>
      <c r="J225" s="877">
        <f t="shared" si="53"/>
        <v>0</v>
      </c>
      <c r="K225" s="903" t="s">
        <v>506</v>
      </c>
      <c r="L225" s="879">
        <f>ROUND(SUM(ORÇAMENTO!L225),2)</f>
        <v>0</v>
      </c>
      <c r="M225" s="879">
        <f t="shared" si="54"/>
        <v>0</v>
      </c>
      <c r="N225" s="868">
        <f t="shared" si="55"/>
        <v>0</v>
      </c>
      <c r="O225" s="880"/>
      <c r="Q225" s="317" t="str">
        <f t="shared" si="56"/>
        <v/>
      </c>
      <c r="R225" s="317" t="str">
        <f t="shared" si="57"/>
        <v/>
      </c>
      <c r="S225" s="317" t="str">
        <f t="shared" si="58"/>
        <v/>
      </c>
      <c r="V225" s="314">
        <f>SUM(ORÇAMENTO!N225)</f>
        <v>0</v>
      </c>
      <c r="W225" s="315">
        <f t="shared" si="59"/>
        <v>0</v>
      </c>
    </row>
    <row r="226" spans="1:23" ht="15" hidden="1" customHeight="1">
      <c r="A226" s="560" t="s">
        <v>165</v>
      </c>
      <c r="B226" s="899" t="s">
        <v>165</v>
      </c>
      <c r="C226" s="900" t="s">
        <v>165</v>
      </c>
      <c r="D226" s="901"/>
      <c r="E226" s="902"/>
      <c r="F226" s="903"/>
      <c r="G226" s="904"/>
      <c r="H226" s="905">
        <v>0</v>
      </c>
      <c r="I226" s="876">
        <f t="shared" si="52"/>
        <v>0</v>
      </c>
      <c r="J226" s="877">
        <f t="shared" si="53"/>
        <v>0</v>
      </c>
      <c r="K226" s="903" t="s">
        <v>506</v>
      </c>
      <c r="L226" s="879">
        <f>ROUND(SUM(ORÇAMENTO!L226),2)</f>
        <v>0</v>
      </c>
      <c r="M226" s="879">
        <f t="shared" si="54"/>
        <v>0</v>
      </c>
      <c r="N226" s="868">
        <f t="shared" si="55"/>
        <v>0</v>
      </c>
      <c r="O226" s="880"/>
      <c r="Q226" s="317" t="str">
        <f t="shared" si="56"/>
        <v/>
      </c>
      <c r="R226" s="317" t="str">
        <f t="shared" si="57"/>
        <v/>
      </c>
      <c r="S226" s="317" t="str">
        <f t="shared" si="58"/>
        <v/>
      </c>
      <c r="V226" s="314">
        <f>SUM(ORÇAMENTO!N226)</f>
        <v>0</v>
      </c>
      <c r="W226" s="315">
        <f t="shared" si="59"/>
        <v>0</v>
      </c>
    </row>
    <row r="227" spans="1:23" ht="15" hidden="1" customHeight="1" thickBot="1">
      <c r="A227" s="560" t="s">
        <v>165</v>
      </c>
      <c r="B227" s="1274" t="s">
        <v>165</v>
      </c>
      <c r="C227" s="1275" t="s">
        <v>165</v>
      </c>
      <c r="D227" s="1277"/>
      <c r="E227" s="910"/>
      <c r="F227" s="911"/>
      <c r="G227" s="912"/>
      <c r="H227" s="913">
        <v>0</v>
      </c>
      <c r="I227" s="914">
        <f t="shared" si="52"/>
        <v>0</v>
      </c>
      <c r="J227" s="943">
        <f t="shared" si="53"/>
        <v>0</v>
      </c>
      <c r="K227" s="911" t="s">
        <v>506</v>
      </c>
      <c r="L227" s="972">
        <f>ROUND(SUM(ORÇAMENTO!L227),2)</f>
        <v>0</v>
      </c>
      <c r="M227" s="972">
        <f t="shared" si="54"/>
        <v>0</v>
      </c>
      <c r="N227" s="916">
        <f t="shared" si="55"/>
        <v>0</v>
      </c>
      <c r="O227" s="880"/>
      <c r="Q227" s="317" t="str">
        <f t="shared" si="56"/>
        <v/>
      </c>
      <c r="R227" s="317" t="str">
        <f t="shared" si="57"/>
        <v/>
      </c>
      <c r="S227" s="317" t="str">
        <f t="shared" si="58"/>
        <v/>
      </c>
      <c r="V227" s="314">
        <f>SUM(ORÇAMENTO!N227)</f>
        <v>0</v>
      </c>
      <c r="W227" s="315">
        <f t="shared" si="59"/>
        <v>0</v>
      </c>
    </row>
    <row r="228" spans="1:23" ht="15" customHeight="1" thickBot="1">
      <c r="A228" s="63" t="s">
        <v>203</v>
      </c>
      <c r="B228" s="924" t="s">
        <v>203</v>
      </c>
      <c r="C228" s="925"/>
      <c r="D228" s="926" t="s">
        <v>429</v>
      </c>
      <c r="E228" s="917"/>
      <c r="F228" s="851"/>
      <c r="G228" s="918"/>
      <c r="H228" s="919">
        <v>0</v>
      </c>
      <c r="I228" s="919"/>
      <c r="J228" s="919"/>
      <c r="K228" s="937" t="s">
        <v>506</v>
      </c>
      <c r="L228" s="854">
        <f>ROUND(SUM(ORÇAMENTO!L228),2)</f>
        <v>0</v>
      </c>
      <c r="M228" s="855">
        <f t="shared" si="54"/>
        <v>0</v>
      </c>
      <c r="N228" s="856">
        <f t="shared" si="55"/>
        <v>0</v>
      </c>
      <c r="O228" s="857">
        <f>SUM(N229:N588)</f>
        <v>12666584.600000001</v>
      </c>
      <c r="P228" s="58" t="str">
        <f>IF(OR(O228&gt;0,O228&gt;0),"X","")</f>
        <v>X</v>
      </c>
      <c r="Q228" s="317" t="str">
        <f t="shared" si="56"/>
        <v>x</v>
      </c>
      <c r="R228" s="317" t="str">
        <f t="shared" si="57"/>
        <v>x</v>
      </c>
      <c r="S228" s="317" t="str">
        <f t="shared" si="58"/>
        <v>x</v>
      </c>
      <c r="V228" s="314">
        <f>SUM(ORÇAMENTO!N228)</f>
        <v>0</v>
      </c>
      <c r="W228" s="315">
        <f t="shared" si="59"/>
        <v>0</v>
      </c>
    </row>
    <row r="229" spans="1:23" ht="15" customHeight="1" thickBot="1">
      <c r="A229" s="63" t="s">
        <v>816</v>
      </c>
      <c r="B229" s="957" t="s">
        <v>2205</v>
      </c>
      <c r="C229" s="958" t="s">
        <v>2217</v>
      </c>
      <c r="D229" s="959" t="s">
        <v>218</v>
      </c>
      <c r="E229" s="979"/>
      <c r="F229" s="1379"/>
      <c r="G229" s="1002"/>
      <c r="H229" s="962">
        <v>0.65</v>
      </c>
      <c r="I229" s="962">
        <f>IF(ISBLANK(H229),"",SUM(G229:H229))</f>
        <v>0.65</v>
      </c>
      <c r="J229" s="963">
        <f>IF(ISBLANK(H229),0,ROUND(I229*(1+$E$10),2))</f>
        <v>0.79</v>
      </c>
      <c r="K229" s="964" t="s">
        <v>12</v>
      </c>
      <c r="L229" s="966">
        <f>ROUND(SUM(ORÇAMENTO!L229),2)</f>
        <v>85100</v>
      </c>
      <c r="M229" s="966">
        <f t="shared" si="54"/>
        <v>0.79</v>
      </c>
      <c r="N229" s="967">
        <f t="shared" si="55"/>
        <v>67229</v>
      </c>
      <c r="O229" s="1372"/>
      <c r="Q229" s="317" t="str">
        <f t="shared" si="56"/>
        <v>x</v>
      </c>
      <c r="R229" s="317" t="str">
        <f t="shared" si="57"/>
        <v>x</v>
      </c>
      <c r="S229" s="317" t="str">
        <f t="shared" si="58"/>
        <v>x</v>
      </c>
      <c r="V229" s="314">
        <f>SUM(ORÇAMENTO!N229)</f>
        <v>67229</v>
      </c>
      <c r="W229" s="315">
        <f t="shared" si="59"/>
        <v>0</v>
      </c>
    </row>
    <row r="230" spans="1:23" ht="15" hidden="1" customHeight="1">
      <c r="A230" s="63">
        <v>560100</v>
      </c>
      <c r="B230" s="1322" t="s">
        <v>508</v>
      </c>
      <c r="C230" s="1323" t="s">
        <v>184</v>
      </c>
      <c r="D230" s="920" t="s">
        <v>1505</v>
      </c>
      <c r="E230" s="1005" t="s">
        <v>568</v>
      </c>
      <c r="F230" s="921">
        <v>1.1999999999999999E-3</v>
      </c>
      <c r="G230" s="923"/>
      <c r="H230" s="864">
        <v>0.49</v>
      </c>
      <c r="I230" s="864">
        <f>H230</f>
        <v>0.49</v>
      </c>
      <c r="J230" s="865">
        <f t="shared" ref="J230:J293" si="60">IF(ISBLANK(H230),0,ROUND(I230*(1+$E$10),2))</f>
        <v>0.6</v>
      </c>
      <c r="K230" s="866" t="s">
        <v>12</v>
      </c>
      <c r="L230" s="1006">
        <f>ROUND(SUM(ORÇAMENTO!L230),2)</f>
        <v>0</v>
      </c>
      <c r="M230" s="879">
        <f t="shared" si="54"/>
        <v>0</v>
      </c>
      <c r="N230" s="907">
        <f t="shared" si="55"/>
        <v>0</v>
      </c>
      <c r="O230" s="880"/>
      <c r="Q230" s="317" t="str">
        <f t="shared" si="56"/>
        <v/>
      </c>
      <c r="R230" s="317" t="str">
        <f t="shared" si="57"/>
        <v/>
      </c>
      <c r="S230" s="317" t="str">
        <f t="shared" si="58"/>
        <v/>
      </c>
      <c r="V230" s="314">
        <f>SUM(ORÇAMENTO!N230)</f>
        <v>0</v>
      </c>
      <c r="W230" s="315">
        <f t="shared" si="59"/>
        <v>0</v>
      </c>
    </row>
    <row r="231" spans="1:23" ht="15" hidden="1" customHeight="1" thickBot="1">
      <c r="A231" s="63">
        <v>589420</v>
      </c>
      <c r="B231" s="938" t="s">
        <v>690</v>
      </c>
      <c r="C231" s="970" t="s">
        <v>213</v>
      </c>
      <c r="D231" s="939" t="s">
        <v>547</v>
      </c>
      <c r="E231" s="1281">
        <f>DMT!D$24</f>
        <v>468</v>
      </c>
      <c r="F231" s="961">
        <v>1</v>
      </c>
      <c r="G231" s="1282">
        <f>(0.84*E231+41.45)*F231</f>
        <v>434.57</v>
      </c>
      <c r="H231" s="914">
        <v>3861.37</v>
      </c>
      <c r="I231" s="914">
        <f>IF(ISBLANK(H231),"",H231*(1+$E$9)/(1+$E$10))+G231</f>
        <v>4174.6205694648997</v>
      </c>
      <c r="J231" s="943">
        <f t="shared" si="60"/>
        <v>5102.22</v>
      </c>
      <c r="K231" s="944" t="s">
        <v>14</v>
      </c>
      <c r="L231" s="1283">
        <f>ROUND(SUM(ORÇAMENTO!L231),2)</f>
        <v>0</v>
      </c>
      <c r="M231" s="972">
        <f t="shared" si="54"/>
        <v>0</v>
      </c>
      <c r="N231" s="916">
        <f t="shared" si="55"/>
        <v>0</v>
      </c>
      <c r="O231" s="880"/>
      <c r="Q231" s="317" t="str">
        <f t="shared" si="56"/>
        <v/>
      </c>
      <c r="R231" s="317" t="str">
        <f t="shared" si="57"/>
        <v/>
      </c>
      <c r="S231" s="317" t="str">
        <f t="shared" si="58"/>
        <v/>
      </c>
      <c r="V231" s="314">
        <f>SUM(ORÇAMENTO!N231)</f>
        <v>0</v>
      </c>
      <c r="W231" s="315">
        <f t="shared" si="59"/>
        <v>0</v>
      </c>
    </row>
    <row r="232" spans="1:23" ht="15" customHeight="1">
      <c r="A232" s="63">
        <v>560100</v>
      </c>
      <c r="B232" s="945" t="s">
        <v>509</v>
      </c>
      <c r="C232" s="946" t="s">
        <v>184</v>
      </c>
      <c r="D232" s="947" t="s">
        <v>534</v>
      </c>
      <c r="E232" s="948" t="s">
        <v>568</v>
      </c>
      <c r="F232" s="949">
        <v>1.1000000000000001E-3</v>
      </c>
      <c r="G232" s="950"/>
      <c r="H232" s="951">
        <v>0.49</v>
      </c>
      <c r="I232" s="951">
        <f>IF(ISBLANK(H232),"",SUM(G232:H232))</f>
        <v>0.49</v>
      </c>
      <c r="J232" s="952">
        <f t="shared" si="60"/>
        <v>0.6</v>
      </c>
      <c r="K232" s="953" t="s">
        <v>12</v>
      </c>
      <c r="L232" s="954">
        <f>L135</f>
        <v>15339.5</v>
      </c>
      <c r="M232" s="955">
        <f t="shared" si="54"/>
        <v>0.6</v>
      </c>
      <c r="N232" s="956">
        <f t="shared" si="55"/>
        <v>9203.7000000000007</v>
      </c>
      <c r="O232" s="869"/>
      <c r="Q232" s="317" t="str">
        <f t="shared" si="56"/>
        <v>x</v>
      </c>
      <c r="R232" s="317" t="str">
        <f t="shared" si="57"/>
        <v>x</v>
      </c>
      <c r="S232" s="317" t="str">
        <f t="shared" si="58"/>
        <v>x</v>
      </c>
      <c r="V232" s="314">
        <f>SUM(ORÇAMENTO!N232)</f>
        <v>9203.7000000000007</v>
      </c>
      <c r="W232" s="315">
        <f t="shared" si="59"/>
        <v>0</v>
      </c>
    </row>
    <row r="233" spans="1:23" ht="15" customHeight="1" thickBot="1">
      <c r="A233" s="63">
        <v>589190</v>
      </c>
      <c r="B233" s="957" t="s">
        <v>1681</v>
      </c>
      <c r="C233" s="958" t="s">
        <v>213</v>
      </c>
      <c r="D233" s="959" t="s">
        <v>548</v>
      </c>
      <c r="E233" s="960">
        <f>DMT!$D$23</f>
        <v>468</v>
      </c>
      <c r="F233" s="1381">
        <v>1</v>
      </c>
      <c r="G233" s="1382">
        <f>(0.84*E233+41.45)*F233</f>
        <v>434.57</v>
      </c>
      <c r="H233" s="962">
        <v>4730.97</v>
      </c>
      <c r="I233" s="962">
        <f>IF(ISBLANK(H233),"",H233*(1+$E$9)/(1+$E$10))+G233</f>
        <v>5016.8988217967599</v>
      </c>
      <c r="J233" s="963">
        <f t="shared" si="60"/>
        <v>6131.65</v>
      </c>
      <c r="K233" s="964" t="s">
        <v>14</v>
      </c>
      <c r="L233" s="965">
        <f>ROUND(L232*F232,2)</f>
        <v>16.87</v>
      </c>
      <c r="M233" s="966">
        <f t="shared" si="54"/>
        <v>6131.65</v>
      </c>
      <c r="N233" s="967">
        <f t="shared" si="55"/>
        <v>103440.94</v>
      </c>
      <c r="O233" s="1372"/>
      <c r="Q233" s="317" t="str">
        <f t="shared" si="56"/>
        <v>x</v>
      </c>
      <c r="R233" s="317" t="str">
        <f t="shared" si="57"/>
        <v>x</v>
      </c>
      <c r="S233" s="317" t="str">
        <f t="shared" si="58"/>
        <v>x</v>
      </c>
      <c r="V233" s="314">
        <f>SUM(ORÇAMENTO!N233)</f>
        <v>103440.94</v>
      </c>
      <c r="W233" s="315">
        <f t="shared" si="59"/>
        <v>0</v>
      </c>
    </row>
    <row r="234" spans="1:23" ht="15" hidden="1" customHeight="1">
      <c r="A234" s="63">
        <v>560400</v>
      </c>
      <c r="B234" s="1322" t="s">
        <v>687</v>
      </c>
      <c r="C234" s="1323" t="s">
        <v>184</v>
      </c>
      <c r="D234" s="920" t="s">
        <v>535</v>
      </c>
      <c r="E234" s="1005" t="s">
        <v>568</v>
      </c>
      <c r="F234" s="921">
        <v>1.1999999999999999E-3</v>
      </c>
      <c r="G234" s="923"/>
      <c r="H234" s="864">
        <v>0.49</v>
      </c>
      <c r="I234" s="864">
        <f>IF(ISBLANK(H234),"",SUM(G234:H234))</f>
        <v>0.49</v>
      </c>
      <c r="J234" s="865">
        <f t="shared" si="60"/>
        <v>0.6</v>
      </c>
      <c r="K234" s="866" t="s">
        <v>12</v>
      </c>
      <c r="L234" s="1006">
        <f>ROUND(SUM(ORÇAMENTO!L234),2)</f>
        <v>0</v>
      </c>
      <c r="M234" s="879">
        <f t="shared" si="54"/>
        <v>0</v>
      </c>
      <c r="N234" s="907">
        <f t="shared" si="55"/>
        <v>0</v>
      </c>
      <c r="O234" s="880"/>
      <c r="Q234" s="317" t="str">
        <f t="shared" si="56"/>
        <v/>
      </c>
      <c r="R234" s="317" t="str">
        <f t="shared" si="57"/>
        <v/>
      </c>
      <c r="S234" s="317" t="str">
        <f t="shared" si="58"/>
        <v/>
      </c>
      <c r="V234" s="314">
        <f>SUM(ORÇAMENTO!N234)</f>
        <v>0</v>
      </c>
      <c r="W234" s="315">
        <f t="shared" si="59"/>
        <v>0</v>
      </c>
    </row>
    <row r="235" spans="1:23" ht="15" hidden="1" customHeight="1" thickBot="1">
      <c r="A235" s="63">
        <v>589100</v>
      </c>
      <c r="B235" s="938" t="s">
        <v>709</v>
      </c>
      <c r="C235" s="970" t="s">
        <v>213</v>
      </c>
      <c r="D235" s="939" t="s">
        <v>549</v>
      </c>
      <c r="E235" s="1281">
        <f>DMT!$D$23</f>
        <v>468</v>
      </c>
      <c r="F235" s="961">
        <v>1</v>
      </c>
      <c r="G235" s="1282">
        <f>(0.84*E235+41.45)*F235</f>
        <v>434.57</v>
      </c>
      <c r="H235" s="914">
        <v>5937.37</v>
      </c>
      <c r="I235" s="914">
        <f>IF(ISBLANK(H235),"",H235*(1+$E$9)/(1+$E$10))+G235</f>
        <v>6185.3952380952378</v>
      </c>
      <c r="J235" s="943">
        <f t="shared" si="60"/>
        <v>7559.79</v>
      </c>
      <c r="K235" s="944" t="s">
        <v>14</v>
      </c>
      <c r="L235" s="1283">
        <f>ROUND(SUM(ORÇAMENTO!L235),2)</f>
        <v>0</v>
      </c>
      <c r="M235" s="972">
        <f t="shared" si="54"/>
        <v>0</v>
      </c>
      <c r="N235" s="916">
        <f t="shared" si="55"/>
        <v>0</v>
      </c>
      <c r="O235" s="880"/>
      <c r="Q235" s="317" t="str">
        <f t="shared" si="56"/>
        <v/>
      </c>
      <c r="R235" s="317" t="str">
        <f t="shared" si="57"/>
        <v/>
      </c>
      <c r="S235" s="317" t="str">
        <f t="shared" si="58"/>
        <v/>
      </c>
      <c r="V235" s="314">
        <f>SUM(ORÇAMENTO!N235)</f>
        <v>0</v>
      </c>
      <c r="W235" s="315">
        <f t="shared" si="59"/>
        <v>0</v>
      </c>
    </row>
    <row r="236" spans="1:23" ht="15" customHeight="1">
      <c r="A236" s="63">
        <v>561100</v>
      </c>
      <c r="B236" s="945" t="s">
        <v>688</v>
      </c>
      <c r="C236" s="946" t="s">
        <v>184</v>
      </c>
      <c r="D236" s="947" t="s">
        <v>536</v>
      </c>
      <c r="E236" s="948" t="s">
        <v>568</v>
      </c>
      <c r="F236" s="949">
        <v>5.0000000000000001E-4</v>
      </c>
      <c r="G236" s="950"/>
      <c r="H236" s="951">
        <v>0.34</v>
      </c>
      <c r="I236" s="951">
        <f>IF(ISBLANK(H236),"",SUM(G236:H236))</f>
        <v>0.34</v>
      </c>
      <c r="J236" s="952">
        <f t="shared" si="60"/>
        <v>0.42</v>
      </c>
      <c r="K236" s="953" t="s">
        <v>12</v>
      </c>
      <c r="L236" s="954">
        <f>110400+22400+11000</f>
        <v>143800</v>
      </c>
      <c r="M236" s="955">
        <f t="shared" si="54"/>
        <v>0.42</v>
      </c>
      <c r="N236" s="956">
        <f t="shared" si="55"/>
        <v>60396</v>
      </c>
      <c r="O236" s="869"/>
      <c r="Q236" s="317" t="str">
        <f t="shared" si="56"/>
        <v>x</v>
      </c>
      <c r="R236" s="317" t="str">
        <f t="shared" si="57"/>
        <v>x</v>
      </c>
      <c r="S236" s="317" t="str">
        <f t="shared" si="58"/>
        <v>x</v>
      </c>
      <c r="V236" s="314">
        <f>SUM(ORÇAMENTO!N236)</f>
        <v>60396</v>
      </c>
      <c r="W236" s="315">
        <f t="shared" si="59"/>
        <v>0</v>
      </c>
    </row>
    <row r="237" spans="1:23" ht="15" customHeight="1" thickBot="1">
      <c r="A237" s="63">
        <v>589420</v>
      </c>
      <c r="B237" s="957" t="s">
        <v>691</v>
      </c>
      <c r="C237" s="958" t="s">
        <v>213</v>
      </c>
      <c r="D237" s="959" t="s">
        <v>550</v>
      </c>
      <c r="E237" s="960">
        <f>DMT!D$24</f>
        <v>468</v>
      </c>
      <c r="F237" s="968">
        <v>1</v>
      </c>
      <c r="G237" s="1382">
        <f>(0.84*E237+41.45)*F237</f>
        <v>434.57</v>
      </c>
      <c r="H237" s="962">
        <v>3861.37</v>
      </c>
      <c r="I237" s="962">
        <f>IF(ISBLANK(H237),"",H237*(1+$E$9)/(1+$E$10))+G237</f>
        <v>4174.6205694648997</v>
      </c>
      <c r="J237" s="963">
        <f t="shared" si="60"/>
        <v>5102.22</v>
      </c>
      <c r="K237" s="964" t="s">
        <v>14</v>
      </c>
      <c r="L237" s="965">
        <f>ROUND(L236*F236,2)</f>
        <v>71.900000000000006</v>
      </c>
      <c r="M237" s="966">
        <f t="shared" si="54"/>
        <v>5102.22</v>
      </c>
      <c r="N237" s="967">
        <f t="shared" si="55"/>
        <v>366849.62</v>
      </c>
      <c r="O237" s="1372"/>
      <c r="Q237" s="317" t="str">
        <f t="shared" si="56"/>
        <v>x</v>
      </c>
      <c r="R237" s="317" t="str">
        <f t="shared" si="57"/>
        <v>x</v>
      </c>
      <c r="S237" s="317" t="str">
        <f t="shared" si="58"/>
        <v>x</v>
      </c>
      <c r="V237" s="314">
        <f>SUM(ORÇAMENTO!N237)</f>
        <v>366849.62</v>
      </c>
      <c r="W237" s="315">
        <f t="shared" si="59"/>
        <v>0</v>
      </c>
    </row>
    <row r="238" spans="1:23" ht="15" hidden="1" customHeight="1">
      <c r="A238" s="63">
        <v>521450</v>
      </c>
      <c r="B238" s="1322" t="s">
        <v>1594</v>
      </c>
      <c r="C238" s="1323" t="s">
        <v>184</v>
      </c>
      <c r="D238" s="920" t="s">
        <v>219</v>
      </c>
      <c r="E238" s="1005">
        <f>DMT!$F$15</f>
        <v>43.1</v>
      </c>
      <c r="F238" s="862">
        <v>0.3</v>
      </c>
      <c r="G238" s="923">
        <f t="shared" ref="G238:G239" si="61">IF(E238&lt;=30,(1.07*E238+2.68)*F238,((1.07*30+2.68)+1.07*(E238-30))*F238)</f>
        <v>14.639100000000001</v>
      </c>
      <c r="H238" s="864">
        <v>25.31</v>
      </c>
      <c r="I238" s="864">
        <f t="shared" ref="I238:I243" si="62">IF(ISBLANK(H238),"",SUM(G238:H238))</f>
        <v>39.949100000000001</v>
      </c>
      <c r="J238" s="865">
        <f t="shared" si="60"/>
        <v>48.83</v>
      </c>
      <c r="K238" s="866" t="s">
        <v>12</v>
      </c>
      <c r="L238" s="879">
        <f>ROUND(SUM(ORÇAMENTO!L238),2)</f>
        <v>0</v>
      </c>
      <c r="M238" s="879">
        <f t="shared" si="54"/>
        <v>0</v>
      </c>
      <c r="N238" s="907">
        <f t="shared" si="55"/>
        <v>0</v>
      </c>
      <c r="O238" s="880"/>
      <c r="Q238" s="317" t="str">
        <f t="shared" si="56"/>
        <v/>
      </c>
      <c r="R238" s="317" t="str">
        <f t="shared" si="57"/>
        <v/>
      </c>
      <c r="S238" s="317" t="str">
        <f t="shared" si="58"/>
        <v/>
      </c>
      <c r="V238" s="314">
        <f>SUM(ORÇAMENTO!N238)</f>
        <v>0</v>
      </c>
      <c r="W238" s="315">
        <f t="shared" si="59"/>
        <v>0</v>
      </c>
    </row>
    <row r="239" spans="1:23" ht="15" hidden="1" customHeight="1">
      <c r="A239" s="63">
        <v>535200</v>
      </c>
      <c r="B239" s="870" t="s">
        <v>1591</v>
      </c>
      <c r="C239" s="871" t="s">
        <v>184</v>
      </c>
      <c r="D239" s="881" t="s">
        <v>220</v>
      </c>
      <c r="E239" s="882">
        <f>DMT!$F$15</f>
        <v>43.1</v>
      </c>
      <c r="F239" s="874">
        <v>7.6999999999999999E-2</v>
      </c>
      <c r="G239" s="923">
        <f t="shared" si="61"/>
        <v>3.7573690000000002</v>
      </c>
      <c r="H239" s="876">
        <v>11.65</v>
      </c>
      <c r="I239" s="876">
        <f t="shared" si="62"/>
        <v>15.407369000000001</v>
      </c>
      <c r="J239" s="877">
        <f t="shared" si="60"/>
        <v>18.829999999999998</v>
      </c>
      <c r="K239" s="878" t="s">
        <v>13</v>
      </c>
      <c r="L239" s="879">
        <f>ROUND(SUM(ORÇAMENTO!L239),2)</f>
        <v>0</v>
      </c>
      <c r="M239" s="879">
        <f t="shared" si="54"/>
        <v>0</v>
      </c>
      <c r="N239" s="868">
        <f t="shared" si="55"/>
        <v>0</v>
      </c>
      <c r="O239" s="880"/>
      <c r="Q239" s="317" t="str">
        <f t="shared" si="56"/>
        <v/>
      </c>
      <c r="R239" s="317" t="str">
        <f t="shared" si="57"/>
        <v/>
      </c>
      <c r="S239" s="317" t="str">
        <f t="shared" si="58"/>
        <v/>
      </c>
      <c r="V239" s="314">
        <f>SUM(ORÇAMENTO!N239)</f>
        <v>0</v>
      </c>
      <c r="W239" s="315">
        <f t="shared" si="59"/>
        <v>0</v>
      </c>
    </row>
    <row r="240" spans="1:23" ht="15" hidden="1" customHeight="1">
      <c r="A240" s="63">
        <v>521450</v>
      </c>
      <c r="B240" s="870" t="s">
        <v>1595</v>
      </c>
      <c r="C240" s="871" t="s">
        <v>184</v>
      </c>
      <c r="D240" s="881" t="s">
        <v>454</v>
      </c>
      <c r="E240" s="882"/>
      <c r="F240" s="874"/>
      <c r="G240" s="887"/>
      <c r="H240" s="876">
        <v>18.079999999999998</v>
      </c>
      <c r="I240" s="876">
        <f t="shared" si="62"/>
        <v>18.079999999999998</v>
      </c>
      <c r="J240" s="877">
        <f t="shared" si="60"/>
        <v>22.1</v>
      </c>
      <c r="K240" s="878" t="s">
        <v>12</v>
      </c>
      <c r="L240" s="879">
        <f>ROUND(SUM(ORÇAMENTO!L240),2)</f>
        <v>0</v>
      </c>
      <c r="M240" s="879">
        <f t="shared" si="54"/>
        <v>0</v>
      </c>
      <c r="N240" s="868">
        <f t="shared" si="55"/>
        <v>0</v>
      </c>
      <c r="O240" s="880"/>
      <c r="Q240" s="317" t="str">
        <f t="shared" si="56"/>
        <v/>
      </c>
      <c r="R240" s="317" t="str">
        <f t="shared" si="57"/>
        <v/>
      </c>
      <c r="S240" s="317" t="str">
        <f t="shared" si="58"/>
        <v/>
      </c>
      <c r="V240" s="314">
        <f>SUM(ORÇAMENTO!N240)</f>
        <v>0</v>
      </c>
      <c r="W240" s="315">
        <f t="shared" si="59"/>
        <v>0</v>
      </c>
    </row>
    <row r="241" spans="1:23" ht="15" hidden="1" customHeight="1">
      <c r="A241" s="63">
        <v>521450</v>
      </c>
      <c r="B241" s="870" t="s">
        <v>1596</v>
      </c>
      <c r="C241" s="871" t="s">
        <v>184</v>
      </c>
      <c r="D241" s="881" t="s">
        <v>221</v>
      </c>
      <c r="E241" s="882"/>
      <c r="F241" s="874"/>
      <c r="G241" s="887"/>
      <c r="H241" s="876">
        <v>25.31</v>
      </c>
      <c r="I241" s="876">
        <f t="shared" si="62"/>
        <v>25.31</v>
      </c>
      <c r="J241" s="877">
        <f t="shared" si="60"/>
        <v>30.93</v>
      </c>
      <c r="K241" s="878" t="s">
        <v>12</v>
      </c>
      <c r="L241" s="879">
        <f>ROUND(SUM(ORÇAMENTO!L241),2)</f>
        <v>0</v>
      </c>
      <c r="M241" s="879">
        <f t="shared" si="54"/>
        <v>0</v>
      </c>
      <c r="N241" s="868">
        <f t="shared" si="55"/>
        <v>0</v>
      </c>
      <c r="O241" s="880"/>
      <c r="Q241" s="317" t="str">
        <f t="shared" si="56"/>
        <v/>
      </c>
      <c r="R241" s="317" t="str">
        <f t="shared" si="57"/>
        <v/>
      </c>
      <c r="S241" s="317" t="str">
        <f t="shared" si="58"/>
        <v/>
      </c>
      <c r="V241" s="314">
        <f>SUM(ORÇAMENTO!N241)</f>
        <v>0</v>
      </c>
      <c r="W241" s="315">
        <f t="shared" si="59"/>
        <v>0</v>
      </c>
    </row>
    <row r="242" spans="1:23" ht="15" hidden="1" customHeight="1">
      <c r="A242" s="63">
        <v>535000</v>
      </c>
      <c r="B242" s="870" t="s">
        <v>1602</v>
      </c>
      <c r="C242" s="871" t="s">
        <v>184</v>
      </c>
      <c r="D242" s="881" t="s">
        <v>222</v>
      </c>
      <c r="E242" s="882">
        <f>DMT!$F$16</f>
        <v>43.1</v>
      </c>
      <c r="F242" s="883">
        <v>0.27200000000000002</v>
      </c>
      <c r="G242" s="923">
        <f t="shared" ref="G242:G259" si="63">IF(E242&lt;=30,(1.07*E242+2.68)*F242,((1.07*30+2.68)+1.07*(E242-30))*F242)</f>
        <v>13.272784000000001</v>
      </c>
      <c r="H242" s="876">
        <v>109.55</v>
      </c>
      <c r="I242" s="876">
        <f t="shared" si="62"/>
        <v>122.822784</v>
      </c>
      <c r="J242" s="877">
        <f t="shared" si="60"/>
        <v>150.11000000000001</v>
      </c>
      <c r="K242" s="878" t="s">
        <v>12</v>
      </c>
      <c r="L242" s="879">
        <f>ROUND(SUM(ORÇAMENTO!L242),2)</f>
        <v>0</v>
      </c>
      <c r="M242" s="879">
        <f t="shared" si="54"/>
        <v>0</v>
      </c>
      <c r="N242" s="868">
        <f t="shared" si="55"/>
        <v>0</v>
      </c>
      <c r="O242" s="880"/>
      <c r="Q242" s="317" t="str">
        <f t="shared" si="56"/>
        <v/>
      </c>
      <c r="R242" s="317" t="str">
        <f t="shared" si="57"/>
        <v/>
      </c>
      <c r="S242" s="317" t="str">
        <f t="shared" si="58"/>
        <v/>
      </c>
      <c r="V242" s="314">
        <f>SUM(ORÇAMENTO!N242)</f>
        <v>0</v>
      </c>
      <c r="W242" s="315">
        <f t="shared" si="59"/>
        <v>0</v>
      </c>
    </row>
    <row r="243" spans="1:23" ht="15" hidden="1" customHeight="1">
      <c r="A243" s="63">
        <v>863000</v>
      </c>
      <c r="B243" s="870" t="s">
        <v>1604</v>
      </c>
      <c r="C243" s="871" t="s">
        <v>184</v>
      </c>
      <c r="D243" s="881" t="s">
        <v>223</v>
      </c>
      <c r="E243" s="882">
        <f>DMT!$F$34</f>
        <v>10</v>
      </c>
      <c r="F243" s="883">
        <f>2*0.04</f>
        <v>0.08</v>
      </c>
      <c r="G243" s="923">
        <f t="shared" si="63"/>
        <v>1.0704</v>
      </c>
      <c r="H243" s="876">
        <v>93.88</v>
      </c>
      <c r="I243" s="876">
        <f t="shared" si="62"/>
        <v>94.950400000000002</v>
      </c>
      <c r="J243" s="877">
        <f t="shared" si="60"/>
        <v>116.05</v>
      </c>
      <c r="K243" s="878" t="s">
        <v>12</v>
      </c>
      <c r="L243" s="879">
        <f>ROUND(SUM(ORÇAMENTO!L243),2)</f>
        <v>0</v>
      </c>
      <c r="M243" s="879">
        <f t="shared" si="54"/>
        <v>0</v>
      </c>
      <c r="N243" s="868">
        <f t="shared" si="55"/>
        <v>0</v>
      </c>
      <c r="O243" s="880"/>
      <c r="Q243" s="317" t="str">
        <f t="shared" si="56"/>
        <v/>
      </c>
      <c r="R243" s="317" t="str">
        <f t="shared" si="57"/>
        <v/>
      </c>
      <c r="S243" s="317" t="str">
        <f t="shared" si="58"/>
        <v/>
      </c>
      <c r="V243" s="314">
        <f>SUM(ORÇAMENTO!N243)</f>
        <v>0</v>
      </c>
      <c r="W243" s="315">
        <f t="shared" si="59"/>
        <v>0</v>
      </c>
    </row>
    <row r="244" spans="1:23" ht="15" hidden="1" customHeight="1">
      <c r="A244" s="63">
        <v>863000</v>
      </c>
      <c r="B244" s="870" t="s">
        <v>1605</v>
      </c>
      <c r="C244" s="871" t="s">
        <v>184</v>
      </c>
      <c r="D244" s="881" t="s">
        <v>224</v>
      </c>
      <c r="E244" s="882">
        <f>DMT!$F$34</f>
        <v>10</v>
      </c>
      <c r="F244" s="883">
        <f>2*0.05</f>
        <v>0.1</v>
      </c>
      <c r="G244" s="923">
        <f t="shared" si="63"/>
        <v>1.3380000000000001</v>
      </c>
      <c r="H244" s="876">
        <v>105.61</v>
      </c>
      <c r="I244" s="876">
        <f t="shared" ref="I244:I254" si="64">IF(ISBLANK(H244),"",SUM(G244:H244))</f>
        <v>106.94799999999999</v>
      </c>
      <c r="J244" s="877">
        <f t="shared" si="60"/>
        <v>130.71</v>
      </c>
      <c r="K244" s="878" t="s">
        <v>12</v>
      </c>
      <c r="L244" s="879">
        <f>ROUND(SUM(ORÇAMENTO!L244),2)</f>
        <v>0</v>
      </c>
      <c r="M244" s="879">
        <f t="shared" si="54"/>
        <v>0</v>
      </c>
      <c r="N244" s="868">
        <f t="shared" si="55"/>
        <v>0</v>
      </c>
      <c r="O244" s="880"/>
      <c r="Q244" s="317" t="str">
        <f t="shared" si="56"/>
        <v/>
      </c>
      <c r="R244" s="317" t="str">
        <f t="shared" si="57"/>
        <v/>
      </c>
      <c r="S244" s="317" t="str">
        <f t="shared" si="58"/>
        <v/>
      </c>
      <c r="V244" s="314">
        <f>SUM(ORÇAMENTO!N244)</f>
        <v>0</v>
      </c>
      <c r="W244" s="315">
        <f t="shared" si="59"/>
        <v>0</v>
      </c>
    </row>
    <row r="245" spans="1:23" ht="15" hidden="1" customHeight="1">
      <c r="A245" s="63">
        <v>534906</v>
      </c>
      <c r="B245" s="870" t="s">
        <v>1608</v>
      </c>
      <c r="C245" s="871" t="s">
        <v>184</v>
      </c>
      <c r="D245" s="881" t="s">
        <v>225</v>
      </c>
      <c r="E245" s="882">
        <f>DMT!$F$34</f>
        <v>10</v>
      </c>
      <c r="F245" s="883">
        <f>2*0.06</f>
        <v>0.12</v>
      </c>
      <c r="G245" s="923">
        <f t="shared" si="63"/>
        <v>1.6056000000000001</v>
      </c>
      <c r="H245" s="876">
        <v>117.35</v>
      </c>
      <c r="I245" s="876">
        <f t="shared" si="64"/>
        <v>118.95559999999999</v>
      </c>
      <c r="J245" s="877">
        <f t="shared" si="60"/>
        <v>145.38999999999999</v>
      </c>
      <c r="K245" s="878" t="s">
        <v>12</v>
      </c>
      <c r="L245" s="879">
        <f>ROUND(SUM(ORÇAMENTO!L245),2)</f>
        <v>0</v>
      </c>
      <c r="M245" s="879">
        <f t="shared" si="54"/>
        <v>0</v>
      </c>
      <c r="N245" s="868">
        <f t="shared" si="55"/>
        <v>0</v>
      </c>
      <c r="O245" s="880"/>
      <c r="Q245" s="317" t="str">
        <f t="shared" si="56"/>
        <v/>
      </c>
      <c r="R245" s="317" t="str">
        <f t="shared" si="57"/>
        <v/>
      </c>
      <c r="S245" s="317" t="str">
        <f t="shared" si="58"/>
        <v/>
      </c>
      <c r="V245" s="314">
        <f>SUM(ORÇAMENTO!N245)</f>
        <v>0</v>
      </c>
      <c r="W245" s="315">
        <f t="shared" si="59"/>
        <v>0</v>
      </c>
    </row>
    <row r="246" spans="1:23" ht="15" hidden="1" customHeight="1">
      <c r="A246" s="63">
        <v>534906</v>
      </c>
      <c r="B246" s="870" t="s">
        <v>1609</v>
      </c>
      <c r="C246" s="871" t="s">
        <v>184</v>
      </c>
      <c r="D246" s="881" t="s">
        <v>226</v>
      </c>
      <c r="E246" s="882">
        <f>DMT!$F$34</f>
        <v>10</v>
      </c>
      <c r="F246" s="883">
        <f>2*0.07</f>
        <v>0.14000000000000001</v>
      </c>
      <c r="G246" s="923">
        <f t="shared" si="63"/>
        <v>1.8732000000000002</v>
      </c>
      <c r="H246" s="876">
        <v>126.06</v>
      </c>
      <c r="I246" s="876">
        <f t="shared" si="64"/>
        <v>127.9332</v>
      </c>
      <c r="J246" s="877">
        <f t="shared" si="60"/>
        <v>156.36000000000001</v>
      </c>
      <c r="K246" s="878" t="s">
        <v>12</v>
      </c>
      <c r="L246" s="879">
        <f>ROUND(SUM(ORÇAMENTO!L246),2)</f>
        <v>0</v>
      </c>
      <c r="M246" s="879">
        <f t="shared" si="54"/>
        <v>0</v>
      </c>
      <c r="N246" s="868">
        <f t="shared" si="55"/>
        <v>0</v>
      </c>
      <c r="O246" s="880"/>
      <c r="Q246" s="317" t="str">
        <f t="shared" si="56"/>
        <v/>
      </c>
      <c r="R246" s="317" t="str">
        <f t="shared" si="57"/>
        <v/>
      </c>
      <c r="S246" s="317" t="str">
        <f t="shared" si="58"/>
        <v/>
      </c>
      <c r="V246" s="314">
        <f>SUM(ORÇAMENTO!N246)</f>
        <v>0</v>
      </c>
      <c r="W246" s="315">
        <f t="shared" si="59"/>
        <v>0</v>
      </c>
    </row>
    <row r="247" spans="1:23" ht="15" hidden="1" customHeight="1">
      <c r="A247" s="63">
        <v>534906</v>
      </c>
      <c r="B247" s="870" t="s">
        <v>151</v>
      </c>
      <c r="C247" s="871" t="s">
        <v>184</v>
      </c>
      <c r="D247" s="881" t="s">
        <v>227</v>
      </c>
      <c r="E247" s="882">
        <f>DMT!$F$34</f>
        <v>10</v>
      </c>
      <c r="F247" s="883">
        <f>2*0.08</f>
        <v>0.16</v>
      </c>
      <c r="G247" s="923">
        <f t="shared" si="63"/>
        <v>2.1408</v>
      </c>
      <c r="H247" s="876">
        <v>134.77000000000001</v>
      </c>
      <c r="I247" s="876">
        <f t="shared" si="64"/>
        <v>136.91080000000002</v>
      </c>
      <c r="J247" s="877">
        <f t="shared" si="60"/>
        <v>167.33</v>
      </c>
      <c r="K247" s="878" t="s">
        <v>12</v>
      </c>
      <c r="L247" s="879">
        <f>ROUND(SUM(ORÇAMENTO!L247),2)</f>
        <v>0</v>
      </c>
      <c r="M247" s="879">
        <f t="shared" si="54"/>
        <v>0</v>
      </c>
      <c r="N247" s="868">
        <f t="shared" si="55"/>
        <v>0</v>
      </c>
      <c r="O247" s="880"/>
      <c r="Q247" s="317" t="str">
        <f t="shared" si="56"/>
        <v/>
      </c>
      <c r="R247" s="317" t="str">
        <f t="shared" si="57"/>
        <v/>
      </c>
      <c r="S247" s="317" t="str">
        <f t="shared" si="58"/>
        <v/>
      </c>
      <c r="V247" s="314">
        <f>SUM(ORÇAMENTO!N247)</f>
        <v>0</v>
      </c>
      <c r="W247" s="315">
        <f t="shared" si="59"/>
        <v>0</v>
      </c>
    </row>
    <row r="248" spans="1:23" ht="15" hidden="1" customHeight="1">
      <c r="A248" s="63">
        <v>534906</v>
      </c>
      <c r="B248" s="870" t="s">
        <v>207</v>
      </c>
      <c r="C248" s="871" t="s">
        <v>184</v>
      </c>
      <c r="D248" s="881" t="s">
        <v>228</v>
      </c>
      <c r="E248" s="882">
        <f>DMT!$F$34</f>
        <v>10</v>
      </c>
      <c r="F248" s="883">
        <f>2*0.1</f>
        <v>0.2</v>
      </c>
      <c r="G248" s="923">
        <f t="shared" si="63"/>
        <v>2.6760000000000002</v>
      </c>
      <c r="H248" s="876">
        <v>152.6</v>
      </c>
      <c r="I248" s="876">
        <f t="shared" si="64"/>
        <v>155.27599999999998</v>
      </c>
      <c r="J248" s="877">
        <f t="shared" si="60"/>
        <v>189.78</v>
      </c>
      <c r="K248" s="878" t="s">
        <v>12</v>
      </c>
      <c r="L248" s="879">
        <f>ROUND(SUM(ORÇAMENTO!L248),2)</f>
        <v>0</v>
      </c>
      <c r="M248" s="879">
        <f t="shared" si="54"/>
        <v>0</v>
      </c>
      <c r="N248" s="868">
        <f t="shared" si="55"/>
        <v>0</v>
      </c>
      <c r="O248" s="880"/>
      <c r="Q248" s="317" t="str">
        <f t="shared" si="56"/>
        <v/>
      </c>
      <c r="R248" s="317" t="str">
        <f t="shared" si="57"/>
        <v/>
      </c>
      <c r="S248" s="317" t="str">
        <f t="shared" si="58"/>
        <v/>
      </c>
      <c r="V248" s="314">
        <f>SUM(ORÇAMENTO!N248)</f>
        <v>0</v>
      </c>
      <c r="W248" s="315">
        <f t="shared" si="59"/>
        <v>0</v>
      </c>
    </row>
    <row r="249" spans="1:23" ht="15" hidden="1" customHeight="1">
      <c r="A249" s="63">
        <v>534906</v>
      </c>
      <c r="B249" s="870" t="s">
        <v>208</v>
      </c>
      <c r="C249" s="871" t="s">
        <v>184</v>
      </c>
      <c r="D249" s="881" t="s">
        <v>787</v>
      </c>
      <c r="E249" s="882">
        <f>DMT!$F$37</f>
        <v>37</v>
      </c>
      <c r="F249" s="883">
        <v>0.14000000000000001</v>
      </c>
      <c r="G249" s="923">
        <f t="shared" si="63"/>
        <v>5.9178000000000006</v>
      </c>
      <c r="H249" s="876">
        <v>76.400000000000006</v>
      </c>
      <c r="I249" s="876">
        <f t="shared" si="64"/>
        <v>82.317800000000005</v>
      </c>
      <c r="J249" s="877">
        <f t="shared" si="60"/>
        <v>100.61</v>
      </c>
      <c r="K249" s="878" t="s">
        <v>12</v>
      </c>
      <c r="L249" s="879">
        <f>ROUND(SUM(ORÇAMENTO!L249),2)</f>
        <v>0</v>
      </c>
      <c r="M249" s="879">
        <f t="shared" si="54"/>
        <v>0</v>
      </c>
      <c r="N249" s="868">
        <f t="shared" si="55"/>
        <v>0</v>
      </c>
      <c r="O249" s="880"/>
      <c r="Q249" s="317" t="str">
        <f t="shared" si="56"/>
        <v/>
      </c>
      <c r="R249" s="317" t="str">
        <f t="shared" si="57"/>
        <v/>
      </c>
      <c r="S249" s="317" t="str">
        <f t="shared" si="58"/>
        <v/>
      </c>
      <c r="V249" s="314">
        <f>SUM(ORÇAMENTO!N249)</f>
        <v>0</v>
      </c>
      <c r="W249" s="315">
        <f t="shared" si="59"/>
        <v>0</v>
      </c>
    </row>
    <row r="250" spans="1:23" ht="15" hidden="1" customHeight="1">
      <c r="A250" s="63">
        <v>534906</v>
      </c>
      <c r="B250" s="870" t="s">
        <v>209</v>
      </c>
      <c r="C250" s="871" t="s">
        <v>184</v>
      </c>
      <c r="D250" s="881" t="s">
        <v>788</v>
      </c>
      <c r="E250" s="882">
        <f>DMT!$F$37</f>
        <v>37</v>
      </c>
      <c r="F250" s="883">
        <v>0.14000000000000001</v>
      </c>
      <c r="G250" s="923">
        <f t="shared" si="63"/>
        <v>5.9178000000000006</v>
      </c>
      <c r="H250" s="876">
        <v>84.04</v>
      </c>
      <c r="I250" s="876">
        <f t="shared" si="64"/>
        <v>89.957800000000006</v>
      </c>
      <c r="J250" s="877">
        <f t="shared" si="60"/>
        <v>109.95</v>
      </c>
      <c r="K250" s="878" t="s">
        <v>12</v>
      </c>
      <c r="L250" s="879">
        <f>ROUND(SUM(ORÇAMENTO!L250),2)</f>
        <v>0</v>
      </c>
      <c r="M250" s="879">
        <f t="shared" si="54"/>
        <v>0</v>
      </c>
      <c r="N250" s="868">
        <f t="shared" si="55"/>
        <v>0</v>
      </c>
      <c r="O250" s="880"/>
      <c r="Q250" s="317" t="str">
        <f t="shared" si="56"/>
        <v/>
      </c>
      <c r="R250" s="317" t="str">
        <f t="shared" si="57"/>
        <v/>
      </c>
      <c r="S250" s="317" t="str">
        <f t="shared" si="58"/>
        <v/>
      </c>
      <c r="V250" s="314">
        <f>SUM(ORÇAMENTO!N250)</f>
        <v>0</v>
      </c>
      <c r="W250" s="315">
        <f t="shared" si="59"/>
        <v>0</v>
      </c>
    </row>
    <row r="251" spans="1:23" ht="15" hidden="1" customHeight="1">
      <c r="A251" s="63">
        <v>534908</v>
      </c>
      <c r="B251" s="870" t="s">
        <v>148</v>
      </c>
      <c r="C251" s="871" t="s">
        <v>184</v>
      </c>
      <c r="D251" s="881" t="s">
        <v>789</v>
      </c>
      <c r="E251" s="882">
        <f>DMT!$F$37</f>
        <v>37</v>
      </c>
      <c r="F251" s="883">
        <v>0.18</v>
      </c>
      <c r="G251" s="923">
        <f t="shared" si="63"/>
        <v>7.6086</v>
      </c>
      <c r="H251" s="876">
        <v>89.6</v>
      </c>
      <c r="I251" s="876">
        <f t="shared" si="64"/>
        <v>97.20859999999999</v>
      </c>
      <c r="J251" s="877">
        <f t="shared" si="60"/>
        <v>118.81</v>
      </c>
      <c r="K251" s="878" t="s">
        <v>12</v>
      </c>
      <c r="L251" s="879">
        <f>ROUND(SUM(ORÇAMENTO!L251),2)</f>
        <v>0</v>
      </c>
      <c r="M251" s="879">
        <f t="shared" si="54"/>
        <v>0</v>
      </c>
      <c r="N251" s="868">
        <f t="shared" si="55"/>
        <v>0</v>
      </c>
      <c r="O251" s="880"/>
      <c r="Q251" s="317" t="str">
        <f t="shared" si="56"/>
        <v/>
      </c>
      <c r="R251" s="317" t="str">
        <f t="shared" si="57"/>
        <v/>
      </c>
      <c r="S251" s="317" t="str">
        <f t="shared" si="58"/>
        <v/>
      </c>
      <c r="V251" s="314">
        <f>SUM(ORÇAMENTO!N251)</f>
        <v>0</v>
      </c>
      <c r="W251" s="315">
        <f t="shared" si="59"/>
        <v>0</v>
      </c>
    </row>
    <row r="252" spans="1:23" ht="15" hidden="1" customHeight="1">
      <c r="A252" s="63">
        <v>534908</v>
      </c>
      <c r="B252" s="870" t="s">
        <v>149</v>
      </c>
      <c r="C252" s="871" t="s">
        <v>184</v>
      </c>
      <c r="D252" s="881" t="s">
        <v>790</v>
      </c>
      <c r="E252" s="882">
        <f>DMT!$F$37</f>
        <v>37</v>
      </c>
      <c r="F252" s="883">
        <v>0.18</v>
      </c>
      <c r="G252" s="923">
        <f t="shared" si="63"/>
        <v>7.6086</v>
      </c>
      <c r="H252" s="876">
        <v>98.56</v>
      </c>
      <c r="I252" s="876">
        <f t="shared" si="64"/>
        <v>106.1686</v>
      </c>
      <c r="J252" s="877">
        <f t="shared" si="60"/>
        <v>129.76</v>
      </c>
      <c r="K252" s="878" t="s">
        <v>12</v>
      </c>
      <c r="L252" s="879">
        <f>ROUND(SUM(ORÇAMENTO!L252),2)</f>
        <v>0</v>
      </c>
      <c r="M252" s="879">
        <f t="shared" si="54"/>
        <v>0</v>
      </c>
      <c r="N252" s="868">
        <f t="shared" si="55"/>
        <v>0</v>
      </c>
      <c r="O252" s="880"/>
      <c r="Q252" s="317" t="str">
        <f t="shared" si="56"/>
        <v/>
      </c>
      <c r="R252" s="317" t="str">
        <f t="shared" si="57"/>
        <v/>
      </c>
      <c r="S252" s="317" t="str">
        <f t="shared" si="58"/>
        <v/>
      </c>
      <c r="V252" s="314">
        <f>SUM(ORÇAMENTO!N252)</f>
        <v>0</v>
      </c>
      <c r="W252" s="315">
        <f t="shared" si="59"/>
        <v>0</v>
      </c>
    </row>
    <row r="253" spans="1:23" ht="15" hidden="1" customHeight="1">
      <c r="A253" s="63">
        <v>534908</v>
      </c>
      <c r="B253" s="870" t="s">
        <v>150</v>
      </c>
      <c r="C253" s="871" t="s">
        <v>184</v>
      </c>
      <c r="D253" s="881" t="s">
        <v>791</v>
      </c>
      <c r="E253" s="882">
        <f>DMT!$F$37</f>
        <v>37</v>
      </c>
      <c r="F253" s="883">
        <v>0.22</v>
      </c>
      <c r="G253" s="923">
        <f t="shared" si="63"/>
        <v>9.2994000000000003</v>
      </c>
      <c r="H253" s="876">
        <v>101.45</v>
      </c>
      <c r="I253" s="876">
        <f t="shared" si="64"/>
        <v>110.74940000000001</v>
      </c>
      <c r="J253" s="877">
        <f t="shared" si="60"/>
        <v>135.36000000000001</v>
      </c>
      <c r="K253" s="878" t="s">
        <v>12</v>
      </c>
      <c r="L253" s="879">
        <f>ROUND(SUM(ORÇAMENTO!L253),2)</f>
        <v>0</v>
      </c>
      <c r="M253" s="879">
        <f t="shared" si="54"/>
        <v>0</v>
      </c>
      <c r="N253" s="868">
        <f t="shared" si="55"/>
        <v>0</v>
      </c>
      <c r="O253" s="880"/>
      <c r="Q253" s="317" t="str">
        <f t="shared" si="56"/>
        <v/>
      </c>
      <c r="R253" s="317" t="str">
        <f t="shared" si="57"/>
        <v/>
      </c>
      <c r="S253" s="317" t="str">
        <f t="shared" si="58"/>
        <v/>
      </c>
      <c r="V253" s="314">
        <f>SUM(ORÇAMENTO!N253)</f>
        <v>0</v>
      </c>
      <c r="W253" s="315">
        <f t="shared" si="59"/>
        <v>0</v>
      </c>
    </row>
    <row r="254" spans="1:23" ht="15" hidden="1" customHeight="1">
      <c r="A254" s="63">
        <v>534908</v>
      </c>
      <c r="B254" s="870" t="s">
        <v>210</v>
      </c>
      <c r="C254" s="871" t="s">
        <v>184</v>
      </c>
      <c r="D254" s="881" t="s">
        <v>792</v>
      </c>
      <c r="E254" s="882">
        <f>DMT!$F$37</f>
        <v>37</v>
      </c>
      <c r="F254" s="883">
        <v>0.22</v>
      </c>
      <c r="G254" s="923">
        <f t="shared" si="63"/>
        <v>9.2994000000000003</v>
      </c>
      <c r="H254" s="876">
        <v>111.6</v>
      </c>
      <c r="I254" s="876">
        <f t="shared" si="64"/>
        <v>120.8994</v>
      </c>
      <c r="J254" s="877">
        <f t="shared" si="60"/>
        <v>147.76</v>
      </c>
      <c r="K254" s="878" t="s">
        <v>12</v>
      </c>
      <c r="L254" s="879">
        <f>ROUND(SUM(ORÇAMENTO!L254),2)</f>
        <v>0</v>
      </c>
      <c r="M254" s="879">
        <f t="shared" si="54"/>
        <v>0</v>
      </c>
      <c r="N254" s="868">
        <f t="shared" si="55"/>
        <v>0</v>
      </c>
      <c r="O254" s="880"/>
      <c r="Q254" s="317" t="str">
        <f t="shared" si="56"/>
        <v/>
      </c>
      <c r="R254" s="317" t="str">
        <f t="shared" si="57"/>
        <v/>
      </c>
      <c r="S254" s="317" t="str">
        <f t="shared" si="58"/>
        <v/>
      </c>
      <c r="V254" s="314">
        <f>SUM(ORÇAMENTO!N254)</f>
        <v>0</v>
      </c>
      <c r="W254" s="315">
        <f t="shared" si="59"/>
        <v>0</v>
      </c>
    </row>
    <row r="255" spans="1:23" ht="15" hidden="1" customHeight="1" thickBot="1">
      <c r="A255" s="63">
        <v>101090</v>
      </c>
      <c r="B255" s="969" t="s">
        <v>1618</v>
      </c>
      <c r="C255" s="970" t="s">
        <v>590</v>
      </c>
      <c r="D255" s="939" t="s">
        <v>1502</v>
      </c>
      <c r="E255" s="940">
        <f>DMT!$F$17</f>
        <v>40</v>
      </c>
      <c r="F255" s="971">
        <v>0.3</v>
      </c>
      <c r="G255" s="942">
        <f t="shared" si="63"/>
        <v>13.644</v>
      </c>
      <c r="H255" s="914">
        <v>291.81</v>
      </c>
      <c r="I255" s="914">
        <f>IF(ISBLANK(H255),"",SUM(G255:H255))</f>
        <v>305.45400000000001</v>
      </c>
      <c r="J255" s="943">
        <f t="shared" si="60"/>
        <v>373.33</v>
      </c>
      <c r="K255" s="944" t="s">
        <v>12</v>
      </c>
      <c r="L255" s="972">
        <f>ROUND(SUM(ORÇAMENTO!L255),2)</f>
        <v>0</v>
      </c>
      <c r="M255" s="972">
        <f t="shared" si="54"/>
        <v>0</v>
      </c>
      <c r="N255" s="916">
        <f t="shared" si="55"/>
        <v>0</v>
      </c>
      <c r="O255" s="880"/>
      <c r="Q255" s="317" t="str">
        <f t="shared" si="56"/>
        <v/>
      </c>
      <c r="R255" s="317" t="str">
        <f t="shared" si="57"/>
        <v/>
      </c>
      <c r="S255" s="317" t="str">
        <f t="shared" si="58"/>
        <v/>
      </c>
      <c r="V255" s="314">
        <f>SUM(ORÇAMENTO!N255)</f>
        <v>0</v>
      </c>
      <c r="W255" s="315">
        <f t="shared" si="59"/>
        <v>0</v>
      </c>
    </row>
    <row r="256" spans="1:23" ht="15" hidden="1" customHeight="1">
      <c r="A256" s="63">
        <v>562100</v>
      </c>
      <c r="B256" s="973" t="s">
        <v>1620</v>
      </c>
      <c r="C256" s="974" t="s">
        <v>184</v>
      </c>
      <c r="D256" s="947" t="s">
        <v>538</v>
      </c>
      <c r="E256" s="948" t="s">
        <v>539</v>
      </c>
      <c r="F256" s="949">
        <v>1.5E-3</v>
      </c>
      <c r="G256" s="950">
        <f>SUM(G257:G259)</f>
        <v>0.82488760000000005</v>
      </c>
      <c r="H256" s="951">
        <v>3.09</v>
      </c>
      <c r="I256" s="951">
        <f>IF(ISBLANK(H256),"",SUM(G256:H256))</f>
        <v>3.9148876000000001</v>
      </c>
      <c r="J256" s="952">
        <f t="shared" si="60"/>
        <v>4.78</v>
      </c>
      <c r="K256" s="953" t="s">
        <v>12</v>
      </c>
      <c r="L256" s="954">
        <f>ROUND(SUM(ORÇAMENTO!L256),2)</f>
        <v>0</v>
      </c>
      <c r="M256" s="955">
        <f t="shared" si="54"/>
        <v>0</v>
      </c>
      <c r="N256" s="956">
        <f t="shared" si="55"/>
        <v>0</v>
      </c>
      <c r="O256" s="880"/>
      <c r="Q256" s="317" t="str">
        <f t="shared" si="56"/>
        <v/>
      </c>
      <c r="R256" s="317" t="str">
        <f t="shared" si="57"/>
        <v/>
      </c>
      <c r="S256" s="317" t="str">
        <f t="shared" si="58"/>
        <v/>
      </c>
      <c r="V256" s="314">
        <f>SUM(ORÇAMENTO!N256)</f>
        <v>0</v>
      </c>
      <c r="W256" s="315">
        <f t="shared" si="59"/>
        <v>0</v>
      </c>
    </row>
    <row r="257" spans="1:23" ht="15" hidden="1" customHeight="1">
      <c r="A257" s="63" t="s">
        <v>147</v>
      </c>
      <c r="B257" s="870" t="s">
        <v>147</v>
      </c>
      <c r="C257" s="871"/>
      <c r="D257" s="975" t="s">
        <v>229</v>
      </c>
      <c r="E257" s="882">
        <f>DMT!$F$42</f>
        <v>290</v>
      </c>
      <c r="F257" s="976" t="s">
        <v>69</v>
      </c>
      <c r="G257" s="923">
        <f t="shared" si="63"/>
        <v>0.78245000000000009</v>
      </c>
      <c r="H257" s="876">
        <v>0</v>
      </c>
      <c r="I257" s="876"/>
      <c r="J257" s="877">
        <v>0</v>
      </c>
      <c r="K257" s="878" t="s">
        <v>506</v>
      </c>
      <c r="L257" s="977">
        <f>ROUND(SUM(ORÇAMENTO!L257),2)</f>
        <v>0</v>
      </c>
      <c r="M257" s="934">
        <f t="shared" si="54"/>
        <v>0</v>
      </c>
      <c r="N257" s="868">
        <f t="shared" si="55"/>
        <v>0</v>
      </c>
      <c r="O257" s="880"/>
      <c r="P257" s="58" t="str">
        <f>IF(N256&gt;0,"xx",IF(N256&gt;0,"xy",""))</f>
        <v/>
      </c>
      <c r="Q257" s="317" t="str">
        <f t="shared" si="56"/>
        <v/>
      </c>
      <c r="R257" s="317" t="str">
        <f t="shared" si="57"/>
        <v/>
      </c>
      <c r="S257" s="317" t="str">
        <f t="shared" si="58"/>
        <v/>
      </c>
      <c r="V257" s="314">
        <f>SUM(ORÇAMENTO!N257)</f>
        <v>0</v>
      </c>
      <c r="W257" s="315">
        <f t="shared" si="59"/>
        <v>0</v>
      </c>
    </row>
    <row r="258" spans="1:23" ht="15" hidden="1" customHeight="1">
      <c r="A258" s="63" t="s">
        <v>147</v>
      </c>
      <c r="B258" s="870" t="s">
        <v>147</v>
      </c>
      <c r="C258" s="871"/>
      <c r="D258" s="975" t="s">
        <v>230</v>
      </c>
      <c r="E258" s="882">
        <f>DMT!$D$46</f>
        <v>445</v>
      </c>
      <c r="F258" s="976" t="s">
        <v>70</v>
      </c>
      <c r="G258" s="884">
        <f>IF(E258&lt;=30,(0.78*E258+7.82)*F258,((0.78*30+7.82)+0.78*(E258-30))*F258)</f>
        <v>3.5492000000000003E-2</v>
      </c>
      <c r="H258" s="876">
        <v>0</v>
      </c>
      <c r="I258" s="876"/>
      <c r="J258" s="877">
        <v>0</v>
      </c>
      <c r="K258" s="878" t="s">
        <v>506</v>
      </c>
      <c r="L258" s="977">
        <f>ROUND(SUM(ORÇAMENTO!L258),2)</f>
        <v>0</v>
      </c>
      <c r="M258" s="934">
        <f t="shared" si="54"/>
        <v>0</v>
      </c>
      <c r="N258" s="868">
        <f t="shared" si="55"/>
        <v>0</v>
      </c>
      <c r="O258" s="880"/>
      <c r="P258" s="58" t="str">
        <f>IF(N256&gt;0,"xx",IF(N256&gt;0,"xy",""))</f>
        <v/>
      </c>
      <c r="Q258" s="317" t="str">
        <f t="shared" si="56"/>
        <v/>
      </c>
      <c r="R258" s="317" t="str">
        <f t="shared" si="57"/>
        <v/>
      </c>
      <c r="S258" s="317" t="str">
        <f t="shared" si="58"/>
        <v/>
      </c>
      <c r="V258" s="314">
        <f>SUM(ORÇAMENTO!N258)</f>
        <v>0</v>
      </c>
      <c r="W258" s="315">
        <f t="shared" si="59"/>
        <v>0</v>
      </c>
    </row>
    <row r="259" spans="1:23" ht="15" hidden="1" customHeight="1">
      <c r="A259" s="63" t="s">
        <v>147</v>
      </c>
      <c r="B259" s="870" t="s">
        <v>147</v>
      </c>
      <c r="C259" s="871"/>
      <c r="D259" s="975" t="s">
        <v>231</v>
      </c>
      <c r="E259" s="882">
        <f>DMT!$F$44</f>
        <v>0.2</v>
      </c>
      <c r="F259" s="883" t="s">
        <v>71</v>
      </c>
      <c r="G259" s="923">
        <f t="shared" si="63"/>
        <v>6.9455999999999997E-3</v>
      </c>
      <c r="H259" s="876">
        <v>0</v>
      </c>
      <c r="I259" s="876"/>
      <c r="J259" s="877">
        <v>0</v>
      </c>
      <c r="K259" s="878" t="s">
        <v>506</v>
      </c>
      <c r="L259" s="977">
        <f>ROUND(SUM(ORÇAMENTO!L259),2)</f>
        <v>0</v>
      </c>
      <c r="M259" s="934">
        <f t="shared" si="54"/>
        <v>0</v>
      </c>
      <c r="N259" s="868">
        <f t="shared" si="55"/>
        <v>0</v>
      </c>
      <c r="O259" s="880"/>
      <c r="P259" s="58" t="str">
        <f>IF(N256&gt;0,"xx",IF(N256&gt;0,"xy",""))</f>
        <v/>
      </c>
      <c r="Q259" s="317" t="str">
        <f t="shared" si="56"/>
        <v/>
      </c>
      <c r="R259" s="317" t="str">
        <f t="shared" si="57"/>
        <v/>
      </c>
      <c r="S259" s="317" t="str">
        <f t="shared" si="58"/>
        <v/>
      </c>
      <c r="V259" s="314">
        <f>SUM(ORÇAMENTO!N259)</f>
        <v>0</v>
      </c>
      <c r="W259" s="315">
        <f t="shared" si="59"/>
        <v>0</v>
      </c>
    </row>
    <row r="260" spans="1:23" ht="15" hidden="1" customHeight="1" thickBot="1">
      <c r="A260" s="63">
        <v>589170</v>
      </c>
      <c r="B260" s="978" t="s">
        <v>1655</v>
      </c>
      <c r="C260" s="958" t="s">
        <v>213</v>
      </c>
      <c r="D260" s="959" t="s">
        <v>537</v>
      </c>
      <c r="E260" s="979">
        <f>DMT!$D$47</f>
        <v>468</v>
      </c>
      <c r="F260" s="980">
        <v>1</v>
      </c>
      <c r="G260" s="923">
        <f>(0.84*E260+41.45)*F260</f>
        <v>434.57</v>
      </c>
      <c r="H260" s="962">
        <v>4031.59</v>
      </c>
      <c r="I260" s="962">
        <f>IF(ISBLANK(H260),"",H260*(1+$E$9)/(1+$E$10))+G260</f>
        <v>4339.4924693176235</v>
      </c>
      <c r="J260" s="963">
        <f t="shared" si="60"/>
        <v>5303.73</v>
      </c>
      <c r="K260" s="964" t="s">
        <v>14</v>
      </c>
      <c r="L260" s="965">
        <f>ROUND(SUM(ORÇAMENTO!L260),2)</f>
        <v>0</v>
      </c>
      <c r="M260" s="972">
        <f t="shared" si="54"/>
        <v>0</v>
      </c>
      <c r="N260" s="967">
        <f t="shared" si="55"/>
        <v>0</v>
      </c>
      <c r="O260" s="880"/>
      <c r="P260" s="58" t="str">
        <f>IF(N256&gt;0,"xx",IF(N256&gt;0,"xy",""))</f>
        <v/>
      </c>
      <c r="Q260" s="317" t="str">
        <f t="shared" si="56"/>
        <v/>
      </c>
      <c r="R260" s="317" t="str">
        <f t="shared" si="57"/>
        <v/>
      </c>
      <c r="S260" s="317" t="str">
        <f t="shared" si="58"/>
        <v/>
      </c>
      <c r="V260" s="314">
        <f>SUM(ORÇAMENTO!N260)</f>
        <v>0</v>
      </c>
      <c r="W260" s="315">
        <f t="shared" si="59"/>
        <v>0</v>
      </c>
    </row>
    <row r="261" spans="1:23" ht="15" hidden="1" customHeight="1">
      <c r="A261" s="63">
        <v>562100</v>
      </c>
      <c r="B261" s="973" t="s">
        <v>1621</v>
      </c>
      <c r="C261" s="974" t="s">
        <v>184</v>
      </c>
      <c r="D261" s="947" t="s">
        <v>544</v>
      </c>
      <c r="E261" s="948" t="s">
        <v>539</v>
      </c>
      <c r="F261" s="949">
        <v>1.8E-3</v>
      </c>
      <c r="G261" s="950">
        <f>SUM(G262:G264)</f>
        <v>1.2672536000000001</v>
      </c>
      <c r="H261" s="951">
        <v>3.09</v>
      </c>
      <c r="I261" s="951">
        <f>IF(ISBLANK(H261),"",SUM(G261:H261))</f>
        <v>4.3572535999999999</v>
      </c>
      <c r="J261" s="952">
        <f t="shared" si="60"/>
        <v>5.33</v>
      </c>
      <c r="K261" s="953" t="s">
        <v>12</v>
      </c>
      <c r="L261" s="954">
        <f>ROUND(SUM(ORÇAMENTO!L261),2)</f>
        <v>0</v>
      </c>
      <c r="M261" s="955">
        <f t="shared" si="54"/>
        <v>0</v>
      </c>
      <c r="N261" s="956">
        <f t="shared" si="55"/>
        <v>0</v>
      </c>
      <c r="O261" s="880"/>
      <c r="Q261" s="317" t="str">
        <f t="shared" si="56"/>
        <v/>
      </c>
      <c r="R261" s="317" t="str">
        <f t="shared" si="57"/>
        <v/>
      </c>
      <c r="S261" s="317" t="str">
        <f t="shared" si="58"/>
        <v/>
      </c>
      <c r="V261" s="314">
        <f>SUM(ORÇAMENTO!N261)</f>
        <v>0</v>
      </c>
      <c r="W261" s="315">
        <f t="shared" si="59"/>
        <v>0</v>
      </c>
    </row>
    <row r="262" spans="1:23" ht="15" hidden="1" customHeight="1">
      <c r="A262" s="63" t="s">
        <v>147</v>
      </c>
      <c r="B262" s="870" t="s">
        <v>147</v>
      </c>
      <c r="C262" s="871"/>
      <c r="D262" s="975" t="s">
        <v>229</v>
      </c>
      <c r="E262" s="882">
        <f>DMT!$F$42</f>
        <v>290</v>
      </c>
      <c r="F262" s="976" t="s">
        <v>72</v>
      </c>
      <c r="G262" s="923">
        <f t="shared" ref="G262:G264" si="65">IF(E262&lt;=30,(1.07*E262+2.68)*F262,((1.07*30+2.68)+1.07*(E262-30))*F262)</f>
        <v>1.189324</v>
      </c>
      <c r="H262" s="876">
        <v>0</v>
      </c>
      <c r="I262" s="876"/>
      <c r="J262" s="877">
        <v>0</v>
      </c>
      <c r="K262" s="878" t="s">
        <v>506</v>
      </c>
      <c r="L262" s="977">
        <f>ROUND(SUM(ORÇAMENTO!L262),2)</f>
        <v>0</v>
      </c>
      <c r="M262" s="934">
        <f t="shared" si="54"/>
        <v>0</v>
      </c>
      <c r="N262" s="868">
        <f t="shared" si="55"/>
        <v>0</v>
      </c>
      <c r="O262" s="880"/>
      <c r="P262" s="58" t="str">
        <f>IF(N261&gt;0,"xx",IF(N261&gt;0,"xy",""))</f>
        <v/>
      </c>
      <c r="Q262" s="317" t="str">
        <f t="shared" si="56"/>
        <v/>
      </c>
      <c r="R262" s="317" t="str">
        <f t="shared" si="57"/>
        <v/>
      </c>
      <c r="S262" s="317" t="str">
        <f t="shared" si="58"/>
        <v/>
      </c>
      <c r="V262" s="314">
        <f>SUM(ORÇAMENTO!N262)</f>
        <v>0</v>
      </c>
      <c r="W262" s="315">
        <f t="shared" si="59"/>
        <v>0</v>
      </c>
    </row>
    <row r="263" spans="1:23" ht="15" hidden="1" customHeight="1">
      <c r="A263" s="63" t="s">
        <v>147</v>
      </c>
      <c r="B263" s="870" t="s">
        <v>147</v>
      </c>
      <c r="C263" s="871"/>
      <c r="D263" s="975" t="s">
        <v>230</v>
      </c>
      <c r="E263" s="882">
        <f>DMT!$D$46</f>
        <v>445</v>
      </c>
      <c r="F263" s="976" t="s">
        <v>73</v>
      </c>
      <c r="G263" s="884">
        <f>IF(E263&lt;=30,(0.78*E263+7.82)*F263,((0.78*30+7.82)+0.78*(E263-30))*F263)</f>
        <v>7.0984000000000005E-2</v>
      </c>
      <c r="H263" s="876">
        <v>0</v>
      </c>
      <c r="I263" s="876"/>
      <c r="J263" s="877">
        <v>0</v>
      </c>
      <c r="K263" s="878" t="s">
        <v>506</v>
      </c>
      <c r="L263" s="977">
        <f>ROUND(SUM(ORÇAMENTO!L263),2)</f>
        <v>0</v>
      </c>
      <c r="M263" s="934">
        <f t="shared" si="54"/>
        <v>0</v>
      </c>
      <c r="N263" s="868">
        <f t="shared" si="55"/>
        <v>0</v>
      </c>
      <c r="O263" s="880"/>
      <c r="P263" s="58" t="str">
        <f>IF(N261&gt;0,"xx",IF(N261&gt;0,"xy",""))</f>
        <v/>
      </c>
      <c r="Q263" s="317" t="str">
        <f t="shared" si="56"/>
        <v/>
      </c>
      <c r="R263" s="317" t="str">
        <f t="shared" si="57"/>
        <v/>
      </c>
      <c r="S263" s="317" t="str">
        <f t="shared" si="58"/>
        <v/>
      </c>
      <c r="V263" s="314">
        <f>SUM(ORÇAMENTO!N263)</f>
        <v>0</v>
      </c>
      <c r="W263" s="315">
        <f t="shared" si="59"/>
        <v>0</v>
      </c>
    </row>
    <row r="264" spans="1:23" ht="15" hidden="1" customHeight="1">
      <c r="A264" s="63" t="s">
        <v>147</v>
      </c>
      <c r="B264" s="870" t="s">
        <v>147</v>
      </c>
      <c r="C264" s="871"/>
      <c r="D264" s="931" t="s">
        <v>231</v>
      </c>
      <c r="E264" s="882">
        <f>DMT!$F$44</f>
        <v>0.2</v>
      </c>
      <c r="F264" s="883" t="s">
        <v>71</v>
      </c>
      <c r="G264" s="923">
        <f t="shared" si="65"/>
        <v>6.9455999999999997E-3</v>
      </c>
      <c r="H264" s="876">
        <v>0</v>
      </c>
      <c r="I264" s="876"/>
      <c r="J264" s="877">
        <v>0</v>
      </c>
      <c r="K264" s="878" t="s">
        <v>506</v>
      </c>
      <c r="L264" s="977">
        <f>ROUND(SUM(ORÇAMENTO!L264),2)</f>
        <v>0</v>
      </c>
      <c r="M264" s="934">
        <f t="shared" si="54"/>
        <v>0</v>
      </c>
      <c r="N264" s="868">
        <f t="shared" si="55"/>
        <v>0</v>
      </c>
      <c r="O264" s="880"/>
      <c r="P264" s="58" t="str">
        <f>IF(N261&gt;0,"xx",IF(N261&gt;0,"xy",""))</f>
        <v/>
      </c>
      <c r="Q264" s="317" t="str">
        <f t="shared" si="56"/>
        <v/>
      </c>
      <c r="R264" s="317" t="str">
        <f t="shared" si="57"/>
        <v/>
      </c>
      <c r="S264" s="317" t="str">
        <f t="shared" si="58"/>
        <v/>
      </c>
      <c r="V264" s="314">
        <f>SUM(ORÇAMENTO!N264)</f>
        <v>0</v>
      </c>
      <c r="W264" s="315">
        <f t="shared" si="59"/>
        <v>0</v>
      </c>
    </row>
    <row r="265" spans="1:23" ht="15" hidden="1" customHeight="1" thickBot="1">
      <c r="A265" s="63">
        <v>589170</v>
      </c>
      <c r="B265" s="858" t="s">
        <v>1656</v>
      </c>
      <c r="C265" s="981" t="s">
        <v>213</v>
      </c>
      <c r="D265" s="982" t="s">
        <v>540</v>
      </c>
      <c r="E265" s="979">
        <f>DMT!$D$47</f>
        <v>468</v>
      </c>
      <c r="F265" s="980">
        <v>1</v>
      </c>
      <c r="G265" s="923">
        <f>(0.84*E265+41.45)*F265</f>
        <v>434.57</v>
      </c>
      <c r="H265" s="962">
        <v>4031.59</v>
      </c>
      <c r="I265" s="962">
        <f>IF(ISBLANK(H265),"",H265*(1+$E$9)/(1+$E$10))+G265</f>
        <v>4339.4924693176235</v>
      </c>
      <c r="J265" s="865">
        <f t="shared" si="60"/>
        <v>5303.73</v>
      </c>
      <c r="K265" s="964" t="s">
        <v>14</v>
      </c>
      <c r="L265" s="965">
        <f>ROUND(SUM(ORÇAMENTO!L265),2)</f>
        <v>0</v>
      </c>
      <c r="M265" s="972">
        <f t="shared" si="54"/>
        <v>0</v>
      </c>
      <c r="N265" s="967">
        <f t="shared" si="55"/>
        <v>0</v>
      </c>
      <c r="O265" s="880"/>
      <c r="P265" s="58" t="str">
        <f>IF(N261&gt;0,"xx",IF(N261&gt;0,"xy",""))</f>
        <v/>
      </c>
      <c r="Q265" s="317" t="str">
        <f t="shared" si="56"/>
        <v/>
      </c>
      <c r="R265" s="317" t="str">
        <f t="shared" si="57"/>
        <v/>
      </c>
      <c r="S265" s="317" t="str">
        <f t="shared" si="58"/>
        <v/>
      </c>
      <c r="V265" s="314">
        <f>SUM(ORÇAMENTO!N265)</f>
        <v>0</v>
      </c>
      <c r="W265" s="315">
        <f t="shared" si="59"/>
        <v>0</v>
      </c>
    </row>
    <row r="266" spans="1:23" ht="15" hidden="1" customHeight="1">
      <c r="A266" s="63">
        <v>562200</v>
      </c>
      <c r="B266" s="973" t="s">
        <v>1622</v>
      </c>
      <c r="C266" s="974" t="s">
        <v>184</v>
      </c>
      <c r="D266" s="947" t="s">
        <v>545</v>
      </c>
      <c r="E266" s="948" t="s">
        <v>539</v>
      </c>
      <c r="F266" s="949">
        <v>2E-3</v>
      </c>
      <c r="G266" s="950">
        <f>SUM(G267:G269)</f>
        <v>2.0239042</v>
      </c>
      <c r="H266" s="951">
        <v>4.1100000000000003</v>
      </c>
      <c r="I266" s="951">
        <f>IF(ISBLANK(H266),"",SUM(G266:H266))</f>
        <v>6.1339041999999999</v>
      </c>
      <c r="J266" s="952">
        <f t="shared" si="60"/>
        <v>7.5</v>
      </c>
      <c r="K266" s="953" t="s">
        <v>12</v>
      </c>
      <c r="L266" s="954">
        <f>ROUND(SUM(ORÇAMENTO!L266),2)</f>
        <v>0</v>
      </c>
      <c r="M266" s="955">
        <f t="shared" si="54"/>
        <v>0</v>
      </c>
      <c r="N266" s="956">
        <f t="shared" si="55"/>
        <v>0</v>
      </c>
      <c r="O266" s="880"/>
      <c r="Q266" s="317" t="str">
        <f t="shared" si="56"/>
        <v/>
      </c>
      <c r="R266" s="317" t="str">
        <f t="shared" si="57"/>
        <v/>
      </c>
      <c r="S266" s="317" t="str">
        <f t="shared" si="58"/>
        <v/>
      </c>
      <c r="V266" s="314">
        <f>SUM(ORÇAMENTO!N266)</f>
        <v>0</v>
      </c>
      <c r="W266" s="315">
        <f t="shared" si="59"/>
        <v>0</v>
      </c>
    </row>
    <row r="267" spans="1:23" ht="15" hidden="1" customHeight="1">
      <c r="A267" s="63" t="s">
        <v>147</v>
      </c>
      <c r="B267" s="870" t="s">
        <v>147</v>
      </c>
      <c r="C267" s="871"/>
      <c r="D267" s="975" t="s">
        <v>229</v>
      </c>
      <c r="E267" s="882">
        <f>DMT!$F$42</f>
        <v>290</v>
      </c>
      <c r="F267" s="976" t="s">
        <v>74</v>
      </c>
      <c r="G267" s="923">
        <f t="shared" ref="G267:G269" si="66">IF(E267&lt;=30,(1.07*E267+2.68)*F267,((1.07*30+2.68)+1.07*(E267-30))*F267)</f>
        <v>1.9404760000000001</v>
      </c>
      <c r="H267" s="876">
        <v>0</v>
      </c>
      <c r="I267" s="876"/>
      <c r="J267" s="877">
        <v>0</v>
      </c>
      <c r="K267" s="878"/>
      <c r="L267" s="977">
        <f>ROUND(SUM(ORÇAMENTO!L267),2)</f>
        <v>0</v>
      </c>
      <c r="M267" s="934">
        <f t="shared" si="54"/>
        <v>0</v>
      </c>
      <c r="N267" s="868">
        <f t="shared" si="55"/>
        <v>0</v>
      </c>
      <c r="O267" s="880"/>
      <c r="P267" s="58" t="str">
        <f>IF(N266&gt;0,"xx",IF(N266&gt;0,"xy",""))</f>
        <v/>
      </c>
      <c r="Q267" s="317" t="str">
        <f t="shared" si="56"/>
        <v/>
      </c>
      <c r="R267" s="317" t="str">
        <f t="shared" si="57"/>
        <v/>
      </c>
      <c r="S267" s="317" t="str">
        <f t="shared" si="58"/>
        <v/>
      </c>
      <c r="V267" s="314">
        <f>SUM(ORÇAMENTO!N267)</f>
        <v>0</v>
      </c>
      <c r="W267" s="315">
        <f t="shared" si="59"/>
        <v>0</v>
      </c>
    </row>
    <row r="268" spans="1:23" ht="15" hidden="1" customHeight="1">
      <c r="A268" s="63" t="s">
        <v>147</v>
      </c>
      <c r="B268" s="870" t="s">
        <v>147</v>
      </c>
      <c r="C268" s="871"/>
      <c r="D268" s="975" t="s">
        <v>230</v>
      </c>
      <c r="E268" s="882">
        <f>DMT!$D$46</f>
        <v>445</v>
      </c>
      <c r="F268" s="976" t="s">
        <v>73</v>
      </c>
      <c r="G268" s="884">
        <f>IF(E268&lt;=30,(0.78*E268+7.82)*F268,((0.78*30+7.82)+0.78*(E268-30))*F268)</f>
        <v>7.0984000000000005E-2</v>
      </c>
      <c r="H268" s="876">
        <v>0</v>
      </c>
      <c r="I268" s="876"/>
      <c r="J268" s="877">
        <v>0</v>
      </c>
      <c r="K268" s="878" t="s">
        <v>506</v>
      </c>
      <c r="L268" s="977">
        <f>ROUND(SUM(ORÇAMENTO!L268),2)</f>
        <v>0</v>
      </c>
      <c r="M268" s="934">
        <f t="shared" si="54"/>
        <v>0</v>
      </c>
      <c r="N268" s="868">
        <f t="shared" si="55"/>
        <v>0</v>
      </c>
      <c r="O268" s="880"/>
      <c r="P268" s="58" t="str">
        <f>IF(N266&gt;0,"xx",IF(N266&gt;0,"xy",""))</f>
        <v/>
      </c>
      <c r="Q268" s="317" t="str">
        <f t="shared" si="56"/>
        <v/>
      </c>
      <c r="R268" s="317" t="str">
        <f t="shared" si="57"/>
        <v/>
      </c>
      <c r="S268" s="317" t="str">
        <f t="shared" si="58"/>
        <v/>
      </c>
      <c r="V268" s="314">
        <f>SUM(ORÇAMENTO!N268)</f>
        <v>0</v>
      </c>
      <c r="W268" s="315">
        <f t="shared" si="59"/>
        <v>0</v>
      </c>
    </row>
    <row r="269" spans="1:23" ht="15" hidden="1" customHeight="1">
      <c r="A269" s="63" t="s">
        <v>147</v>
      </c>
      <c r="B269" s="870" t="s">
        <v>147</v>
      </c>
      <c r="C269" s="871"/>
      <c r="D269" s="931" t="s">
        <v>231</v>
      </c>
      <c r="E269" s="882">
        <f>DMT!$F$44</f>
        <v>0.2</v>
      </c>
      <c r="F269" s="883" t="s">
        <v>75</v>
      </c>
      <c r="G269" s="923">
        <f t="shared" si="66"/>
        <v>1.2444200000000001E-2</v>
      </c>
      <c r="H269" s="876">
        <v>0</v>
      </c>
      <c r="I269" s="876"/>
      <c r="J269" s="877">
        <v>0</v>
      </c>
      <c r="K269" s="878" t="s">
        <v>506</v>
      </c>
      <c r="L269" s="977">
        <f>ROUND(SUM(ORÇAMENTO!L269),2)</f>
        <v>0</v>
      </c>
      <c r="M269" s="934">
        <f t="shared" si="54"/>
        <v>0</v>
      </c>
      <c r="N269" s="868">
        <f t="shared" si="55"/>
        <v>0</v>
      </c>
      <c r="O269" s="880"/>
      <c r="P269" s="58" t="str">
        <f>IF(N266&gt;0,"xx",IF(N266&gt;0,"xy",""))</f>
        <v/>
      </c>
      <c r="Q269" s="317" t="str">
        <f t="shared" si="56"/>
        <v/>
      </c>
      <c r="R269" s="317" t="str">
        <f t="shared" si="57"/>
        <v/>
      </c>
      <c r="S269" s="317" t="str">
        <f t="shared" si="58"/>
        <v/>
      </c>
      <c r="V269" s="314">
        <f>SUM(ORÇAMENTO!N269)</f>
        <v>0</v>
      </c>
      <c r="W269" s="315">
        <f t="shared" si="59"/>
        <v>0</v>
      </c>
    </row>
    <row r="270" spans="1:23" ht="15" hidden="1" customHeight="1" thickBot="1">
      <c r="A270" s="63">
        <v>589170</v>
      </c>
      <c r="B270" s="858" t="s">
        <v>1657</v>
      </c>
      <c r="C270" s="981" t="s">
        <v>213</v>
      </c>
      <c r="D270" s="982" t="s">
        <v>541</v>
      </c>
      <c r="E270" s="979">
        <f>DMT!$D$47</f>
        <v>468</v>
      </c>
      <c r="F270" s="980">
        <v>1</v>
      </c>
      <c r="G270" s="923">
        <f>(0.84*E270+41.45)*F270</f>
        <v>434.57</v>
      </c>
      <c r="H270" s="962">
        <v>4031.59</v>
      </c>
      <c r="I270" s="962">
        <f>IF(ISBLANK(H270),"",H270*(1+$E$9)/(1+$E$10))+G270</f>
        <v>4339.4924693176235</v>
      </c>
      <c r="J270" s="865">
        <f t="shared" si="60"/>
        <v>5303.73</v>
      </c>
      <c r="K270" s="964" t="s">
        <v>14</v>
      </c>
      <c r="L270" s="965">
        <f>ROUND(SUM(ORÇAMENTO!L270),2)</f>
        <v>0</v>
      </c>
      <c r="M270" s="972">
        <f t="shared" si="54"/>
        <v>0</v>
      </c>
      <c r="N270" s="967">
        <f t="shared" si="55"/>
        <v>0</v>
      </c>
      <c r="O270" s="880"/>
      <c r="P270" s="58" t="str">
        <f>IF(N266&gt;0,"xx",IF(N266&gt;0,"xy",""))</f>
        <v/>
      </c>
      <c r="Q270" s="317" t="str">
        <f t="shared" si="56"/>
        <v/>
      </c>
      <c r="R270" s="317" t="str">
        <f t="shared" si="57"/>
        <v/>
      </c>
      <c r="S270" s="317" t="str">
        <f t="shared" si="58"/>
        <v/>
      </c>
      <c r="V270" s="314">
        <f>SUM(ORÇAMENTO!N270)</f>
        <v>0</v>
      </c>
      <c r="W270" s="315">
        <f t="shared" si="59"/>
        <v>0</v>
      </c>
    </row>
    <row r="271" spans="1:23" ht="15" hidden="1" customHeight="1">
      <c r="A271" s="63">
        <v>562200</v>
      </c>
      <c r="B271" s="973" t="s">
        <v>1623</v>
      </c>
      <c r="C271" s="974" t="s">
        <v>184</v>
      </c>
      <c r="D271" s="947" t="s">
        <v>543</v>
      </c>
      <c r="E271" s="948" t="s">
        <v>539</v>
      </c>
      <c r="F271" s="949">
        <v>2.5999999999999999E-3</v>
      </c>
      <c r="G271" s="950">
        <f>SUM(G272:G274)</f>
        <v>3.8901608000000003</v>
      </c>
      <c r="H271" s="951">
        <v>4.1100000000000003</v>
      </c>
      <c r="I271" s="951">
        <f>IF(ISBLANK(H271),"",SUM(G271:H271))</f>
        <v>8.0001607999999997</v>
      </c>
      <c r="J271" s="952">
        <f t="shared" si="60"/>
        <v>9.7799999999999994</v>
      </c>
      <c r="K271" s="953" t="s">
        <v>12</v>
      </c>
      <c r="L271" s="954">
        <f>ROUND(SUM(ORÇAMENTO!L271),2)</f>
        <v>0</v>
      </c>
      <c r="M271" s="955">
        <f t="shared" si="54"/>
        <v>0</v>
      </c>
      <c r="N271" s="956">
        <f t="shared" si="55"/>
        <v>0</v>
      </c>
      <c r="O271" s="880"/>
      <c r="Q271" s="317" t="str">
        <f t="shared" si="56"/>
        <v/>
      </c>
      <c r="R271" s="317" t="str">
        <f t="shared" si="57"/>
        <v/>
      </c>
      <c r="S271" s="317" t="str">
        <f t="shared" si="58"/>
        <v/>
      </c>
      <c r="V271" s="314">
        <f>SUM(ORÇAMENTO!N271)</f>
        <v>0</v>
      </c>
      <c r="W271" s="315">
        <f t="shared" si="59"/>
        <v>0</v>
      </c>
    </row>
    <row r="272" spans="1:23" ht="15" hidden="1" customHeight="1">
      <c r="A272" s="63" t="s">
        <v>147</v>
      </c>
      <c r="B272" s="870" t="s">
        <v>147</v>
      </c>
      <c r="C272" s="871"/>
      <c r="D272" s="975" t="s">
        <v>229</v>
      </c>
      <c r="E272" s="882">
        <f>DMT!$F$42</f>
        <v>290</v>
      </c>
      <c r="F272" s="976" t="s">
        <v>76</v>
      </c>
      <c r="G272" s="923">
        <f t="shared" ref="G272:G274" si="67">IF(E272&lt;=30,(1.07*E272+2.68)*F272,((1.07*30+2.68)+1.07*(E272-30))*F272)</f>
        <v>3.7244620000000004</v>
      </c>
      <c r="H272" s="876">
        <v>0</v>
      </c>
      <c r="I272" s="876"/>
      <c r="J272" s="877">
        <v>0</v>
      </c>
      <c r="K272" s="878" t="s">
        <v>506</v>
      </c>
      <c r="L272" s="977">
        <f>ROUND(SUM(ORÇAMENTO!L272),2)</f>
        <v>0</v>
      </c>
      <c r="M272" s="934">
        <f t="shared" si="54"/>
        <v>0</v>
      </c>
      <c r="N272" s="868">
        <f t="shared" si="55"/>
        <v>0</v>
      </c>
      <c r="O272" s="880"/>
      <c r="P272" s="58" t="str">
        <f>IF(N271&gt;0,"xx",IF(N271&gt;0,"xy",""))</f>
        <v/>
      </c>
      <c r="Q272" s="317" t="str">
        <f t="shared" si="56"/>
        <v/>
      </c>
      <c r="R272" s="317" t="str">
        <f t="shared" si="57"/>
        <v/>
      </c>
      <c r="S272" s="317" t="str">
        <f t="shared" si="58"/>
        <v/>
      </c>
      <c r="V272" s="314">
        <f>SUM(ORÇAMENTO!N272)</f>
        <v>0</v>
      </c>
      <c r="W272" s="315">
        <f t="shared" si="59"/>
        <v>0</v>
      </c>
    </row>
    <row r="273" spans="1:23" ht="15" hidden="1" customHeight="1">
      <c r="A273" s="63" t="s">
        <v>147</v>
      </c>
      <c r="B273" s="870" t="s">
        <v>147</v>
      </c>
      <c r="C273" s="871"/>
      <c r="D273" s="975" t="s">
        <v>230</v>
      </c>
      <c r="E273" s="882">
        <f>DMT!$D$46</f>
        <v>445</v>
      </c>
      <c r="F273" s="976" t="s">
        <v>77</v>
      </c>
      <c r="G273" s="884">
        <f>IF(E273&lt;=30,(0.78*E273+7.82)*F273,((0.78*30+7.82)+0.78*(E273-30))*F273)</f>
        <v>0.14196800000000001</v>
      </c>
      <c r="H273" s="876">
        <v>0</v>
      </c>
      <c r="I273" s="876"/>
      <c r="J273" s="877">
        <v>0</v>
      </c>
      <c r="K273" s="878" t="s">
        <v>506</v>
      </c>
      <c r="L273" s="977">
        <f>ROUND(SUM(ORÇAMENTO!L273),2)</f>
        <v>0</v>
      </c>
      <c r="M273" s="934">
        <f t="shared" si="54"/>
        <v>0</v>
      </c>
      <c r="N273" s="868">
        <f t="shared" si="55"/>
        <v>0</v>
      </c>
      <c r="O273" s="880"/>
      <c r="P273" s="58" t="str">
        <f>IF(N271&gt;0,"xx",IF(N271&gt;0,"xy",""))</f>
        <v/>
      </c>
      <c r="Q273" s="317" t="str">
        <f t="shared" si="56"/>
        <v/>
      </c>
      <c r="R273" s="317" t="str">
        <f t="shared" si="57"/>
        <v/>
      </c>
      <c r="S273" s="317" t="str">
        <f t="shared" si="58"/>
        <v/>
      </c>
      <c r="V273" s="314">
        <f>SUM(ORÇAMENTO!N273)</f>
        <v>0</v>
      </c>
      <c r="W273" s="315">
        <f t="shared" si="59"/>
        <v>0</v>
      </c>
    </row>
    <row r="274" spans="1:23" ht="15" hidden="1" customHeight="1">
      <c r="A274" s="63" t="s">
        <v>147</v>
      </c>
      <c r="B274" s="870" t="s">
        <v>147</v>
      </c>
      <c r="C274" s="871"/>
      <c r="D274" s="931" t="s">
        <v>231</v>
      </c>
      <c r="E274" s="882">
        <f>DMT!$F$44</f>
        <v>0.2</v>
      </c>
      <c r="F274" s="883" t="s">
        <v>78</v>
      </c>
      <c r="G274" s="923">
        <f t="shared" si="67"/>
        <v>2.3730800000000003E-2</v>
      </c>
      <c r="H274" s="876">
        <v>0</v>
      </c>
      <c r="I274" s="876"/>
      <c r="J274" s="877">
        <v>0</v>
      </c>
      <c r="K274" s="878" t="s">
        <v>506</v>
      </c>
      <c r="L274" s="977">
        <f>ROUND(SUM(ORÇAMENTO!L274),2)</f>
        <v>0</v>
      </c>
      <c r="M274" s="934">
        <f t="shared" si="54"/>
        <v>0</v>
      </c>
      <c r="N274" s="868">
        <f t="shared" si="55"/>
        <v>0</v>
      </c>
      <c r="O274" s="880"/>
      <c r="P274" s="58" t="str">
        <f>IF(N271&gt;0,"xx",IF(N271&gt;0,"xy",""))</f>
        <v/>
      </c>
      <c r="Q274" s="317" t="str">
        <f t="shared" si="56"/>
        <v/>
      </c>
      <c r="R274" s="317" t="str">
        <f t="shared" si="57"/>
        <v/>
      </c>
      <c r="S274" s="317" t="str">
        <f t="shared" si="58"/>
        <v/>
      </c>
      <c r="V274" s="314">
        <f>SUM(ORÇAMENTO!N274)</f>
        <v>0</v>
      </c>
      <c r="W274" s="315">
        <f t="shared" si="59"/>
        <v>0</v>
      </c>
    </row>
    <row r="275" spans="1:23" ht="15" hidden="1" customHeight="1" thickBot="1">
      <c r="A275" s="63">
        <v>589170</v>
      </c>
      <c r="B275" s="983" t="s">
        <v>1658</v>
      </c>
      <c r="C275" s="958" t="s">
        <v>213</v>
      </c>
      <c r="D275" s="984" t="s">
        <v>542</v>
      </c>
      <c r="E275" s="979">
        <f>DMT!$D$47</f>
        <v>468</v>
      </c>
      <c r="F275" s="980">
        <v>1</v>
      </c>
      <c r="G275" s="923">
        <f>(0.84*E275+41.45)*F275</f>
        <v>434.57</v>
      </c>
      <c r="H275" s="962">
        <v>4031.59</v>
      </c>
      <c r="I275" s="962">
        <f>IF(ISBLANK(H275),"",H275*(1+$E$9)/(1+$E$10))+G275</f>
        <v>4339.4924693176235</v>
      </c>
      <c r="J275" s="985">
        <f t="shared" si="60"/>
        <v>5303.73</v>
      </c>
      <c r="K275" s="964" t="s">
        <v>14</v>
      </c>
      <c r="L275" s="965">
        <f>ROUND(SUM(ORÇAMENTO!L275),2)</f>
        <v>0</v>
      </c>
      <c r="M275" s="966">
        <f t="shared" si="54"/>
        <v>0</v>
      </c>
      <c r="N275" s="967">
        <f t="shared" si="55"/>
        <v>0</v>
      </c>
      <c r="O275" s="880"/>
      <c r="P275" s="58" t="str">
        <f>IF(N271&gt;0,"xx",IF(N271&gt;0,"xy",""))</f>
        <v/>
      </c>
      <c r="Q275" s="317" t="str">
        <f t="shared" si="56"/>
        <v/>
      </c>
      <c r="R275" s="317" t="str">
        <f t="shared" si="57"/>
        <v/>
      </c>
      <c r="S275" s="317" t="str">
        <f t="shared" si="58"/>
        <v/>
      </c>
      <c r="V275" s="314">
        <f>SUM(ORÇAMENTO!N275)</f>
        <v>0</v>
      </c>
      <c r="W275" s="315">
        <f t="shared" si="59"/>
        <v>0</v>
      </c>
    </row>
    <row r="276" spans="1:23" ht="15" hidden="1" customHeight="1">
      <c r="A276" s="63">
        <v>587000</v>
      </c>
      <c r="B276" s="973">
        <v>587000</v>
      </c>
      <c r="C276" s="974" t="s">
        <v>184</v>
      </c>
      <c r="D276" s="947" t="s">
        <v>232</v>
      </c>
      <c r="E276" s="948" t="s">
        <v>562</v>
      </c>
      <c r="F276" s="949">
        <v>1.5E-3</v>
      </c>
      <c r="G276" s="950">
        <f>SUM(G277:G277)</f>
        <v>0.73195500000000002</v>
      </c>
      <c r="H276" s="951">
        <v>4.53</v>
      </c>
      <c r="I276" s="951">
        <f>IF(ISBLANK(H276),"",SUM(G276:H276))</f>
        <v>5.2619550000000004</v>
      </c>
      <c r="J276" s="952">
        <f t="shared" si="60"/>
        <v>6.43</v>
      </c>
      <c r="K276" s="953" t="s">
        <v>12</v>
      </c>
      <c r="L276" s="954">
        <f>ROUND(SUM(ORÇAMENTO!L276),2)</f>
        <v>0</v>
      </c>
      <c r="M276" s="955">
        <f t="shared" ref="M276:M339" si="68">IF(L276=0,0,ROUND(J276,2))</f>
        <v>0</v>
      </c>
      <c r="N276" s="956">
        <f t="shared" ref="N276:N339" si="69">IF(ISBLANK(L276),0,ROUND(L276*M276,2))</f>
        <v>0</v>
      </c>
      <c r="O276" s="880"/>
      <c r="Q276" s="317" t="str">
        <f t="shared" ref="Q276:Q339" si="70">IF(P276="X","x",IF(P276="xx","x",IF(P276="xy","x",IF(P276="y","x",IF(OR(N276&gt;0,N276&gt;0),"x","")))))</f>
        <v/>
      </c>
      <c r="R276" s="317" t="str">
        <f t="shared" ref="R276:R339" si="71">IF(P276="X","x",IF(P276="y","x",IF(P276="xx","x",IF(N276&gt;0,"x",""))))</f>
        <v/>
      </c>
      <c r="S276" s="317" t="str">
        <f t="shared" ref="S276:S339" si="72">IF(P276="X","x",IF(N276&gt;0,"x",""))</f>
        <v/>
      </c>
      <c r="V276" s="314">
        <f>SUM(ORÇAMENTO!N276)</f>
        <v>0</v>
      </c>
      <c r="W276" s="315">
        <f t="shared" si="59"/>
        <v>0</v>
      </c>
    </row>
    <row r="277" spans="1:23" ht="15" hidden="1" customHeight="1">
      <c r="A277" s="63" t="s">
        <v>147</v>
      </c>
      <c r="B277" s="870" t="s">
        <v>147</v>
      </c>
      <c r="C277" s="871"/>
      <c r="D277" s="931" t="s">
        <v>233</v>
      </c>
      <c r="E277" s="873">
        <f>DMT!$F$10</f>
        <v>43.1</v>
      </c>
      <c r="F277" s="874">
        <v>1.4999999999999999E-2</v>
      </c>
      <c r="G277" s="923">
        <f t="shared" ref="G277" si="73">IF(E277&lt;=30,(1.07*E277+2.68)*F277,((1.07*30+2.68)+1.07*(E277-30))*F277)</f>
        <v>0.73195500000000002</v>
      </c>
      <c r="H277" s="876">
        <v>0</v>
      </c>
      <c r="I277" s="876"/>
      <c r="J277" s="877">
        <v>0</v>
      </c>
      <c r="K277" s="878" t="s">
        <v>506</v>
      </c>
      <c r="L277" s="977">
        <f>ROUND(SUM(ORÇAMENTO!L277),2)</f>
        <v>0</v>
      </c>
      <c r="M277" s="934">
        <f t="shared" si="68"/>
        <v>0</v>
      </c>
      <c r="N277" s="868">
        <f t="shared" si="69"/>
        <v>0</v>
      </c>
      <c r="O277" s="880"/>
      <c r="P277" s="58" t="str">
        <f>IF(N276&gt;0,"xx",IF(N276&gt;0,"xy",""))</f>
        <v/>
      </c>
      <c r="Q277" s="317" t="str">
        <f t="shared" si="70"/>
        <v/>
      </c>
      <c r="R277" s="317" t="str">
        <f t="shared" si="71"/>
        <v/>
      </c>
      <c r="S277" s="317" t="str">
        <f t="shared" si="72"/>
        <v/>
      </c>
      <c r="V277" s="314">
        <f>SUM(ORÇAMENTO!N277)</f>
        <v>0</v>
      </c>
      <c r="W277" s="315">
        <f t="shared" ref="W277:W340" si="74">N277-V277</f>
        <v>0</v>
      </c>
    </row>
    <row r="278" spans="1:23" ht="15" hidden="1" customHeight="1" thickBot="1">
      <c r="A278" s="63">
        <v>589520</v>
      </c>
      <c r="B278" s="978" t="s">
        <v>1646</v>
      </c>
      <c r="C278" s="958" t="s">
        <v>213</v>
      </c>
      <c r="D278" s="986" t="s">
        <v>546</v>
      </c>
      <c r="E278" s="979">
        <f>DMT!$D$24</f>
        <v>468</v>
      </c>
      <c r="F278" s="980">
        <v>1</v>
      </c>
      <c r="G278" s="923">
        <f>(0.84*E278+41.45)*F278</f>
        <v>434.57</v>
      </c>
      <c r="H278" s="962">
        <v>4164.04</v>
      </c>
      <c r="I278" s="962">
        <f>IF(ISBLANK(H278),"",H278*(1+$E$9)/(1+$E$10))+G278</f>
        <v>4467.7810554737362</v>
      </c>
      <c r="J278" s="963">
        <f t="shared" si="60"/>
        <v>5460.52</v>
      </c>
      <c r="K278" s="964" t="s">
        <v>14</v>
      </c>
      <c r="L278" s="965">
        <f>ROUND(SUM(ORÇAMENTO!L278),2)</f>
        <v>0</v>
      </c>
      <c r="M278" s="987">
        <f t="shared" si="68"/>
        <v>0</v>
      </c>
      <c r="N278" s="967">
        <f t="shared" si="69"/>
        <v>0</v>
      </c>
      <c r="O278" s="880"/>
      <c r="P278" s="58" t="str">
        <f>IF(N276&gt;0,"xx",IF(N276&gt;0,"xy",""))</f>
        <v/>
      </c>
      <c r="Q278" s="317" t="str">
        <f t="shared" si="70"/>
        <v/>
      </c>
      <c r="R278" s="317" t="str">
        <f t="shared" si="71"/>
        <v/>
      </c>
      <c r="S278" s="317" t="str">
        <f t="shared" si="72"/>
        <v/>
      </c>
      <c r="V278" s="314">
        <f>SUM(ORÇAMENTO!N278)</f>
        <v>0</v>
      </c>
      <c r="W278" s="315">
        <f t="shared" si="74"/>
        <v>0</v>
      </c>
    </row>
    <row r="279" spans="1:23" ht="15" hidden="1" customHeight="1">
      <c r="A279" s="63">
        <v>583100</v>
      </c>
      <c r="B279" s="973" t="s">
        <v>1624</v>
      </c>
      <c r="C279" s="974" t="s">
        <v>184</v>
      </c>
      <c r="D279" s="988" t="s">
        <v>234</v>
      </c>
      <c r="E279" s="948" t="s">
        <v>562</v>
      </c>
      <c r="F279" s="949">
        <v>3.0999999999999999E-3</v>
      </c>
      <c r="G279" s="950">
        <f>SUM(G280:G280)</f>
        <v>1.2833611</v>
      </c>
      <c r="H279" s="951">
        <v>6.82</v>
      </c>
      <c r="I279" s="951">
        <f>IF(ISBLANK(H279),"",SUM(G279:H279))</f>
        <v>8.1033611000000008</v>
      </c>
      <c r="J279" s="952">
        <f t="shared" si="60"/>
        <v>9.9</v>
      </c>
      <c r="K279" s="953" t="s">
        <v>12</v>
      </c>
      <c r="L279" s="954">
        <f>ROUND(SUM(ORÇAMENTO!L279),2)</f>
        <v>0</v>
      </c>
      <c r="M279" s="955">
        <f t="shared" si="68"/>
        <v>0</v>
      </c>
      <c r="N279" s="956">
        <f t="shared" si="69"/>
        <v>0</v>
      </c>
      <c r="O279" s="880"/>
      <c r="Q279" s="317" t="str">
        <f t="shared" si="70"/>
        <v/>
      </c>
      <c r="R279" s="317" t="str">
        <f t="shared" si="71"/>
        <v/>
      </c>
      <c r="S279" s="317" t="str">
        <f t="shared" si="72"/>
        <v/>
      </c>
      <c r="V279" s="314">
        <f>SUM(ORÇAMENTO!N279)</f>
        <v>0</v>
      </c>
      <c r="W279" s="315">
        <f t="shared" si="74"/>
        <v>0</v>
      </c>
    </row>
    <row r="280" spans="1:23" ht="15" hidden="1" customHeight="1">
      <c r="A280" s="63" t="s">
        <v>147</v>
      </c>
      <c r="B280" s="870" t="s">
        <v>147</v>
      </c>
      <c r="C280" s="871"/>
      <c r="D280" s="989" t="s">
        <v>233</v>
      </c>
      <c r="E280" s="873">
        <f>DMT!$F$10</f>
        <v>43.1</v>
      </c>
      <c r="F280" s="883">
        <v>2.63E-2</v>
      </c>
      <c r="G280" s="923">
        <f t="shared" ref="G280" si="75">IF(E280&lt;=30,(1.07*E280+2.68)*F280,((1.07*30+2.68)+1.07*(E280-30))*F280)</f>
        <v>1.2833611</v>
      </c>
      <c r="H280" s="876">
        <v>0</v>
      </c>
      <c r="I280" s="876"/>
      <c r="J280" s="877">
        <v>0</v>
      </c>
      <c r="K280" s="878" t="s">
        <v>506</v>
      </c>
      <c r="L280" s="977">
        <f>ROUND(SUM(ORÇAMENTO!L280),2)</f>
        <v>0</v>
      </c>
      <c r="M280" s="934">
        <f t="shared" si="68"/>
        <v>0</v>
      </c>
      <c r="N280" s="868">
        <f t="shared" si="69"/>
        <v>0</v>
      </c>
      <c r="O280" s="880"/>
      <c r="P280" s="58" t="str">
        <f>IF(N279&gt;0,"xx",IF(N279&gt;0,"xy",""))</f>
        <v/>
      </c>
      <c r="Q280" s="317" t="str">
        <f t="shared" si="70"/>
        <v/>
      </c>
      <c r="R280" s="317" t="str">
        <f t="shared" si="71"/>
        <v/>
      </c>
      <c r="S280" s="317" t="str">
        <f t="shared" si="72"/>
        <v/>
      </c>
      <c r="V280" s="314">
        <f>SUM(ORÇAMENTO!N280)</f>
        <v>0</v>
      </c>
      <c r="W280" s="315">
        <f t="shared" si="74"/>
        <v>0</v>
      </c>
    </row>
    <row r="281" spans="1:23" ht="15" hidden="1" customHeight="1" thickBot="1">
      <c r="A281" s="63">
        <v>589520</v>
      </c>
      <c r="B281" s="978" t="s">
        <v>1647</v>
      </c>
      <c r="C281" s="958" t="s">
        <v>213</v>
      </c>
      <c r="D281" s="990" t="s">
        <v>551</v>
      </c>
      <c r="E281" s="979">
        <f>DMT!$D$24</f>
        <v>468</v>
      </c>
      <c r="F281" s="980">
        <v>1</v>
      </c>
      <c r="G281" s="923">
        <f>(0.84*E281+41.45)*F281</f>
        <v>434.57</v>
      </c>
      <c r="H281" s="962">
        <v>4164.04</v>
      </c>
      <c r="I281" s="962">
        <f>IF(ISBLANK(H281),"",H281*(1+$E$9)/(1+$E$10))+G281</f>
        <v>4467.7810554737362</v>
      </c>
      <c r="J281" s="963">
        <f t="shared" si="60"/>
        <v>5460.52</v>
      </c>
      <c r="K281" s="964" t="s">
        <v>14</v>
      </c>
      <c r="L281" s="965">
        <f>ROUND(SUM(ORÇAMENTO!L281),2)</f>
        <v>0</v>
      </c>
      <c r="M281" s="987">
        <f t="shared" si="68"/>
        <v>0</v>
      </c>
      <c r="N281" s="967">
        <f t="shared" si="69"/>
        <v>0</v>
      </c>
      <c r="O281" s="880"/>
      <c r="P281" s="58" t="str">
        <f>IF(N279&gt;0,"xx",IF(N279&gt;0,"xy",""))</f>
        <v/>
      </c>
      <c r="Q281" s="317" t="str">
        <f t="shared" si="70"/>
        <v/>
      </c>
      <c r="R281" s="317" t="str">
        <f t="shared" si="71"/>
        <v/>
      </c>
      <c r="S281" s="317" t="str">
        <f t="shared" si="72"/>
        <v/>
      </c>
      <c r="V281" s="314">
        <f>SUM(ORÇAMENTO!N281)</f>
        <v>0</v>
      </c>
      <c r="W281" s="315">
        <f t="shared" si="74"/>
        <v>0</v>
      </c>
    </row>
    <row r="282" spans="1:23" ht="15" hidden="1" customHeight="1">
      <c r="A282" s="63">
        <v>583100</v>
      </c>
      <c r="B282" s="973" t="s">
        <v>1625</v>
      </c>
      <c r="C282" s="974" t="s">
        <v>184</v>
      </c>
      <c r="D282" s="988" t="s">
        <v>235</v>
      </c>
      <c r="E282" s="948" t="s">
        <v>562</v>
      </c>
      <c r="F282" s="949">
        <v>3.3999999999999998E-3</v>
      </c>
      <c r="G282" s="950">
        <f>SUM(G283:G283)</f>
        <v>1.4883085</v>
      </c>
      <c r="H282" s="951">
        <v>6.82</v>
      </c>
      <c r="I282" s="951">
        <f>IF(ISBLANK(H282),"",SUM(G282:H282))</f>
        <v>8.3083085000000008</v>
      </c>
      <c r="J282" s="952">
        <f t="shared" si="60"/>
        <v>10.15</v>
      </c>
      <c r="K282" s="953" t="s">
        <v>12</v>
      </c>
      <c r="L282" s="954">
        <f>ROUND(SUM(ORÇAMENTO!L282),2)</f>
        <v>0</v>
      </c>
      <c r="M282" s="955">
        <f t="shared" si="68"/>
        <v>0</v>
      </c>
      <c r="N282" s="956">
        <f t="shared" si="69"/>
        <v>0</v>
      </c>
      <c r="O282" s="880"/>
      <c r="Q282" s="317" t="str">
        <f t="shared" si="70"/>
        <v/>
      </c>
      <c r="R282" s="317" t="str">
        <f t="shared" si="71"/>
        <v/>
      </c>
      <c r="S282" s="317" t="str">
        <f t="shared" si="72"/>
        <v/>
      </c>
      <c r="V282" s="314">
        <f>SUM(ORÇAMENTO!N282)</f>
        <v>0</v>
      </c>
      <c r="W282" s="315">
        <f t="shared" si="74"/>
        <v>0</v>
      </c>
    </row>
    <row r="283" spans="1:23" ht="15" hidden="1" customHeight="1">
      <c r="A283" s="63" t="s">
        <v>147</v>
      </c>
      <c r="B283" s="870" t="s">
        <v>147</v>
      </c>
      <c r="C283" s="871"/>
      <c r="D283" s="989" t="s">
        <v>233</v>
      </c>
      <c r="E283" s="873">
        <f>DMT!$F$10</f>
        <v>43.1</v>
      </c>
      <c r="F283" s="883">
        <v>3.0499999999999999E-2</v>
      </c>
      <c r="G283" s="923">
        <f t="shared" ref="G283" si="76">IF(E283&lt;=30,(1.07*E283+2.68)*F283,((1.07*30+2.68)+1.07*(E283-30))*F283)</f>
        <v>1.4883085</v>
      </c>
      <c r="H283" s="876">
        <v>0</v>
      </c>
      <c r="I283" s="876"/>
      <c r="J283" s="877">
        <v>0</v>
      </c>
      <c r="K283" s="878" t="s">
        <v>506</v>
      </c>
      <c r="L283" s="977">
        <f>ROUND(SUM(ORÇAMENTO!L283),2)</f>
        <v>0</v>
      </c>
      <c r="M283" s="934">
        <f t="shared" si="68"/>
        <v>0</v>
      </c>
      <c r="N283" s="868">
        <f t="shared" si="69"/>
        <v>0</v>
      </c>
      <c r="O283" s="880"/>
      <c r="P283" s="58" t="str">
        <f>IF(N282&gt;0,"xx",IF(N282&gt;0,"xy",""))</f>
        <v/>
      </c>
      <c r="Q283" s="317" t="str">
        <f t="shared" si="70"/>
        <v/>
      </c>
      <c r="R283" s="317" t="str">
        <f t="shared" si="71"/>
        <v/>
      </c>
      <c r="S283" s="317" t="str">
        <f t="shared" si="72"/>
        <v/>
      </c>
      <c r="V283" s="314">
        <f>SUM(ORÇAMENTO!N283)</f>
        <v>0</v>
      </c>
      <c r="W283" s="315">
        <f t="shared" si="74"/>
        <v>0</v>
      </c>
    </row>
    <row r="284" spans="1:23" ht="15" hidden="1" customHeight="1" thickBot="1">
      <c r="A284" s="63">
        <v>589520</v>
      </c>
      <c r="B284" s="978" t="s">
        <v>1648</v>
      </c>
      <c r="C284" s="958" t="s">
        <v>213</v>
      </c>
      <c r="D284" s="990" t="s">
        <v>1659</v>
      </c>
      <c r="E284" s="979">
        <f>DMT!$D$24</f>
        <v>468</v>
      </c>
      <c r="F284" s="980">
        <v>1</v>
      </c>
      <c r="G284" s="923">
        <f>(0.84*E284+41.45)*F284</f>
        <v>434.57</v>
      </c>
      <c r="H284" s="962">
        <v>4164.04</v>
      </c>
      <c r="I284" s="962">
        <f>IF(ISBLANK(H284),"",H284*(1+$E$9)/(1+$E$10))+G284</f>
        <v>4467.7810554737362</v>
      </c>
      <c r="J284" s="963">
        <f t="shared" si="60"/>
        <v>5460.52</v>
      </c>
      <c r="K284" s="964" t="s">
        <v>14</v>
      </c>
      <c r="L284" s="965">
        <f>ROUND(SUM(ORÇAMENTO!L284),2)</f>
        <v>0</v>
      </c>
      <c r="M284" s="987">
        <f t="shared" si="68"/>
        <v>0</v>
      </c>
      <c r="N284" s="967">
        <f t="shared" si="69"/>
        <v>0</v>
      </c>
      <c r="O284" s="880"/>
      <c r="P284" s="58" t="str">
        <f>IF(N282&gt;0,"xx",IF(N282&gt;0,"xy",""))</f>
        <v/>
      </c>
      <c r="Q284" s="317" t="str">
        <f t="shared" si="70"/>
        <v/>
      </c>
      <c r="R284" s="317" t="str">
        <f t="shared" si="71"/>
        <v/>
      </c>
      <c r="S284" s="317" t="str">
        <f t="shared" si="72"/>
        <v/>
      </c>
      <c r="V284" s="314">
        <f>SUM(ORÇAMENTO!N284)</f>
        <v>0</v>
      </c>
      <c r="W284" s="315">
        <f t="shared" si="74"/>
        <v>0</v>
      </c>
    </row>
    <row r="285" spans="1:23" ht="15" hidden="1" customHeight="1">
      <c r="A285" s="63">
        <v>583100</v>
      </c>
      <c r="B285" s="973" t="s">
        <v>1626</v>
      </c>
      <c r="C285" s="974" t="s">
        <v>184</v>
      </c>
      <c r="D285" s="988" t="s">
        <v>236</v>
      </c>
      <c r="E285" s="948" t="s">
        <v>562</v>
      </c>
      <c r="F285" s="949">
        <v>3.8E-3</v>
      </c>
      <c r="G285" s="950">
        <f>SUM(G286:G286)</f>
        <v>1.7957296</v>
      </c>
      <c r="H285" s="951">
        <v>6.82</v>
      </c>
      <c r="I285" s="951">
        <f>IF(ISBLANK(H285),"",SUM(G285:H285))</f>
        <v>8.6157295999999999</v>
      </c>
      <c r="J285" s="952">
        <f t="shared" si="60"/>
        <v>10.53</v>
      </c>
      <c r="K285" s="953" t="s">
        <v>12</v>
      </c>
      <c r="L285" s="954">
        <f>ROUND(SUM(ORÇAMENTO!L285),2)</f>
        <v>0</v>
      </c>
      <c r="M285" s="955">
        <f t="shared" si="68"/>
        <v>0</v>
      </c>
      <c r="N285" s="956">
        <f t="shared" si="69"/>
        <v>0</v>
      </c>
      <c r="O285" s="880"/>
      <c r="Q285" s="317" t="str">
        <f t="shared" si="70"/>
        <v/>
      </c>
      <c r="R285" s="317" t="str">
        <f t="shared" si="71"/>
        <v/>
      </c>
      <c r="S285" s="317" t="str">
        <f t="shared" si="72"/>
        <v/>
      </c>
      <c r="V285" s="314">
        <f>SUM(ORÇAMENTO!N285)</f>
        <v>0</v>
      </c>
      <c r="W285" s="315">
        <f t="shared" si="74"/>
        <v>0</v>
      </c>
    </row>
    <row r="286" spans="1:23" ht="15" hidden="1" customHeight="1">
      <c r="A286" s="63" t="s">
        <v>147</v>
      </c>
      <c r="B286" s="870" t="s">
        <v>147</v>
      </c>
      <c r="C286" s="871"/>
      <c r="D286" s="989" t="s">
        <v>233</v>
      </c>
      <c r="E286" s="873">
        <f>DMT!$F$10</f>
        <v>43.1</v>
      </c>
      <c r="F286" s="883">
        <v>3.6799999999999999E-2</v>
      </c>
      <c r="G286" s="923">
        <f t="shared" ref="G286" si="77">IF(E286&lt;=30,(1.07*E286+2.68)*F286,((1.07*30+2.68)+1.07*(E286-30))*F286)</f>
        <v>1.7957296</v>
      </c>
      <c r="H286" s="876">
        <v>0</v>
      </c>
      <c r="I286" s="876"/>
      <c r="J286" s="877">
        <v>0</v>
      </c>
      <c r="K286" s="878" t="s">
        <v>506</v>
      </c>
      <c r="L286" s="977">
        <f>ROUND(SUM(ORÇAMENTO!L286),2)</f>
        <v>0</v>
      </c>
      <c r="M286" s="934">
        <f t="shared" si="68"/>
        <v>0</v>
      </c>
      <c r="N286" s="868">
        <f t="shared" si="69"/>
        <v>0</v>
      </c>
      <c r="O286" s="880"/>
      <c r="P286" s="58" t="str">
        <f>IF(N285&gt;0,"xx",IF(N285&gt;0,"xy",""))</f>
        <v/>
      </c>
      <c r="Q286" s="317" t="str">
        <f t="shared" si="70"/>
        <v/>
      </c>
      <c r="R286" s="317" t="str">
        <f t="shared" si="71"/>
        <v/>
      </c>
      <c r="S286" s="317" t="str">
        <f t="shared" si="72"/>
        <v/>
      </c>
      <c r="V286" s="314">
        <f>SUM(ORÇAMENTO!N286)</f>
        <v>0</v>
      </c>
      <c r="W286" s="315">
        <f t="shared" si="74"/>
        <v>0</v>
      </c>
    </row>
    <row r="287" spans="1:23" ht="15" hidden="1" customHeight="1" thickBot="1">
      <c r="A287" s="63">
        <v>589520</v>
      </c>
      <c r="B287" s="978" t="s">
        <v>1649</v>
      </c>
      <c r="C287" s="958" t="s">
        <v>213</v>
      </c>
      <c r="D287" s="990" t="s">
        <v>553</v>
      </c>
      <c r="E287" s="979">
        <f>DMT!$D$24</f>
        <v>468</v>
      </c>
      <c r="F287" s="980">
        <v>1</v>
      </c>
      <c r="G287" s="923">
        <f>(0.84*E287+41.45)*F287</f>
        <v>434.57</v>
      </c>
      <c r="H287" s="962">
        <v>4164.04</v>
      </c>
      <c r="I287" s="962">
        <f>IF(ISBLANK(H287),"",H287*(1+$E$9)/(1+$E$10))+G287</f>
        <v>4467.7810554737362</v>
      </c>
      <c r="J287" s="963">
        <f t="shared" si="60"/>
        <v>5460.52</v>
      </c>
      <c r="K287" s="964" t="s">
        <v>14</v>
      </c>
      <c r="L287" s="965">
        <f>ROUND(SUM(ORÇAMENTO!L287),2)</f>
        <v>0</v>
      </c>
      <c r="M287" s="987">
        <f t="shared" si="68"/>
        <v>0</v>
      </c>
      <c r="N287" s="967">
        <f t="shared" si="69"/>
        <v>0</v>
      </c>
      <c r="O287" s="880"/>
      <c r="P287" s="58" t="str">
        <f>IF(N285&gt;0,"xx",IF(N285&gt;0,"xy",""))</f>
        <v/>
      </c>
      <c r="Q287" s="317" t="str">
        <f t="shared" si="70"/>
        <v/>
      </c>
      <c r="R287" s="317" t="str">
        <f t="shared" si="71"/>
        <v/>
      </c>
      <c r="S287" s="317" t="str">
        <f t="shared" si="72"/>
        <v/>
      </c>
      <c r="V287" s="314">
        <f>SUM(ORÇAMENTO!N287)</f>
        <v>0</v>
      </c>
      <c r="W287" s="315">
        <f t="shared" si="74"/>
        <v>0</v>
      </c>
    </row>
    <row r="288" spans="1:23" ht="15" hidden="1" customHeight="1">
      <c r="A288" s="63">
        <v>584200</v>
      </c>
      <c r="B288" s="973" t="s">
        <v>1627</v>
      </c>
      <c r="C288" s="974" t="s">
        <v>184</v>
      </c>
      <c r="D288" s="988" t="s">
        <v>237</v>
      </c>
      <c r="E288" s="948" t="s">
        <v>562</v>
      </c>
      <c r="F288" s="949">
        <v>3.3E-3</v>
      </c>
      <c r="G288" s="950">
        <f>SUM(G289:G289)</f>
        <v>1.3858348000000003</v>
      </c>
      <c r="H288" s="951">
        <v>8.48</v>
      </c>
      <c r="I288" s="951">
        <f>IF(ISBLANK(H288),"",SUM(G288:H288))</f>
        <v>9.8658348</v>
      </c>
      <c r="J288" s="952">
        <f t="shared" si="60"/>
        <v>12.06</v>
      </c>
      <c r="K288" s="953" t="s">
        <v>12</v>
      </c>
      <c r="L288" s="954">
        <f>ROUND(SUM(ORÇAMENTO!L288),2)</f>
        <v>0</v>
      </c>
      <c r="M288" s="955">
        <f t="shared" si="68"/>
        <v>0</v>
      </c>
      <c r="N288" s="956">
        <f t="shared" si="69"/>
        <v>0</v>
      </c>
      <c r="O288" s="880"/>
      <c r="Q288" s="317" t="str">
        <f t="shared" si="70"/>
        <v/>
      </c>
      <c r="R288" s="317" t="str">
        <f t="shared" si="71"/>
        <v/>
      </c>
      <c r="S288" s="317" t="str">
        <f t="shared" si="72"/>
        <v/>
      </c>
      <c r="V288" s="314">
        <f>SUM(ORÇAMENTO!N288)</f>
        <v>0</v>
      </c>
      <c r="W288" s="315">
        <f t="shared" si="74"/>
        <v>0</v>
      </c>
    </row>
    <row r="289" spans="1:23" ht="15" hidden="1" customHeight="1">
      <c r="A289" s="63" t="s">
        <v>147</v>
      </c>
      <c r="B289" s="870" t="s">
        <v>147</v>
      </c>
      <c r="C289" s="871"/>
      <c r="D289" s="989" t="s">
        <v>233</v>
      </c>
      <c r="E289" s="873">
        <f>DMT!$F$10</f>
        <v>43.1</v>
      </c>
      <c r="F289" s="883">
        <v>2.8400000000000002E-2</v>
      </c>
      <c r="G289" s="923">
        <f t="shared" ref="G289" si="78">IF(E289&lt;=30,(1.07*E289+2.68)*F289,((1.07*30+2.68)+1.07*(E289-30))*F289)</f>
        <v>1.3858348000000003</v>
      </c>
      <c r="H289" s="876">
        <v>0</v>
      </c>
      <c r="I289" s="876"/>
      <c r="J289" s="877">
        <v>0</v>
      </c>
      <c r="K289" s="878" t="s">
        <v>506</v>
      </c>
      <c r="L289" s="977">
        <f>ROUND(SUM(ORÇAMENTO!L289),2)</f>
        <v>0</v>
      </c>
      <c r="M289" s="934">
        <f t="shared" si="68"/>
        <v>0</v>
      </c>
      <c r="N289" s="868">
        <f t="shared" si="69"/>
        <v>0</v>
      </c>
      <c r="O289" s="880"/>
      <c r="P289" s="58" t="str">
        <f>IF(N288&gt;0,"xx",IF(N288&gt;0,"xy",""))</f>
        <v/>
      </c>
      <c r="Q289" s="317" t="str">
        <f t="shared" si="70"/>
        <v/>
      </c>
      <c r="R289" s="317" t="str">
        <f t="shared" si="71"/>
        <v/>
      </c>
      <c r="S289" s="317" t="str">
        <f t="shared" si="72"/>
        <v/>
      </c>
      <c r="V289" s="314">
        <f>SUM(ORÇAMENTO!N289)</f>
        <v>0</v>
      </c>
      <c r="W289" s="315">
        <f t="shared" si="74"/>
        <v>0</v>
      </c>
    </row>
    <row r="290" spans="1:23" ht="15" hidden="1" customHeight="1" thickBot="1">
      <c r="A290" s="63">
        <v>589520</v>
      </c>
      <c r="B290" s="978" t="s">
        <v>1650</v>
      </c>
      <c r="C290" s="958" t="s">
        <v>213</v>
      </c>
      <c r="D290" s="990" t="s">
        <v>552</v>
      </c>
      <c r="E290" s="979">
        <f>DMT!$D$24</f>
        <v>468</v>
      </c>
      <c r="F290" s="980">
        <v>1</v>
      </c>
      <c r="G290" s="923">
        <f>(0.84*E290+41.45)*F290</f>
        <v>434.57</v>
      </c>
      <c r="H290" s="962">
        <v>4164.04</v>
      </c>
      <c r="I290" s="962">
        <f>IF(ISBLANK(H290),"",H290*(1+$E$9)/(1+$E$10))+G290</f>
        <v>4467.7810554737362</v>
      </c>
      <c r="J290" s="963">
        <f t="shared" si="60"/>
        <v>5460.52</v>
      </c>
      <c r="K290" s="964" t="s">
        <v>14</v>
      </c>
      <c r="L290" s="965">
        <f>ROUND(SUM(ORÇAMENTO!L290),2)</f>
        <v>0</v>
      </c>
      <c r="M290" s="987">
        <f t="shared" si="68"/>
        <v>0</v>
      </c>
      <c r="N290" s="967">
        <f t="shared" si="69"/>
        <v>0</v>
      </c>
      <c r="O290" s="880"/>
      <c r="P290" s="58" t="str">
        <f>IF(N288&gt;0,"xx",IF(N288&gt;0,"xy",""))</f>
        <v/>
      </c>
      <c r="Q290" s="317" t="str">
        <f t="shared" si="70"/>
        <v/>
      </c>
      <c r="R290" s="317" t="str">
        <f t="shared" si="71"/>
        <v/>
      </c>
      <c r="S290" s="317" t="str">
        <f t="shared" si="72"/>
        <v/>
      </c>
      <c r="V290" s="314">
        <f>SUM(ORÇAMENTO!N290)</f>
        <v>0</v>
      </c>
      <c r="W290" s="315">
        <f t="shared" si="74"/>
        <v>0</v>
      </c>
    </row>
    <row r="291" spans="1:23" ht="15" hidden="1" customHeight="1">
      <c r="A291" s="63">
        <v>584200</v>
      </c>
      <c r="B291" s="973" t="s">
        <v>1628</v>
      </c>
      <c r="C291" s="974" t="s">
        <v>184</v>
      </c>
      <c r="D291" s="988" t="s">
        <v>238</v>
      </c>
      <c r="E291" s="948" t="s">
        <v>562</v>
      </c>
      <c r="F291" s="949">
        <v>3.8E-3</v>
      </c>
      <c r="G291" s="950">
        <f>SUM(G292:G292)</f>
        <v>1.6932559000000003</v>
      </c>
      <c r="H291" s="951">
        <v>8.48</v>
      </c>
      <c r="I291" s="951">
        <f>IF(ISBLANK(H291),"",SUM(G291:H291))</f>
        <v>10.173255900000001</v>
      </c>
      <c r="J291" s="952">
        <f t="shared" si="60"/>
        <v>12.43</v>
      </c>
      <c r="K291" s="953" t="s">
        <v>12</v>
      </c>
      <c r="L291" s="954">
        <f>ROUND(SUM(ORÇAMENTO!L291),2)</f>
        <v>0</v>
      </c>
      <c r="M291" s="955">
        <f t="shared" si="68"/>
        <v>0</v>
      </c>
      <c r="N291" s="956">
        <f t="shared" si="69"/>
        <v>0</v>
      </c>
      <c r="O291" s="880"/>
      <c r="Q291" s="317" t="str">
        <f t="shared" si="70"/>
        <v/>
      </c>
      <c r="R291" s="317" t="str">
        <f t="shared" si="71"/>
        <v/>
      </c>
      <c r="S291" s="317" t="str">
        <f t="shared" si="72"/>
        <v/>
      </c>
      <c r="V291" s="314">
        <f>SUM(ORÇAMENTO!N291)</f>
        <v>0</v>
      </c>
      <c r="W291" s="315">
        <f t="shared" si="74"/>
        <v>0</v>
      </c>
    </row>
    <row r="292" spans="1:23" ht="15" hidden="1" customHeight="1">
      <c r="A292" s="63" t="s">
        <v>147</v>
      </c>
      <c r="B292" s="870" t="s">
        <v>147</v>
      </c>
      <c r="C292" s="871"/>
      <c r="D292" s="989" t="s">
        <v>233</v>
      </c>
      <c r="E292" s="873">
        <f>DMT!$F$10</f>
        <v>43.1</v>
      </c>
      <c r="F292" s="883">
        <v>3.4700000000000002E-2</v>
      </c>
      <c r="G292" s="923">
        <f t="shared" ref="G292" si="79">IF(E292&lt;=30,(1.07*E292+2.68)*F292,((1.07*30+2.68)+1.07*(E292-30))*F292)</f>
        <v>1.6932559000000003</v>
      </c>
      <c r="H292" s="876">
        <v>0</v>
      </c>
      <c r="I292" s="876"/>
      <c r="J292" s="877">
        <v>0</v>
      </c>
      <c r="K292" s="878" t="s">
        <v>506</v>
      </c>
      <c r="L292" s="977">
        <f>ROUND(SUM(ORÇAMENTO!L292),2)</f>
        <v>0</v>
      </c>
      <c r="M292" s="934">
        <f t="shared" si="68"/>
        <v>0</v>
      </c>
      <c r="N292" s="868">
        <f t="shared" si="69"/>
        <v>0</v>
      </c>
      <c r="O292" s="880"/>
      <c r="P292" s="58" t="str">
        <f>IF(N291&gt;0,"xx",IF(N291&gt;0,"xy",""))</f>
        <v/>
      </c>
      <c r="Q292" s="317" t="str">
        <f t="shared" si="70"/>
        <v/>
      </c>
      <c r="R292" s="317" t="str">
        <f t="shared" si="71"/>
        <v/>
      </c>
      <c r="S292" s="317" t="str">
        <f t="shared" si="72"/>
        <v/>
      </c>
      <c r="V292" s="314">
        <f>SUM(ORÇAMENTO!N292)</f>
        <v>0</v>
      </c>
      <c r="W292" s="315">
        <f t="shared" si="74"/>
        <v>0</v>
      </c>
    </row>
    <row r="293" spans="1:23" ht="15" hidden="1" customHeight="1" thickBot="1">
      <c r="A293" s="63">
        <v>589520</v>
      </c>
      <c r="B293" s="978" t="s">
        <v>1651</v>
      </c>
      <c r="C293" s="958" t="s">
        <v>213</v>
      </c>
      <c r="D293" s="990" t="s">
        <v>554</v>
      </c>
      <c r="E293" s="979">
        <f>DMT!$D$24</f>
        <v>468</v>
      </c>
      <c r="F293" s="980">
        <v>1</v>
      </c>
      <c r="G293" s="923">
        <f>(0.84*E293+41.45)*F293</f>
        <v>434.57</v>
      </c>
      <c r="H293" s="962">
        <v>4164.04</v>
      </c>
      <c r="I293" s="962">
        <f>IF(ISBLANK(H293),"",H293*(1+$E$9)/(1+$E$10))+G293</f>
        <v>4467.7810554737362</v>
      </c>
      <c r="J293" s="963">
        <f t="shared" si="60"/>
        <v>5460.52</v>
      </c>
      <c r="K293" s="964" t="s">
        <v>14</v>
      </c>
      <c r="L293" s="965">
        <f>ROUND(SUM(ORÇAMENTO!L293),2)</f>
        <v>0</v>
      </c>
      <c r="M293" s="987">
        <f t="shared" si="68"/>
        <v>0</v>
      </c>
      <c r="N293" s="967">
        <f t="shared" si="69"/>
        <v>0</v>
      </c>
      <c r="O293" s="880"/>
      <c r="P293" s="58" t="str">
        <f>IF(N291&gt;0,"xx",IF(N291&gt;0,"xy",""))</f>
        <v/>
      </c>
      <c r="Q293" s="317" t="str">
        <f t="shared" si="70"/>
        <v/>
      </c>
      <c r="R293" s="317" t="str">
        <f t="shared" si="71"/>
        <v/>
      </c>
      <c r="S293" s="317" t="str">
        <f t="shared" si="72"/>
        <v/>
      </c>
      <c r="V293" s="314">
        <f>SUM(ORÇAMENTO!N293)</f>
        <v>0</v>
      </c>
      <c r="W293" s="315">
        <f t="shared" si="74"/>
        <v>0</v>
      </c>
    </row>
    <row r="294" spans="1:23" ht="15" hidden="1" customHeight="1">
      <c r="A294" s="63">
        <v>584200</v>
      </c>
      <c r="B294" s="973" t="s">
        <v>1629</v>
      </c>
      <c r="C294" s="974" t="s">
        <v>184</v>
      </c>
      <c r="D294" s="988" t="s">
        <v>239</v>
      </c>
      <c r="E294" s="948" t="s">
        <v>562</v>
      </c>
      <c r="F294" s="949">
        <v>4.0000000000000001E-3</v>
      </c>
      <c r="G294" s="950">
        <f>SUM(G295:G295)</f>
        <v>2.3422560000000003</v>
      </c>
      <c r="H294" s="951">
        <v>8.48</v>
      </c>
      <c r="I294" s="951">
        <f>IF(ISBLANK(H294),"",SUM(G294:H294))</f>
        <v>10.822256000000001</v>
      </c>
      <c r="J294" s="952">
        <f t="shared" ref="J294:J354" si="80">IF(ISBLANK(H294),0,ROUND(I294*(1+$E$10),2))</f>
        <v>13.23</v>
      </c>
      <c r="K294" s="953" t="s">
        <v>12</v>
      </c>
      <c r="L294" s="954">
        <f>ROUND(SUM(ORÇAMENTO!L294),2)</f>
        <v>0</v>
      </c>
      <c r="M294" s="955">
        <f t="shared" si="68"/>
        <v>0</v>
      </c>
      <c r="N294" s="956">
        <f t="shared" si="69"/>
        <v>0</v>
      </c>
      <c r="O294" s="880"/>
      <c r="Q294" s="317" t="str">
        <f t="shared" si="70"/>
        <v/>
      </c>
      <c r="R294" s="317" t="str">
        <f t="shared" si="71"/>
        <v/>
      </c>
      <c r="S294" s="317" t="str">
        <f t="shared" si="72"/>
        <v/>
      </c>
      <c r="V294" s="314">
        <f>SUM(ORÇAMENTO!N294)</f>
        <v>0</v>
      </c>
      <c r="W294" s="315">
        <f t="shared" si="74"/>
        <v>0</v>
      </c>
    </row>
    <row r="295" spans="1:23" ht="15" hidden="1" customHeight="1">
      <c r="A295" s="63" t="s">
        <v>147</v>
      </c>
      <c r="B295" s="870" t="s">
        <v>147</v>
      </c>
      <c r="C295" s="871"/>
      <c r="D295" s="989" t="s">
        <v>233</v>
      </c>
      <c r="E295" s="873">
        <f>DMT!$F$10</f>
        <v>43.1</v>
      </c>
      <c r="F295" s="883">
        <v>4.8000000000000001E-2</v>
      </c>
      <c r="G295" s="923">
        <f t="shared" ref="G295" si="81">IF(E295&lt;=30,(1.07*E295+2.68)*F295,((1.07*30+2.68)+1.07*(E295-30))*F295)</f>
        <v>2.3422560000000003</v>
      </c>
      <c r="H295" s="876">
        <v>0</v>
      </c>
      <c r="I295" s="876"/>
      <c r="J295" s="877">
        <v>0</v>
      </c>
      <c r="K295" s="878" t="s">
        <v>506</v>
      </c>
      <c r="L295" s="977">
        <f>ROUND(SUM(ORÇAMENTO!L295),2)</f>
        <v>0</v>
      </c>
      <c r="M295" s="934">
        <f t="shared" si="68"/>
        <v>0</v>
      </c>
      <c r="N295" s="868">
        <f t="shared" si="69"/>
        <v>0</v>
      </c>
      <c r="O295" s="880"/>
      <c r="P295" s="58" t="str">
        <f>IF(N294&gt;0,"xx",IF(N294&gt;0,"xy",""))</f>
        <v/>
      </c>
      <c r="Q295" s="317" t="str">
        <f t="shared" si="70"/>
        <v/>
      </c>
      <c r="R295" s="317" t="str">
        <f t="shared" si="71"/>
        <v/>
      </c>
      <c r="S295" s="317" t="str">
        <f t="shared" si="72"/>
        <v/>
      </c>
      <c r="V295" s="314">
        <f>SUM(ORÇAMENTO!N295)</f>
        <v>0</v>
      </c>
      <c r="W295" s="315">
        <f t="shared" si="74"/>
        <v>0</v>
      </c>
    </row>
    <row r="296" spans="1:23" ht="15" hidden="1" customHeight="1" thickBot="1">
      <c r="A296" s="63">
        <v>589520</v>
      </c>
      <c r="B296" s="978" t="s">
        <v>1652</v>
      </c>
      <c r="C296" s="958" t="s">
        <v>213</v>
      </c>
      <c r="D296" s="990" t="s">
        <v>555</v>
      </c>
      <c r="E296" s="979">
        <f>DMT!$D$24</f>
        <v>468</v>
      </c>
      <c r="F296" s="980">
        <v>1</v>
      </c>
      <c r="G296" s="923">
        <f>(0.84*E296+41.45)*F296</f>
        <v>434.57</v>
      </c>
      <c r="H296" s="962">
        <v>4164.04</v>
      </c>
      <c r="I296" s="962">
        <f>IF(ISBLANK(H296),"",H296*(1+$E$9)/(1+$E$10))+G296</f>
        <v>4467.7810554737362</v>
      </c>
      <c r="J296" s="963">
        <f t="shared" si="80"/>
        <v>5460.52</v>
      </c>
      <c r="K296" s="964" t="s">
        <v>14</v>
      </c>
      <c r="L296" s="965">
        <f>ROUND(SUM(ORÇAMENTO!L296),2)</f>
        <v>0</v>
      </c>
      <c r="M296" s="987">
        <f t="shared" si="68"/>
        <v>0</v>
      </c>
      <c r="N296" s="967">
        <f t="shared" si="69"/>
        <v>0</v>
      </c>
      <c r="O296" s="880"/>
      <c r="P296" s="58" t="str">
        <f>IF(N294&gt;0,"xx",IF(N294&gt;0,"xy",""))</f>
        <v/>
      </c>
      <c r="Q296" s="317" t="str">
        <f t="shared" si="70"/>
        <v/>
      </c>
      <c r="R296" s="317" t="str">
        <f t="shared" si="71"/>
        <v/>
      </c>
      <c r="S296" s="317" t="str">
        <f t="shared" si="72"/>
        <v/>
      </c>
      <c r="V296" s="314">
        <f>SUM(ORÇAMENTO!N296)</f>
        <v>0</v>
      </c>
      <c r="W296" s="315">
        <f t="shared" si="74"/>
        <v>0</v>
      </c>
    </row>
    <row r="297" spans="1:23" ht="15" hidden="1" customHeight="1">
      <c r="A297" s="63">
        <v>564000</v>
      </c>
      <c r="B297" s="973">
        <v>564000</v>
      </c>
      <c r="C297" s="974" t="s">
        <v>184</v>
      </c>
      <c r="D297" s="988" t="s">
        <v>240</v>
      </c>
      <c r="E297" s="948" t="s">
        <v>562</v>
      </c>
      <c r="F297" s="949">
        <v>0.125</v>
      </c>
      <c r="G297" s="950">
        <f>SUM(G298:G298)</f>
        <v>107.35340000000002</v>
      </c>
      <c r="H297" s="951">
        <v>122.99</v>
      </c>
      <c r="I297" s="951">
        <f>IF(ISBLANK(H297),"",SUM(G297:H297))</f>
        <v>230.34340000000003</v>
      </c>
      <c r="J297" s="952">
        <f t="shared" si="80"/>
        <v>281.52999999999997</v>
      </c>
      <c r="K297" s="953" t="s">
        <v>10</v>
      </c>
      <c r="L297" s="954">
        <f>ROUND(SUM(ORÇAMENTO!L297),2)</f>
        <v>0</v>
      </c>
      <c r="M297" s="955">
        <f t="shared" si="68"/>
        <v>0</v>
      </c>
      <c r="N297" s="956">
        <f t="shared" si="69"/>
        <v>0</v>
      </c>
      <c r="O297" s="880"/>
      <c r="Q297" s="317" t="str">
        <f t="shared" si="70"/>
        <v/>
      </c>
      <c r="R297" s="317" t="str">
        <f t="shared" si="71"/>
        <v/>
      </c>
      <c r="S297" s="317" t="str">
        <f t="shared" si="72"/>
        <v/>
      </c>
      <c r="V297" s="314">
        <f>SUM(ORÇAMENTO!N297)</f>
        <v>0</v>
      </c>
      <c r="W297" s="315">
        <f t="shared" si="74"/>
        <v>0</v>
      </c>
    </row>
    <row r="298" spans="1:23" ht="15" hidden="1" customHeight="1">
      <c r="A298" s="63" t="s">
        <v>147</v>
      </c>
      <c r="B298" s="870" t="s">
        <v>147</v>
      </c>
      <c r="C298" s="871"/>
      <c r="D298" s="989" t="s">
        <v>233</v>
      </c>
      <c r="E298" s="873">
        <f>DMT!$F$10</f>
        <v>43.1</v>
      </c>
      <c r="F298" s="883">
        <v>2.2000000000000002</v>
      </c>
      <c r="G298" s="923">
        <f t="shared" ref="G298" si="82">IF(E298&lt;=30,(1.07*E298+2.68)*F298,((1.07*30+2.68)+1.07*(E298-30))*F298)</f>
        <v>107.35340000000002</v>
      </c>
      <c r="H298" s="876">
        <v>0</v>
      </c>
      <c r="I298" s="876"/>
      <c r="J298" s="877">
        <v>0</v>
      </c>
      <c r="K298" s="878" t="s">
        <v>506</v>
      </c>
      <c r="L298" s="977">
        <f>ROUND(SUM(ORÇAMENTO!L298),2)</f>
        <v>0</v>
      </c>
      <c r="M298" s="934">
        <f t="shared" si="68"/>
        <v>0</v>
      </c>
      <c r="N298" s="868">
        <f t="shared" si="69"/>
        <v>0</v>
      </c>
      <c r="O298" s="880"/>
      <c r="P298" s="58" t="str">
        <f>IF(N297&gt;0,"xx",IF(N297&gt;0,"xy",""))</f>
        <v/>
      </c>
      <c r="Q298" s="317" t="str">
        <f t="shared" si="70"/>
        <v/>
      </c>
      <c r="R298" s="317" t="str">
        <f t="shared" si="71"/>
        <v/>
      </c>
      <c r="S298" s="317" t="str">
        <f t="shared" si="72"/>
        <v/>
      </c>
      <c r="V298" s="314">
        <f>SUM(ORÇAMENTO!N298)</f>
        <v>0</v>
      </c>
      <c r="W298" s="315">
        <f t="shared" si="74"/>
        <v>0</v>
      </c>
    </row>
    <row r="299" spans="1:23" ht="15" hidden="1" customHeight="1" thickBot="1">
      <c r="A299" s="63">
        <v>589520</v>
      </c>
      <c r="B299" s="978" t="s">
        <v>1653</v>
      </c>
      <c r="C299" s="958" t="s">
        <v>213</v>
      </c>
      <c r="D299" s="990" t="s">
        <v>556</v>
      </c>
      <c r="E299" s="979">
        <f>DMT!$D$24</f>
        <v>468</v>
      </c>
      <c r="F299" s="980">
        <v>1</v>
      </c>
      <c r="G299" s="923">
        <f>(0.84*E299+41.45)*F299</f>
        <v>434.57</v>
      </c>
      <c r="H299" s="962">
        <v>4164.04</v>
      </c>
      <c r="I299" s="962">
        <f>IF(ISBLANK(H299),"",H299*(1+$E$9)/(1+$E$10))+G299</f>
        <v>4467.7810554737362</v>
      </c>
      <c r="J299" s="963">
        <f t="shared" si="80"/>
        <v>5460.52</v>
      </c>
      <c r="K299" s="964" t="s">
        <v>14</v>
      </c>
      <c r="L299" s="965">
        <f>ROUND(SUM(ORÇAMENTO!L299),2)</f>
        <v>0</v>
      </c>
      <c r="M299" s="987">
        <f t="shared" si="68"/>
        <v>0</v>
      </c>
      <c r="N299" s="967">
        <f t="shared" si="69"/>
        <v>0</v>
      </c>
      <c r="O299" s="880"/>
      <c r="P299" s="58" t="str">
        <f>IF(N297&gt;0,"xx",IF(N297&gt;0,"xy",""))</f>
        <v/>
      </c>
      <c r="Q299" s="317" t="str">
        <f t="shared" si="70"/>
        <v/>
      </c>
      <c r="R299" s="317" t="str">
        <f t="shared" si="71"/>
        <v/>
      </c>
      <c r="S299" s="317" t="str">
        <f t="shared" si="72"/>
        <v/>
      </c>
      <c r="V299" s="314">
        <f>SUM(ORÇAMENTO!N299)</f>
        <v>0</v>
      </c>
      <c r="W299" s="315">
        <f t="shared" si="74"/>
        <v>0</v>
      </c>
    </row>
    <row r="300" spans="1:23" ht="15" hidden="1" customHeight="1">
      <c r="A300" s="63">
        <v>564300</v>
      </c>
      <c r="B300" s="973">
        <v>564300</v>
      </c>
      <c r="C300" s="974" t="s">
        <v>184</v>
      </c>
      <c r="D300" s="988" t="s">
        <v>241</v>
      </c>
      <c r="E300" s="948" t="s">
        <v>563</v>
      </c>
      <c r="F300" s="949">
        <v>0.1</v>
      </c>
      <c r="G300" s="950">
        <f>SUM(G301:G301)</f>
        <v>107.35340000000002</v>
      </c>
      <c r="H300" s="951">
        <v>131</v>
      </c>
      <c r="I300" s="951">
        <f>IF(ISBLANK(H300),"",SUM(G300:H300))</f>
        <v>238.35340000000002</v>
      </c>
      <c r="J300" s="952">
        <f t="shared" si="80"/>
        <v>291.32</v>
      </c>
      <c r="K300" s="953" t="s">
        <v>10</v>
      </c>
      <c r="L300" s="954">
        <f>ROUND(SUM(ORÇAMENTO!L300),2)</f>
        <v>0</v>
      </c>
      <c r="M300" s="955">
        <f t="shared" si="68"/>
        <v>0</v>
      </c>
      <c r="N300" s="956">
        <f t="shared" si="69"/>
        <v>0</v>
      </c>
      <c r="O300" s="880"/>
      <c r="Q300" s="317" t="str">
        <f t="shared" si="70"/>
        <v/>
      </c>
      <c r="R300" s="317" t="str">
        <f t="shared" si="71"/>
        <v/>
      </c>
      <c r="S300" s="317" t="str">
        <f t="shared" si="72"/>
        <v/>
      </c>
      <c r="V300" s="314">
        <f>SUM(ORÇAMENTO!N300)</f>
        <v>0</v>
      </c>
      <c r="W300" s="315">
        <f t="shared" si="74"/>
        <v>0</v>
      </c>
    </row>
    <row r="301" spans="1:23" ht="15" hidden="1" customHeight="1">
      <c r="A301" s="63" t="s">
        <v>147</v>
      </c>
      <c r="B301" s="870" t="s">
        <v>147</v>
      </c>
      <c r="C301" s="871"/>
      <c r="D301" s="989" t="s">
        <v>233</v>
      </c>
      <c r="E301" s="873">
        <f>DMT!$F$10</f>
        <v>43.1</v>
      </c>
      <c r="F301" s="883">
        <v>2.2000000000000002</v>
      </c>
      <c r="G301" s="923">
        <f t="shared" ref="G301" si="83">IF(E301&lt;=30,(1.07*E301+2.68)*F301,((1.07*30+2.68)+1.07*(E301-30))*F301)</f>
        <v>107.35340000000002</v>
      </c>
      <c r="H301" s="876">
        <v>0</v>
      </c>
      <c r="I301" s="876"/>
      <c r="J301" s="877">
        <v>0</v>
      </c>
      <c r="K301" s="878" t="s">
        <v>506</v>
      </c>
      <c r="L301" s="977">
        <f>ROUND(SUM(ORÇAMENTO!L301),2)</f>
        <v>0</v>
      </c>
      <c r="M301" s="934">
        <f t="shared" si="68"/>
        <v>0</v>
      </c>
      <c r="N301" s="868">
        <f t="shared" si="69"/>
        <v>0</v>
      </c>
      <c r="O301" s="880"/>
      <c r="P301" s="58" t="str">
        <f>IF(N300&gt;0,"xx",IF(N300&gt;0,"xy",""))</f>
        <v/>
      </c>
      <c r="Q301" s="317" t="str">
        <f t="shared" si="70"/>
        <v/>
      </c>
      <c r="R301" s="317" t="str">
        <f t="shared" si="71"/>
        <v/>
      </c>
      <c r="S301" s="317" t="str">
        <f t="shared" si="72"/>
        <v/>
      </c>
      <c r="V301" s="314">
        <f>SUM(ORÇAMENTO!N301)</f>
        <v>0</v>
      </c>
      <c r="W301" s="315">
        <f t="shared" si="74"/>
        <v>0</v>
      </c>
    </row>
    <row r="302" spans="1:23" ht="15" hidden="1" customHeight="1" thickBot="1">
      <c r="A302" s="63">
        <v>589000</v>
      </c>
      <c r="B302" s="978" t="s">
        <v>693</v>
      </c>
      <c r="C302" s="958" t="s">
        <v>213</v>
      </c>
      <c r="D302" s="990" t="s">
        <v>557</v>
      </c>
      <c r="E302" s="979">
        <f>DMT!$D$19</f>
        <v>468</v>
      </c>
      <c r="F302" s="980">
        <v>1</v>
      </c>
      <c r="G302" s="923">
        <f>(0.84*E302+41.45)*F302</f>
        <v>434.57</v>
      </c>
      <c r="H302" s="962">
        <v>4828.8599999999997</v>
      </c>
      <c r="I302" s="962">
        <f>IF(ISBLANK(H302),"",H302*(1+$E$9)/(1+$E$10))+G302</f>
        <v>5111.7132400589098</v>
      </c>
      <c r="J302" s="963">
        <f t="shared" si="80"/>
        <v>6247.54</v>
      </c>
      <c r="K302" s="964" t="s">
        <v>14</v>
      </c>
      <c r="L302" s="965">
        <f>ROUND(SUM(ORÇAMENTO!L302),2)</f>
        <v>0</v>
      </c>
      <c r="M302" s="987">
        <f t="shared" si="68"/>
        <v>0</v>
      </c>
      <c r="N302" s="967">
        <f t="shared" si="69"/>
        <v>0</v>
      </c>
      <c r="O302" s="880"/>
      <c r="P302" s="58" t="str">
        <f>IF(N300&gt;0,"xx",IF(N300&gt;0,"xy",""))</f>
        <v/>
      </c>
      <c r="Q302" s="317" t="str">
        <f t="shared" si="70"/>
        <v/>
      </c>
      <c r="R302" s="317" t="str">
        <f t="shared" si="71"/>
        <v/>
      </c>
      <c r="S302" s="317" t="str">
        <f t="shared" si="72"/>
        <v/>
      </c>
      <c r="V302" s="314">
        <f>SUM(ORÇAMENTO!N302)</f>
        <v>0</v>
      </c>
      <c r="W302" s="315">
        <f t="shared" si="74"/>
        <v>0</v>
      </c>
    </row>
    <row r="303" spans="1:23" ht="15" hidden="1" customHeight="1">
      <c r="A303" s="63">
        <v>563100</v>
      </c>
      <c r="B303" s="973" t="s">
        <v>1737</v>
      </c>
      <c r="C303" s="974" t="s">
        <v>184</v>
      </c>
      <c r="D303" s="991" t="s">
        <v>242</v>
      </c>
      <c r="E303" s="948" t="s">
        <v>562</v>
      </c>
      <c r="F303" s="949">
        <v>5.0000000000000001E-4</v>
      </c>
      <c r="G303" s="950">
        <f>SUM(G304:G304)</f>
        <v>0.34157900000000002</v>
      </c>
      <c r="H303" s="951">
        <v>1.27</v>
      </c>
      <c r="I303" s="951">
        <f>IF(ISBLANK(H303),"",SUM(G303:H303))</f>
        <v>1.6115790000000001</v>
      </c>
      <c r="J303" s="952">
        <f t="shared" si="80"/>
        <v>1.97</v>
      </c>
      <c r="K303" s="953" t="s">
        <v>12</v>
      </c>
      <c r="L303" s="954">
        <f>ROUND(SUM(ORÇAMENTO!L303),2)</f>
        <v>0</v>
      </c>
      <c r="M303" s="955">
        <f t="shared" si="68"/>
        <v>0</v>
      </c>
      <c r="N303" s="956">
        <f t="shared" si="69"/>
        <v>0</v>
      </c>
      <c r="O303" s="880"/>
      <c r="Q303" s="317" t="str">
        <f t="shared" si="70"/>
        <v/>
      </c>
      <c r="R303" s="317" t="str">
        <f t="shared" si="71"/>
        <v/>
      </c>
      <c r="S303" s="317" t="str">
        <f t="shared" si="72"/>
        <v/>
      </c>
      <c r="V303" s="314">
        <f>SUM(ORÇAMENTO!N303)</f>
        <v>0</v>
      </c>
      <c r="W303" s="315">
        <f t="shared" si="74"/>
        <v>0</v>
      </c>
    </row>
    <row r="304" spans="1:23" ht="15" hidden="1" customHeight="1">
      <c r="A304" s="63" t="s">
        <v>147</v>
      </c>
      <c r="B304" s="870" t="s">
        <v>147</v>
      </c>
      <c r="C304" s="871"/>
      <c r="D304" s="992" t="s">
        <v>233</v>
      </c>
      <c r="E304" s="873">
        <f>DMT!$F$10</f>
        <v>43.1</v>
      </c>
      <c r="F304" s="883">
        <v>7.0000000000000001E-3</v>
      </c>
      <c r="G304" s="923">
        <f t="shared" ref="G304" si="84">IF(E304&lt;=30,(1.07*E304+2.68)*F304,((1.07*30+2.68)+1.07*(E304-30))*F304)</f>
        <v>0.34157900000000002</v>
      </c>
      <c r="H304" s="876">
        <v>0</v>
      </c>
      <c r="I304" s="876"/>
      <c r="J304" s="877">
        <v>0</v>
      </c>
      <c r="K304" s="878" t="s">
        <v>506</v>
      </c>
      <c r="L304" s="977">
        <f>ROUND(SUM(ORÇAMENTO!L304),2)</f>
        <v>0</v>
      </c>
      <c r="M304" s="934">
        <f t="shared" si="68"/>
        <v>0</v>
      </c>
      <c r="N304" s="868">
        <f t="shared" si="69"/>
        <v>0</v>
      </c>
      <c r="O304" s="880"/>
      <c r="P304" s="58" t="str">
        <f>IF(N303&gt;0,"xx",IF(N303&gt;0,"xy",""))</f>
        <v/>
      </c>
      <c r="Q304" s="317" t="str">
        <f t="shared" si="70"/>
        <v/>
      </c>
      <c r="R304" s="317" t="str">
        <f t="shared" si="71"/>
        <v/>
      </c>
      <c r="S304" s="317" t="str">
        <f t="shared" si="72"/>
        <v/>
      </c>
      <c r="V304" s="314">
        <f>SUM(ORÇAMENTO!N304)</f>
        <v>0</v>
      </c>
      <c r="W304" s="315">
        <f t="shared" si="74"/>
        <v>0</v>
      </c>
    </row>
    <row r="305" spans="1:23" ht="15" hidden="1" customHeight="1" thickBot="1">
      <c r="A305" s="63">
        <v>589520</v>
      </c>
      <c r="B305" s="978" t="s">
        <v>1654</v>
      </c>
      <c r="C305" s="958" t="s">
        <v>213</v>
      </c>
      <c r="D305" s="986" t="s">
        <v>558</v>
      </c>
      <c r="E305" s="979">
        <f>DMT!$D$24</f>
        <v>468</v>
      </c>
      <c r="F305" s="980">
        <v>1</v>
      </c>
      <c r="G305" s="923">
        <f>(0.84*E305+41.45)*F305</f>
        <v>434.57</v>
      </c>
      <c r="H305" s="962">
        <v>4164.04</v>
      </c>
      <c r="I305" s="962">
        <f>IF(ISBLANK(H305),"",H305*(1+$E$9)/(1+$E$10))+G305</f>
        <v>4467.7810554737362</v>
      </c>
      <c r="J305" s="963">
        <f t="shared" si="80"/>
        <v>5460.52</v>
      </c>
      <c r="K305" s="964" t="s">
        <v>14</v>
      </c>
      <c r="L305" s="965">
        <f>ROUND(SUM(ORÇAMENTO!L305),2)</f>
        <v>0</v>
      </c>
      <c r="M305" s="987">
        <f t="shared" si="68"/>
        <v>0</v>
      </c>
      <c r="N305" s="967">
        <f t="shared" si="69"/>
        <v>0</v>
      </c>
      <c r="O305" s="880"/>
      <c r="P305" s="58" t="str">
        <f>IF(N303&gt;0,"xx",IF(N303&gt;0,"xy",""))</f>
        <v/>
      </c>
      <c r="Q305" s="317" t="str">
        <f t="shared" si="70"/>
        <v/>
      </c>
      <c r="R305" s="317" t="str">
        <f t="shared" si="71"/>
        <v/>
      </c>
      <c r="S305" s="317" t="str">
        <f t="shared" si="72"/>
        <v/>
      </c>
      <c r="V305" s="314">
        <f>SUM(ORÇAMENTO!N305)</f>
        <v>0</v>
      </c>
      <c r="W305" s="315">
        <f t="shared" si="74"/>
        <v>0</v>
      </c>
    </row>
    <row r="306" spans="1:23" ht="15" hidden="1" customHeight="1">
      <c r="A306" s="63">
        <v>534000</v>
      </c>
      <c r="B306" s="973" t="s">
        <v>593</v>
      </c>
      <c r="C306" s="974" t="s">
        <v>184</v>
      </c>
      <c r="D306" s="947" t="s">
        <v>2181</v>
      </c>
      <c r="E306" s="948" t="s">
        <v>564</v>
      </c>
      <c r="F306" s="949">
        <v>0.08</v>
      </c>
      <c r="G306" s="950">
        <f>SUM(G307:G310)</f>
        <v>119.40668000000001</v>
      </c>
      <c r="H306" s="951">
        <v>141.84</v>
      </c>
      <c r="I306" s="951">
        <f>IF(ISBLANK(H306),"",SUM(G306:H306))</f>
        <v>261.24668000000003</v>
      </c>
      <c r="J306" s="952">
        <f t="shared" si="80"/>
        <v>319.3</v>
      </c>
      <c r="K306" s="953" t="s">
        <v>10</v>
      </c>
      <c r="L306" s="954">
        <f>ROUND(SUM(ORÇAMENTO!L306),2)</f>
        <v>0</v>
      </c>
      <c r="M306" s="955">
        <f t="shared" si="68"/>
        <v>0</v>
      </c>
      <c r="N306" s="956">
        <f t="shared" si="69"/>
        <v>0</v>
      </c>
      <c r="O306" s="880"/>
      <c r="Q306" s="317" t="str">
        <f t="shared" si="70"/>
        <v/>
      </c>
      <c r="R306" s="317" t="str">
        <f t="shared" si="71"/>
        <v/>
      </c>
      <c r="S306" s="317" t="str">
        <f t="shared" si="72"/>
        <v/>
      </c>
      <c r="V306" s="314">
        <f>SUM(ORÇAMENTO!N306)</f>
        <v>0</v>
      </c>
      <c r="W306" s="315">
        <f t="shared" si="74"/>
        <v>0</v>
      </c>
    </row>
    <row r="307" spans="1:23" ht="15" hidden="1" customHeight="1">
      <c r="A307" s="63" t="s">
        <v>147</v>
      </c>
      <c r="B307" s="870" t="s">
        <v>147</v>
      </c>
      <c r="C307" s="871"/>
      <c r="D307" s="931" t="s">
        <v>229</v>
      </c>
      <c r="E307" s="882">
        <f>DMT!$F$42</f>
        <v>290</v>
      </c>
      <c r="F307" s="883"/>
      <c r="G307" s="923">
        <f t="shared" ref="G307:G309" si="85">IF(E307&lt;=30,(1.07*E307+2.68)*F307,((1.07*30+2.68)+1.07*(E307-30))*F307)</f>
        <v>0</v>
      </c>
      <c r="H307" s="876">
        <v>0</v>
      </c>
      <c r="I307" s="876"/>
      <c r="J307" s="877">
        <v>0</v>
      </c>
      <c r="K307" s="878" t="s">
        <v>506</v>
      </c>
      <c r="L307" s="977">
        <f>ROUND(SUM(ORÇAMENTO!L307),2)</f>
        <v>0</v>
      </c>
      <c r="M307" s="934">
        <f t="shared" si="68"/>
        <v>0</v>
      </c>
      <c r="N307" s="868">
        <f t="shared" si="69"/>
        <v>0</v>
      </c>
      <c r="O307" s="880"/>
      <c r="P307" s="58" t="str">
        <f>IF(N306&gt;0,"xx",IF(N306&gt;0,"xy",""))</f>
        <v/>
      </c>
      <c r="Q307" s="317" t="str">
        <f t="shared" si="70"/>
        <v/>
      </c>
      <c r="R307" s="317" t="str">
        <f t="shared" si="71"/>
        <v/>
      </c>
      <c r="S307" s="317" t="str">
        <f t="shared" si="72"/>
        <v/>
      </c>
      <c r="V307" s="314">
        <f>SUM(ORÇAMENTO!N307)</f>
        <v>0</v>
      </c>
      <c r="W307" s="315">
        <f t="shared" si="74"/>
        <v>0</v>
      </c>
    </row>
    <row r="308" spans="1:23" ht="15" hidden="1" customHeight="1">
      <c r="A308" s="63" t="s">
        <v>147</v>
      </c>
      <c r="B308" s="870" t="s">
        <v>147</v>
      </c>
      <c r="C308" s="871"/>
      <c r="D308" s="931" t="s">
        <v>230</v>
      </c>
      <c r="E308" s="882">
        <f>DMT!$D$46</f>
        <v>445</v>
      </c>
      <c r="F308" s="883"/>
      <c r="G308" s="884">
        <f>IF(E308&lt;=30,(0.78*E308+7.82)*F308,((0.78*30+7.82)+0.78*(E308-30))*F308)</f>
        <v>0</v>
      </c>
      <c r="H308" s="876">
        <v>0</v>
      </c>
      <c r="I308" s="876"/>
      <c r="J308" s="877">
        <v>0</v>
      </c>
      <c r="K308" s="878" t="s">
        <v>506</v>
      </c>
      <c r="L308" s="977">
        <f>ROUND(SUM(ORÇAMENTO!L308),2)</f>
        <v>0</v>
      </c>
      <c r="M308" s="934">
        <f t="shared" si="68"/>
        <v>0</v>
      </c>
      <c r="N308" s="868">
        <f t="shared" si="69"/>
        <v>0</v>
      </c>
      <c r="O308" s="880"/>
      <c r="P308" s="58" t="str">
        <f>IF(N306&gt;0,"xx",IF(N306&gt;0,"xy",""))</f>
        <v/>
      </c>
      <c r="Q308" s="317" t="str">
        <f t="shared" si="70"/>
        <v/>
      </c>
      <c r="R308" s="317" t="str">
        <f t="shared" si="71"/>
        <v/>
      </c>
      <c r="S308" s="317" t="str">
        <f t="shared" si="72"/>
        <v/>
      </c>
      <c r="V308" s="314">
        <f>SUM(ORÇAMENTO!N308)</f>
        <v>0</v>
      </c>
      <c r="W308" s="315">
        <f t="shared" si="74"/>
        <v>0</v>
      </c>
    </row>
    <row r="309" spans="1:23" ht="15" hidden="1" customHeight="1">
      <c r="A309" s="63" t="s">
        <v>147</v>
      </c>
      <c r="B309" s="870" t="s">
        <v>147</v>
      </c>
      <c r="C309" s="871"/>
      <c r="D309" s="931" t="s">
        <v>243</v>
      </c>
      <c r="E309" s="882">
        <f>DMT!$F$43</f>
        <v>0.2</v>
      </c>
      <c r="F309" s="883">
        <v>2.12</v>
      </c>
      <c r="G309" s="923">
        <f t="shared" si="85"/>
        <v>6.1352800000000007</v>
      </c>
      <c r="H309" s="876">
        <v>0</v>
      </c>
      <c r="I309" s="876"/>
      <c r="J309" s="877">
        <v>0</v>
      </c>
      <c r="K309" s="878" t="s">
        <v>506</v>
      </c>
      <c r="L309" s="977">
        <f>ROUND(SUM(ORÇAMENTO!L309),2)</f>
        <v>0</v>
      </c>
      <c r="M309" s="934">
        <f t="shared" si="68"/>
        <v>0</v>
      </c>
      <c r="N309" s="868">
        <f t="shared" si="69"/>
        <v>0</v>
      </c>
      <c r="O309" s="880"/>
      <c r="P309" s="58" t="str">
        <f>IF(N306&gt;0,"xx",IF(N306&gt;0,"xy",""))</f>
        <v/>
      </c>
      <c r="Q309" s="317" t="str">
        <f t="shared" si="70"/>
        <v/>
      </c>
      <c r="R309" s="317" t="str">
        <f t="shared" si="71"/>
        <v/>
      </c>
      <c r="S309" s="317" t="str">
        <f t="shared" si="72"/>
        <v/>
      </c>
      <c r="V309" s="314">
        <f>SUM(ORÇAMENTO!N309)</f>
        <v>0</v>
      </c>
      <c r="W309" s="315">
        <f t="shared" si="74"/>
        <v>0</v>
      </c>
    </row>
    <row r="310" spans="1:23" ht="15" hidden="1" customHeight="1">
      <c r="A310" s="63" t="s">
        <v>147</v>
      </c>
      <c r="B310" s="870" t="s">
        <v>147</v>
      </c>
      <c r="C310" s="871"/>
      <c r="D310" s="931" t="s">
        <v>244</v>
      </c>
      <c r="E310" s="882">
        <f>DMT!$F$28</f>
        <v>43.1</v>
      </c>
      <c r="F310" s="883">
        <f>SUM(F306:F309)</f>
        <v>2.2000000000000002</v>
      </c>
      <c r="G310" s="887">
        <f>IF(E310&lt;=30,(1.07*E310+5.37)*F310,((1.07*30+5.37)+1.07*(E310-30))*F310)</f>
        <v>113.27140000000001</v>
      </c>
      <c r="H310" s="876">
        <v>0</v>
      </c>
      <c r="I310" s="876"/>
      <c r="J310" s="877">
        <v>0</v>
      </c>
      <c r="K310" s="878" t="s">
        <v>506</v>
      </c>
      <c r="L310" s="977">
        <f>ROUND(SUM(ORÇAMENTO!L310),2)</f>
        <v>0</v>
      </c>
      <c r="M310" s="934">
        <f t="shared" si="68"/>
        <v>0</v>
      </c>
      <c r="N310" s="868">
        <f t="shared" si="69"/>
        <v>0</v>
      </c>
      <c r="O310" s="880"/>
      <c r="P310" s="58" t="str">
        <f>IF(N306&gt;0,"xx",IF(N306&gt;0,"xy",""))</f>
        <v/>
      </c>
      <c r="Q310" s="317" t="str">
        <f t="shared" si="70"/>
        <v/>
      </c>
      <c r="R310" s="317" t="str">
        <f t="shared" si="71"/>
        <v/>
      </c>
      <c r="S310" s="317" t="str">
        <f t="shared" si="72"/>
        <v/>
      </c>
      <c r="V310" s="314">
        <f>SUM(ORÇAMENTO!N310)</f>
        <v>0</v>
      </c>
      <c r="W310" s="315">
        <f t="shared" si="74"/>
        <v>0</v>
      </c>
    </row>
    <row r="311" spans="1:23" ht="15" hidden="1" customHeight="1" thickBot="1">
      <c r="A311" s="63">
        <v>589320</v>
      </c>
      <c r="B311" s="978" t="s">
        <v>704</v>
      </c>
      <c r="C311" s="958" t="s">
        <v>213</v>
      </c>
      <c r="D311" s="986" t="s">
        <v>684</v>
      </c>
      <c r="E311" s="979">
        <f>DMT!$D$47</f>
        <v>468</v>
      </c>
      <c r="F311" s="980">
        <v>1</v>
      </c>
      <c r="G311" s="923">
        <f>(0.84*E311+41.45)*F311</f>
        <v>434.57</v>
      </c>
      <c r="H311" s="962">
        <v>4012.83</v>
      </c>
      <c r="I311" s="962">
        <f>IF(ISBLANK(H311),"",H311*(1+$E$9)/(1+$E$10))+G311</f>
        <v>4321.3218851251841</v>
      </c>
      <c r="J311" s="963">
        <f t="shared" si="80"/>
        <v>5281.52</v>
      </c>
      <c r="K311" s="964" t="s">
        <v>14</v>
      </c>
      <c r="L311" s="965">
        <f>ROUND(SUM(ORÇAMENTO!L311),2)</f>
        <v>0</v>
      </c>
      <c r="M311" s="987">
        <f t="shared" si="68"/>
        <v>0</v>
      </c>
      <c r="N311" s="967">
        <f t="shared" si="69"/>
        <v>0</v>
      </c>
      <c r="O311" s="880"/>
      <c r="P311" s="58" t="str">
        <f>IF(N306&gt;0,"xx",IF(N306&gt;0,"xy",""))</f>
        <v/>
      </c>
      <c r="Q311" s="317" t="str">
        <f t="shared" si="70"/>
        <v/>
      </c>
      <c r="R311" s="317" t="str">
        <f t="shared" si="71"/>
        <v/>
      </c>
      <c r="S311" s="317" t="str">
        <f t="shared" si="72"/>
        <v/>
      </c>
      <c r="V311" s="314">
        <f>SUM(ORÇAMENTO!N311)</f>
        <v>0</v>
      </c>
      <c r="W311" s="315">
        <f t="shared" si="74"/>
        <v>0</v>
      </c>
    </row>
    <row r="312" spans="1:23" ht="15" hidden="1" customHeight="1">
      <c r="A312" s="63">
        <v>534000</v>
      </c>
      <c r="B312" s="973" t="s">
        <v>594</v>
      </c>
      <c r="C312" s="974" t="s">
        <v>184</v>
      </c>
      <c r="D312" s="947" t="s">
        <v>2182</v>
      </c>
      <c r="E312" s="948" t="s">
        <v>564</v>
      </c>
      <c r="F312" s="949">
        <v>0.08</v>
      </c>
      <c r="G312" s="950">
        <f>SUM(G313:G316)</f>
        <v>119.40668000000001</v>
      </c>
      <c r="H312" s="951">
        <v>141.84</v>
      </c>
      <c r="I312" s="951">
        <f>IF(ISBLANK(H312),"",SUM(G312:H312))</f>
        <v>261.24668000000003</v>
      </c>
      <c r="J312" s="952">
        <f t="shared" si="80"/>
        <v>319.3</v>
      </c>
      <c r="K312" s="953" t="s">
        <v>10</v>
      </c>
      <c r="L312" s="954">
        <f>ROUND(SUM(ORÇAMENTO!L312),2)</f>
        <v>0</v>
      </c>
      <c r="M312" s="955">
        <f t="shared" si="68"/>
        <v>0</v>
      </c>
      <c r="N312" s="956">
        <f t="shared" si="69"/>
        <v>0</v>
      </c>
      <c r="O312" s="880"/>
      <c r="Q312" s="317" t="str">
        <f t="shared" si="70"/>
        <v/>
      </c>
      <c r="R312" s="317" t="str">
        <f t="shared" si="71"/>
        <v/>
      </c>
      <c r="S312" s="317" t="str">
        <f t="shared" si="72"/>
        <v/>
      </c>
      <c r="V312" s="314">
        <f>SUM(ORÇAMENTO!N312)</f>
        <v>0</v>
      </c>
      <c r="W312" s="315">
        <f t="shared" si="74"/>
        <v>0</v>
      </c>
    </row>
    <row r="313" spans="1:23" ht="15" hidden="1" customHeight="1">
      <c r="A313" s="63" t="s">
        <v>147</v>
      </c>
      <c r="B313" s="870" t="s">
        <v>147</v>
      </c>
      <c r="C313" s="871"/>
      <c r="D313" s="931" t="s">
        <v>229</v>
      </c>
      <c r="E313" s="882">
        <f>DMT!$F$42</f>
        <v>290</v>
      </c>
      <c r="F313" s="883"/>
      <c r="G313" s="923">
        <f t="shared" ref="G313:G315" si="86">IF(E313&lt;=30,(1.07*E313+2.68)*F313,((1.07*30+2.68)+1.07*(E313-30))*F313)</f>
        <v>0</v>
      </c>
      <c r="H313" s="876">
        <v>0</v>
      </c>
      <c r="I313" s="876"/>
      <c r="J313" s="877">
        <v>0</v>
      </c>
      <c r="K313" s="878" t="s">
        <v>506</v>
      </c>
      <c r="L313" s="977">
        <f>ROUND(SUM(ORÇAMENTO!L313),2)</f>
        <v>0</v>
      </c>
      <c r="M313" s="934">
        <f t="shared" si="68"/>
        <v>0</v>
      </c>
      <c r="N313" s="868">
        <f t="shared" si="69"/>
        <v>0</v>
      </c>
      <c r="O313" s="880"/>
      <c r="P313" s="58" t="str">
        <f>IF(N312&gt;0,"xx",IF(N312&gt;0,"xy",""))</f>
        <v/>
      </c>
      <c r="Q313" s="317" t="str">
        <f t="shared" si="70"/>
        <v/>
      </c>
      <c r="R313" s="317" t="str">
        <f t="shared" si="71"/>
        <v/>
      </c>
      <c r="S313" s="317" t="str">
        <f t="shared" si="72"/>
        <v/>
      </c>
      <c r="V313" s="314">
        <f>SUM(ORÇAMENTO!N313)</f>
        <v>0</v>
      </c>
      <c r="W313" s="315">
        <f t="shared" si="74"/>
        <v>0</v>
      </c>
    </row>
    <row r="314" spans="1:23" ht="15" hidden="1" customHeight="1">
      <c r="A314" s="63" t="s">
        <v>147</v>
      </c>
      <c r="B314" s="870" t="s">
        <v>147</v>
      </c>
      <c r="C314" s="871"/>
      <c r="D314" s="931" t="s">
        <v>230</v>
      </c>
      <c r="E314" s="882">
        <f>DMT!$D$46</f>
        <v>445</v>
      </c>
      <c r="F314" s="883"/>
      <c r="G314" s="884">
        <f>IF(E314&lt;=30,(0.78*E314+7.82)*F314,((0.78*30+7.82)+0.78*(E314-30))*F314)</f>
        <v>0</v>
      </c>
      <c r="H314" s="876">
        <v>0</v>
      </c>
      <c r="I314" s="876"/>
      <c r="J314" s="877">
        <v>0</v>
      </c>
      <c r="K314" s="878" t="s">
        <v>506</v>
      </c>
      <c r="L314" s="977">
        <f>ROUND(SUM(ORÇAMENTO!L314),2)</f>
        <v>0</v>
      </c>
      <c r="M314" s="934">
        <f t="shared" si="68"/>
        <v>0</v>
      </c>
      <c r="N314" s="868">
        <f t="shared" si="69"/>
        <v>0</v>
      </c>
      <c r="O314" s="880"/>
      <c r="P314" s="58" t="str">
        <f>IF(N312&gt;0,"xx",IF(N312&gt;0,"xy",""))</f>
        <v/>
      </c>
      <c r="Q314" s="317" t="str">
        <f t="shared" si="70"/>
        <v/>
      </c>
      <c r="R314" s="317" t="str">
        <f t="shared" si="71"/>
        <v/>
      </c>
      <c r="S314" s="317" t="str">
        <f t="shared" si="72"/>
        <v/>
      </c>
      <c r="V314" s="314">
        <f>SUM(ORÇAMENTO!N314)</f>
        <v>0</v>
      </c>
      <c r="W314" s="315">
        <f t="shared" si="74"/>
        <v>0</v>
      </c>
    </row>
    <row r="315" spans="1:23" ht="15" hidden="1" customHeight="1">
      <c r="A315" s="63" t="s">
        <v>147</v>
      </c>
      <c r="B315" s="870" t="s">
        <v>147</v>
      </c>
      <c r="C315" s="871"/>
      <c r="D315" s="931" t="s">
        <v>243</v>
      </c>
      <c r="E315" s="882">
        <f>DMT!$F$43</f>
        <v>0.2</v>
      </c>
      <c r="F315" s="883">
        <v>2.12</v>
      </c>
      <c r="G315" s="923">
        <f t="shared" si="86"/>
        <v>6.1352800000000007</v>
      </c>
      <c r="H315" s="876">
        <v>0</v>
      </c>
      <c r="I315" s="876"/>
      <c r="J315" s="877">
        <v>0</v>
      </c>
      <c r="K315" s="878" t="s">
        <v>506</v>
      </c>
      <c r="L315" s="977">
        <f>ROUND(SUM(ORÇAMENTO!L315),2)</f>
        <v>0</v>
      </c>
      <c r="M315" s="934">
        <f t="shared" si="68"/>
        <v>0</v>
      </c>
      <c r="N315" s="868">
        <f t="shared" si="69"/>
        <v>0</v>
      </c>
      <c r="O315" s="880"/>
      <c r="P315" s="58" t="str">
        <f>IF(N312&gt;0,"xx",IF(N312&gt;0,"xy",""))</f>
        <v/>
      </c>
      <c r="Q315" s="317" t="str">
        <f t="shared" si="70"/>
        <v/>
      </c>
      <c r="R315" s="317" t="str">
        <f t="shared" si="71"/>
        <v/>
      </c>
      <c r="S315" s="317" t="str">
        <f t="shared" si="72"/>
        <v/>
      </c>
      <c r="V315" s="314">
        <f>SUM(ORÇAMENTO!N315)</f>
        <v>0</v>
      </c>
      <c r="W315" s="315">
        <f t="shared" si="74"/>
        <v>0</v>
      </c>
    </row>
    <row r="316" spans="1:23" ht="15" hidden="1" customHeight="1">
      <c r="A316" s="63" t="s">
        <v>147</v>
      </c>
      <c r="B316" s="870" t="s">
        <v>147</v>
      </c>
      <c r="C316" s="871"/>
      <c r="D316" s="931" t="s">
        <v>244</v>
      </c>
      <c r="E316" s="882">
        <f>DMT!$F$28</f>
        <v>43.1</v>
      </c>
      <c r="F316" s="883">
        <f>SUM(F312:F315)</f>
        <v>2.2000000000000002</v>
      </c>
      <c r="G316" s="887">
        <f>IF(E316&lt;=30,(1.07*E316+5.37)*F316,((1.07*30+5.37)+1.07*(E316-30))*F316)</f>
        <v>113.27140000000001</v>
      </c>
      <c r="H316" s="876">
        <v>0</v>
      </c>
      <c r="I316" s="876"/>
      <c r="J316" s="877">
        <v>0</v>
      </c>
      <c r="K316" s="878" t="s">
        <v>506</v>
      </c>
      <c r="L316" s="977">
        <f>ROUND(SUM(ORÇAMENTO!L316),2)</f>
        <v>0</v>
      </c>
      <c r="M316" s="934">
        <f t="shared" si="68"/>
        <v>0</v>
      </c>
      <c r="N316" s="868">
        <f t="shared" si="69"/>
        <v>0</v>
      </c>
      <c r="O316" s="880"/>
      <c r="P316" s="58" t="str">
        <f>IF(N312&gt;0,"xx",IF(N312&gt;0,"xy",""))</f>
        <v/>
      </c>
      <c r="Q316" s="317" t="str">
        <f t="shared" si="70"/>
        <v/>
      </c>
      <c r="R316" s="317" t="str">
        <f t="shared" si="71"/>
        <v/>
      </c>
      <c r="S316" s="317" t="str">
        <f t="shared" si="72"/>
        <v/>
      </c>
      <c r="V316" s="314">
        <f>SUM(ORÇAMENTO!N316)</f>
        <v>0</v>
      </c>
      <c r="W316" s="315">
        <f t="shared" si="74"/>
        <v>0</v>
      </c>
    </row>
    <row r="317" spans="1:23" ht="15" hidden="1" customHeight="1" thickBot="1">
      <c r="A317" s="63">
        <v>589320</v>
      </c>
      <c r="B317" s="978" t="s">
        <v>705</v>
      </c>
      <c r="C317" s="958" t="s">
        <v>213</v>
      </c>
      <c r="D317" s="986" t="s">
        <v>684</v>
      </c>
      <c r="E317" s="979">
        <f>DMT!$D$47</f>
        <v>468</v>
      </c>
      <c r="F317" s="980">
        <v>1</v>
      </c>
      <c r="G317" s="923">
        <f>(0.84*E317+41.45)*F317</f>
        <v>434.57</v>
      </c>
      <c r="H317" s="962">
        <v>4012.83</v>
      </c>
      <c r="I317" s="962">
        <f>IF(ISBLANK(H317),"",H317*(1+$E$9)/(1+$E$10))+G317</f>
        <v>4321.3218851251841</v>
      </c>
      <c r="J317" s="963">
        <f t="shared" si="80"/>
        <v>5281.52</v>
      </c>
      <c r="K317" s="964" t="s">
        <v>14</v>
      </c>
      <c r="L317" s="965">
        <f>ROUND(SUM(ORÇAMENTO!L317),2)</f>
        <v>0</v>
      </c>
      <c r="M317" s="987">
        <f t="shared" si="68"/>
        <v>0</v>
      </c>
      <c r="N317" s="967">
        <f t="shared" si="69"/>
        <v>0</v>
      </c>
      <c r="O317" s="880"/>
      <c r="P317" s="58" t="str">
        <f>IF(N312&gt;0,"xx",IF(N312&gt;0,"xy",""))</f>
        <v/>
      </c>
      <c r="Q317" s="317" t="str">
        <f t="shared" si="70"/>
        <v/>
      </c>
      <c r="R317" s="317" t="str">
        <f t="shared" si="71"/>
        <v/>
      </c>
      <c r="S317" s="317" t="str">
        <f t="shared" si="72"/>
        <v/>
      </c>
      <c r="V317" s="314">
        <f>SUM(ORÇAMENTO!N317)</f>
        <v>0</v>
      </c>
      <c r="W317" s="315">
        <f t="shared" si="74"/>
        <v>0</v>
      </c>
    </row>
    <row r="318" spans="1:23" ht="15" hidden="1" customHeight="1">
      <c r="A318" s="63">
        <v>534000</v>
      </c>
      <c r="B318" s="973" t="s">
        <v>1630</v>
      </c>
      <c r="C318" s="974" t="s">
        <v>184</v>
      </c>
      <c r="D318" s="947" t="s">
        <v>2183</v>
      </c>
      <c r="E318" s="948" t="s">
        <v>564</v>
      </c>
      <c r="F318" s="949">
        <v>0.08</v>
      </c>
      <c r="G318" s="950">
        <f>SUM(G319:G322)</f>
        <v>119.40668000000001</v>
      </c>
      <c r="H318" s="951">
        <v>141.84</v>
      </c>
      <c r="I318" s="951">
        <f>IF(ISBLANK(H318),"",SUM(G318:H318))</f>
        <v>261.24668000000003</v>
      </c>
      <c r="J318" s="952">
        <f t="shared" si="80"/>
        <v>319.3</v>
      </c>
      <c r="K318" s="953" t="s">
        <v>10</v>
      </c>
      <c r="L318" s="954">
        <f>ROUND(SUM(ORÇAMENTO!L318),2)</f>
        <v>0</v>
      </c>
      <c r="M318" s="955">
        <f t="shared" si="68"/>
        <v>0</v>
      </c>
      <c r="N318" s="956">
        <f t="shared" si="69"/>
        <v>0</v>
      </c>
      <c r="O318" s="880"/>
      <c r="Q318" s="317" t="str">
        <f t="shared" si="70"/>
        <v/>
      </c>
      <c r="R318" s="317" t="str">
        <f t="shared" si="71"/>
        <v/>
      </c>
      <c r="S318" s="317" t="str">
        <f t="shared" si="72"/>
        <v/>
      </c>
      <c r="V318" s="314">
        <f>SUM(ORÇAMENTO!N318)</f>
        <v>0</v>
      </c>
      <c r="W318" s="315">
        <f t="shared" si="74"/>
        <v>0</v>
      </c>
    </row>
    <row r="319" spans="1:23" ht="15" hidden="1" customHeight="1">
      <c r="A319" s="63" t="s">
        <v>147</v>
      </c>
      <c r="B319" s="870" t="s">
        <v>147</v>
      </c>
      <c r="C319" s="871"/>
      <c r="D319" s="931" t="s">
        <v>229</v>
      </c>
      <c r="E319" s="882">
        <f>DMT!$F$42</f>
        <v>290</v>
      </c>
      <c r="F319" s="883"/>
      <c r="G319" s="923">
        <f t="shared" ref="G319:G321" si="87">IF(E319&lt;=30,(1.07*E319+2.68)*F319,((1.07*30+2.68)+1.07*(E319-30))*F319)</f>
        <v>0</v>
      </c>
      <c r="H319" s="876">
        <v>0</v>
      </c>
      <c r="I319" s="876"/>
      <c r="J319" s="877">
        <v>0</v>
      </c>
      <c r="K319" s="878" t="s">
        <v>506</v>
      </c>
      <c r="L319" s="977">
        <f>ROUND(SUM(ORÇAMENTO!L319),2)</f>
        <v>0</v>
      </c>
      <c r="M319" s="934">
        <f t="shared" si="68"/>
        <v>0</v>
      </c>
      <c r="N319" s="868">
        <f t="shared" si="69"/>
        <v>0</v>
      </c>
      <c r="O319" s="880"/>
      <c r="P319" s="58" t="str">
        <f>IF(N318&gt;0,"xx",IF(N318&gt;0,"xy",""))</f>
        <v/>
      </c>
      <c r="Q319" s="317" t="str">
        <f t="shared" si="70"/>
        <v/>
      </c>
      <c r="R319" s="317" t="str">
        <f t="shared" si="71"/>
        <v/>
      </c>
      <c r="S319" s="317" t="str">
        <f t="shared" si="72"/>
        <v/>
      </c>
      <c r="V319" s="314">
        <f>SUM(ORÇAMENTO!N319)</f>
        <v>0</v>
      </c>
      <c r="W319" s="315">
        <f t="shared" si="74"/>
        <v>0</v>
      </c>
    </row>
    <row r="320" spans="1:23" ht="15" hidden="1" customHeight="1">
      <c r="A320" s="63" t="s">
        <v>147</v>
      </c>
      <c r="B320" s="870" t="s">
        <v>147</v>
      </c>
      <c r="C320" s="871"/>
      <c r="D320" s="931" t="s">
        <v>230</v>
      </c>
      <c r="E320" s="882">
        <f>DMT!$D$46</f>
        <v>445</v>
      </c>
      <c r="F320" s="883"/>
      <c r="G320" s="884">
        <f>IF(E320&lt;=30,(0.78*E320+7.82)*F320,((0.78*30+7.82)+0.78*(E320-30))*F320)</f>
        <v>0</v>
      </c>
      <c r="H320" s="876">
        <v>0</v>
      </c>
      <c r="I320" s="876"/>
      <c r="J320" s="877">
        <v>0</v>
      </c>
      <c r="K320" s="878" t="s">
        <v>506</v>
      </c>
      <c r="L320" s="977">
        <f>ROUND(SUM(ORÇAMENTO!L320),2)</f>
        <v>0</v>
      </c>
      <c r="M320" s="934">
        <f t="shared" si="68"/>
        <v>0</v>
      </c>
      <c r="N320" s="868">
        <f t="shared" si="69"/>
        <v>0</v>
      </c>
      <c r="O320" s="880"/>
      <c r="P320" s="58" t="str">
        <f>IF(N318&gt;0,"xx",IF(N318&gt;0,"xy",""))</f>
        <v/>
      </c>
      <c r="Q320" s="317" t="str">
        <f t="shared" si="70"/>
        <v/>
      </c>
      <c r="R320" s="317" t="str">
        <f t="shared" si="71"/>
        <v/>
      </c>
      <c r="S320" s="317" t="str">
        <f t="shared" si="72"/>
        <v/>
      </c>
      <c r="V320" s="314">
        <f>SUM(ORÇAMENTO!N320)</f>
        <v>0</v>
      </c>
      <c r="W320" s="315">
        <f t="shared" si="74"/>
        <v>0</v>
      </c>
    </row>
    <row r="321" spans="1:23" ht="15" hidden="1" customHeight="1">
      <c r="A321" s="63" t="s">
        <v>147</v>
      </c>
      <c r="B321" s="870" t="s">
        <v>147</v>
      </c>
      <c r="C321" s="871"/>
      <c r="D321" s="931" t="s">
        <v>243</v>
      </c>
      <c r="E321" s="882">
        <f>DMT!$F$43</f>
        <v>0.2</v>
      </c>
      <c r="F321" s="883">
        <v>2.12</v>
      </c>
      <c r="G321" s="923">
        <f t="shared" si="87"/>
        <v>6.1352800000000007</v>
      </c>
      <c r="H321" s="876">
        <v>0</v>
      </c>
      <c r="I321" s="876"/>
      <c r="J321" s="877">
        <v>0</v>
      </c>
      <c r="K321" s="878" t="s">
        <v>506</v>
      </c>
      <c r="L321" s="977">
        <f>ROUND(SUM(ORÇAMENTO!L321),2)</f>
        <v>0</v>
      </c>
      <c r="M321" s="934">
        <f t="shared" si="68"/>
        <v>0</v>
      </c>
      <c r="N321" s="868">
        <f t="shared" si="69"/>
        <v>0</v>
      </c>
      <c r="O321" s="880"/>
      <c r="P321" s="58" t="str">
        <f>IF(N318&gt;0,"xx",IF(N318&gt;0,"xy",""))</f>
        <v/>
      </c>
      <c r="Q321" s="317" t="str">
        <f t="shared" si="70"/>
        <v/>
      </c>
      <c r="R321" s="317" t="str">
        <f t="shared" si="71"/>
        <v/>
      </c>
      <c r="S321" s="317" t="str">
        <f t="shared" si="72"/>
        <v/>
      </c>
      <c r="V321" s="314">
        <f>SUM(ORÇAMENTO!N321)</f>
        <v>0</v>
      </c>
      <c r="W321" s="315">
        <f t="shared" si="74"/>
        <v>0</v>
      </c>
    </row>
    <row r="322" spans="1:23" ht="15" hidden="1" customHeight="1">
      <c r="A322" s="63" t="s">
        <v>147</v>
      </c>
      <c r="B322" s="870" t="s">
        <v>147</v>
      </c>
      <c r="C322" s="871"/>
      <c r="D322" s="931" t="s">
        <v>244</v>
      </c>
      <c r="E322" s="882">
        <f>DMT!$F$28</f>
        <v>43.1</v>
      </c>
      <c r="F322" s="883">
        <f>SUM(F318:F321)</f>
        <v>2.2000000000000002</v>
      </c>
      <c r="G322" s="887">
        <f>IF(E322&lt;=30,(1.07*E322+5.37)*F322,((1.07*30+5.37)+1.07*(E322-30))*F322)</f>
        <v>113.27140000000001</v>
      </c>
      <c r="H322" s="876">
        <v>0</v>
      </c>
      <c r="I322" s="876"/>
      <c r="J322" s="877">
        <v>0</v>
      </c>
      <c r="K322" s="878" t="s">
        <v>506</v>
      </c>
      <c r="L322" s="977">
        <f>ROUND(SUM(ORÇAMENTO!L322),2)</f>
        <v>0</v>
      </c>
      <c r="M322" s="934">
        <f t="shared" si="68"/>
        <v>0</v>
      </c>
      <c r="N322" s="868">
        <f t="shared" si="69"/>
        <v>0</v>
      </c>
      <c r="O322" s="880"/>
      <c r="P322" s="58" t="str">
        <f>IF(N318&gt;0,"xx",IF(N318&gt;0,"xy",""))</f>
        <v/>
      </c>
      <c r="Q322" s="317" t="str">
        <f t="shared" si="70"/>
        <v/>
      </c>
      <c r="R322" s="317" t="str">
        <f t="shared" si="71"/>
        <v/>
      </c>
      <c r="S322" s="317" t="str">
        <f t="shared" si="72"/>
        <v/>
      </c>
      <c r="V322" s="314">
        <f>SUM(ORÇAMENTO!N322)</f>
        <v>0</v>
      </c>
      <c r="W322" s="315">
        <f t="shared" si="74"/>
        <v>0</v>
      </c>
    </row>
    <row r="323" spans="1:23" ht="15" hidden="1" customHeight="1" thickBot="1">
      <c r="A323" s="63">
        <v>589320</v>
      </c>
      <c r="B323" s="978" t="s">
        <v>706</v>
      </c>
      <c r="C323" s="958" t="s">
        <v>213</v>
      </c>
      <c r="D323" s="986" t="s">
        <v>684</v>
      </c>
      <c r="E323" s="979">
        <f>DMT!$D$47</f>
        <v>468</v>
      </c>
      <c r="F323" s="980">
        <v>1</v>
      </c>
      <c r="G323" s="923">
        <f>(0.84*E323+41.45)*F323</f>
        <v>434.57</v>
      </c>
      <c r="H323" s="962">
        <v>4012.83</v>
      </c>
      <c r="I323" s="962">
        <f>IF(ISBLANK(H323),"",H323*(1+$E$9)/(1+$E$10))+G323</f>
        <v>4321.3218851251841</v>
      </c>
      <c r="J323" s="963">
        <f t="shared" si="80"/>
        <v>5281.52</v>
      </c>
      <c r="K323" s="964" t="s">
        <v>14</v>
      </c>
      <c r="L323" s="965">
        <f>ROUND(SUM(ORÇAMENTO!L323),2)</f>
        <v>0</v>
      </c>
      <c r="M323" s="987">
        <f t="shared" si="68"/>
        <v>0</v>
      </c>
      <c r="N323" s="967">
        <f t="shared" si="69"/>
        <v>0</v>
      </c>
      <c r="O323" s="880"/>
      <c r="P323" s="58" t="str">
        <f>IF(N318&gt;0,"xx",IF(N318&gt;0,"xy",""))</f>
        <v/>
      </c>
      <c r="Q323" s="317" t="str">
        <f t="shared" si="70"/>
        <v/>
      </c>
      <c r="R323" s="317" t="str">
        <f t="shared" si="71"/>
        <v/>
      </c>
      <c r="S323" s="317" t="str">
        <f t="shared" si="72"/>
        <v/>
      </c>
      <c r="V323" s="314">
        <f>SUM(ORÇAMENTO!N323)</f>
        <v>0</v>
      </c>
      <c r="W323" s="315">
        <f t="shared" si="74"/>
        <v>0</v>
      </c>
    </row>
    <row r="324" spans="1:23" ht="15" hidden="1" customHeight="1">
      <c r="A324" s="63">
        <v>534300</v>
      </c>
      <c r="B324" s="973" t="s">
        <v>1742</v>
      </c>
      <c r="C324" s="974" t="s">
        <v>184</v>
      </c>
      <c r="D324" s="947" t="s">
        <v>2182</v>
      </c>
      <c r="E324" s="948" t="s">
        <v>564</v>
      </c>
      <c r="F324" s="949">
        <v>0.11</v>
      </c>
      <c r="G324" s="950">
        <f>SUM(G325:G328)</f>
        <v>119.31985999999999</v>
      </c>
      <c r="H324" s="951">
        <v>140.30000000000001</v>
      </c>
      <c r="I324" s="951">
        <f>IF(ISBLANK(H324),"",SUM(G324:H324))</f>
        <v>259.61986000000002</v>
      </c>
      <c r="J324" s="952">
        <f t="shared" si="80"/>
        <v>317.31</v>
      </c>
      <c r="K324" s="953" t="s">
        <v>10</v>
      </c>
      <c r="L324" s="954">
        <f>ROUND(SUM(ORÇAMENTO!L324),2)</f>
        <v>0</v>
      </c>
      <c r="M324" s="955">
        <f t="shared" si="68"/>
        <v>0</v>
      </c>
      <c r="N324" s="956">
        <f t="shared" si="69"/>
        <v>0</v>
      </c>
      <c r="O324" s="880"/>
      <c r="Q324" s="317" t="str">
        <f t="shared" si="70"/>
        <v/>
      </c>
      <c r="R324" s="317" t="str">
        <f t="shared" si="71"/>
        <v/>
      </c>
      <c r="S324" s="317" t="str">
        <f t="shared" si="72"/>
        <v/>
      </c>
      <c r="V324" s="314">
        <f>SUM(ORÇAMENTO!N324)</f>
        <v>0</v>
      </c>
      <c r="W324" s="315">
        <f t="shared" si="74"/>
        <v>0</v>
      </c>
    </row>
    <row r="325" spans="1:23" ht="15" hidden="1" customHeight="1">
      <c r="A325" s="63" t="s">
        <v>147</v>
      </c>
      <c r="B325" s="870" t="s">
        <v>147</v>
      </c>
      <c r="C325" s="871"/>
      <c r="D325" s="931" t="s">
        <v>229</v>
      </c>
      <c r="E325" s="882">
        <f>DMT!$F$42</f>
        <v>290</v>
      </c>
      <c r="F325" s="883"/>
      <c r="G325" s="923">
        <f t="shared" ref="G325:G327" si="88">IF(E325&lt;=30,(1.07*E325+2.68)*F325,((1.07*30+2.68)+1.07*(E325-30))*F325)</f>
        <v>0</v>
      </c>
      <c r="H325" s="876">
        <v>0</v>
      </c>
      <c r="I325" s="876"/>
      <c r="J325" s="877">
        <v>0</v>
      </c>
      <c r="K325" s="878" t="s">
        <v>506</v>
      </c>
      <c r="L325" s="977">
        <f>ROUND(SUM(ORÇAMENTO!L325),2)</f>
        <v>0</v>
      </c>
      <c r="M325" s="934">
        <f t="shared" si="68"/>
        <v>0</v>
      </c>
      <c r="N325" s="868">
        <f t="shared" si="69"/>
        <v>0</v>
      </c>
      <c r="O325" s="880"/>
      <c r="P325" s="58" t="str">
        <f>IF(N324&gt;0,"xx",IF(N324&gt;0,"xy",""))</f>
        <v/>
      </c>
      <c r="Q325" s="317" t="str">
        <f t="shared" si="70"/>
        <v/>
      </c>
      <c r="R325" s="317" t="str">
        <f t="shared" si="71"/>
        <v/>
      </c>
      <c r="S325" s="317" t="str">
        <f t="shared" si="72"/>
        <v/>
      </c>
      <c r="V325" s="314">
        <f>SUM(ORÇAMENTO!N325)</f>
        <v>0</v>
      </c>
      <c r="W325" s="315">
        <f t="shared" si="74"/>
        <v>0</v>
      </c>
    </row>
    <row r="326" spans="1:23" ht="15" hidden="1" customHeight="1">
      <c r="A326" s="63" t="s">
        <v>147</v>
      </c>
      <c r="B326" s="870" t="s">
        <v>147</v>
      </c>
      <c r="C326" s="871"/>
      <c r="D326" s="931" t="s">
        <v>230</v>
      </c>
      <c r="E326" s="882">
        <f>DMT!$D$46</f>
        <v>445</v>
      </c>
      <c r="F326" s="883"/>
      <c r="G326" s="884">
        <f>IF(E326&lt;=30,(0.78*E326+7.82)*F326,((0.78*30+7.82)+0.78*(E326-30))*F326)</f>
        <v>0</v>
      </c>
      <c r="H326" s="876">
        <v>0</v>
      </c>
      <c r="I326" s="876"/>
      <c r="J326" s="877">
        <v>0</v>
      </c>
      <c r="K326" s="878" t="s">
        <v>506</v>
      </c>
      <c r="L326" s="977">
        <f>ROUND(SUM(ORÇAMENTO!L326),2)</f>
        <v>0</v>
      </c>
      <c r="M326" s="934">
        <f t="shared" si="68"/>
        <v>0</v>
      </c>
      <c r="N326" s="868">
        <f t="shared" si="69"/>
        <v>0</v>
      </c>
      <c r="O326" s="880"/>
      <c r="P326" s="58" t="str">
        <f>IF(N324&gt;0,"xx",IF(N324&gt;0,"xy",""))</f>
        <v/>
      </c>
      <c r="Q326" s="317" t="str">
        <f t="shared" si="70"/>
        <v/>
      </c>
      <c r="R326" s="317" t="str">
        <f t="shared" si="71"/>
        <v/>
      </c>
      <c r="S326" s="317" t="str">
        <f t="shared" si="72"/>
        <v/>
      </c>
      <c r="V326" s="314">
        <f>SUM(ORÇAMENTO!N326)</f>
        <v>0</v>
      </c>
      <c r="W326" s="315">
        <f t="shared" si="74"/>
        <v>0</v>
      </c>
    </row>
    <row r="327" spans="1:23" ht="15" hidden="1" customHeight="1">
      <c r="A327" s="63" t="s">
        <v>147</v>
      </c>
      <c r="B327" s="870" t="s">
        <v>147</v>
      </c>
      <c r="C327" s="871"/>
      <c r="D327" s="931" t="s">
        <v>243</v>
      </c>
      <c r="E327" s="882">
        <f>DMT!$F$43</f>
        <v>0.2</v>
      </c>
      <c r="F327" s="883">
        <v>2.09</v>
      </c>
      <c r="G327" s="923">
        <f t="shared" si="88"/>
        <v>6.0484599999999995</v>
      </c>
      <c r="H327" s="876">
        <v>0</v>
      </c>
      <c r="I327" s="876"/>
      <c r="J327" s="877">
        <v>0</v>
      </c>
      <c r="K327" s="878" t="s">
        <v>506</v>
      </c>
      <c r="L327" s="977">
        <f>ROUND(SUM(ORÇAMENTO!L327),2)</f>
        <v>0</v>
      </c>
      <c r="M327" s="934">
        <f t="shared" si="68"/>
        <v>0</v>
      </c>
      <c r="N327" s="868">
        <f t="shared" si="69"/>
        <v>0</v>
      </c>
      <c r="O327" s="880"/>
      <c r="P327" s="58" t="str">
        <f>IF(N324&gt;0,"xx",IF(N324&gt;0,"xy",""))</f>
        <v/>
      </c>
      <c r="Q327" s="317" t="str">
        <f t="shared" si="70"/>
        <v/>
      </c>
      <c r="R327" s="317" t="str">
        <f t="shared" si="71"/>
        <v/>
      </c>
      <c r="S327" s="317" t="str">
        <f t="shared" si="72"/>
        <v/>
      </c>
      <c r="V327" s="314">
        <f>SUM(ORÇAMENTO!N327)</f>
        <v>0</v>
      </c>
      <c r="W327" s="315">
        <f t="shared" si="74"/>
        <v>0</v>
      </c>
    </row>
    <row r="328" spans="1:23" ht="15" hidden="1" customHeight="1">
      <c r="A328" s="63" t="s">
        <v>147</v>
      </c>
      <c r="B328" s="870" t="s">
        <v>147</v>
      </c>
      <c r="C328" s="871"/>
      <c r="D328" s="931" t="s">
        <v>244</v>
      </c>
      <c r="E328" s="882">
        <f>DMT!$F$28</f>
        <v>43.1</v>
      </c>
      <c r="F328" s="883">
        <f>SUM(F324:F327)</f>
        <v>2.1999999999999997</v>
      </c>
      <c r="G328" s="887">
        <f>IF(E328&lt;=30,(1.07*E328+5.37)*F328,((1.07*30+5.37)+1.07*(E328-30))*F328)</f>
        <v>113.27139999999999</v>
      </c>
      <c r="H328" s="876">
        <v>0</v>
      </c>
      <c r="I328" s="876"/>
      <c r="J328" s="877">
        <v>0</v>
      </c>
      <c r="K328" s="878" t="s">
        <v>506</v>
      </c>
      <c r="L328" s="977">
        <f>ROUND(SUM(ORÇAMENTO!L328),2)</f>
        <v>0</v>
      </c>
      <c r="M328" s="934">
        <f t="shared" si="68"/>
        <v>0</v>
      </c>
      <c r="N328" s="868">
        <f t="shared" si="69"/>
        <v>0</v>
      </c>
      <c r="O328" s="880"/>
      <c r="P328" s="58" t="str">
        <f>IF(N324&gt;0,"xx",IF(N324&gt;0,"xy",""))</f>
        <v/>
      </c>
      <c r="Q328" s="317" t="str">
        <f t="shared" si="70"/>
        <v/>
      </c>
      <c r="R328" s="317" t="str">
        <f t="shared" si="71"/>
        <v/>
      </c>
      <c r="S328" s="317" t="str">
        <f t="shared" si="72"/>
        <v/>
      </c>
      <c r="V328" s="314">
        <f>SUM(ORÇAMENTO!N328)</f>
        <v>0</v>
      </c>
      <c r="W328" s="315">
        <f t="shared" si="74"/>
        <v>0</v>
      </c>
    </row>
    <row r="329" spans="1:23" ht="15" hidden="1" customHeight="1" thickBot="1">
      <c r="A329" s="63">
        <v>589320</v>
      </c>
      <c r="B329" s="978" t="s">
        <v>707</v>
      </c>
      <c r="C329" s="958" t="s">
        <v>213</v>
      </c>
      <c r="D329" s="986" t="s">
        <v>684</v>
      </c>
      <c r="E329" s="979">
        <f>DMT!$D$47</f>
        <v>468</v>
      </c>
      <c r="F329" s="980">
        <v>1</v>
      </c>
      <c r="G329" s="923">
        <f>(0.84*E329+41.45)*F329</f>
        <v>434.57</v>
      </c>
      <c r="H329" s="962">
        <v>4012.83</v>
      </c>
      <c r="I329" s="962">
        <f>IF(ISBLANK(H329),"",H329*(1+$E$9)/(1+$E$10))+G329</f>
        <v>4321.3218851251841</v>
      </c>
      <c r="J329" s="963">
        <f t="shared" si="80"/>
        <v>5281.52</v>
      </c>
      <c r="K329" s="964" t="s">
        <v>14</v>
      </c>
      <c r="L329" s="965">
        <f>ROUND(SUM(ORÇAMENTO!L329),2)</f>
        <v>0</v>
      </c>
      <c r="M329" s="987">
        <f t="shared" si="68"/>
        <v>0</v>
      </c>
      <c r="N329" s="967">
        <f t="shared" si="69"/>
        <v>0</v>
      </c>
      <c r="O329" s="880"/>
      <c r="P329" s="58" t="str">
        <f>IF(N324&gt;0,"xx",IF(N324&gt;0,"xy",""))</f>
        <v/>
      </c>
      <c r="Q329" s="317" t="str">
        <f t="shared" si="70"/>
        <v/>
      </c>
      <c r="R329" s="317" t="str">
        <f t="shared" si="71"/>
        <v/>
      </c>
      <c r="S329" s="317" t="str">
        <f t="shared" si="72"/>
        <v/>
      </c>
      <c r="V329" s="314">
        <f>SUM(ORÇAMENTO!N329)</f>
        <v>0</v>
      </c>
      <c r="W329" s="315">
        <f t="shared" si="74"/>
        <v>0</v>
      </c>
    </row>
    <row r="330" spans="1:23" ht="15" hidden="1" customHeight="1">
      <c r="A330" s="63">
        <v>534300</v>
      </c>
      <c r="B330" s="973" t="s">
        <v>1743</v>
      </c>
      <c r="C330" s="974" t="s">
        <v>184</v>
      </c>
      <c r="D330" s="947" t="s">
        <v>2184</v>
      </c>
      <c r="E330" s="948" t="s">
        <v>564</v>
      </c>
      <c r="F330" s="949">
        <v>0.11</v>
      </c>
      <c r="G330" s="950">
        <f>SUM(G331:G334)</f>
        <v>119.31985999999999</v>
      </c>
      <c r="H330" s="951">
        <v>140.30000000000001</v>
      </c>
      <c r="I330" s="951">
        <f>IF(ISBLANK(H330),"",SUM(G330:H330))</f>
        <v>259.61986000000002</v>
      </c>
      <c r="J330" s="952">
        <f t="shared" si="80"/>
        <v>317.31</v>
      </c>
      <c r="K330" s="953" t="s">
        <v>10</v>
      </c>
      <c r="L330" s="954">
        <f>ROUND(SUM(ORÇAMENTO!L330),2)</f>
        <v>0</v>
      </c>
      <c r="M330" s="955">
        <f t="shared" si="68"/>
        <v>0</v>
      </c>
      <c r="N330" s="956">
        <f t="shared" si="69"/>
        <v>0</v>
      </c>
      <c r="O330" s="880"/>
      <c r="Q330" s="317" t="str">
        <f t="shared" si="70"/>
        <v/>
      </c>
      <c r="R330" s="317" t="str">
        <f t="shared" si="71"/>
        <v/>
      </c>
      <c r="S330" s="317" t="str">
        <f t="shared" si="72"/>
        <v/>
      </c>
      <c r="V330" s="314">
        <f>SUM(ORÇAMENTO!N330)</f>
        <v>0</v>
      </c>
      <c r="W330" s="315">
        <f t="shared" si="74"/>
        <v>0</v>
      </c>
    </row>
    <row r="331" spans="1:23" ht="15" hidden="1" customHeight="1">
      <c r="A331" s="63" t="s">
        <v>147</v>
      </c>
      <c r="B331" s="870" t="s">
        <v>147</v>
      </c>
      <c r="C331" s="871"/>
      <c r="D331" s="931" t="s">
        <v>229</v>
      </c>
      <c r="E331" s="882">
        <f>DMT!$F$42</f>
        <v>290</v>
      </c>
      <c r="F331" s="883"/>
      <c r="G331" s="923">
        <f t="shared" ref="G331:G333" si="89">IF(E331&lt;=30,(1.07*E331+2.68)*F331,((1.07*30+2.68)+1.07*(E331-30))*F331)</f>
        <v>0</v>
      </c>
      <c r="H331" s="876">
        <v>0</v>
      </c>
      <c r="I331" s="876"/>
      <c r="J331" s="877">
        <v>0</v>
      </c>
      <c r="K331" s="878" t="s">
        <v>506</v>
      </c>
      <c r="L331" s="977">
        <f>ROUND(SUM(ORÇAMENTO!L331),2)</f>
        <v>0</v>
      </c>
      <c r="M331" s="934">
        <f t="shared" si="68"/>
        <v>0</v>
      </c>
      <c r="N331" s="868">
        <f t="shared" si="69"/>
        <v>0</v>
      </c>
      <c r="O331" s="880"/>
      <c r="P331" s="58" t="str">
        <f>IF(N330&gt;0,"xx",IF(N330&gt;0,"xy",""))</f>
        <v/>
      </c>
      <c r="Q331" s="317" t="str">
        <f t="shared" si="70"/>
        <v/>
      </c>
      <c r="R331" s="317" t="str">
        <f t="shared" si="71"/>
        <v/>
      </c>
      <c r="S331" s="317" t="str">
        <f t="shared" si="72"/>
        <v/>
      </c>
      <c r="V331" s="314">
        <f>SUM(ORÇAMENTO!N331)</f>
        <v>0</v>
      </c>
      <c r="W331" s="315">
        <f t="shared" si="74"/>
        <v>0</v>
      </c>
    </row>
    <row r="332" spans="1:23" ht="15" hidden="1" customHeight="1">
      <c r="A332" s="63" t="s">
        <v>147</v>
      </c>
      <c r="B332" s="870" t="s">
        <v>147</v>
      </c>
      <c r="C332" s="871"/>
      <c r="D332" s="931" t="s">
        <v>230</v>
      </c>
      <c r="E332" s="882">
        <f>DMT!$D$46</f>
        <v>445</v>
      </c>
      <c r="F332" s="883"/>
      <c r="G332" s="884">
        <f>IF(E332&lt;=30,(0.78*E332+7.82)*F332,((0.78*30+7.82)+0.78*(E332-30))*F332)</f>
        <v>0</v>
      </c>
      <c r="H332" s="876">
        <v>0</v>
      </c>
      <c r="I332" s="876"/>
      <c r="J332" s="877">
        <v>0</v>
      </c>
      <c r="K332" s="878" t="s">
        <v>506</v>
      </c>
      <c r="L332" s="977">
        <f>ROUND(SUM(ORÇAMENTO!L332),2)</f>
        <v>0</v>
      </c>
      <c r="M332" s="934">
        <f t="shared" si="68"/>
        <v>0</v>
      </c>
      <c r="N332" s="868">
        <f t="shared" si="69"/>
        <v>0</v>
      </c>
      <c r="O332" s="880"/>
      <c r="P332" s="58" t="str">
        <f>IF(N330&gt;0,"xx",IF(N330&gt;0,"xy",""))</f>
        <v/>
      </c>
      <c r="Q332" s="317" t="str">
        <f t="shared" si="70"/>
        <v/>
      </c>
      <c r="R332" s="317" t="str">
        <f t="shared" si="71"/>
        <v/>
      </c>
      <c r="S332" s="317" t="str">
        <f t="shared" si="72"/>
        <v/>
      </c>
      <c r="V332" s="314">
        <f>SUM(ORÇAMENTO!N332)</f>
        <v>0</v>
      </c>
      <c r="W332" s="315">
        <f t="shared" si="74"/>
        <v>0</v>
      </c>
    </row>
    <row r="333" spans="1:23" ht="15" hidden="1" customHeight="1">
      <c r="A333" s="63" t="s">
        <v>147</v>
      </c>
      <c r="B333" s="870" t="s">
        <v>147</v>
      </c>
      <c r="C333" s="871"/>
      <c r="D333" s="931" t="s">
        <v>243</v>
      </c>
      <c r="E333" s="882">
        <f>DMT!$F$43</f>
        <v>0.2</v>
      </c>
      <c r="F333" s="883">
        <v>2.09</v>
      </c>
      <c r="G333" s="923">
        <f t="shared" si="89"/>
        <v>6.0484599999999995</v>
      </c>
      <c r="H333" s="876">
        <v>0</v>
      </c>
      <c r="I333" s="876"/>
      <c r="J333" s="877">
        <v>0</v>
      </c>
      <c r="K333" s="878" t="s">
        <v>506</v>
      </c>
      <c r="L333" s="977">
        <f>ROUND(SUM(ORÇAMENTO!L333),2)</f>
        <v>0</v>
      </c>
      <c r="M333" s="934">
        <f t="shared" si="68"/>
        <v>0</v>
      </c>
      <c r="N333" s="868">
        <f t="shared" si="69"/>
        <v>0</v>
      </c>
      <c r="O333" s="880"/>
      <c r="P333" s="58" t="str">
        <f>IF(N330&gt;0,"xx",IF(N330&gt;0,"xy",""))</f>
        <v/>
      </c>
      <c r="Q333" s="317" t="str">
        <f t="shared" si="70"/>
        <v/>
      </c>
      <c r="R333" s="317" t="str">
        <f t="shared" si="71"/>
        <v/>
      </c>
      <c r="S333" s="317" t="str">
        <f t="shared" si="72"/>
        <v/>
      </c>
      <c r="V333" s="314">
        <f>SUM(ORÇAMENTO!N333)</f>
        <v>0</v>
      </c>
      <c r="W333" s="315">
        <f t="shared" si="74"/>
        <v>0</v>
      </c>
    </row>
    <row r="334" spans="1:23" ht="15" hidden="1" customHeight="1">
      <c r="A334" s="63" t="s">
        <v>147</v>
      </c>
      <c r="B334" s="870" t="s">
        <v>147</v>
      </c>
      <c r="C334" s="871"/>
      <c r="D334" s="931" t="s">
        <v>244</v>
      </c>
      <c r="E334" s="882">
        <f>DMT!$F$28</f>
        <v>43.1</v>
      </c>
      <c r="F334" s="883">
        <f>SUM(F330:F333)</f>
        <v>2.1999999999999997</v>
      </c>
      <c r="G334" s="887">
        <f>IF(E334&lt;=30,(1.07*E334+5.37)*F334,((1.07*30+5.37)+1.07*(E334-30))*F334)</f>
        <v>113.27139999999999</v>
      </c>
      <c r="H334" s="876">
        <v>0</v>
      </c>
      <c r="I334" s="876"/>
      <c r="J334" s="877">
        <v>0</v>
      </c>
      <c r="K334" s="878" t="s">
        <v>506</v>
      </c>
      <c r="L334" s="977">
        <f>ROUND(SUM(ORÇAMENTO!L334),2)</f>
        <v>0</v>
      </c>
      <c r="M334" s="934">
        <f t="shared" si="68"/>
        <v>0</v>
      </c>
      <c r="N334" s="868">
        <f t="shared" si="69"/>
        <v>0</v>
      </c>
      <c r="O334" s="880"/>
      <c r="P334" s="58" t="str">
        <f>IF(N330&gt;0,"xx",IF(N330&gt;0,"xy",""))</f>
        <v/>
      </c>
      <c r="Q334" s="317" t="str">
        <f t="shared" si="70"/>
        <v/>
      </c>
      <c r="R334" s="317" t="str">
        <f t="shared" si="71"/>
        <v/>
      </c>
      <c r="S334" s="317" t="str">
        <f t="shared" si="72"/>
        <v/>
      </c>
      <c r="V334" s="314">
        <f>SUM(ORÇAMENTO!N334)</f>
        <v>0</v>
      </c>
      <c r="W334" s="315">
        <f t="shared" si="74"/>
        <v>0</v>
      </c>
    </row>
    <row r="335" spans="1:23" ht="15" hidden="1" customHeight="1" thickBot="1">
      <c r="A335" s="63">
        <v>589320</v>
      </c>
      <c r="B335" s="978" t="s">
        <v>708</v>
      </c>
      <c r="C335" s="958" t="s">
        <v>213</v>
      </c>
      <c r="D335" s="986" t="s">
        <v>685</v>
      </c>
      <c r="E335" s="979">
        <f>DMT!$D$47</f>
        <v>468</v>
      </c>
      <c r="F335" s="980">
        <v>1</v>
      </c>
      <c r="G335" s="923">
        <f>(0.84*E335+41.45)*F335</f>
        <v>434.57</v>
      </c>
      <c r="H335" s="962">
        <v>4012.83</v>
      </c>
      <c r="I335" s="962">
        <f>IF(ISBLANK(H335),"",H335*(1+$E$9)/(1+$E$10))+G335</f>
        <v>4321.3218851251841</v>
      </c>
      <c r="J335" s="963">
        <f t="shared" si="80"/>
        <v>5281.52</v>
      </c>
      <c r="K335" s="964" t="s">
        <v>14</v>
      </c>
      <c r="L335" s="965">
        <f>ROUND(SUM(ORÇAMENTO!L335),2)</f>
        <v>0</v>
      </c>
      <c r="M335" s="987">
        <f t="shared" si="68"/>
        <v>0</v>
      </c>
      <c r="N335" s="967">
        <f t="shared" si="69"/>
        <v>0</v>
      </c>
      <c r="O335" s="880"/>
      <c r="P335" s="58" t="str">
        <f>IF(N330&gt;0,"xx",IF(N330&gt;0,"xy",""))</f>
        <v/>
      </c>
      <c r="Q335" s="317" t="str">
        <f t="shared" si="70"/>
        <v/>
      </c>
      <c r="R335" s="317" t="str">
        <f t="shared" si="71"/>
        <v/>
      </c>
      <c r="S335" s="317" t="str">
        <f t="shared" si="72"/>
        <v/>
      </c>
      <c r="V335" s="314">
        <f>SUM(ORÇAMENTO!N335)</f>
        <v>0</v>
      </c>
      <c r="W335" s="315">
        <f t="shared" si="74"/>
        <v>0</v>
      </c>
    </row>
    <row r="336" spans="1:23" ht="15" hidden="1" customHeight="1">
      <c r="A336" s="63">
        <v>534300</v>
      </c>
      <c r="B336" s="973" t="s">
        <v>1744</v>
      </c>
      <c r="C336" s="974" t="s">
        <v>184</v>
      </c>
      <c r="D336" s="947" t="s">
        <v>2185</v>
      </c>
      <c r="E336" s="948" t="s">
        <v>564</v>
      </c>
      <c r="F336" s="949">
        <v>0.14000000000000001</v>
      </c>
      <c r="G336" s="950">
        <f>SUM(G337:G340)</f>
        <v>208.39436000000001</v>
      </c>
      <c r="H336" s="951">
        <v>140.30000000000001</v>
      </c>
      <c r="I336" s="951">
        <f>IF(ISBLANK(H336),"",SUM(G336:H336))</f>
        <v>348.69436000000002</v>
      </c>
      <c r="J336" s="952">
        <f t="shared" si="80"/>
        <v>426.17</v>
      </c>
      <c r="K336" s="953" t="s">
        <v>10</v>
      </c>
      <c r="L336" s="954">
        <f>ROUND(SUM(ORÇAMENTO!L336),2)</f>
        <v>0</v>
      </c>
      <c r="M336" s="955">
        <f t="shared" si="68"/>
        <v>0</v>
      </c>
      <c r="N336" s="956">
        <f t="shared" si="69"/>
        <v>0</v>
      </c>
      <c r="O336" s="880"/>
      <c r="Q336" s="317" t="str">
        <f t="shared" si="70"/>
        <v/>
      </c>
      <c r="R336" s="317" t="str">
        <f t="shared" si="71"/>
        <v/>
      </c>
      <c r="S336" s="317" t="str">
        <f t="shared" si="72"/>
        <v/>
      </c>
      <c r="V336" s="314">
        <f>SUM(ORÇAMENTO!N336)</f>
        <v>0</v>
      </c>
      <c r="W336" s="315">
        <f t="shared" si="74"/>
        <v>0</v>
      </c>
    </row>
    <row r="337" spans="1:23" ht="15" hidden="1" customHeight="1">
      <c r="A337" s="63" t="s">
        <v>147</v>
      </c>
      <c r="B337" s="870" t="s">
        <v>147</v>
      </c>
      <c r="C337" s="871"/>
      <c r="D337" s="931" t="s">
        <v>229</v>
      </c>
      <c r="E337" s="882">
        <f>DMT!$F$42</f>
        <v>290</v>
      </c>
      <c r="F337" s="883">
        <v>0.27</v>
      </c>
      <c r="G337" s="923">
        <f t="shared" ref="G337:G339" si="90">IF(E337&lt;=30,(1.07*E337+2.68)*F337,((1.07*30+2.68)+1.07*(E337-30))*F337)</f>
        <v>84.504600000000011</v>
      </c>
      <c r="H337" s="876">
        <v>0</v>
      </c>
      <c r="I337" s="876"/>
      <c r="J337" s="877">
        <v>0</v>
      </c>
      <c r="K337" s="878" t="s">
        <v>506</v>
      </c>
      <c r="L337" s="977">
        <f>ROUND(SUM(ORÇAMENTO!L337),2)</f>
        <v>0</v>
      </c>
      <c r="M337" s="934">
        <f t="shared" si="68"/>
        <v>0</v>
      </c>
      <c r="N337" s="868">
        <f t="shared" si="69"/>
        <v>0</v>
      </c>
      <c r="O337" s="880"/>
      <c r="P337" s="58" t="str">
        <f>IF(N336&gt;0,"xx",IF(N336&gt;0,"xy",""))</f>
        <v/>
      </c>
      <c r="Q337" s="317" t="str">
        <f t="shared" si="70"/>
        <v/>
      </c>
      <c r="R337" s="317" t="str">
        <f t="shared" si="71"/>
        <v/>
      </c>
      <c r="S337" s="317" t="str">
        <f t="shared" si="72"/>
        <v/>
      </c>
      <c r="V337" s="314">
        <f>SUM(ORÇAMENTO!N337)</f>
        <v>0</v>
      </c>
      <c r="W337" s="315">
        <f t="shared" si="74"/>
        <v>0</v>
      </c>
    </row>
    <row r="338" spans="1:23" ht="15" hidden="1" customHeight="1">
      <c r="A338" s="63" t="s">
        <v>147</v>
      </c>
      <c r="B338" s="870" t="s">
        <v>147</v>
      </c>
      <c r="C338" s="871"/>
      <c r="D338" s="931" t="s">
        <v>230</v>
      </c>
      <c r="E338" s="882">
        <f>DMT!$D$46</f>
        <v>445</v>
      </c>
      <c r="F338" s="883"/>
      <c r="G338" s="884">
        <f>IF(E338&lt;=30,(0.78*E338+7.82)*F338,((0.78*30+7.82)+0.78*(E338-30))*F338)</f>
        <v>0</v>
      </c>
      <c r="H338" s="876">
        <v>0</v>
      </c>
      <c r="I338" s="876"/>
      <c r="J338" s="877">
        <v>0</v>
      </c>
      <c r="K338" s="878" t="s">
        <v>506</v>
      </c>
      <c r="L338" s="977">
        <f>ROUND(SUM(ORÇAMENTO!L338),2)</f>
        <v>0</v>
      </c>
      <c r="M338" s="934">
        <f t="shared" si="68"/>
        <v>0</v>
      </c>
      <c r="N338" s="868">
        <f t="shared" si="69"/>
        <v>0</v>
      </c>
      <c r="O338" s="880"/>
      <c r="P338" s="58" t="str">
        <f>IF(N336&gt;0,"xx",IF(N336&gt;0,"xy",""))</f>
        <v/>
      </c>
      <c r="Q338" s="317" t="str">
        <f t="shared" si="70"/>
        <v/>
      </c>
      <c r="R338" s="317" t="str">
        <f t="shared" si="71"/>
        <v/>
      </c>
      <c r="S338" s="317" t="str">
        <f t="shared" si="72"/>
        <v/>
      </c>
      <c r="V338" s="314">
        <f>SUM(ORÇAMENTO!N338)</f>
        <v>0</v>
      </c>
      <c r="W338" s="315">
        <f t="shared" si="74"/>
        <v>0</v>
      </c>
    </row>
    <row r="339" spans="1:23" ht="15" hidden="1" customHeight="1">
      <c r="A339" s="63" t="s">
        <v>147</v>
      </c>
      <c r="B339" s="870" t="s">
        <v>147</v>
      </c>
      <c r="C339" s="871"/>
      <c r="D339" s="931" t="s">
        <v>243</v>
      </c>
      <c r="E339" s="882">
        <f>DMT!$F$43</f>
        <v>0.2</v>
      </c>
      <c r="F339" s="883">
        <v>1.89</v>
      </c>
      <c r="G339" s="923">
        <f t="shared" si="90"/>
        <v>5.4696600000000002</v>
      </c>
      <c r="H339" s="876">
        <v>0</v>
      </c>
      <c r="I339" s="876"/>
      <c r="J339" s="877">
        <v>0</v>
      </c>
      <c r="K339" s="878" t="s">
        <v>506</v>
      </c>
      <c r="L339" s="977">
        <f>ROUND(SUM(ORÇAMENTO!L339),2)</f>
        <v>0</v>
      </c>
      <c r="M339" s="934">
        <f t="shared" si="68"/>
        <v>0</v>
      </c>
      <c r="N339" s="868">
        <f t="shared" si="69"/>
        <v>0</v>
      </c>
      <c r="O339" s="880"/>
      <c r="P339" s="58" t="str">
        <f>IF(N336&gt;0,"xx",IF(N336&gt;0,"xy",""))</f>
        <v/>
      </c>
      <c r="Q339" s="317" t="str">
        <f t="shared" si="70"/>
        <v/>
      </c>
      <c r="R339" s="317" t="str">
        <f t="shared" si="71"/>
        <v/>
      </c>
      <c r="S339" s="317" t="str">
        <f t="shared" si="72"/>
        <v/>
      </c>
      <c r="V339" s="314">
        <f>SUM(ORÇAMENTO!N339)</f>
        <v>0</v>
      </c>
      <c r="W339" s="315">
        <f t="shared" si="74"/>
        <v>0</v>
      </c>
    </row>
    <row r="340" spans="1:23" ht="15" hidden="1" customHeight="1">
      <c r="A340" s="63" t="s">
        <v>147</v>
      </c>
      <c r="B340" s="870" t="s">
        <v>147</v>
      </c>
      <c r="C340" s="871"/>
      <c r="D340" s="931" t="s">
        <v>244</v>
      </c>
      <c r="E340" s="882">
        <f>DMT!$F$28</f>
        <v>43.1</v>
      </c>
      <c r="F340" s="883">
        <f>SUM(F336:F339)</f>
        <v>2.2999999999999998</v>
      </c>
      <c r="G340" s="887">
        <f>IF(E340&lt;=30,(1.07*E340+5.37)*F340,((1.07*30+5.37)+1.07*(E340-30))*F340)</f>
        <v>118.42009999999999</v>
      </c>
      <c r="H340" s="876">
        <v>0</v>
      </c>
      <c r="I340" s="876"/>
      <c r="J340" s="877">
        <v>0</v>
      </c>
      <c r="K340" s="878" t="s">
        <v>506</v>
      </c>
      <c r="L340" s="977">
        <f>ROUND(SUM(ORÇAMENTO!L340),2)</f>
        <v>0</v>
      </c>
      <c r="M340" s="934">
        <f t="shared" ref="M340:M427" si="91">IF(L340=0,0,ROUND(J340,2))</f>
        <v>0</v>
      </c>
      <c r="N340" s="868">
        <f t="shared" ref="N340:N427" si="92">IF(ISBLANK(L340),0,ROUND(L340*M340,2))</f>
        <v>0</v>
      </c>
      <c r="O340" s="880"/>
      <c r="P340" s="58" t="str">
        <f>IF(N336&gt;0,"xx",IF(N336&gt;0,"xy",""))</f>
        <v/>
      </c>
      <c r="Q340" s="317" t="str">
        <f t="shared" ref="Q340:Q427" si="93">IF(P340="X","x",IF(P340="xx","x",IF(P340="xy","x",IF(P340="y","x",IF(OR(N340&gt;0,N340&gt;0),"x","")))))</f>
        <v/>
      </c>
      <c r="R340" s="317" t="str">
        <f t="shared" ref="R340:R427" si="94">IF(P340="X","x",IF(P340="y","x",IF(P340="xx","x",IF(N340&gt;0,"x",""))))</f>
        <v/>
      </c>
      <c r="S340" s="317" t="str">
        <f t="shared" ref="S340:S427" si="95">IF(P340="X","x",IF(N340&gt;0,"x",""))</f>
        <v/>
      </c>
      <c r="V340" s="314">
        <f>SUM(ORÇAMENTO!N340)</f>
        <v>0</v>
      </c>
      <c r="W340" s="315">
        <f t="shared" si="74"/>
        <v>0</v>
      </c>
    </row>
    <row r="341" spans="1:23" ht="15" hidden="1" customHeight="1" thickBot="1">
      <c r="A341" s="63">
        <v>589320</v>
      </c>
      <c r="B341" s="978" t="s">
        <v>1670</v>
      </c>
      <c r="C341" s="958" t="s">
        <v>213</v>
      </c>
      <c r="D341" s="986" t="s">
        <v>685</v>
      </c>
      <c r="E341" s="979">
        <f>DMT!$D$47</f>
        <v>468</v>
      </c>
      <c r="F341" s="980">
        <v>1</v>
      </c>
      <c r="G341" s="923">
        <f>(0.84*E341+41.45)*F341</f>
        <v>434.57</v>
      </c>
      <c r="H341" s="962">
        <v>4012.83</v>
      </c>
      <c r="I341" s="962">
        <f>IF(ISBLANK(H341),"",H341*(1+$E$9)/(1+$E$10))+G341</f>
        <v>4321.3218851251841</v>
      </c>
      <c r="J341" s="963">
        <f t="shared" si="80"/>
        <v>5281.52</v>
      </c>
      <c r="K341" s="964" t="s">
        <v>14</v>
      </c>
      <c r="L341" s="965">
        <f>ROUND(SUM(ORÇAMENTO!L341),2)</f>
        <v>0</v>
      </c>
      <c r="M341" s="987">
        <f t="shared" si="91"/>
        <v>0</v>
      </c>
      <c r="N341" s="967">
        <f t="shared" si="92"/>
        <v>0</v>
      </c>
      <c r="O341" s="880"/>
      <c r="P341" s="58" t="str">
        <f>IF(N336&gt;0,"xx",IF(N336&gt;0,"xy",""))</f>
        <v/>
      </c>
      <c r="Q341" s="317" t="str">
        <f t="shared" si="93"/>
        <v/>
      </c>
      <c r="R341" s="317" t="str">
        <f t="shared" si="94"/>
        <v/>
      </c>
      <c r="S341" s="317" t="str">
        <f t="shared" si="95"/>
        <v/>
      </c>
      <c r="V341" s="314">
        <f>SUM(ORÇAMENTO!N341)</f>
        <v>0</v>
      </c>
      <c r="W341" s="315">
        <f t="shared" ref="W341:W404" si="96">N341-V341</f>
        <v>0</v>
      </c>
    </row>
    <row r="342" spans="1:23" ht="15" hidden="1" customHeight="1">
      <c r="A342" s="63">
        <v>534300</v>
      </c>
      <c r="B342" s="973" t="s">
        <v>1631</v>
      </c>
      <c r="C342" s="974" t="s">
        <v>184</v>
      </c>
      <c r="D342" s="947" t="s">
        <v>2184</v>
      </c>
      <c r="E342" s="948" t="s">
        <v>564</v>
      </c>
      <c r="F342" s="949">
        <v>0.14000000000000001</v>
      </c>
      <c r="G342" s="950">
        <f>SUM(G343:G346)</f>
        <v>208.39436000000001</v>
      </c>
      <c r="H342" s="951">
        <v>140.30000000000001</v>
      </c>
      <c r="I342" s="951">
        <f>IF(ISBLANK(H342),"",SUM(G342:H342))</f>
        <v>348.69436000000002</v>
      </c>
      <c r="J342" s="952">
        <f t="shared" si="80"/>
        <v>426.17</v>
      </c>
      <c r="K342" s="953" t="s">
        <v>10</v>
      </c>
      <c r="L342" s="954">
        <f>ROUND(SUM(ORÇAMENTO!L342),2)</f>
        <v>0</v>
      </c>
      <c r="M342" s="955">
        <f t="shared" si="91"/>
        <v>0</v>
      </c>
      <c r="N342" s="956">
        <f t="shared" si="92"/>
        <v>0</v>
      </c>
      <c r="O342" s="880"/>
      <c r="Q342" s="317" t="str">
        <f t="shared" si="93"/>
        <v/>
      </c>
      <c r="R342" s="317" t="str">
        <f t="shared" si="94"/>
        <v/>
      </c>
      <c r="S342" s="317" t="str">
        <f t="shared" si="95"/>
        <v/>
      </c>
      <c r="V342" s="314">
        <f>SUM(ORÇAMENTO!N342)</f>
        <v>0</v>
      </c>
      <c r="W342" s="315">
        <f t="shared" si="96"/>
        <v>0</v>
      </c>
    </row>
    <row r="343" spans="1:23" ht="15" hidden="1" customHeight="1">
      <c r="A343" s="63" t="s">
        <v>147</v>
      </c>
      <c r="B343" s="870" t="s">
        <v>147</v>
      </c>
      <c r="C343" s="871"/>
      <c r="D343" s="931" t="s">
        <v>229</v>
      </c>
      <c r="E343" s="882">
        <f>DMT!$F$42</f>
        <v>290</v>
      </c>
      <c r="F343" s="883">
        <v>0.27</v>
      </c>
      <c r="G343" s="923">
        <f t="shared" ref="G343:G345" si="97">IF(E343&lt;=30,(1.07*E343+2.68)*F343,((1.07*30+2.68)+1.07*(E343-30))*F343)</f>
        <v>84.504600000000011</v>
      </c>
      <c r="H343" s="876">
        <v>0</v>
      </c>
      <c r="I343" s="876"/>
      <c r="J343" s="877">
        <v>0</v>
      </c>
      <c r="K343" s="878" t="s">
        <v>506</v>
      </c>
      <c r="L343" s="977">
        <f>ROUND(SUM(ORÇAMENTO!L343),2)</f>
        <v>0</v>
      </c>
      <c r="M343" s="934">
        <f t="shared" si="91"/>
        <v>0</v>
      </c>
      <c r="N343" s="868">
        <f t="shared" si="92"/>
        <v>0</v>
      </c>
      <c r="O343" s="880"/>
      <c r="P343" s="58" t="str">
        <f>IF(N342&gt;0,"xx",IF(N342&gt;0,"xy",""))</f>
        <v/>
      </c>
      <c r="Q343" s="317" t="str">
        <f t="shared" si="93"/>
        <v/>
      </c>
      <c r="R343" s="317" t="str">
        <f t="shared" si="94"/>
        <v/>
      </c>
      <c r="S343" s="317" t="str">
        <f t="shared" si="95"/>
        <v/>
      </c>
      <c r="V343" s="314">
        <f>SUM(ORÇAMENTO!N343)</f>
        <v>0</v>
      </c>
      <c r="W343" s="315">
        <f t="shared" si="96"/>
        <v>0</v>
      </c>
    </row>
    <row r="344" spans="1:23" ht="15" hidden="1" customHeight="1">
      <c r="A344" s="63" t="s">
        <v>147</v>
      </c>
      <c r="B344" s="870" t="s">
        <v>147</v>
      </c>
      <c r="C344" s="871"/>
      <c r="D344" s="931" t="s">
        <v>230</v>
      </c>
      <c r="E344" s="882">
        <f>DMT!$D$46</f>
        <v>445</v>
      </c>
      <c r="F344" s="883"/>
      <c r="G344" s="884">
        <f>IF(E344&lt;=30,(0.78*E344+7.82)*F344,((0.78*30+7.82)+0.78*(E344-30))*F344)</f>
        <v>0</v>
      </c>
      <c r="H344" s="876">
        <v>0</v>
      </c>
      <c r="I344" s="876"/>
      <c r="J344" s="877">
        <v>0</v>
      </c>
      <c r="K344" s="878" t="s">
        <v>506</v>
      </c>
      <c r="L344" s="977">
        <f>ROUND(SUM(ORÇAMENTO!L344),2)</f>
        <v>0</v>
      </c>
      <c r="M344" s="934">
        <f t="shared" si="91"/>
        <v>0</v>
      </c>
      <c r="N344" s="868">
        <f t="shared" si="92"/>
        <v>0</v>
      </c>
      <c r="O344" s="880"/>
      <c r="P344" s="58" t="str">
        <f>IF(N342&gt;0,"xx",IF(N342&gt;0,"xy",""))</f>
        <v/>
      </c>
      <c r="Q344" s="317" t="str">
        <f t="shared" si="93"/>
        <v/>
      </c>
      <c r="R344" s="317" t="str">
        <f t="shared" si="94"/>
        <v/>
      </c>
      <c r="S344" s="317" t="str">
        <f t="shared" si="95"/>
        <v/>
      </c>
      <c r="V344" s="314">
        <f>SUM(ORÇAMENTO!N344)</f>
        <v>0</v>
      </c>
      <c r="W344" s="315">
        <f t="shared" si="96"/>
        <v>0</v>
      </c>
    </row>
    <row r="345" spans="1:23" ht="15" hidden="1" customHeight="1">
      <c r="A345" s="63" t="s">
        <v>147</v>
      </c>
      <c r="B345" s="870" t="s">
        <v>147</v>
      </c>
      <c r="C345" s="871"/>
      <c r="D345" s="931" t="s">
        <v>243</v>
      </c>
      <c r="E345" s="882">
        <f>DMT!$F$43</f>
        <v>0.2</v>
      </c>
      <c r="F345" s="883">
        <v>1.89</v>
      </c>
      <c r="G345" s="923">
        <f t="shared" si="97"/>
        <v>5.4696600000000002</v>
      </c>
      <c r="H345" s="876">
        <v>0</v>
      </c>
      <c r="I345" s="876"/>
      <c r="J345" s="877">
        <v>0</v>
      </c>
      <c r="K345" s="878" t="s">
        <v>506</v>
      </c>
      <c r="L345" s="977">
        <f>ROUND(SUM(ORÇAMENTO!L345),2)</f>
        <v>0</v>
      </c>
      <c r="M345" s="934">
        <f t="shared" si="91"/>
        <v>0</v>
      </c>
      <c r="N345" s="868">
        <f t="shared" si="92"/>
        <v>0</v>
      </c>
      <c r="O345" s="880"/>
      <c r="P345" s="58" t="str">
        <f>IF(N342&gt;0,"xx",IF(N342&gt;0,"xy",""))</f>
        <v/>
      </c>
      <c r="Q345" s="317" t="str">
        <f t="shared" si="93"/>
        <v/>
      </c>
      <c r="R345" s="317" t="str">
        <f t="shared" si="94"/>
        <v/>
      </c>
      <c r="S345" s="317" t="str">
        <f t="shared" si="95"/>
        <v/>
      </c>
      <c r="V345" s="314">
        <f>SUM(ORÇAMENTO!N345)</f>
        <v>0</v>
      </c>
      <c r="W345" s="315">
        <f t="shared" si="96"/>
        <v>0</v>
      </c>
    </row>
    <row r="346" spans="1:23" ht="15" hidden="1" customHeight="1">
      <c r="A346" s="63" t="s">
        <v>147</v>
      </c>
      <c r="B346" s="870" t="s">
        <v>147</v>
      </c>
      <c r="C346" s="871"/>
      <c r="D346" s="931" t="s">
        <v>244</v>
      </c>
      <c r="E346" s="882">
        <f>DMT!$F$28</f>
        <v>43.1</v>
      </c>
      <c r="F346" s="883">
        <f>SUM(F342:F345)</f>
        <v>2.2999999999999998</v>
      </c>
      <c r="G346" s="887">
        <f>IF(E346&lt;=30,(1.07*E346+5.37)*F346,((1.07*30+5.37)+1.07*(E346-30))*F346)</f>
        <v>118.42009999999999</v>
      </c>
      <c r="H346" s="876">
        <v>0</v>
      </c>
      <c r="I346" s="876"/>
      <c r="J346" s="877">
        <v>0</v>
      </c>
      <c r="K346" s="878" t="s">
        <v>506</v>
      </c>
      <c r="L346" s="977">
        <f>ROUND(SUM(ORÇAMENTO!L346),2)</f>
        <v>0</v>
      </c>
      <c r="M346" s="934">
        <f t="shared" si="91"/>
        <v>0</v>
      </c>
      <c r="N346" s="868">
        <f t="shared" si="92"/>
        <v>0</v>
      </c>
      <c r="O346" s="880"/>
      <c r="P346" s="58" t="str">
        <f>IF(N342&gt;0,"xx",IF(N342&gt;0,"xy",""))</f>
        <v/>
      </c>
      <c r="Q346" s="317" t="str">
        <f t="shared" si="93"/>
        <v/>
      </c>
      <c r="R346" s="317" t="str">
        <f t="shared" si="94"/>
        <v/>
      </c>
      <c r="S346" s="317" t="str">
        <f t="shared" si="95"/>
        <v/>
      </c>
      <c r="V346" s="314">
        <f>SUM(ORÇAMENTO!N346)</f>
        <v>0</v>
      </c>
      <c r="W346" s="315">
        <f t="shared" si="96"/>
        <v>0</v>
      </c>
    </row>
    <row r="347" spans="1:23" ht="15" hidden="1" customHeight="1" thickBot="1">
      <c r="A347" s="63">
        <v>589320</v>
      </c>
      <c r="B347" s="978" t="s">
        <v>1671</v>
      </c>
      <c r="C347" s="958" t="s">
        <v>213</v>
      </c>
      <c r="D347" s="986" t="s">
        <v>685</v>
      </c>
      <c r="E347" s="979">
        <f>DMT!$D$47</f>
        <v>468</v>
      </c>
      <c r="F347" s="980">
        <v>1</v>
      </c>
      <c r="G347" s="923">
        <f>(0.84*E347+41.45)*F347</f>
        <v>434.57</v>
      </c>
      <c r="H347" s="962">
        <v>4012.83</v>
      </c>
      <c r="I347" s="962">
        <f>IF(ISBLANK(H347),"",H347*(1+$E$9)/(1+$E$10))+G347</f>
        <v>4321.3218851251841</v>
      </c>
      <c r="J347" s="963">
        <f t="shared" si="80"/>
        <v>5281.52</v>
      </c>
      <c r="K347" s="964" t="s">
        <v>14</v>
      </c>
      <c r="L347" s="965">
        <f>ROUND(SUM(ORÇAMENTO!L347),2)</f>
        <v>0</v>
      </c>
      <c r="M347" s="987">
        <f t="shared" si="91"/>
        <v>0</v>
      </c>
      <c r="N347" s="967">
        <f t="shared" si="92"/>
        <v>0</v>
      </c>
      <c r="O347" s="880"/>
      <c r="P347" s="58" t="str">
        <f>IF(N342&gt;0,"xx",IF(N342&gt;0,"xy",""))</f>
        <v/>
      </c>
      <c r="Q347" s="317" t="str">
        <f t="shared" si="93"/>
        <v/>
      </c>
      <c r="R347" s="317" t="str">
        <f t="shared" si="94"/>
        <v/>
      </c>
      <c r="S347" s="317" t="str">
        <f t="shared" si="95"/>
        <v/>
      </c>
      <c r="V347" s="314">
        <f>SUM(ORÇAMENTO!N347)</f>
        <v>0</v>
      </c>
      <c r="W347" s="315">
        <f t="shared" si="96"/>
        <v>0</v>
      </c>
    </row>
    <row r="348" spans="1:23" ht="15" hidden="1" customHeight="1">
      <c r="A348" s="63">
        <v>534300</v>
      </c>
      <c r="B348" s="973" t="s">
        <v>1632</v>
      </c>
      <c r="C348" s="974" t="s">
        <v>184</v>
      </c>
      <c r="D348" s="947" t="s">
        <v>2186</v>
      </c>
      <c r="E348" s="948" t="s">
        <v>564</v>
      </c>
      <c r="F348" s="949">
        <v>0.18240000000000001</v>
      </c>
      <c r="G348" s="950">
        <f>SUM(G349:G352)</f>
        <v>336.01171920000002</v>
      </c>
      <c r="H348" s="951">
        <v>140.30000000000001</v>
      </c>
      <c r="I348" s="951">
        <f>IF(ISBLANK(H348),"",SUM(G348:H348))</f>
        <v>476.31171920000003</v>
      </c>
      <c r="J348" s="952">
        <f t="shared" si="80"/>
        <v>582.15</v>
      </c>
      <c r="K348" s="953" t="s">
        <v>10</v>
      </c>
      <c r="L348" s="954">
        <f>ROUND(SUM(ORÇAMENTO!L348),2)</f>
        <v>0</v>
      </c>
      <c r="M348" s="955">
        <f t="shared" si="91"/>
        <v>0</v>
      </c>
      <c r="N348" s="956">
        <f t="shared" si="92"/>
        <v>0</v>
      </c>
      <c r="O348" s="880"/>
      <c r="Q348" s="317" t="str">
        <f t="shared" si="93"/>
        <v/>
      </c>
      <c r="R348" s="317" t="str">
        <f t="shared" si="94"/>
        <v/>
      </c>
      <c r="S348" s="317" t="str">
        <f t="shared" si="95"/>
        <v/>
      </c>
      <c r="V348" s="314">
        <f>SUM(ORÇAMENTO!N348)</f>
        <v>0</v>
      </c>
      <c r="W348" s="315">
        <f t="shared" si="96"/>
        <v>0</v>
      </c>
    </row>
    <row r="349" spans="1:23" ht="15" hidden="1" customHeight="1">
      <c r="A349" s="63" t="s">
        <v>147</v>
      </c>
      <c r="B349" s="870" t="s">
        <v>147</v>
      </c>
      <c r="C349" s="871"/>
      <c r="D349" s="931" t="s">
        <v>229</v>
      </c>
      <c r="E349" s="882">
        <f>DMT!$F$42</f>
        <v>290</v>
      </c>
      <c r="F349" s="883">
        <v>0.56969999999999998</v>
      </c>
      <c r="G349" s="923">
        <f t="shared" ref="G349:G351" si="98">IF(E349&lt;=30,(1.07*E349+2.68)*F349,((1.07*30+2.68)+1.07*(E349-30))*F349)</f>
        <v>178.30470600000001</v>
      </c>
      <c r="H349" s="876">
        <v>0</v>
      </c>
      <c r="I349" s="876"/>
      <c r="J349" s="877">
        <v>0</v>
      </c>
      <c r="K349" s="878" t="s">
        <v>506</v>
      </c>
      <c r="L349" s="977">
        <f>ROUND(SUM(ORÇAMENTO!L349),2)</f>
        <v>0</v>
      </c>
      <c r="M349" s="934">
        <f t="shared" si="91"/>
        <v>0</v>
      </c>
      <c r="N349" s="868">
        <f t="shared" si="92"/>
        <v>0</v>
      </c>
      <c r="O349" s="880"/>
      <c r="P349" s="58" t="str">
        <f>IF(N348&gt;0,"xx",IF(N348&gt;0,"xy",""))</f>
        <v/>
      </c>
      <c r="Q349" s="317" t="str">
        <f t="shared" si="93"/>
        <v/>
      </c>
      <c r="R349" s="317" t="str">
        <f t="shared" si="94"/>
        <v/>
      </c>
      <c r="S349" s="317" t="str">
        <f t="shared" si="95"/>
        <v/>
      </c>
      <c r="V349" s="314">
        <f>SUM(ORÇAMENTO!N349)</f>
        <v>0</v>
      </c>
      <c r="W349" s="315">
        <f t="shared" si="96"/>
        <v>0</v>
      </c>
    </row>
    <row r="350" spans="1:23" ht="15" hidden="1" customHeight="1">
      <c r="A350" s="63" t="s">
        <v>147</v>
      </c>
      <c r="B350" s="870" t="s">
        <v>147</v>
      </c>
      <c r="C350" s="871"/>
      <c r="D350" s="931" t="s">
        <v>230</v>
      </c>
      <c r="E350" s="882">
        <f>DMT!$D$46</f>
        <v>445</v>
      </c>
      <c r="F350" s="883">
        <v>8.7599999999999997E-2</v>
      </c>
      <c r="G350" s="884">
        <f>IF(E350&lt;=30,(0.78*E350+7.82)*F350,((0.78*30+7.82)+0.78*(E350-30))*F350)</f>
        <v>31.090992</v>
      </c>
      <c r="H350" s="876">
        <v>0</v>
      </c>
      <c r="I350" s="876"/>
      <c r="J350" s="877">
        <v>0</v>
      </c>
      <c r="K350" s="878" t="s">
        <v>506</v>
      </c>
      <c r="L350" s="977">
        <f>ROUND(SUM(ORÇAMENTO!L350),2)</f>
        <v>0</v>
      </c>
      <c r="M350" s="934">
        <f t="shared" si="91"/>
        <v>0</v>
      </c>
      <c r="N350" s="868">
        <f t="shared" si="92"/>
        <v>0</v>
      </c>
      <c r="O350" s="880"/>
      <c r="P350" s="58" t="str">
        <f>IF(N348&gt;0,"xx",IF(N348&gt;0,"xy",""))</f>
        <v/>
      </c>
      <c r="Q350" s="317" t="str">
        <f t="shared" si="93"/>
        <v/>
      </c>
      <c r="R350" s="317" t="str">
        <f t="shared" si="94"/>
        <v/>
      </c>
      <c r="S350" s="317" t="str">
        <f t="shared" si="95"/>
        <v/>
      </c>
      <c r="V350" s="314">
        <f>SUM(ORÇAMENTO!N350)</f>
        <v>0</v>
      </c>
      <c r="W350" s="315">
        <f t="shared" si="96"/>
        <v>0</v>
      </c>
    </row>
    <row r="351" spans="1:23" ht="15" hidden="1" customHeight="1">
      <c r="A351" s="63" t="s">
        <v>147</v>
      </c>
      <c r="B351" s="870" t="s">
        <v>147</v>
      </c>
      <c r="C351" s="871"/>
      <c r="D351" s="931" t="s">
        <v>243</v>
      </c>
      <c r="E351" s="882">
        <f>DMT!$F$43</f>
        <v>0.2</v>
      </c>
      <c r="F351" s="883">
        <v>1.5333000000000001</v>
      </c>
      <c r="G351" s="923">
        <f t="shared" si="98"/>
        <v>4.4373702000000002</v>
      </c>
      <c r="H351" s="876">
        <v>0</v>
      </c>
      <c r="I351" s="876"/>
      <c r="J351" s="877">
        <v>0</v>
      </c>
      <c r="K351" s="878" t="s">
        <v>506</v>
      </c>
      <c r="L351" s="977">
        <f>ROUND(SUM(ORÇAMENTO!L351),2)</f>
        <v>0</v>
      </c>
      <c r="M351" s="934">
        <f t="shared" si="91"/>
        <v>0</v>
      </c>
      <c r="N351" s="868">
        <f t="shared" si="92"/>
        <v>0</v>
      </c>
      <c r="O351" s="880"/>
      <c r="P351" s="58" t="str">
        <f>IF(N348&gt;0,"xx",IF(N348&gt;0,"xy",""))</f>
        <v/>
      </c>
      <c r="Q351" s="317" t="str">
        <f t="shared" si="93"/>
        <v/>
      </c>
      <c r="R351" s="317" t="str">
        <f t="shared" si="94"/>
        <v/>
      </c>
      <c r="S351" s="317" t="str">
        <f t="shared" si="95"/>
        <v/>
      </c>
      <c r="V351" s="314">
        <f>SUM(ORÇAMENTO!N351)</f>
        <v>0</v>
      </c>
      <c r="W351" s="315">
        <f t="shared" si="96"/>
        <v>0</v>
      </c>
    </row>
    <row r="352" spans="1:23" ht="15" hidden="1" customHeight="1">
      <c r="A352" s="63" t="s">
        <v>147</v>
      </c>
      <c r="B352" s="870" t="s">
        <v>147</v>
      </c>
      <c r="C352" s="871"/>
      <c r="D352" s="931" t="s">
        <v>244</v>
      </c>
      <c r="E352" s="882">
        <f>DMT!$F$28</f>
        <v>43.1</v>
      </c>
      <c r="F352" s="883">
        <f>SUM(F348:F351)</f>
        <v>2.3730000000000002</v>
      </c>
      <c r="G352" s="887">
        <f>IF(E352&lt;=30,(1.07*E352+5.37)*F352,((1.07*30+5.37)+1.07*(E352-30))*F352)</f>
        <v>122.17865100000002</v>
      </c>
      <c r="H352" s="876">
        <v>0</v>
      </c>
      <c r="I352" s="876"/>
      <c r="J352" s="877">
        <v>0</v>
      </c>
      <c r="K352" s="878" t="s">
        <v>506</v>
      </c>
      <c r="L352" s="977">
        <f>ROUND(SUM(ORÇAMENTO!L352),2)</f>
        <v>0</v>
      </c>
      <c r="M352" s="934">
        <f t="shared" si="91"/>
        <v>0</v>
      </c>
      <c r="N352" s="868">
        <f t="shared" si="92"/>
        <v>0</v>
      </c>
      <c r="O352" s="880"/>
      <c r="P352" s="58" t="str">
        <f>IF(N348&gt;0,"xx",IF(N348&gt;0,"xy",""))</f>
        <v/>
      </c>
      <c r="Q352" s="317" t="str">
        <f t="shared" si="93"/>
        <v/>
      </c>
      <c r="R352" s="317" t="str">
        <f t="shared" si="94"/>
        <v/>
      </c>
      <c r="S352" s="317" t="str">
        <f t="shared" si="95"/>
        <v/>
      </c>
      <c r="V352" s="314">
        <f>SUM(ORÇAMENTO!N352)</f>
        <v>0</v>
      </c>
      <c r="W352" s="315">
        <f t="shared" si="96"/>
        <v>0</v>
      </c>
    </row>
    <row r="353" spans="1:23" ht="15" hidden="1" customHeight="1" thickBot="1">
      <c r="A353" s="63">
        <v>589320</v>
      </c>
      <c r="B353" s="978" t="s">
        <v>1672</v>
      </c>
      <c r="C353" s="958" t="s">
        <v>213</v>
      </c>
      <c r="D353" s="986" t="s">
        <v>1666</v>
      </c>
      <c r="E353" s="979">
        <f>DMT!$D$47</f>
        <v>468</v>
      </c>
      <c r="F353" s="980">
        <v>1</v>
      </c>
      <c r="G353" s="923">
        <f>(0.84*E353+41.45)*F353</f>
        <v>434.57</v>
      </c>
      <c r="H353" s="962">
        <v>4012.83</v>
      </c>
      <c r="I353" s="962">
        <f>IF(ISBLANK(H353),"",H353*(1+$E$9)/(1+$E$10))+G353</f>
        <v>4321.3218851251841</v>
      </c>
      <c r="J353" s="963">
        <f t="shared" si="80"/>
        <v>5281.52</v>
      </c>
      <c r="K353" s="964" t="s">
        <v>14</v>
      </c>
      <c r="L353" s="965">
        <f>ROUND(SUM(ORÇAMENTO!L353),2)</f>
        <v>0</v>
      </c>
      <c r="M353" s="987">
        <f t="shared" si="91"/>
        <v>0</v>
      </c>
      <c r="N353" s="967">
        <f t="shared" si="92"/>
        <v>0</v>
      </c>
      <c r="O353" s="880"/>
      <c r="P353" s="58" t="str">
        <f>IF(N348&gt;0,"xx",IF(N348&gt;0,"xy",""))</f>
        <v/>
      </c>
      <c r="Q353" s="317" t="str">
        <f t="shared" si="93"/>
        <v/>
      </c>
      <c r="R353" s="317" t="str">
        <f t="shared" si="94"/>
        <v/>
      </c>
      <c r="S353" s="317" t="str">
        <f t="shared" si="95"/>
        <v/>
      </c>
      <c r="V353" s="314">
        <f>SUM(ORÇAMENTO!N353)</f>
        <v>0</v>
      </c>
      <c r="W353" s="315">
        <f t="shared" si="96"/>
        <v>0</v>
      </c>
    </row>
    <row r="354" spans="1:23" ht="15" hidden="1" customHeight="1">
      <c r="A354" s="63">
        <v>570300</v>
      </c>
      <c r="B354" s="973" t="s">
        <v>1633</v>
      </c>
      <c r="C354" s="974" t="s">
        <v>184</v>
      </c>
      <c r="D354" s="993" t="s">
        <v>754</v>
      </c>
      <c r="E354" s="948" t="s">
        <v>563</v>
      </c>
      <c r="F354" s="949">
        <v>0.04</v>
      </c>
      <c r="G354" s="950">
        <f>SUM(G355:G358)</f>
        <v>60.625630000000008</v>
      </c>
      <c r="H354" s="951">
        <v>178.78</v>
      </c>
      <c r="I354" s="951">
        <f>IF(ISBLANK(H354),"",SUM(G354:H354))</f>
        <v>239.40563</v>
      </c>
      <c r="J354" s="952">
        <f t="shared" si="80"/>
        <v>292.60000000000002</v>
      </c>
      <c r="K354" s="953" t="s">
        <v>14</v>
      </c>
      <c r="L354" s="954">
        <f>ROUND(SUM(ORÇAMENTO!L354),2)</f>
        <v>0</v>
      </c>
      <c r="M354" s="955">
        <f t="shared" si="91"/>
        <v>0</v>
      </c>
      <c r="N354" s="956">
        <f t="shared" si="92"/>
        <v>0</v>
      </c>
      <c r="O354" s="880"/>
      <c r="Q354" s="317" t="str">
        <f t="shared" si="93"/>
        <v/>
      </c>
      <c r="R354" s="317" t="str">
        <f t="shared" si="94"/>
        <v/>
      </c>
      <c r="S354" s="317" t="str">
        <f t="shared" si="95"/>
        <v/>
      </c>
      <c r="V354" s="314">
        <f>SUM(ORÇAMENTO!N354)</f>
        <v>0</v>
      </c>
      <c r="W354" s="315">
        <f t="shared" si="96"/>
        <v>0</v>
      </c>
    </row>
    <row r="355" spans="1:23" ht="15" hidden="1" customHeight="1">
      <c r="A355" s="63" t="s">
        <v>147</v>
      </c>
      <c r="B355" s="870" t="s">
        <v>147</v>
      </c>
      <c r="C355" s="871"/>
      <c r="D355" s="931" t="s">
        <v>229</v>
      </c>
      <c r="E355" s="882">
        <f>DMT!$F$42</f>
        <v>290</v>
      </c>
      <c r="F355" s="883">
        <v>0</v>
      </c>
      <c r="G355" s="923">
        <f t="shared" ref="G355:G357" si="99">IF(E355&lt;=30,(1.07*E355+2.68)*F355,((1.07*30+2.68)+1.07*(E355-30))*F355)</f>
        <v>0</v>
      </c>
      <c r="H355" s="876">
        <v>0</v>
      </c>
      <c r="I355" s="876"/>
      <c r="J355" s="877">
        <v>0</v>
      </c>
      <c r="K355" s="878" t="s">
        <v>506</v>
      </c>
      <c r="L355" s="977">
        <f>ROUND(SUM(ORÇAMENTO!L355),2)</f>
        <v>0</v>
      </c>
      <c r="M355" s="934">
        <f t="shared" si="91"/>
        <v>0</v>
      </c>
      <c r="N355" s="868">
        <f t="shared" si="92"/>
        <v>0</v>
      </c>
      <c r="O355" s="880"/>
      <c r="P355" s="58" t="str">
        <f>IF(N354&gt;0,"xx",IF(N354&gt;0,"xy",""))</f>
        <v/>
      </c>
      <c r="Q355" s="317" t="str">
        <f t="shared" si="93"/>
        <v/>
      </c>
      <c r="R355" s="317" t="str">
        <f t="shared" si="94"/>
        <v/>
      </c>
      <c r="S355" s="317" t="str">
        <f t="shared" si="95"/>
        <v/>
      </c>
      <c r="V355" s="314">
        <f>SUM(ORÇAMENTO!N355)</f>
        <v>0</v>
      </c>
      <c r="W355" s="315">
        <f t="shared" si="96"/>
        <v>0</v>
      </c>
    </row>
    <row r="356" spans="1:23" ht="15" hidden="1" customHeight="1">
      <c r="A356" s="63" t="s">
        <v>147</v>
      </c>
      <c r="B356" s="870" t="s">
        <v>147</v>
      </c>
      <c r="C356" s="871"/>
      <c r="D356" s="931" t="s">
        <v>230</v>
      </c>
      <c r="E356" s="882">
        <f>DMT!$D$46</f>
        <v>445</v>
      </c>
      <c r="F356" s="883">
        <v>1.4999999999999999E-2</v>
      </c>
      <c r="G356" s="884">
        <f>IF(E356&lt;=30,(0.78*E356+7.82)*F356,((0.78*30+7.82)+0.78*(E356-30))*F356)</f>
        <v>5.3238000000000003</v>
      </c>
      <c r="H356" s="876">
        <v>0</v>
      </c>
      <c r="I356" s="876"/>
      <c r="J356" s="877">
        <v>0</v>
      </c>
      <c r="K356" s="878" t="s">
        <v>506</v>
      </c>
      <c r="L356" s="977">
        <f>ROUND(SUM(ORÇAMENTO!L356),2)</f>
        <v>0</v>
      </c>
      <c r="M356" s="934">
        <f t="shared" si="91"/>
        <v>0</v>
      </c>
      <c r="N356" s="868">
        <f t="shared" si="92"/>
        <v>0</v>
      </c>
      <c r="O356" s="880"/>
      <c r="P356" s="58" t="str">
        <f>IF(N354&gt;0,"xx",IF(N354&gt;0,"xy",""))</f>
        <v/>
      </c>
      <c r="Q356" s="317" t="str">
        <f t="shared" si="93"/>
        <v/>
      </c>
      <c r="R356" s="317" t="str">
        <f t="shared" si="94"/>
        <v/>
      </c>
      <c r="S356" s="317" t="str">
        <f t="shared" si="95"/>
        <v/>
      </c>
      <c r="V356" s="314">
        <f>SUM(ORÇAMENTO!N356)</f>
        <v>0</v>
      </c>
      <c r="W356" s="315">
        <f t="shared" si="96"/>
        <v>0</v>
      </c>
    </row>
    <row r="357" spans="1:23" ht="15" hidden="1" customHeight="1">
      <c r="A357" s="63" t="s">
        <v>147</v>
      </c>
      <c r="B357" s="870" t="s">
        <v>147</v>
      </c>
      <c r="C357" s="871"/>
      <c r="D357" s="931" t="s">
        <v>243</v>
      </c>
      <c r="E357" s="882">
        <f>DMT!$F$43</f>
        <v>0.2</v>
      </c>
      <c r="F357" s="883">
        <v>0.94499999999999995</v>
      </c>
      <c r="G357" s="923">
        <f t="shared" si="99"/>
        <v>2.7348300000000001</v>
      </c>
      <c r="H357" s="876">
        <v>0</v>
      </c>
      <c r="I357" s="876"/>
      <c r="J357" s="877">
        <v>0</v>
      </c>
      <c r="K357" s="878" t="s">
        <v>506</v>
      </c>
      <c r="L357" s="977">
        <f>ROUND(SUM(ORÇAMENTO!L357),2)</f>
        <v>0</v>
      </c>
      <c r="M357" s="934">
        <f t="shared" si="91"/>
        <v>0</v>
      </c>
      <c r="N357" s="868">
        <f t="shared" si="92"/>
        <v>0</v>
      </c>
      <c r="O357" s="880"/>
      <c r="P357" s="58" t="str">
        <f>IF(N354&gt;0,"xx",IF(N354&gt;0,"xy",""))</f>
        <v/>
      </c>
      <c r="Q357" s="317" t="str">
        <f t="shared" si="93"/>
        <v/>
      </c>
      <c r="R357" s="317" t="str">
        <f t="shared" si="94"/>
        <v/>
      </c>
      <c r="S357" s="317" t="str">
        <f t="shared" si="95"/>
        <v/>
      </c>
      <c r="V357" s="314">
        <f>SUM(ORÇAMENTO!N357)</f>
        <v>0</v>
      </c>
      <c r="W357" s="315">
        <f t="shared" si="96"/>
        <v>0</v>
      </c>
    </row>
    <row r="358" spans="1:23" ht="15" hidden="1" customHeight="1">
      <c r="A358" s="63" t="s">
        <v>147</v>
      </c>
      <c r="B358" s="870" t="s">
        <v>147</v>
      </c>
      <c r="C358" s="871"/>
      <c r="D358" s="931" t="s">
        <v>244</v>
      </c>
      <c r="E358" s="882">
        <f>DMT!$F$28</f>
        <v>43.1</v>
      </c>
      <c r="F358" s="883">
        <v>1</v>
      </c>
      <c r="G358" s="887">
        <f>IF(E358&lt;=30,(1.07*E358+6.45)*F358,((1.07*30+6.45)+1.07*(E358-30))*F358)</f>
        <v>52.567000000000007</v>
      </c>
      <c r="H358" s="876">
        <v>0</v>
      </c>
      <c r="I358" s="876"/>
      <c r="J358" s="877">
        <v>0</v>
      </c>
      <c r="K358" s="878" t="s">
        <v>506</v>
      </c>
      <c r="L358" s="977">
        <f>ROUND(SUM(ORÇAMENTO!L358),2)</f>
        <v>0</v>
      </c>
      <c r="M358" s="934">
        <f t="shared" si="91"/>
        <v>0</v>
      </c>
      <c r="N358" s="868">
        <f t="shared" si="92"/>
        <v>0</v>
      </c>
      <c r="O358" s="880"/>
      <c r="P358" s="58" t="str">
        <f>IF(N354&gt;0,"xx",IF(N354&gt;0,"xy",""))</f>
        <v/>
      </c>
      <c r="Q358" s="317" t="str">
        <f t="shared" si="93"/>
        <v/>
      </c>
      <c r="R358" s="317" t="str">
        <f t="shared" si="94"/>
        <v/>
      </c>
      <c r="S358" s="317" t="str">
        <f t="shared" si="95"/>
        <v/>
      </c>
      <c r="V358" s="314">
        <f>SUM(ORÇAMENTO!N358)</f>
        <v>0</v>
      </c>
      <c r="W358" s="315">
        <f t="shared" si="96"/>
        <v>0</v>
      </c>
    </row>
    <row r="359" spans="1:23" ht="15" hidden="1" customHeight="1" thickBot="1">
      <c r="A359" s="63">
        <v>589000</v>
      </c>
      <c r="B359" s="983" t="s">
        <v>694</v>
      </c>
      <c r="C359" s="835" t="s">
        <v>213</v>
      </c>
      <c r="D359" s="986" t="s">
        <v>2155</v>
      </c>
      <c r="E359" s="994">
        <f>DMT!$D$45</f>
        <v>468</v>
      </c>
      <c r="F359" s="980">
        <v>1</v>
      </c>
      <c r="G359" s="923">
        <f>(0.94*E359+46.06)*F359</f>
        <v>485.97999999999996</v>
      </c>
      <c r="H359" s="962">
        <v>4828.8599999999997</v>
      </c>
      <c r="I359" s="962">
        <f>IF(ISBLANK(H359),"",H359*(1+$E$9)/(1+$E$10))+G359</f>
        <v>5163.1232400589097</v>
      </c>
      <c r="J359" s="985">
        <f t="shared" ref="J359:J474" si="100">IF(ISBLANK(H359),0,ROUND(I359*(1+$E$10),2))</f>
        <v>6310.37</v>
      </c>
      <c r="K359" s="842" t="s">
        <v>14</v>
      </c>
      <c r="L359" s="965">
        <f>ROUND(SUM(ORÇAMENTO!L359),2)</f>
        <v>0</v>
      </c>
      <c r="M359" s="987">
        <f t="shared" si="91"/>
        <v>0</v>
      </c>
      <c r="N359" s="967">
        <f t="shared" si="92"/>
        <v>0</v>
      </c>
      <c r="O359" s="880"/>
      <c r="P359" s="58" t="str">
        <f>IF(N354&gt;0,"xx",IF(N354&gt;0,"xy",""))</f>
        <v/>
      </c>
      <c r="Q359" s="317" t="str">
        <f t="shared" si="93"/>
        <v/>
      </c>
      <c r="R359" s="317" t="str">
        <f t="shared" si="94"/>
        <v/>
      </c>
      <c r="S359" s="317" t="str">
        <f t="shared" si="95"/>
        <v/>
      </c>
      <c r="V359" s="314">
        <f>SUM(ORÇAMENTO!N359)</f>
        <v>0</v>
      </c>
      <c r="W359" s="315">
        <f t="shared" si="96"/>
        <v>0</v>
      </c>
    </row>
    <row r="360" spans="1:23" ht="15" hidden="1" customHeight="1">
      <c r="A360" s="63">
        <v>570310</v>
      </c>
      <c r="B360" s="973" t="s">
        <v>1748</v>
      </c>
      <c r="C360" s="974" t="s">
        <v>184</v>
      </c>
      <c r="D360" s="993" t="s">
        <v>755</v>
      </c>
      <c r="E360" s="948" t="s">
        <v>563</v>
      </c>
      <c r="F360" s="949">
        <v>0.04</v>
      </c>
      <c r="G360" s="950">
        <f>SUM(G361:G364)</f>
        <v>60.625630000000008</v>
      </c>
      <c r="H360" s="951">
        <v>158.85</v>
      </c>
      <c r="I360" s="951">
        <f>IF(ISBLANK(H360),"",SUM(G360:H360))</f>
        <v>219.47563</v>
      </c>
      <c r="J360" s="952">
        <f t="shared" si="100"/>
        <v>268.24</v>
      </c>
      <c r="K360" s="953" t="s">
        <v>14</v>
      </c>
      <c r="L360" s="954">
        <f>ROUND(SUM(ORÇAMENTO!L360),2)</f>
        <v>0</v>
      </c>
      <c r="M360" s="955">
        <f t="shared" si="91"/>
        <v>0</v>
      </c>
      <c r="N360" s="956">
        <f t="shared" si="92"/>
        <v>0</v>
      </c>
      <c r="O360" s="880"/>
      <c r="Q360" s="317" t="str">
        <f t="shared" si="93"/>
        <v/>
      </c>
      <c r="R360" s="317" t="str">
        <f t="shared" si="94"/>
        <v/>
      </c>
      <c r="S360" s="317" t="str">
        <f t="shared" si="95"/>
        <v/>
      </c>
      <c r="V360" s="314">
        <f>SUM(ORÇAMENTO!N360)</f>
        <v>0</v>
      </c>
      <c r="W360" s="315">
        <f t="shared" si="96"/>
        <v>0</v>
      </c>
    </row>
    <row r="361" spans="1:23" ht="15" hidden="1" customHeight="1">
      <c r="A361" s="63" t="s">
        <v>147</v>
      </c>
      <c r="B361" s="870" t="s">
        <v>147</v>
      </c>
      <c r="C361" s="871"/>
      <c r="D361" s="931" t="s">
        <v>229</v>
      </c>
      <c r="E361" s="882">
        <f>DMT!$F$42</f>
        <v>290</v>
      </c>
      <c r="F361" s="883">
        <v>0</v>
      </c>
      <c r="G361" s="923">
        <f t="shared" ref="G361:G363" si="101">IF(E361&lt;=30,(1.07*E361+2.68)*F361,((1.07*30+2.68)+1.07*(E361-30))*F361)</f>
        <v>0</v>
      </c>
      <c r="H361" s="876">
        <v>0</v>
      </c>
      <c r="I361" s="876"/>
      <c r="J361" s="877">
        <v>0</v>
      </c>
      <c r="K361" s="878" t="s">
        <v>506</v>
      </c>
      <c r="L361" s="977">
        <f>ROUND(SUM(ORÇAMENTO!L361),2)</f>
        <v>0</v>
      </c>
      <c r="M361" s="934">
        <f t="shared" si="91"/>
        <v>0</v>
      </c>
      <c r="N361" s="868">
        <f t="shared" si="92"/>
        <v>0</v>
      </c>
      <c r="O361" s="880"/>
      <c r="P361" s="58" t="str">
        <f>IF(N360&gt;0,"xx",IF(N360&gt;0,"xy",""))</f>
        <v/>
      </c>
      <c r="Q361" s="317" t="str">
        <f t="shared" si="93"/>
        <v/>
      </c>
      <c r="R361" s="317" t="str">
        <f t="shared" si="94"/>
        <v/>
      </c>
      <c r="S361" s="317" t="str">
        <f t="shared" si="95"/>
        <v/>
      </c>
      <c r="V361" s="314">
        <f>SUM(ORÇAMENTO!N361)</f>
        <v>0</v>
      </c>
      <c r="W361" s="315">
        <f t="shared" si="96"/>
        <v>0</v>
      </c>
    </row>
    <row r="362" spans="1:23" ht="15" hidden="1" customHeight="1">
      <c r="A362" s="63" t="s">
        <v>147</v>
      </c>
      <c r="B362" s="870" t="s">
        <v>147</v>
      </c>
      <c r="C362" s="871"/>
      <c r="D362" s="931" t="s">
        <v>230</v>
      </c>
      <c r="E362" s="882">
        <f>DMT!$D$46</f>
        <v>445</v>
      </c>
      <c r="F362" s="883">
        <v>1.4999999999999999E-2</v>
      </c>
      <c r="G362" s="884">
        <f>IF(E362&lt;=30,(0.78*E362+7.82)*F362,((0.78*30+7.82)+0.78*(E362-30))*F362)</f>
        <v>5.3238000000000003</v>
      </c>
      <c r="H362" s="876">
        <v>0</v>
      </c>
      <c r="I362" s="876"/>
      <c r="J362" s="877">
        <v>0</v>
      </c>
      <c r="K362" s="878" t="s">
        <v>506</v>
      </c>
      <c r="L362" s="977">
        <f>ROUND(SUM(ORÇAMENTO!L362),2)</f>
        <v>0</v>
      </c>
      <c r="M362" s="934">
        <f t="shared" si="91"/>
        <v>0</v>
      </c>
      <c r="N362" s="868">
        <f t="shared" si="92"/>
        <v>0</v>
      </c>
      <c r="O362" s="880"/>
      <c r="P362" s="58" t="str">
        <f>IF(N360&gt;0,"xx",IF(N360&gt;0,"xy",""))</f>
        <v/>
      </c>
      <c r="Q362" s="317" t="str">
        <f t="shared" si="93"/>
        <v/>
      </c>
      <c r="R362" s="317" t="str">
        <f t="shared" si="94"/>
        <v/>
      </c>
      <c r="S362" s="317" t="str">
        <f t="shared" si="95"/>
        <v/>
      </c>
      <c r="V362" s="314">
        <f>SUM(ORÇAMENTO!N362)</f>
        <v>0</v>
      </c>
      <c r="W362" s="315">
        <f t="shared" si="96"/>
        <v>0</v>
      </c>
    </row>
    <row r="363" spans="1:23" ht="15" hidden="1" customHeight="1">
      <c r="A363" s="63" t="s">
        <v>147</v>
      </c>
      <c r="B363" s="870" t="s">
        <v>147</v>
      </c>
      <c r="C363" s="871"/>
      <c r="D363" s="931" t="s">
        <v>243</v>
      </c>
      <c r="E363" s="882">
        <f>DMT!$F$43</f>
        <v>0.2</v>
      </c>
      <c r="F363" s="883">
        <v>0.94499999999999995</v>
      </c>
      <c r="G363" s="923">
        <f t="shared" si="101"/>
        <v>2.7348300000000001</v>
      </c>
      <c r="H363" s="876">
        <v>0</v>
      </c>
      <c r="I363" s="876"/>
      <c r="J363" s="877">
        <v>0</v>
      </c>
      <c r="K363" s="878" t="s">
        <v>506</v>
      </c>
      <c r="L363" s="977">
        <f>ROUND(SUM(ORÇAMENTO!L363),2)</f>
        <v>0</v>
      </c>
      <c r="M363" s="934">
        <f t="shared" si="91"/>
        <v>0</v>
      </c>
      <c r="N363" s="868">
        <f t="shared" si="92"/>
        <v>0</v>
      </c>
      <c r="O363" s="880"/>
      <c r="P363" s="58" t="str">
        <f>IF(N360&gt;0,"xx",IF(N360&gt;0,"xy",""))</f>
        <v/>
      </c>
      <c r="Q363" s="317" t="str">
        <f t="shared" si="93"/>
        <v/>
      </c>
      <c r="R363" s="317" t="str">
        <f t="shared" si="94"/>
        <v/>
      </c>
      <c r="S363" s="317" t="str">
        <f t="shared" si="95"/>
        <v/>
      </c>
      <c r="V363" s="314">
        <f>SUM(ORÇAMENTO!N363)</f>
        <v>0</v>
      </c>
      <c r="W363" s="315">
        <f t="shared" si="96"/>
        <v>0</v>
      </c>
    </row>
    <row r="364" spans="1:23" ht="15" hidden="1" customHeight="1">
      <c r="A364" s="63" t="s">
        <v>147</v>
      </c>
      <c r="B364" s="870" t="s">
        <v>147</v>
      </c>
      <c r="C364" s="871"/>
      <c r="D364" s="931" t="s">
        <v>244</v>
      </c>
      <c r="E364" s="882">
        <f>DMT!$F$28</f>
        <v>43.1</v>
      </c>
      <c r="F364" s="883">
        <f>SUM(F360:F363)</f>
        <v>1</v>
      </c>
      <c r="G364" s="887">
        <f>IF(E364&lt;=30,(1.07*E364+6.45)*F364,((1.07*30+6.45)+1.07*(E364-30))*F364)</f>
        <v>52.567000000000007</v>
      </c>
      <c r="H364" s="876">
        <v>0</v>
      </c>
      <c r="I364" s="876"/>
      <c r="J364" s="877">
        <v>0</v>
      </c>
      <c r="K364" s="878" t="s">
        <v>506</v>
      </c>
      <c r="L364" s="977">
        <f>ROUND(SUM(ORÇAMENTO!L364),2)</f>
        <v>0</v>
      </c>
      <c r="M364" s="934">
        <f t="shared" si="91"/>
        <v>0</v>
      </c>
      <c r="N364" s="868">
        <f t="shared" si="92"/>
        <v>0</v>
      </c>
      <c r="O364" s="880"/>
      <c r="P364" s="58" t="str">
        <f>IF(N360&gt;0,"xx",IF(N360&gt;0,"xy",""))</f>
        <v/>
      </c>
      <c r="Q364" s="317" t="str">
        <f t="shared" si="93"/>
        <v/>
      </c>
      <c r="R364" s="317" t="str">
        <f t="shared" si="94"/>
        <v/>
      </c>
      <c r="S364" s="317" t="str">
        <f t="shared" si="95"/>
        <v/>
      </c>
      <c r="V364" s="314">
        <f>SUM(ORÇAMENTO!N364)</f>
        <v>0</v>
      </c>
      <c r="W364" s="315">
        <f t="shared" si="96"/>
        <v>0</v>
      </c>
    </row>
    <row r="365" spans="1:23" ht="15" hidden="1" customHeight="1" thickBot="1">
      <c r="A365" s="63">
        <v>589000</v>
      </c>
      <c r="B365" s="978" t="s">
        <v>695</v>
      </c>
      <c r="C365" s="958" t="s">
        <v>213</v>
      </c>
      <c r="D365" s="986" t="s">
        <v>2154</v>
      </c>
      <c r="E365" s="994">
        <f>DMT!$D$45</f>
        <v>468</v>
      </c>
      <c r="F365" s="980">
        <v>1</v>
      </c>
      <c r="G365" s="923">
        <f>(0.94*E365+46.06)*F365</f>
        <v>485.97999999999996</v>
      </c>
      <c r="H365" s="962">
        <v>4828.8599999999997</v>
      </c>
      <c r="I365" s="962">
        <f>IF(ISBLANK(H365),"",H365*(1+$E$9)/(1+$E$10))+G365</f>
        <v>5163.1232400589097</v>
      </c>
      <c r="J365" s="963">
        <f t="shared" si="100"/>
        <v>6310.37</v>
      </c>
      <c r="K365" s="964" t="s">
        <v>14</v>
      </c>
      <c r="L365" s="965">
        <f>ROUND(SUM(ORÇAMENTO!L365),2)</f>
        <v>0</v>
      </c>
      <c r="M365" s="987">
        <f t="shared" si="91"/>
        <v>0</v>
      </c>
      <c r="N365" s="967">
        <f t="shared" si="92"/>
        <v>0</v>
      </c>
      <c r="O365" s="880"/>
      <c r="P365" s="58" t="str">
        <f>IF(N360&gt;0,"xx",IF(N360&gt;0,"xy",""))</f>
        <v/>
      </c>
      <c r="Q365" s="317" t="str">
        <f t="shared" si="93"/>
        <v/>
      </c>
      <c r="R365" s="317" t="str">
        <f t="shared" si="94"/>
        <v/>
      </c>
      <c r="S365" s="317" t="str">
        <f t="shared" si="95"/>
        <v/>
      </c>
      <c r="V365" s="314">
        <f>SUM(ORÇAMENTO!N365)</f>
        <v>0</v>
      </c>
      <c r="W365" s="315">
        <f t="shared" si="96"/>
        <v>0</v>
      </c>
    </row>
    <row r="366" spans="1:23" ht="15" hidden="1" customHeight="1">
      <c r="A366" s="63">
        <v>570140</v>
      </c>
      <c r="B366" s="973">
        <v>570140</v>
      </c>
      <c r="C366" s="974" t="s">
        <v>184</v>
      </c>
      <c r="D366" s="993" t="s">
        <v>591</v>
      </c>
      <c r="E366" s="948" t="s">
        <v>563</v>
      </c>
      <c r="F366" s="949">
        <v>0.05</v>
      </c>
      <c r="G366" s="950">
        <f>SUM(G367:G370)</f>
        <v>91.892755399999999</v>
      </c>
      <c r="H366" s="951">
        <v>281.31</v>
      </c>
      <c r="I366" s="951">
        <f>IF(ISBLANK(H366),"",SUM(G366:H366))</f>
        <v>373.2027554</v>
      </c>
      <c r="J366" s="952">
        <f t="shared" si="100"/>
        <v>456.13</v>
      </c>
      <c r="K366" s="953" t="s">
        <v>14</v>
      </c>
      <c r="L366" s="954">
        <f>ROUND(SUM(ORÇAMENTO!L366),2)</f>
        <v>0</v>
      </c>
      <c r="M366" s="955">
        <f t="shared" si="91"/>
        <v>0</v>
      </c>
      <c r="N366" s="956">
        <f t="shared" si="92"/>
        <v>0</v>
      </c>
      <c r="O366" s="880"/>
      <c r="Q366" s="317" t="str">
        <f t="shared" si="93"/>
        <v/>
      </c>
      <c r="R366" s="317" t="str">
        <f t="shared" si="94"/>
        <v/>
      </c>
      <c r="S366" s="317" t="str">
        <f t="shared" si="95"/>
        <v/>
      </c>
      <c r="V366" s="314">
        <f>SUM(ORÇAMENTO!N366)</f>
        <v>0</v>
      </c>
      <c r="W366" s="315">
        <f t="shared" si="96"/>
        <v>0</v>
      </c>
    </row>
    <row r="367" spans="1:23" ht="15" hidden="1" customHeight="1">
      <c r="A367" s="63" t="s">
        <v>147</v>
      </c>
      <c r="B367" s="870" t="s">
        <v>147</v>
      </c>
      <c r="C367" s="871"/>
      <c r="D367" s="931" t="s">
        <v>229</v>
      </c>
      <c r="E367" s="882">
        <f>DMT!$F$42</f>
        <v>290</v>
      </c>
      <c r="F367" s="883">
        <v>0.1007</v>
      </c>
      <c r="G367" s="923">
        <f t="shared" ref="G367:G369" si="102">IF(E367&lt;=30,(1.07*E367+2.68)*F367,((1.07*30+2.68)+1.07*(E367-30))*F367)</f>
        <v>31.517086000000003</v>
      </c>
      <c r="H367" s="876">
        <v>0</v>
      </c>
      <c r="I367" s="876"/>
      <c r="J367" s="877">
        <v>0</v>
      </c>
      <c r="K367" s="932" t="s">
        <v>506</v>
      </c>
      <c r="L367" s="977">
        <f>ROUND(SUM(ORÇAMENTO!L367),2)</f>
        <v>0</v>
      </c>
      <c r="M367" s="934">
        <f t="shared" si="91"/>
        <v>0</v>
      </c>
      <c r="N367" s="868">
        <f t="shared" si="92"/>
        <v>0</v>
      </c>
      <c r="O367" s="880"/>
      <c r="P367" s="58" t="str">
        <f>IF(N366&gt;0,"xx",IF(N366&gt;0,"xy",""))</f>
        <v/>
      </c>
      <c r="Q367" s="317" t="str">
        <f t="shared" si="93"/>
        <v/>
      </c>
      <c r="R367" s="317" t="str">
        <f t="shared" si="94"/>
        <v/>
      </c>
      <c r="S367" s="317" t="str">
        <f t="shared" si="95"/>
        <v/>
      </c>
      <c r="V367" s="314">
        <f>SUM(ORÇAMENTO!N367)</f>
        <v>0</v>
      </c>
      <c r="W367" s="315">
        <f t="shared" si="96"/>
        <v>0</v>
      </c>
    </row>
    <row r="368" spans="1:23" ht="15" hidden="1" customHeight="1">
      <c r="A368" s="63" t="s">
        <v>147</v>
      </c>
      <c r="B368" s="870" t="s">
        <v>147</v>
      </c>
      <c r="C368" s="871"/>
      <c r="D368" s="931" t="s">
        <v>230</v>
      </c>
      <c r="E368" s="882">
        <f>DMT!$D$46</f>
        <v>445</v>
      </c>
      <c r="F368" s="883">
        <v>1.52E-2</v>
      </c>
      <c r="G368" s="884">
        <f>IF(E368&lt;=30,(0.78*E368+7.82)*F368,((0.78*30+7.82)+0.78*(E368-30))*F368)</f>
        <v>5.3947840000000005</v>
      </c>
      <c r="H368" s="876">
        <v>0</v>
      </c>
      <c r="I368" s="876"/>
      <c r="J368" s="877">
        <v>0</v>
      </c>
      <c r="K368" s="932" t="s">
        <v>506</v>
      </c>
      <c r="L368" s="977">
        <f>ROUND(SUM(ORÇAMENTO!L368),2)</f>
        <v>0</v>
      </c>
      <c r="M368" s="934">
        <f t="shared" si="91"/>
        <v>0</v>
      </c>
      <c r="N368" s="868">
        <f t="shared" si="92"/>
        <v>0</v>
      </c>
      <c r="O368" s="880"/>
      <c r="P368" s="58" t="str">
        <f>IF(N366&gt;0,"xx",IF(N366&gt;0,"xy",""))</f>
        <v/>
      </c>
      <c r="Q368" s="317" t="str">
        <f t="shared" si="93"/>
        <v/>
      </c>
      <c r="R368" s="317" t="str">
        <f t="shared" si="94"/>
        <v/>
      </c>
      <c r="S368" s="317" t="str">
        <f t="shared" si="95"/>
        <v/>
      </c>
      <c r="V368" s="314">
        <f>SUM(ORÇAMENTO!N368)</f>
        <v>0</v>
      </c>
      <c r="W368" s="315">
        <f t="shared" si="96"/>
        <v>0</v>
      </c>
    </row>
    <row r="369" spans="1:23" ht="15" hidden="1" customHeight="1">
      <c r="A369" s="63" t="s">
        <v>147</v>
      </c>
      <c r="B369" s="870" t="s">
        <v>147</v>
      </c>
      <c r="C369" s="871"/>
      <c r="D369" s="931" t="s">
        <v>243</v>
      </c>
      <c r="E369" s="882">
        <f>DMT!$F$43</f>
        <v>0.2</v>
      </c>
      <c r="F369" s="883">
        <v>0.83409999999999995</v>
      </c>
      <c r="G369" s="923">
        <f t="shared" si="102"/>
        <v>2.4138853999999998</v>
      </c>
      <c r="H369" s="876">
        <v>0</v>
      </c>
      <c r="I369" s="876"/>
      <c r="J369" s="877">
        <v>0</v>
      </c>
      <c r="K369" s="932" t="s">
        <v>506</v>
      </c>
      <c r="L369" s="977">
        <f>ROUND(SUM(ORÇAMENTO!L369),2)</f>
        <v>0</v>
      </c>
      <c r="M369" s="934">
        <f t="shared" si="91"/>
        <v>0</v>
      </c>
      <c r="N369" s="868">
        <f t="shared" si="92"/>
        <v>0</v>
      </c>
      <c r="O369" s="880"/>
      <c r="P369" s="58" t="str">
        <f>IF(N366&gt;0,"xx",IF(N366&gt;0,"xy",""))</f>
        <v/>
      </c>
      <c r="Q369" s="317" t="str">
        <f t="shared" si="93"/>
        <v/>
      </c>
      <c r="R369" s="317" t="str">
        <f t="shared" si="94"/>
        <v/>
      </c>
      <c r="S369" s="317" t="str">
        <f t="shared" si="95"/>
        <v/>
      </c>
      <c r="V369" s="314">
        <f>SUM(ORÇAMENTO!N369)</f>
        <v>0</v>
      </c>
      <c r="W369" s="315">
        <f t="shared" si="96"/>
        <v>0</v>
      </c>
    </row>
    <row r="370" spans="1:23" ht="15" hidden="1" customHeight="1">
      <c r="A370" s="63" t="s">
        <v>147</v>
      </c>
      <c r="B370" s="870" t="s">
        <v>147</v>
      </c>
      <c r="C370" s="871"/>
      <c r="D370" s="931" t="s">
        <v>244</v>
      </c>
      <c r="E370" s="882">
        <f>DMT!$F$28</f>
        <v>43.1</v>
      </c>
      <c r="F370" s="883">
        <f>SUM(F366:F369)</f>
        <v>1</v>
      </c>
      <c r="G370" s="887">
        <f>IF(E370&lt;=30,(1.07*E370+6.45)*F370,((1.07*30+6.45)+1.07*(E370-30))*F370)</f>
        <v>52.567000000000007</v>
      </c>
      <c r="H370" s="876">
        <v>0</v>
      </c>
      <c r="I370" s="876"/>
      <c r="J370" s="877">
        <v>0</v>
      </c>
      <c r="K370" s="932" t="s">
        <v>506</v>
      </c>
      <c r="L370" s="977">
        <f>ROUND(SUM(ORÇAMENTO!L370),2)</f>
        <v>0</v>
      </c>
      <c r="M370" s="934">
        <f t="shared" si="91"/>
        <v>0</v>
      </c>
      <c r="N370" s="868">
        <f t="shared" si="92"/>
        <v>0</v>
      </c>
      <c r="O370" s="880"/>
      <c r="P370" s="58" t="str">
        <f>IF(N366&gt;0,"xx",IF(N366&gt;0,"xy",""))</f>
        <v/>
      </c>
      <c r="Q370" s="317" t="str">
        <f t="shared" si="93"/>
        <v/>
      </c>
      <c r="R370" s="317" t="str">
        <f t="shared" si="94"/>
        <v/>
      </c>
      <c r="S370" s="317" t="str">
        <f t="shared" si="95"/>
        <v/>
      </c>
      <c r="V370" s="314">
        <f>SUM(ORÇAMENTO!N370)</f>
        <v>0</v>
      </c>
      <c r="W370" s="315">
        <f t="shared" si="96"/>
        <v>0</v>
      </c>
    </row>
    <row r="371" spans="1:23" ht="15" hidden="1" customHeight="1" thickBot="1">
      <c r="A371" s="63">
        <v>589000</v>
      </c>
      <c r="B371" s="978" t="s">
        <v>696</v>
      </c>
      <c r="C371" s="958" t="s">
        <v>213</v>
      </c>
      <c r="D371" s="986" t="s">
        <v>2149</v>
      </c>
      <c r="E371" s="994">
        <f>DMT!$D$45</f>
        <v>468</v>
      </c>
      <c r="F371" s="980">
        <v>1</v>
      </c>
      <c r="G371" s="923">
        <f>(0.94*E371+46.06)*F371</f>
        <v>485.97999999999996</v>
      </c>
      <c r="H371" s="962">
        <v>4828.8599999999997</v>
      </c>
      <c r="I371" s="962">
        <f>IF(ISBLANK(H371),"",H371*(1+$E$9)/(1+$E$10))+G371</f>
        <v>5163.1232400589097</v>
      </c>
      <c r="J371" s="963">
        <f t="shared" si="100"/>
        <v>6310.37</v>
      </c>
      <c r="K371" s="964" t="s">
        <v>14</v>
      </c>
      <c r="L371" s="965">
        <f>ROUND(SUM(ORÇAMENTO!L371),2)</f>
        <v>0</v>
      </c>
      <c r="M371" s="987">
        <f t="shared" si="91"/>
        <v>0</v>
      </c>
      <c r="N371" s="967">
        <f t="shared" si="92"/>
        <v>0</v>
      </c>
      <c r="O371" s="880"/>
      <c r="P371" s="58" t="str">
        <f>IF(N366&gt;0,"xx",IF(N366&gt;0,"xy",""))</f>
        <v/>
      </c>
      <c r="Q371" s="317" t="str">
        <f t="shared" si="93"/>
        <v/>
      </c>
      <c r="R371" s="317" t="str">
        <f t="shared" si="94"/>
        <v/>
      </c>
      <c r="S371" s="317" t="str">
        <f t="shared" si="95"/>
        <v/>
      </c>
      <c r="V371" s="314">
        <f>SUM(ORÇAMENTO!N371)</f>
        <v>0</v>
      </c>
      <c r="W371" s="315">
        <f t="shared" si="96"/>
        <v>0</v>
      </c>
    </row>
    <row r="372" spans="1:23" ht="15" hidden="1" customHeight="1">
      <c r="A372" s="63">
        <v>570170</v>
      </c>
      <c r="B372" s="973">
        <v>570170</v>
      </c>
      <c r="C372" s="974" t="s">
        <v>184</v>
      </c>
      <c r="D372" s="993" t="s">
        <v>1993</v>
      </c>
      <c r="E372" s="948" t="s">
        <v>563</v>
      </c>
      <c r="F372" s="949">
        <v>0.05</v>
      </c>
      <c r="G372" s="950">
        <f>SUM(G373:G376)</f>
        <v>91.892755399999999</v>
      </c>
      <c r="H372" s="951">
        <v>209.01</v>
      </c>
      <c r="I372" s="951">
        <f>IF(ISBLANK(H372),"",SUM(G372:H372))</f>
        <v>300.90275539999999</v>
      </c>
      <c r="J372" s="952">
        <f t="shared" si="100"/>
        <v>367.76</v>
      </c>
      <c r="K372" s="953" t="s">
        <v>14</v>
      </c>
      <c r="L372" s="954">
        <f>ROUND(SUM(ORÇAMENTO!L372),2)</f>
        <v>0</v>
      </c>
      <c r="M372" s="955">
        <f t="shared" si="91"/>
        <v>0</v>
      </c>
      <c r="N372" s="956">
        <f t="shared" si="92"/>
        <v>0</v>
      </c>
      <c r="O372" s="880"/>
      <c r="Q372" s="317" t="str">
        <f t="shared" si="93"/>
        <v/>
      </c>
      <c r="R372" s="317" t="str">
        <f t="shared" si="94"/>
        <v/>
      </c>
      <c r="S372" s="317" t="str">
        <f t="shared" si="95"/>
        <v/>
      </c>
      <c r="V372" s="314">
        <f>SUM(ORÇAMENTO!N372)</f>
        <v>0</v>
      </c>
      <c r="W372" s="315">
        <f t="shared" si="96"/>
        <v>0</v>
      </c>
    </row>
    <row r="373" spans="1:23" ht="15" hidden="1" customHeight="1">
      <c r="A373" s="63" t="s">
        <v>147</v>
      </c>
      <c r="B373" s="870" t="s">
        <v>147</v>
      </c>
      <c r="C373" s="871"/>
      <c r="D373" s="931" t="s">
        <v>229</v>
      </c>
      <c r="E373" s="882">
        <f>DMT!$F$42</f>
        <v>290</v>
      </c>
      <c r="F373" s="883">
        <v>0.1007</v>
      </c>
      <c r="G373" s="923">
        <f t="shared" ref="G373:G375" si="103">IF(E373&lt;=30,(1.07*E373+2.68)*F373,((1.07*30+2.68)+1.07*(E373-30))*F373)</f>
        <v>31.517086000000003</v>
      </c>
      <c r="H373" s="876">
        <v>0</v>
      </c>
      <c r="I373" s="876"/>
      <c r="J373" s="877">
        <v>0</v>
      </c>
      <c r="K373" s="932" t="s">
        <v>506</v>
      </c>
      <c r="L373" s="977">
        <f>ROUND(SUM(ORÇAMENTO!L373),2)</f>
        <v>0</v>
      </c>
      <c r="M373" s="934">
        <f t="shared" si="91"/>
        <v>0</v>
      </c>
      <c r="N373" s="868">
        <f t="shared" si="92"/>
        <v>0</v>
      </c>
      <c r="O373" s="880"/>
      <c r="P373" s="58" t="str">
        <f>IF(N372&gt;0,"xx",IF(N372&gt;0,"xy",""))</f>
        <v/>
      </c>
      <c r="Q373" s="317" t="str">
        <f t="shared" si="93"/>
        <v/>
      </c>
      <c r="R373" s="317" t="str">
        <f t="shared" si="94"/>
        <v/>
      </c>
      <c r="S373" s="317" t="str">
        <f t="shared" si="95"/>
        <v/>
      </c>
      <c r="V373" s="314">
        <f>SUM(ORÇAMENTO!N373)</f>
        <v>0</v>
      </c>
      <c r="W373" s="315">
        <f t="shared" si="96"/>
        <v>0</v>
      </c>
    </row>
    <row r="374" spans="1:23" ht="15" hidden="1" customHeight="1">
      <c r="A374" s="63" t="s">
        <v>147</v>
      </c>
      <c r="B374" s="870" t="s">
        <v>147</v>
      </c>
      <c r="C374" s="871"/>
      <c r="D374" s="931" t="s">
        <v>230</v>
      </c>
      <c r="E374" s="882">
        <f>DMT!$D$46</f>
        <v>445</v>
      </c>
      <c r="F374" s="883">
        <v>1.52E-2</v>
      </c>
      <c r="G374" s="884">
        <f>IF(E374&lt;=30,(0.78*E374+7.82)*F374,((0.78*30+7.82)+0.78*(E374-30))*F374)</f>
        <v>5.3947840000000005</v>
      </c>
      <c r="H374" s="876">
        <v>0</v>
      </c>
      <c r="I374" s="876"/>
      <c r="J374" s="877">
        <v>0</v>
      </c>
      <c r="K374" s="932" t="s">
        <v>506</v>
      </c>
      <c r="L374" s="977">
        <f>ROUND(SUM(ORÇAMENTO!L374),2)</f>
        <v>0</v>
      </c>
      <c r="M374" s="934">
        <f t="shared" si="91"/>
        <v>0</v>
      </c>
      <c r="N374" s="868">
        <f t="shared" si="92"/>
        <v>0</v>
      </c>
      <c r="O374" s="880"/>
      <c r="P374" s="58" t="str">
        <f>IF(N372&gt;0,"xx",IF(N372&gt;0,"xy",""))</f>
        <v/>
      </c>
      <c r="Q374" s="317" t="str">
        <f t="shared" si="93"/>
        <v/>
      </c>
      <c r="R374" s="317" t="str">
        <f t="shared" si="94"/>
        <v/>
      </c>
      <c r="S374" s="317" t="str">
        <f t="shared" si="95"/>
        <v/>
      </c>
      <c r="V374" s="314">
        <f>SUM(ORÇAMENTO!N374)</f>
        <v>0</v>
      </c>
      <c r="W374" s="315">
        <f t="shared" si="96"/>
        <v>0</v>
      </c>
    </row>
    <row r="375" spans="1:23" ht="15" hidden="1" customHeight="1">
      <c r="A375" s="63" t="s">
        <v>147</v>
      </c>
      <c r="B375" s="870" t="s">
        <v>147</v>
      </c>
      <c r="C375" s="871"/>
      <c r="D375" s="931" t="s">
        <v>243</v>
      </c>
      <c r="E375" s="882">
        <f>DMT!$F$43</f>
        <v>0.2</v>
      </c>
      <c r="F375" s="883">
        <v>0.83409999999999995</v>
      </c>
      <c r="G375" s="923">
        <f t="shared" si="103"/>
        <v>2.4138853999999998</v>
      </c>
      <c r="H375" s="876">
        <v>0</v>
      </c>
      <c r="I375" s="876"/>
      <c r="J375" s="877">
        <v>0</v>
      </c>
      <c r="K375" s="932" t="s">
        <v>506</v>
      </c>
      <c r="L375" s="977">
        <f>ROUND(SUM(ORÇAMENTO!L375),2)</f>
        <v>0</v>
      </c>
      <c r="M375" s="934">
        <f t="shared" si="91"/>
        <v>0</v>
      </c>
      <c r="N375" s="868">
        <f t="shared" si="92"/>
        <v>0</v>
      </c>
      <c r="O375" s="880"/>
      <c r="P375" s="58" t="str">
        <f>IF(N372&gt;0,"xx",IF(N372&gt;0,"xy",""))</f>
        <v/>
      </c>
      <c r="Q375" s="317" t="str">
        <f t="shared" si="93"/>
        <v/>
      </c>
      <c r="R375" s="317" t="str">
        <f t="shared" si="94"/>
        <v/>
      </c>
      <c r="S375" s="317" t="str">
        <f t="shared" si="95"/>
        <v/>
      </c>
      <c r="V375" s="314">
        <f>SUM(ORÇAMENTO!N375)</f>
        <v>0</v>
      </c>
      <c r="W375" s="315">
        <f t="shared" si="96"/>
        <v>0</v>
      </c>
    </row>
    <row r="376" spans="1:23" ht="15" hidden="1" customHeight="1">
      <c r="A376" s="63" t="s">
        <v>147</v>
      </c>
      <c r="B376" s="870" t="s">
        <v>147</v>
      </c>
      <c r="C376" s="871"/>
      <c r="D376" s="931" t="s">
        <v>244</v>
      </c>
      <c r="E376" s="882">
        <f>DMT!$F$28</f>
        <v>43.1</v>
      </c>
      <c r="F376" s="883">
        <f>SUM(F372:F375)</f>
        <v>1</v>
      </c>
      <c r="G376" s="887">
        <f>IF(E376&lt;=30,(1.07*E376+6.45)*F376,((1.07*30+6.45)+1.07*(E376-30))*F376)</f>
        <v>52.567000000000007</v>
      </c>
      <c r="H376" s="876">
        <v>0</v>
      </c>
      <c r="I376" s="876"/>
      <c r="J376" s="877">
        <v>0</v>
      </c>
      <c r="K376" s="932" t="s">
        <v>506</v>
      </c>
      <c r="L376" s="977">
        <f>ROUND(SUM(ORÇAMENTO!L376),2)</f>
        <v>0</v>
      </c>
      <c r="M376" s="934">
        <f t="shared" si="91"/>
        <v>0</v>
      </c>
      <c r="N376" s="868">
        <f t="shared" si="92"/>
        <v>0</v>
      </c>
      <c r="O376" s="880"/>
      <c r="P376" s="58" t="str">
        <f>IF(N372&gt;0,"xx",IF(N372&gt;0,"xy",""))</f>
        <v/>
      </c>
      <c r="Q376" s="317" t="str">
        <f t="shared" si="93"/>
        <v/>
      </c>
      <c r="R376" s="317" t="str">
        <f t="shared" si="94"/>
        <v/>
      </c>
      <c r="S376" s="317" t="str">
        <f t="shared" si="95"/>
        <v/>
      </c>
      <c r="V376" s="314">
        <f>SUM(ORÇAMENTO!N376)</f>
        <v>0</v>
      </c>
      <c r="W376" s="315">
        <f t="shared" si="96"/>
        <v>0</v>
      </c>
    </row>
    <row r="377" spans="1:23" ht="15" hidden="1" customHeight="1" thickBot="1">
      <c r="A377" s="63">
        <v>589000</v>
      </c>
      <c r="B377" s="969" t="s">
        <v>697</v>
      </c>
      <c r="C377" s="970" t="s">
        <v>213</v>
      </c>
      <c r="D377" s="988" t="s">
        <v>2149</v>
      </c>
      <c r="E377" s="1284">
        <f>DMT!$D$45</f>
        <v>468</v>
      </c>
      <c r="F377" s="971">
        <v>1</v>
      </c>
      <c r="G377" s="1282">
        <f>(0.94*E377+46.06)*F377</f>
        <v>485.97999999999996</v>
      </c>
      <c r="H377" s="914">
        <v>4828.8599999999997</v>
      </c>
      <c r="I377" s="914">
        <f>IF(ISBLANK(H377),"",H377*(1+$E$9)/(1+$E$10))+G377</f>
        <v>5163.1232400589097</v>
      </c>
      <c r="J377" s="943">
        <f t="shared" si="100"/>
        <v>6310.37</v>
      </c>
      <c r="K377" s="944" t="s">
        <v>14</v>
      </c>
      <c r="L377" s="1283">
        <f>ROUND(SUM(ORÇAMENTO!L377),2)</f>
        <v>0</v>
      </c>
      <c r="M377" s="1280">
        <f t="shared" si="91"/>
        <v>0</v>
      </c>
      <c r="N377" s="916">
        <f t="shared" si="92"/>
        <v>0</v>
      </c>
      <c r="O377" s="880"/>
      <c r="P377" s="58" t="str">
        <f>IF(N372&gt;0,"xx",IF(N372&gt;0,"xy",""))</f>
        <v/>
      </c>
      <c r="Q377" s="317" t="str">
        <f t="shared" si="93"/>
        <v/>
      </c>
      <c r="R377" s="317" t="str">
        <f t="shared" si="94"/>
        <v/>
      </c>
      <c r="S377" s="317" t="str">
        <f t="shared" si="95"/>
        <v/>
      </c>
      <c r="V377" s="314">
        <f>SUM(ORÇAMENTO!N377)</f>
        <v>0</v>
      </c>
      <c r="W377" s="315">
        <f t="shared" si="96"/>
        <v>0</v>
      </c>
    </row>
    <row r="378" spans="1:23" ht="15" customHeight="1">
      <c r="A378" s="63">
        <v>570200</v>
      </c>
      <c r="B378" s="973">
        <v>570200</v>
      </c>
      <c r="C378" s="974" t="s">
        <v>184</v>
      </c>
      <c r="D378" s="947" t="s">
        <v>2187</v>
      </c>
      <c r="E378" s="948" t="s">
        <v>563</v>
      </c>
      <c r="F378" s="949">
        <v>4.4999999999999998E-2</v>
      </c>
      <c r="G378" s="950">
        <f>SUM(G379:G382)</f>
        <v>59.982060000000004</v>
      </c>
      <c r="H378" s="951">
        <v>181.43</v>
      </c>
      <c r="I378" s="951">
        <f>IF(ISBLANK(H378),"",SUM(G378:H378))</f>
        <v>241.41206</v>
      </c>
      <c r="J378" s="952">
        <f t="shared" si="100"/>
        <v>295.05</v>
      </c>
      <c r="K378" s="953" t="s">
        <v>14</v>
      </c>
      <c r="L378" s="954">
        <f>8280*1.1</f>
        <v>9108</v>
      </c>
      <c r="M378" s="955">
        <f t="shared" si="91"/>
        <v>295.05</v>
      </c>
      <c r="N378" s="956">
        <f t="shared" si="92"/>
        <v>2687315.4</v>
      </c>
      <c r="O378" s="869"/>
      <c r="Q378" s="317" t="str">
        <f t="shared" si="93"/>
        <v>x</v>
      </c>
      <c r="R378" s="317" t="str">
        <f t="shared" si="94"/>
        <v>x</v>
      </c>
      <c r="S378" s="317" t="str">
        <f t="shared" si="95"/>
        <v>x</v>
      </c>
      <c r="V378" s="314">
        <f>SUM(ORÇAMENTO!N378)</f>
        <v>2687315.4</v>
      </c>
      <c r="W378" s="315">
        <f t="shared" si="96"/>
        <v>0</v>
      </c>
    </row>
    <row r="379" spans="1:23" ht="15" customHeight="1">
      <c r="A379" s="63" t="s">
        <v>147</v>
      </c>
      <c r="B379" s="870" t="s">
        <v>147</v>
      </c>
      <c r="C379" s="871"/>
      <c r="D379" s="931" t="s">
        <v>229</v>
      </c>
      <c r="E379" s="882">
        <v>290</v>
      </c>
      <c r="F379" s="883">
        <v>1.4999999999999999E-2</v>
      </c>
      <c r="G379" s="923">
        <f t="shared" ref="G379:G381" si="104">IF(E379&lt;=30,(1.07*E379+2.68)*F379,((1.07*30+2.68)+1.07*(E379-30))*F379)</f>
        <v>4.6947000000000001</v>
      </c>
      <c r="H379" s="876">
        <v>0</v>
      </c>
      <c r="I379" s="876"/>
      <c r="J379" s="877">
        <v>0</v>
      </c>
      <c r="K379" s="932" t="s">
        <v>506</v>
      </c>
      <c r="L379" s="977">
        <f>ROUND(SUM(ORÇAMENTO!L379),2)</f>
        <v>0</v>
      </c>
      <c r="M379" s="934">
        <f t="shared" si="91"/>
        <v>0</v>
      </c>
      <c r="N379" s="868">
        <f t="shared" si="92"/>
        <v>0</v>
      </c>
      <c r="O379" s="880"/>
      <c r="P379" s="58" t="str">
        <f>IF(N378&gt;0,"xx",IF(N378&gt;0,"xy",""))</f>
        <v>xx</v>
      </c>
      <c r="Q379" s="317" t="str">
        <f t="shared" si="93"/>
        <v>x</v>
      </c>
      <c r="R379" s="317" t="str">
        <f t="shared" si="94"/>
        <v>x</v>
      </c>
      <c r="S379" s="317" t="str">
        <f t="shared" si="95"/>
        <v/>
      </c>
      <c r="V379" s="314">
        <f>SUM(ORÇAMENTO!N379)</f>
        <v>0</v>
      </c>
      <c r="W379" s="315">
        <f t="shared" si="96"/>
        <v>0</v>
      </c>
    </row>
    <row r="380" spans="1:23" ht="15" customHeight="1">
      <c r="A380" s="63" t="s">
        <v>147</v>
      </c>
      <c r="B380" s="870" t="s">
        <v>147</v>
      </c>
      <c r="C380" s="871"/>
      <c r="D380" s="931" t="s">
        <v>230</v>
      </c>
      <c r="E380" s="882">
        <v>440</v>
      </c>
      <c r="F380" s="883"/>
      <c r="G380" s="884">
        <f>IF(E380&lt;=30,(0.78*E380+7.82)*F380,((0.78*30+7.82)+0.78*(E380-30))*F380)</f>
        <v>0</v>
      </c>
      <c r="H380" s="876">
        <v>0</v>
      </c>
      <c r="I380" s="876"/>
      <c r="J380" s="877">
        <v>0</v>
      </c>
      <c r="K380" s="932" t="s">
        <v>506</v>
      </c>
      <c r="L380" s="977">
        <f>ROUND(SUM(ORÇAMENTO!L380),2)</f>
        <v>0</v>
      </c>
      <c r="M380" s="934">
        <f t="shared" si="91"/>
        <v>0</v>
      </c>
      <c r="N380" s="868">
        <f t="shared" si="92"/>
        <v>0</v>
      </c>
      <c r="O380" s="880"/>
      <c r="P380" s="58" t="str">
        <f>IF(N378&gt;0,"xx",IF(N378&gt;0,"xy",""))</f>
        <v>xx</v>
      </c>
      <c r="Q380" s="317" t="str">
        <f t="shared" si="93"/>
        <v>x</v>
      </c>
      <c r="R380" s="317" t="str">
        <f t="shared" si="94"/>
        <v>x</v>
      </c>
      <c r="S380" s="317" t="str">
        <f t="shared" si="95"/>
        <v/>
      </c>
      <c r="V380" s="314">
        <f>SUM(ORÇAMENTO!N380)</f>
        <v>0</v>
      </c>
      <c r="W380" s="315">
        <f t="shared" si="96"/>
        <v>0</v>
      </c>
    </row>
    <row r="381" spans="1:23" ht="15" customHeight="1">
      <c r="A381" s="63" t="s">
        <v>147</v>
      </c>
      <c r="B381" s="870" t="s">
        <v>147</v>
      </c>
      <c r="C381" s="871"/>
      <c r="D381" s="931" t="s">
        <v>243</v>
      </c>
      <c r="E381" s="882">
        <v>0.2</v>
      </c>
      <c r="F381" s="883">
        <v>0.94</v>
      </c>
      <c r="G381" s="923">
        <f t="shared" si="104"/>
        <v>2.7203599999999999</v>
      </c>
      <c r="H381" s="876">
        <v>0</v>
      </c>
      <c r="I381" s="876"/>
      <c r="J381" s="877">
        <v>0</v>
      </c>
      <c r="K381" s="932" t="s">
        <v>506</v>
      </c>
      <c r="L381" s="977">
        <f>ROUND(SUM(ORÇAMENTO!L381),2)</f>
        <v>0</v>
      </c>
      <c r="M381" s="934">
        <f t="shared" si="91"/>
        <v>0</v>
      </c>
      <c r="N381" s="868">
        <f t="shared" si="92"/>
        <v>0</v>
      </c>
      <c r="O381" s="880"/>
      <c r="P381" s="58" t="str">
        <f>IF(N378&gt;0,"xx",IF(N378&gt;0,"xy",""))</f>
        <v>xx</v>
      </c>
      <c r="Q381" s="317" t="str">
        <f t="shared" si="93"/>
        <v>x</v>
      </c>
      <c r="R381" s="317" t="str">
        <f t="shared" si="94"/>
        <v>x</v>
      </c>
      <c r="S381" s="317" t="str">
        <f t="shared" si="95"/>
        <v/>
      </c>
      <c r="V381" s="314">
        <f>SUM(ORÇAMENTO!N381)</f>
        <v>0</v>
      </c>
      <c r="W381" s="315">
        <f t="shared" si="96"/>
        <v>0</v>
      </c>
    </row>
    <row r="382" spans="1:23" ht="15" customHeight="1">
      <c r="A382" s="63" t="s">
        <v>147</v>
      </c>
      <c r="B382" s="870" t="s">
        <v>147</v>
      </c>
      <c r="C382" s="871"/>
      <c r="D382" s="931" t="s">
        <v>244</v>
      </c>
      <c r="E382" s="882">
        <v>43.1</v>
      </c>
      <c r="F382" s="883">
        <f>SUM(F378:F381)</f>
        <v>1</v>
      </c>
      <c r="G382" s="887">
        <f>IF(E382&lt;=30,(1.07*E382+6.45)*F382,((1.07*30+6.45)+1.07*(E382-30))*F382)</f>
        <v>52.567000000000007</v>
      </c>
      <c r="H382" s="876">
        <v>0</v>
      </c>
      <c r="I382" s="876"/>
      <c r="J382" s="877">
        <v>0</v>
      </c>
      <c r="K382" s="932" t="s">
        <v>506</v>
      </c>
      <c r="L382" s="977">
        <f>ROUND(SUM(ORÇAMENTO!L382),2)</f>
        <v>0</v>
      </c>
      <c r="M382" s="934">
        <f t="shared" si="91"/>
        <v>0</v>
      </c>
      <c r="N382" s="868">
        <f t="shared" si="92"/>
        <v>0</v>
      </c>
      <c r="O382" s="880"/>
      <c r="P382" s="58" t="str">
        <f>IF(N378&gt;0,"xx",IF(N378&gt;0,"xy",""))</f>
        <v>xx</v>
      </c>
      <c r="Q382" s="317" t="str">
        <f t="shared" si="93"/>
        <v>x</v>
      </c>
      <c r="R382" s="317" t="str">
        <f t="shared" si="94"/>
        <v>x</v>
      </c>
      <c r="S382" s="317" t="str">
        <f t="shared" si="95"/>
        <v/>
      </c>
      <c r="V382" s="314">
        <f>SUM(ORÇAMENTO!N382)</f>
        <v>0</v>
      </c>
      <c r="W382" s="315">
        <f t="shared" si="96"/>
        <v>0</v>
      </c>
    </row>
    <row r="383" spans="1:23" ht="15" customHeight="1" thickBot="1">
      <c r="A383" s="63">
        <v>589000</v>
      </c>
      <c r="B383" s="978" t="s">
        <v>698</v>
      </c>
      <c r="C383" s="958" t="s">
        <v>213</v>
      </c>
      <c r="D383" s="986" t="s">
        <v>2149</v>
      </c>
      <c r="E383" s="994">
        <f>DMT!$D$45</f>
        <v>468</v>
      </c>
      <c r="F383" s="980">
        <v>1</v>
      </c>
      <c r="G383" s="1382">
        <f>(0.94*E383+46.06)*F383</f>
        <v>485.97999999999996</v>
      </c>
      <c r="H383" s="962">
        <v>4828.8599999999997</v>
      </c>
      <c r="I383" s="962">
        <f>IF(ISBLANK(H383),"",H383*(1+$E$9)/(1+$E$10))+G383</f>
        <v>5163.1232400589097</v>
      </c>
      <c r="J383" s="963">
        <f>IF(ISBLANK(H383),0,ROUND(I383*(1+$E$10),2))</f>
        <v>6310.37</v>
      </c>
      <c r="K383" s="964" t="s">
        <v>14</v>
      </c>
      <c r="L383" s="965">
        <f>ROUND(L378*F378,2)</f>
        <v>409.86</v>
      </c>
      <c r="M383" s="987">
        <f t="shared" si="91"/>
        <v>6310.37</v>
      </c>
      <c r="N383" s="967">
        <f t="shared" si="92"/>
        <v>2586368.25</v>
      </c>
      <c r="O383" s="1372"/>
      <c r="P383" s="58" t="str">
        <f>IF(N378&gt;0,"xx",IF(N378&gt;0,"xy",""))</f>
        <v>xx</v>
      </c>
      <c r="Q383" s="317" t="str">
        <f t="shared" si="93"/>
        <v>x</v>
      </c>
      <c r="R383" s="317" t="str">
        <f t="shared" si="94"/>
        <v>x</v>
      </c>
      <c r="S383" s="317" t="str">
        <f t="shared" si="95"/>
        <v>x</v>
      </c>
      <c r="V383" s="314">
        <f>SUM(ORÇAMENTO!N383)</f>
        <v>2586368.25</v>
      </c>
      <c r="W383" s="315">
        <f t="shared" si="96"/>
        <v>0</v>
      </c>
    </row>
    <row r="384" spans="1:23" ht="15" hidden="1" customHeight="1">
      <c r="A384" s="63">
        <v>570200</v>
      </c>
      <c r="B384" s="858">
        <v>570200</v>
      </c>
      <c r="C384" s="859" t="s">
        <v>184</v>
      </c>
      <c r="D384" s="1324" t="str">
        <f>CONCATENATE("CBUQ - Novos Traços - ",Novos_Traços_CBUQ!C115," - novo traço (Quantidade menor que 10.000 ton)")</f>
        <v>CBUQ - Novos Traços - BINDER 2 - novo traço (Quantidade menor que 10.000 ton)</v>
      </c>
      <c r="E384" s="1005" t="s">
        <v>563</v>
      </c>
      <c r="F384" s="1325">
        <f>Novos_Traços_CBUQ!C120</f>
        <v>4.3999999999999997E-2</v>
      </c>
      <c r="G384" s="923">
        <f>SUM(G385:G388)</f>
        <v>59.76789380000001</v>
      </c>
      <c r="H384" s="864">
        <v>181.43</v>
      </c>
      <c r="I384" s="864">
        <f>IF(ISBLANK(H384),"",SUM(G384:H384))</f>
        <v>241.19789380000003</v>
      </c>
      <c r="J384" s="865">
        <f t="shared" ref="J384" si="105">IF(ISBLANK(H384),0,ROUND(I384*(1+$E$10),2))</f>
        <v>294.79000000000002</v>
      </c>
      <c r="K384" s="866" t="s">
        <v>14</v>
      </c>
      <c r="L384" s="1006">
        <f>ROUND(SUM(ORÇAMENTO!L384),2)</f>
        <v>0</v>
      </c>
      <c r="M384" s="879">
        <f t="shared" ref="M384:M389" si="106">IF(L384=0,0,ROUND(J384,2))</f>
        <v>0</v>
      </c>
      <c r="N384" s="907">
        <f t="shared" ref="N384:N389" si="107">IF(ISBLANK(L384),0,ROUND(L384*M384,2))</f>
        <v>0</v>
      </c>
      <c r="O384" s="880"/>
      <c r="Q384" s="317" t="str">
        <f t="shared" ref="Q384:Q389" si="108">IF(P384="X","x",IF(P384="xx","x",IF(P384="xy","x",IF(P384="y","x",IF(OR(N384&gt;0,N384&gt;0),"x","")))))</f>
        <v/>
      </c>
      <c r="R384" s="317" t="str">
        <f t="shared" ref="R384:R389" si="109">IF(P384="X","x",IF(P384="y","x",IF(P384="xx","x",IF(N384&gt;0,"x",""))))</f>
        <v/>
      </c>
      <c r="S384" s="317" t="str">
        <f t="shared" ref="S384:S389" si="110">IF(P384="X","x",IF(N384&gt;0,"x",""))</f>
        <v/>
      </c>
      <c r="V384" s="314">
        <f>SUM(ORÇAMENTO!N384)</f>
        <v>0</v>
      </c>
      <c r="W384" s="315">
        <f t="shared" si="96"/>
        <v>0</v>
      </c>
    </row>
    <row r="385" spans="1:23" ht="15" hidden="1" customHeight="1">
      <c r="A385" s="63" t="s">
        <v>147</v>
      </c>
      <c r="B385" s="870" t="s">
        <v>147</v>
      </c>
      <c r="C385" s="871"/>
      <c r="D385" s="931" t="s">
        <v>229</v>
      </c>
      <c r="E385" s="882">
        <f>DMT!$F$42</f>
        <v>290</v>
      </c>
      <c r="F385" s="1242">
        <f>Novos_Traços_CBUQ!F139</f>
        <v>1.43E-2</v>
      </c>
      <c r="G385" s="923">
        <f t="shared" ref="G385" si="111">IF(E385&lt;=30,(1.07*E385+2.68)*F385,((1.07*30+2.68)+1.07*(E385-30))*F385)</f>
        <v>4.4756140000000002</v>
      </c>
      <c r="H385" s="876">
        <v>0</v>
      </c>
      <c r="I385" s="876"/>
      <c r="J385" s="877">
        <v>0</v>
      </c>
      <c r="K385" s="932" t="s">
        <v>506</v>
      </c>
      <c r="L385" s="977">
        <f>ROUND(SUM(ORÇAMENTO!L385),2)</f>
        <v>0</v>
      </c>
      <c r="M385" s="934">
        <f t="shared" si="106"/>
        <v>0</v>
      </c>
      <c r="N385" s="868">
        <f t="shared" si="107"/>
        <v>0</v>
      </c>
      <c r="O385" s="880"/>
      <c r="P385" s="58" t="str">
        <f>IF(N384&gt;0,"xx",IF(N384&gt;0,"xy",""))</f>
        <v/>
      </c>
      <c r="Q385" s="317" t="str">
        <f t="shared" si="108"/>
        <v/>
      </c>
      <c r="R385" s="317" t="str">
        <f t="shared" si="109"/>
        <v/>
      </c>
      <c r="S385" s="317" t="str">
        <f t="shared" si="110"/>
        <v/>
      </c>
      <c r="V385" s="314">
        <f>SUM(ORÇAMENTO!N385)</f>
        <v>0</v>
      </c>
      <c r="W385" s="315">
        <f t="shared" si="96"/>
        <v>0</v>
      </c>
    </row>
    <row r="386" spans="1:23" ht="15" hidden="1" customHeight="1">
      <c r="A386" s="63" t="s">
        <v>147</v>
      </c>
      <c r="B386" s="870" t="s">
        <v>147</v>
      </c>
      <c r="C386" s="871"/>
      <c r="D386" s="931" t="s">
        <v>230</v>
      </c>
      <c r="E386" s="882">
        <f>DMT!$D$46</f>
        <v>445</v>
      </c>
      <c r="F386" s="1242">
        <f>Novos_Traços_CBUQ!F140</f>
        <v>0</v>
      </c>
      <c r="G386" s="884">
        <f>IF(E386&lt;=30,(0.78*E386+7.82)*F386,((0.78*30+7.82)+0.78*(E386-30))*F386)</f>
        <v>0</v>
      </c>
      <c r="H386" s="876">
        <v>0</v>
      </c>
      <c r="I386" s="876"/>
      <c r="J386" s="877">
        <v>0</v>
      </c>
      <c r="K386" s="932" t="s">
        <v>506</v>
      </c>
      <c r="L386" s="977">
        <f>ROUND(SUM(ORÇAMENTO!L386),2)</f>
        <v>0</v>
      </c>
      <c r="M386" s="934">
        <f t="shared" si="106"/>
        <v>0</v>
      </c>
      <c r="N386" s="868">
        <f t="shared" si="107"/>
        <v>0</v>
      </c>
      <c r="O386" s="880"/>
      <c r="P386" s="58" t="str">
        <f>IF(N384&gt;0,"xx",IF(N384&gt;0,"xy",""))</f>
        <v/>
      </c>
      <c r="Q386" s="317" t="str">
        <f t="shared" si="108"/>
        <v/>
      </c>
      <c r="R386" s="317" t="str">
        <f t="shared" si="109"/>
        <v/>
      </c>
      <c r="S386" s="317" t="str">
        <f t="shared" si="110"/>
        <v/>
      </c>
      <c r="V386" s="314">
        <f>SUM(ORÇAMENTO!N386)</f>
        <v>0</v>
      </c>
      <c r="W386" s="315">
        <f t="shared" si="96"/>
        <v>0</v>
      </c>
    </row>
    <row r="387" spans="1:23" ht="15" hidden="1" customHeight="1">
      <c r="A387" s="63" t="s">
        <v>147</v>
      </c>
      <c r="B387" s="870" t="s">
        <v>147</v>
      </c>
      <c r="C387" s="871"/>
      <c r="D387" s="931" t="s">
        <v>243</v>
      </c>
      <c r="E387" s="882">
        <f>DMT!$F$43</f>
        <v>0.2</v>
      </c>
      <c r="F387" s="1242">
        <f>Novos_Traços_CBUQ!F137</f>
        <v>0.94169999999999998</v>
      </c>
      <c r="G387" s="923">
        <f t="shared" ref="G387" si="112">IF(E387&lt;=30,(1.07*E387+2.68)*F387,((1.07*30+2.68)+1.07*(E387-30))*F387)</f>
        <v>2.7252798</v>
      </c>
      <c r="H387" s="876">
        <v>0</v>
      </c>
      <c r="I387" s="876"/>
      <c r="J387" s="877">
        <v>0</v>
      </c>
      <c r="K387" s="932" t="s">
        <v>506</v>
      </c>
      <c r="L387" s="977">
        <f>ROUND(SUM(ORÇAMENTO!L387),2)</f>
        <v>0</v>
      </c>
      <c r="M387" s="934">
        <f t="shared" si="106"/>
        <v>0</v>
      </c>
      <c r="N387" s="868">
        <f t="shared" si="107"/>
        <v>0</v>
      </c>
      <c r="O387" s="880"/>
      <c r="P387" s="58" t="str">
        <f>IF(N384&gt;0,"xx",IF(N384&gt;0,"xy",""))</f>
        <v/>
      </c>
      <c r="Q387" s="317" t="str">
        <f t="shared" si="108"/>
        <v/>
      </c>
      <c r="R387" s="317" t="str">
        <f t="shared" si="109"/>
        <v/>
      </c>
      <c r="S387" s="317" t="str">
        <f t="shared" si="110"/>
        <v/>
      </c>
      <c r="V387" s="314">
        <f>SUM(ORÇAMENTO!N387)</f>
        <v>0</v>
      </c>
      <c r="W387" s="315">
        <f t="shared" si="96"/>
        <v>0</v>
      </c>
    </row>
    <row r="388" spans="1:23" ht="15" hidden="1" customHeight="1">
      <c r="A388" s="63" t="s">
        <v>147</v>
      </c>
      <c r="B388" s="870" t="s">
        <v>147</v>
      </c>
      <c r="C388" s="871"/>
      <c r="D388" s="931" t="s">
        <v>244</v>
      </c>
      <c r="E388" s="882">
        <f>DMT!$F$28</f>
        <v>43.1</v>
      </c>
      <c r="F388" s="883">
        <f>SUM(F384:F387)</f>
        <v>1</v>
      </c>
      <c r="G388" s="887">
        <f>IF(E388&lt;=30,(1.07*E388+6.45)*F388,((1.07*30+6.45)+1.07*(E388-30))*F388)</f>
        <v>52.567000000000007</v>
      </c>
      <c r="H388" s="876">
        <v>0</v>
      </c>
      <c r="I388" s="876"/>
      <c r="J388" s="877">
        <v>0</v>
      </c>
      <c r="K388" s="932" t="s">
        <v>506</v>
      </c>
      <c r="L388" s="977">
        <f>ROUND(SUM(ORÇAMENTO!L388),2)</f>
        <v>0</v>
      </c>
      <c r="M388" s="934">
        <f t="shared" si="106"/>
        <v>0</v>
      </c>
      <c r="N388" s="868">
        <f t="shared" si="107"/>
        <v>0</v>
      </c>
      <c r="O388" s="880"/>
      <c r="P388" s="58" t="str">
        <f>IF(N384&gt;0,"xx",IF(N384&gt;0,"xy",""))</f>
        <v/>
      </c>
      <c r="Q388" s="317" t="str">
        <f t="shared" si="108"/>
        <v/>
      </c>
      <c r="R388" s="317" t="str">
        <f t="shared" si="109"/>
        <v/>
      </c>
      <c r="S388" s="317" t="str">
        <f t="shared" si="110"/>
        <v/>
      </c>
      <c r="V388" s="314">
        <f>SUM(ORÇAMENTO!N388)</f>
        <v>0</v>
      </c>
      <c r="W388" s="315">
        <f t="shared" si="96"/>
        <v>0</v>
      </c>
    </row>
    <row r="389" spans="1:23" ht="15" hidden="1" customHeight="1" thickBot="1">
      <c r="A389" s="63">
        <v>589000</v>
      </c>
      <c r="B389" s="978" t="s">
        <v>698</v>
      </c>
      <c r="C389" s="958" t="s">
        <v>213</v>
      </c>
      <c r="D389" s="986" t="s">
        <v>2149</v>
      </c>
      <c r="E389" s="994">
        <f>DMT!$D$45</f>
        <v>468</v>
      </c>
      <c r="F389" s="980">
        <v>1</v>
      </c>
      <c r="G389" s="923">
        <f>(0.94*E389+46.06)*F389</f>
        <v>485.97999999999996</v>
      </c>
      <c r="H389" s="962">
        <v>4828.8599999999997</v>
      </c>
      <c r="I389" s="962">
        <f>IF(ISBLANK(H389),"",H389*(1+$E$9)/(1+$E$10))+G389</f>
        <v>5163.1232400589097</v>
      </c>
      <c r="J389" s="963">
        <f>IF(ISBLANK(H389),0,ROUND(I389*(1+$E$10),2))</f>
        <v>6310.37</v>
      </c>
      <c r="K389" s="964" t="s">
        <v>14</v>
      </c>
      <c r="L389" s="965">
        <f>ROUND(SUM(ORÇAMENTO!L389),2)</f>
        <v>0</v>
      </c>
      <c r="M389" s="987">
        <f t="shared" si="106"/>
        <v>0</v>
      </c>
      <c r="N389" s="967">
        <f t="shared" si="107"/>
        <v>0</v>
      </c>
      <c r="O389" s="880"/>
      <c r="P389" s="58" t="str">
        <f>IF(N384&gt;0,"xx",IF(N384&gt;0,"xy",""))</f>
        <v/>
      </c>
      <c r="Q389" s="317" t="str">
        <f t="shared" si="108"/>
        <v/>
      </c>
      <c r="R389" s="317" t="str">
        <f t="shared" si="109"/>
        <v/>
      </c>
      <c r="S389" s="317" t="str">
        <f t="shared" si="110"/>
        <v/>
      </c>
      <c r="V389" s="314">
        <f>SUM(ORÇAMENTO!N389)</f>
        <v>0</v>
      </c>
      <c r="W389" s="315">
        <f t="shared" si="96"/>
        <v>0</v>
      </c>
    </row>
    <row r="390" spans="1:23" ht="15" hidden="1" customHeight="1">
      <c r="A390" s="63">
        <v>570200</v>
      </c>
      <c r="B390" s="973">
        <v>570200</v>
      </c>
      <c r="C390" s="974" t="s">
        <v>184</v>
      </c>
      <c r="D390" s="995" t="str">
        <f>CONCATENATE("CBUQ -  Novos Traços - ",Novos_Traços_CBUQ!J115," - novo traço (Quantidade menor que 10.000 ton)")</f>
        <v>CBUQ -  Novos Traços - BINDER 3 - novo traço (Quantidade menor que 10.000 ton)</v>
      </c>
      <c r="E390" s="948" t="s">
        <v>563</v>
      </c>
      <c r="F390" s="996">
        <f>Novos_Traços_CBUQ!M141</f>
        <v>4.2999999999999997E-2</v>
      </c>
      <c r="G390" s="950">
        <f>SUM(G391:G394)</f>
        <v>59.801796400000008</v>
      </c>
      <c r="H390" s="951">
        <v>181.43</v>
      </c>
      <c r="I390" s="951">
        <f>IF(ISBLANK(H390),"",SUM(G390:H390))</f>
        <v>241.23179640000001</v>
      </c>
      <c r="J390" s="952">
        <f t="shared" ref="J390" si="113">IF(ISBLANK(H390),0,ROUND(I390*(1+$E$10),2))</f>
        <v>294.83</v>
      </c>
      <c r="K390" s="953" t="s">
        <v>14</v>
      </c>
      <c r="L390" s="954">
        <f>ROUND(SUM(ORÇAMENTO!L390),2)</f>
        <v>0</v>
      </c>
      <c r="M390" s="955">
        <f t="shared" ref="M390:M395" si="114">IF(L390=0,0,ROUND(J390,2))</f>
        <v>0</v>
      </c>
      <c r="N390" s="956">
        <f t="shared" ref="N390:N395" si="115">IF(ISBLANK(L390),0,ROUND(L390*M390,2))</f>
        <v>0</v>
      </c>
      <c r="O390" s="880"/>
      <c r="Q390" s="317" t="str">
        <f t="shared" ref="Q390:Q395" si="116">IF(P390="X","x",IF(P390="xx","x",IF(P390="xy","x",IF(P390="y","x",IF(OR(N390&gt;0,N390&gt;0),"x","")))))</f>
        <v/>
      </c>
      <c r="R390" s="317" t="str">
        <f t="shared" ref="R390:R395" si="117">IF(P390="X","x",IF(P390="y","x",IF(P390="xx","x",IF(N390&gt;0,"x",""))))</f>
        <v/>
      </c>
      <c r="S390" s="317" t="str">
        <f t="shared" ref="S390:S395" si="118">IF(P390="X","x",IF(N390&gt;0,"x",""))</f>
        <v/>
      </c>
      <c r="V390" s="314">
        <f>SUM(ORÇAMENTO!N390)</f>
        <v>0</v>
      </c>
      <c r="W390" s="315">
        <f t="shared" si="96"/>
        <v>0</v>
      </c>
    </row>
    <row r="391" spans="1:23" ht="15" hidden="1" customHeight="1">
      <c r="A391" s="63" t="s">
        <v>147</v>
      </c>
      <c r="B391" s="870" t="s">
        <v>147</v>
      </c>
      <c r="C391" s="871"/>
      <c r="D391" s="931" t="s">
        <v>229</v>
      </c>
      <c r="E391" s="882">
        <f>DMT!$F$42</f>
        <v>290</v>
      </c>
      <c r="F391" s="1242">
        <f>Novos_Traços_CBUQ!M139</f>
        <v>1.44E-2</v>
      </c>
      <c r="G391" s="923">
        <f t="shared" ref="G391" si="119">IF(E391&lt;=30,(1.07*E391+2.68)*F391,((1.07*30+2.68)+1.07*(E391-30))*F391)</f>
        <v>4.5069119999999998</v>
      </c>
      <c r="H391" s="876">
        <v>0</v>
      </c>
      <c r="I391" s="876"/>
      <c r="J391" s="877">
        <v>0</v>
      </c>
      <c r="K391" s="932" t="s">
        <v>506</v>
      </c>
      <c r="L391" s="977">
        <f>ROUND(SUM(ORÇAMENTO!L391),2)</f>
        <v>0</v>
      </c>
      <c r="M391" s="934">
        <f t="shared" si="114"/>
        <v>0</v>
      </c>
      <c r="N391" s="868">
        <f t="shared" si="115"/>
        <v>0</v>
      </c>
      <c r="O391" s="880"/>
      <c r="P391" s="58" t="str">
        <f>IF(N390&gt;0,"xx",IF(N390&gt;0,"xy",""))</f>
        <v/>
      </c>
      <c r="Q391" s="317" t="str">
        <f t="shared" si="116"/>
        <v/>
      </c>
      <c r="R391" s="317" t="str">
        <f t="shared" si="117"/>
        <v/>
      </c>
      <c r="S391" s="317" t="str">
        <f t="shared" si="118"/>
        <v/>
      </c>
      <c r="V391" s="314">
        <f>SUM(ORÇAMENTO!N391)</f>
        <v>0</v>
      </c>
      <c r="W391" s="315">
        <f t="shared" si="96"/>
        <v>0</v>
      </c>
    </row>
    <row r="392" spans="1:23" ht="15" hidden="1" customHeight="1">
      <c r="A392" s="63" t="s">
        <v>147</v>
      </c>
      <c r="B392" s="870" t="s">
        <v>147</v>
      </c>
      <c r="C392" s="871"/>
      <c r="D392" s="931" t="s">
        <v>230</v>
      </c>
      <c r="E392" s="882">
        <f>DMT!$D$46</f>
        <v>445</v>
      </c>
      <c r="F392" s="1242">
        <f>Novos_Traços_CBUQ!M140</f>
        <v>0</v>
      </c>
      <c r="G392" s="884">
        <f>IF(E392&lt;=30,(0.78*E392+7.82)*F392,((0.78*30+7.82)+0.78*(E392-30))*F392)</f>
        <v>0</v>
      </c>
      <c r="H392" s="876">
        <v>0</v>
      </c>
      <c r="I392" s="876"/>
      <c r="J392" s="877">
        <v>0</v>
      </c>
      <c r="K392" s="932" t="s">
        <v>506</v>
      </c>
      <c r="L392" s="977">
        <f>ROUND(SUM(ORÇAMENTO!L392),2)</f>
        <v>0</v>
      </c>
      <c r="M392" s="934">
        <f t="shared" si="114"/>
        <v>0</v>
      </c>
      <c r="N392" s="868">
        <f t="shared" si="115"/>
        <v>0</v>
      </c>
      <c r="O392" s="880"/>
      <c r="P392" s="58" t="str">
        <f>IF(N390&gt;0,"xx",IF(N390&gt;0,"xy",""))</f>
        <v/>
      </c>
      <c r="Q392" s="317" t="str">
        <f t="shared" si="116"/>
        <v/>
      </c>
      <c r="R392" s="317" t="str">
        <f t="shared" si="117"/>
        <v/>
      </c>
      <c r="S392" s="317" t="str">
        <f t="shared" si="118"/>
        <v/>
      </c>
      <c r="V392" s="314">
        <f>SUM(ORÇAMENTO!N392)</f>
        <v>0</v>
      </c>
      <c r="W392" s="315">
        <f t="shared" si="96"/>
        <v>0</v>
      </c>
    </row>
    <row r="393" spans="1:23" ht="15" hidden="1" customHeight="1">
      <c r="A393" s="63" t="s">
        <v>147</v>
      </c>
      <c r="B393" s="870" t="s">
        <v>147</v>
      </c>
      <c r="C393" s="871"/>
      <c r="D393" s="931" t="s">
        <v>243</v>
      </c>
      <c r="E393" s="882">
        <f>DMT!$F$43</f>
        <v>0.2</v>
      </c>
      <c r="F393" s="1242">
        <f>Novos_Traços_CBUQ!M137</f>
        <v>0.94259999999999999</v>
      </c>
      <c r="G393" s="923">
        <f t="shared" ref="G393" si="120">IF(E393&lt;=30,(1.07*E393+2.68)*F393,((1.07*30+2.68)+1.07*(E393-30))*F393)</f>
        <v>2.7278844000000002</v>
      </c>
      <c r="H393" s="876">
        <v>0</v>
      </c>
      <c r="I393" s="876"/>
      <c r="J393" s="877">
        <v>0</v>
      </c>
      <c r="K393" s="932" t="s">
        <v>506</v>
      </c>
      <c r="L393" s="977">
        <f>ROUND(SUM(ORÇAMENTO!L393),2)</f>
        <v>0</v>
      </c>
      <c r="M393" s="934">
        <f t="shared" si="114"/>
        <v>0</v>
      </c>
      <c r="N393" s="868">
        <f t="shared" si="115"/>
        <v>0</v>
      </c>
      <c r="O393" s="880"/>
      <c r="P393" s="58" t="str">
        <f>IF(N390&gt;0,"xx",IF(N390&gt;0,"xy",""))</f>
        <v/>
      </c>
      <c r="Q393" s="317" t="str">
        <f t="shared" si="116"/>
        <v/>
      </c>
      <c r="R393" s="317" t="str">
        <f t="shared" si="117"/>
        <v/>
      </c>
      <c r="S393" s="317" t="str">
        <f t="shared" si="118"/>
        <v/>
      </c>
      <c r="V393" s="314">
        <f>SUM(ORÇAMENTO!N393)</f>
        <v>0</v>
      </c>
      <c r="W393" s="315">
        <f t="shared" si="96"/>
        <v>0</v>
      </c>
    </row>
    <row r="394" spans="1:23" ht="15" hidden="1" customHeight="1">
      <c r="A394" s="63" t="s">
        <v>147</v>
      </c>
      <c r="B394" s="870" t="s">
        <v>147</v>
      </c>
      <c r="C394" s="871"/>
      <c r="D394" s="931" t="s">
        <v>244</v>
      </c>
      <c r="E394" s="882">
        <f>DMT!$F$28</f>
        <v>43.1</v>
      </c>
      <c r="F394" s="883">
        <f>SUM(F390:F393)</f>
        <v>1</v>
      </c>
      <c r="G394" s="887">
        <f>IF(E394&lt;=30,(1.07*E394+6.45)*F394,((1.07*30+6.45)+1.07*(E394-30))*F394)</f>
        <v>52.567000000000007</v>
      </c>
      <c r="H394" s="876">
        <v>0</v>
      </c>
      <c r="I394" s="876"/>
      <c r="J394" s="877">
        <v>0</v>
      </c>
      <c r="K394" s="932" t="s">
        <v>506</v>
      </c>
      <c r="L394" s="977">
        <f>ROUND(SUM(ORÇAMENTO!L394),2)</f>
        <v>0</v>
      </c>
      <c r="M394" s="934">
        <f t="shared" si="114"/>
        <v>0</v>
      </c>
      <c r="N394" s="868">
        <f t="shared" si="115"/>
        <v>0</v>
      </c>
      <c r="O394" s="880"/>
      <c r="P394" s="58" t="str">
        <f>IF(N390&gt;0,"xx",IF(N390&gt;0,"xy",""))</f>
        <v/>
      </c>
      <c r="Q394" s="317" t="str">
        <f t="shared" si="116"/>
        <v/>
      </c>
      <c r="R394" s="317" t="str">
        <f t="shared" si="117"/>
        <v/>
      </c>
      <c r="S394" s="317" t="str">
        <f t="shared" si="118"/>
        <v/>
      </c>
      <c r="V394" s="314">
        <f>SUM(ORÇAMENTO!N394)</f>
        <v>0</v>
      </c>
      <c r="W394" s="315">
        <f t="shared" si="96"/>
        <v>0</v>
      </c>
    </row>
    <row r="395" spans="1:23" ht="15" hidden="1" customHeight="1" thickBot="1">
      <c r="A395" s="63">
        <v>589000</v>
      </c>
      <c r="B395" s="978" t="s">
        <v>698</v>
      </c>
      <c r="C395" s="958" t="s">
        <v>213</v>
      </c>
      <c r="D395" s="986" t="s">
        <v>2149</v>
      </c>
      <c r="E395" s="994">
        <f>DMT!$D$45</f>
        <v>468</v>
      </c>
      <c r="F395" s="980">
        <v>1</v>
      </c>
      <c r="G395" s="923">
        <f>(0.94*E395+46.06)*F395</f>
        <v>485.97999999999996</v>
      </c>
      <c r="H395" s="962">
        <v>4828.8599999999997</v>
      </c>
      <c r="I395" s="962">
        <f>IF(ISBLANK(H395),"",H395*(1+$E$9)/(1+$E$10))+G395</f>
        <v>5163.1232400589097</v>
      </c>
      <c r="J395" s="963">
        <f>IF(ISBLANK(H395),0,ROUND(I395*(1+$E$10),2))</f>
        <v>6310.37</v>
      </c>
      <c r="K395" s="964" t="s">
        <v>14</v>
      </c>
      <c r="L395" s="965">
        <f>ROUND(SUM(ORÇAMENTO!L395),2)</f>
        <v>0</v>
      </c>
      <c r="M395" s="987">
        <f t="shared" si="114"/>
        <v>0</v>
      </c>
      <c r="N395" s="967">
        <f t="shared" si="115"/>
        <v>0</v>
      </c>
      <c r="O395" s="880"/>
      <c r="P395" s="58" t="str">
        <f>IF(N390&gt;0,"xx",IF(N390&gt;0,"xy",""))</f>
        <v/>
      </c>
      <c r="Q395" s="317" t="str">
        <f t="shared" si="116"/>
        <v/>
      </c>
      <c r="R395" s="317" t="str">
        <f t="shared" si="117"/>
        <v/>
      </c>
      <c r="S395" s="317" t="str">
        <f t="shared" si="118"/>
        <v/>
      </c>
      <c r="V395" s="314">
        <f>SUM(ORÇAMENTO!N395)</f>
        <v>0</v>
      </c>
      <c r="W395" s="315">
        <f t="shared" si="96"/>
        <v>0</v>
      </c>
    </row>
    <row r="396" spans="1:23" ht="15" hidden="1" customHeight="1">
      <c r="A396" s="63">
        <v>570210</v>
      </c>
      <c r="B396" s="973">
        <v>570210</v>
      </c>
      <c r="C396" s="974" t="s">
        <v>184</v>
      </c>
      <c r="D396" s="947" t="s">
        <v>2188</v>
      </c>
      <c r="E396" s="948" t="s">
        <v>563</v>
      </c>
      <c r="F396" s="949">
        <v>4.4999999999999998E-2</v>
      </c>
      <c r="G396" s="950">
        <f>SUM(G397:G400)</f>
        <v>59.982060000000004</v>
      </c>
      <c r="H396" s="951">
        <v>161.52000000000001</v>
      </c>
      <c r="I396" s="951">
        <f>IF(ISBLANK(H396),"",SUM(G396:H396))</f>
        <v>221.50206000000003</v>
      </c>
      <c r="J396" s="952">
        <f t="shared" si="100"/>
        <v>270.72000000000003</v>
      </c>
      <c r="K396" s="953" t="s">
        <v>14</v>
      </c>
      <c r="L396" s="954">
        <f>ROUND(SUM(ORÇAMENTO!L396),2)</f>
        <v>0</v>
      </c>
      <c r="M396" s="955">
        <f t="shared" si="91"/>
        <v>0</v>
      </c>
      <c r="N396" s="956">
        <f t="shared" si="92"/>
        <v>0</v>
      </c>
      <c r="O396" s="880"/>
      <c r="Q396" s="317" t="str">
        <f t="shared" si="93"/>
        <v/>
      </c>
      <c r="R396" s="317" t="str">
        <f t="shared" si="94"/>
        <v/>
      </c>
      <c r="S396" s="317" t="str">
        <f t="shared" si="95"/>
        <v/>
      </c>
      <c r="V396" s="314">
        <f>SUM(ORÇAMENTO!N396)</f>
        <v>0</v>
      </c>
      <c r="W396" s="315">
        <f t="shared" si="96"/>
        <v>0</v>
      </c>
    </row>
    <row r="397" spans="1:23" ht="15" hidden="1" customHeight="1">
      <c r="A397" s="63" t="s">
        <v>147</v>
      </c>
      <c r="B397" s="870" t="s">
        <v>147</v>
      </c>
      <c r="C397" s="871"/>
      <c r="D397" s="931" t="s">
        <v>229</v>
      </c>
      <c r="E397" s="882">
        <f>DMT!$F$42</f>
        <v>290</v>
      </c>
      <c r="F397" s="883">
        <v>1.4999999999999999E-2</v>
      </c>
      <c r="G397" s="923">
        <f t="shared" ref="G397:G399" si="121">IF(E397&lt;=30,(1.07*E397+2.68)*F397,((1.07*30+2.68)+1.07*(E397-30))*F397)</f>
        <v>4.6947000000000001</v>
      </c>
      <c r="H397" s="876">
        <v>0</v>
      </c>
      <c r="I397" s="876"/>
      <c r="J397" s="877">
        <v>0</v>
      </c>
      <c r="K397" s="932" t="s">
        <v>506</v>
      </c>
      <c r="L397" s="977">
        <f>ROUND(SUM(ORÇAMENTO!L397),2)</f>
        <v>0</v>
      </c>
      <c r="M397" s="934">
        <f t="shared" si="91"/>
        <v>0</v>
      </c>
      <c r="N397" s="868">
        <f t="shared" si="92"/>
        <v>0</v>
      </c>
      <c r="O397" s="880"/>
      <c r="P397" s="58" t="str">
        <f>IF(N396&gt;0,"xx",IF(N396&gt;0,"xy",""))</f>
        <v/>
      </c>
      <c r="Q397" s="317" t="str">
        <f t="shared" si="93"/>
        <v/>
      </c>
      <c r="R397" s="317" t="str">
        <f t="shared" si="94"/>
        <v/>
      </c>
      <c r="S397" s="317" t="str">
        <f t="shared" si="95"/>
        <v/>
      </c>
      <c r="V397" s="314">
        <f>SUM(ORÇAMENTO!N397)</f>
        <v>0</v>
      </c>
      <c r="W397" s="315">
        <f t="shared" si="96"/>
        <v>0</v>
      </c>
    </row>
    <row r="398" spans="1:23" ht="15" hidden="1" customHeight="1">
      <c r="A398" s="63" t="s">
        <v>147</v>
      </c>
      <c r="B398" s="870" t="s">
        <v>147</v>
      </c>
      <c r="C398" s="871"/>
      <c r="D398" s="931" t="s">
        <v>230</v>
      </c>
      <c r="E398" s="882">
        <f>DMT!$D$46</f>
        <v>445</v>
      </c>
      <c r="F398" s="883"/>
      <c r="G398" s="884">
        <f>IF(E398&lt;=30,(0.78*E398+7.82)*F398,((0.78*30+7.82)+0.78*(E398-30))*F398)</f>
        <v>0</v>
      </c>
      <c r="H398" s="876">
        <v>0</v>
      </c>
      <c r="I398" s="876"/>
      <c r="J398" s="877">
        <v>0</v>
      </c>
      <c r="K398" s="932" t="s">
        <v>506</v>
      </c>
      <c r="L398" s="977">
        <f>ROUND(SUM(ORÇAMENTO!L398),2)</f>
        <v>0</v>
      </c>
      <c r="M398" s="934">
        <f t="shared" si="91"/>
        <v>0</v>
      </c>
      <c r="N398" s="868">
        <f t="shared" si="92"/>
        <v>0</v>
      </c>
      <c r="O398" s="880"/>
      <c r="P398" s="58" t="str">
        <f>IF(N396&gt;0,"xx",IF(N396&gt;0,"xy",""))</f>
        <v/>
      </c>
      <c r="Q398" s="317" t="str">
        <f t="shared" si="93"/>
        <v/>
      </c>
      <c r="R398" s="317" t="str">
        <f t="shared" si="94"/>
        <v/>
      </c>
      <c r="S398" s="317" t="str">
        <f t="shared" si="95"/>
        <v/>
      </c>
      <c r="V398" s="314">
        <f>SUM(ORÇAMENTO!N398)</f>
        <v>0</v>
      </c>
      <c r="W398" s="315">
        <f t="shared" si="96"/>
        <v>0</v>
      </c>
    </row>
    <row r="399" spans="1:23" ht="15" hidden="1" customHeight="1">
      <c r="A399" s="63" t="s">
        <v>147</v>
      </c>
      <c r="B399" s="870" t="s">
        <v>147</v>
      </c>
      <c r="C399" s="871"/>
      <c r="D399" s="931" t="s">
        <v>243</v>
      </c>
      <c r="E399" s="882">
        <f>DMT!$F$43</f>
        <v>0.2</v>
      </c>
      <c r="F399" s="883">
        <v>0.94</v>
      </c>
      <c r="G399" s="923">
        <f t="shared" si="121"/>
        <v>2.7203599999999999</v>
      </c>
      <c r="H399" s="876">
        <v>0</v>
      </c>
      <c r="I399" s="876"/>
      <c r="J399" s="877">
        <v>0</v>
      </c>
      <c r="K399" s="932" t="s">
        <v>506</v>
      </c>
      <c r="L399" s="977">
        <f>ROUND(SUM(ORÇAMENTO!L399),2)</f>
        <v>0</v>
      </c>
      <c r="M399" s="934">
        <f t="shared" si="91"/>
        <v>0</v>
      </c>
      <c r="N399" s="868">
        <f t="shared" si="92"/>
        <v>0</v>
      </c>
      <c r="O399" s="880"/>
      <c r="P399" s="58" t="str">
        <f>IF(N396&gt;0,"xx",IF(N396&gt;0,"xy",""))</f>
        <v/>
      </c>
      <c r="Q399" s="317" t="str">
        <f t="shared" si="93"/>
        <v/>
      </c>
      <c r="R399" s="317" t="str">
        <f t="shared" si="94"/>
        <v/>
      </c>
      <c r="S399" s="317" t="str">
        <f t="shared" si="95"/>
        <v/>
      </c>
      <c r="V399" s="314">
        <f>SUM(ORÇAMENTO!N399)</f>
        <v>0</v>
      </c>
      <c r="W399" s="315">
        <f t="shared" si="96"/>
        <v>0</v>
      </c>
    </row>
    <row r="400" spans="1:23" ht="15" hidden="1" customHeight="1">
      <c r="A400" s="63" t="s">
        <v>147</v>
      </c>
      <c r="B400" s="870" t="s">
        <v>147</v>
      </c>
      <c r="C400" s="871"/>
      <c r="D400" s="931" t="s">
        <v>244</v>
      </c>
      <c r="E400" s="882">
        <f>DMT!$F$28</f>
        <v>43.1</v>
      </c>
      <c r="F400" s="883">
        <f>SUM(F396:F399)</f>
        <v>1</v>
      </c>
      <c r="G400" s="887">
        <f>IF(E400&lt;=30,(1.07*E400+6.45)*F400,((1.07*30+6.45)+1.07*(E400-30))*F400)</f>
        <v>52.567000000000007</v>
      </c>
      <c r="H400" s="876">
        <v>0</v>
      </c>
      <c r="I400" s="876"/>
      <c r="J400" s="877">
        <v>0</v>
      </c>
      <c r="K400" s="932" t="s">
        <v>506</v>
      </c>
      <c r="L400" s="977">
        <f>ROUND(SUM(ORÇAMENTO!L400),2)</f>
        <v>0</v>
      </c>
      <c r="M400" s="934">
        <f t="shared" si="91"/>
        <v>0</v>
      </c>
      <c r="N400" s="868">
        <f t="shared" si="92"/>
        <v>0</v>
      </c>
      <c r="O400" s="880"/>
      <c r="P400" s="58" t="str">
        <f>IF(N396&gt;0,"xx",IF(N396&gt;0,"xy",""))</f>
        <v/>
      </c>
      <c r="Q400" s="317" t="str">
        <f t="shared" si="93"/>
        <v/>
      </c>
      <c r="R400" s="317" t="str">
        <f t="shared" si="94"/>
        <v/>
      </c>
      <c r="S400" s="317" t="str">
        <f t="shared" si="95"/>
        <v/>
      </c>
      <c r="V400" s="314">
        <f>SUM(ORÇAMENTO!N400)</f>
        <v>0</v>
      </c>
      <c r="W400" s="315">
        <f t="shared" si="96"/>
        <v>0</v>
      </c>
    </row>
    <row r="401" spans="1:23" ht="15" hidden="1" customHeight="1" thickBot="1">
      <c r="A401" s="63">
        <v>589000</v>
      </c>
      <c r="B401" s="978" t="s">
        <v>699</v>
      </c>
      <c r="C401" s="958" t="s">
        <v>213</v>
      </c>
      <c r="D401" s="986" t="s">
        <v>2149</v>
      </c>
      <c r="E401" s="994">
        <f>DMT!$D$45</f>
        <v>468</v>
      </c>
      <c r="F401" s="980">
        <v>1</v>
      </c>
      <c r="G401" s="923">
        <f>(0.94*E401+46.06)*F401</f>
        <v>485.97999999999996</v>
      </c>
      <c r="H401" s="962">
        <v>4828.8599999999997</v>
      </c>
      <c r="I401" s="962">
        <f>IF(ISBLANK(H401),"",H401*(1+$E$9)/(1+$E$10))+G401</f>
        <v>5163.1232400589097</v>
      </c>
      <c r="J401" s="963">
        <f t="shared" si="100"/>
        <v>6310.37</v>
      </c>
      <c r="K401" s="964" t="s">
        <v>14</v>
      </c>
      <c r="L401" s="965">
        <f>ROUND(SUM(ORÇAMENTO!L401),2)</f>
        <v>0</v>
      </c>
      <c r="M401" s="987">
        <f t="shared" si="91"/>
        <v>0</v>
      </c>
      <c r="N401" s="967">
        <f t="shared" si="92"/>
        <v>0</v>
      </c>
      <c r="O401" s="880"/>
      <c r="P401" s="58" t="str">
        <f>IF(N396&gt;0,"xx",IF(N396&gt;0,"xy",""))</f>
        <v/>
      </c>
      <c r="Q401" s="317" t="str">
        <f t="shared" si="93"/>
        <v/>
      </c>
      <c r="R401" s="317" t="str">
        <f t="shared" si="94"/>
        <v/>
      </c>
      <c r="S401" s="317" t="str">
        <f t="shared" si="95"/>
        <v/>
      </c>
      <c r="V401" s="314">
        <f>SUM(ORÇAMENTO!N401)</f>
        <v>0</v>
      </c>
      <c r="W401" s="315">
        <f t="shared" si="96"/>
        <v>0</v>
      </c>
    </row>
    <row r="402" spans="1:23" ht="15" hidden="1" customHeight="1">
      <c r="A402" s="63">
        <v>570000</v>
      </c>
      <c r="B402" s="973" t="s">
        <v>1635</v>
      </c>
      <c r="C402" s="974" t="s">
        <v>184</v>
      </c>
      <c r="D402" s="993" t="s">
        <v>2189</v>
      </c>
      <c r="E402" s="948" t="s">
        <v>563</v>
      </c>
      <c r="F402" s="949">
        <v>5.7000000000000002E-2</v>
      </c>
      <c r="G402" s="950">
        <f>SUM(G403:G406)</f>
        <v>91.585032000000012</v>
      </c>
      <c r="H402" s="951">
        <v>187.41</v>
      </c>
      <c r="I402" s="951">
        <f>IF(ISBLANK(H402),"",SUM(G402:H402))</f>
        <v>278.99503200000004</v>
      </c>
      <c r="J402" s="952">
        <f t="shared" si="100"/>
        <v>340.99</v>
      </c>
      <c r="K402" s="953" t="s">
        <v>14</v>
      </c>
      <c r="L402" s="954">
        <f>ROUND(SUM(ORÇAMENTO!L402),2)</f>
        <v>0</v>
      </c>
      <c r="M402" s="955">
        <f t="shared" si="91"/>
        <v>0</v>
      </c>
      <c r="N402" s="956">
        <f t="shared" si="92"/>
        <v>0</v>
      </c>
      <c r="O402" s="880"/>
      <c r="Q402" s="317" t="str">
        <f t="shared" si="93"/>
        <v/>
      </c>
      <c r="R402" s="317" t="str">
        <f t="shared" si="94"/>
        <v/>
      </c>
      <c r="S402" s="317" t="str">
        <f t="shared" si="95"/>
        <v/>
      </c>
      <c r="V402" s="314">
        <f>SUM(ORÇAMENTO!N402)</f>
        <v>0</v>
      </c>
      <c r="W402" s="315">
        <f t="shared" si="96"/>
        <v>0</v>
      </c>
    </row>
    <row r="403" spans="1:23" ht="15" hidden="1" customHeight="1">
      <c r="A403" s="63" t="s">
        <v>147</v>
      </c>
      <c r="B403" s="870" t="s">
        <v>147</v>
      </c>
      <c r="C403" s="871"/>
      <c r="D403" s="931" t="s">
        <v>229</v>
      </c>
      <c r="E403" s="882">
        <f>DMT!$F$42</f>
        <v>290</v>
      </c>
      <c r="F403" s="883">
        <v>0.1</v>
      </c>
      <c r="G403" s="923">
        <f t="shared" ref="G403:G405" si="122">IF(E403&lt;=30,(1.07*E403+2.68)*F403,((1.07*30+2.68)+1.07*(E403-30))*F403)</f>
        <v>31.298000000000002</v>
      </c>
      <c r="H403" s="876">
        <v>0</v>
      </c>
      <c r="I403" s="876"/>
      <c r="J403" s="877">
        <v>0</v>
      </c>
      <c r="K403" s="878" t="s">
        <v>506</v>
      </c>
      <c r="L403" s="977">
        <f>ROUND(SUM(ORÇAMENTO!L403),2)</f>
        <v>0</v>
      </c>
      <c r="M403" s="934">
        <f t="shared" si="91"/>
        <v>0</v>
      </c>
      <c r="N403" s="868">
        <f t="shared" si="92"/>
        <v>0</v>
      </c>
      <c r="O403" s="880"/>
      <c r="P403" s="58" t="str">
        <f>IF(N402&gt;0,"xx",IF(N402&gt;0,"xy",""))</f>
        <v/>
      </c>
      <c r="Q403" s="317" t="str">
        <f t="shared" si="93"/>
        <v/>
      </c>
      <c r="R403" s="317" t="str">
        <f t="shared" si="94"/>
        <v/>
      </c>
      <c r="S403" s="317" t="str">
        <f t="shared" si="95"/>
        <v/>
      </c>
      <c r="V403" s="314">
        <f>SUM(ORÇAMENTO!N403)</f>
        <v>0</v>
      </c>
      <c r="W403" s="315">
        <f t="shared" si="96"/>
        <v>0</v>
      </c>
    </row>
    <row r="404" spans="1:23" ht="15" hidden="1" customHeight="1">
      <c r="A404" s="63" t="s">
        <v>147</v>
      </c>
      <c r="B404" s="870" t="s">
        <v>147</v>
      </c>
      <c r="C404" s="871"/>
      <c r="D404" s="931" t="s">
        <v>230</v>
      </c>
      <c r="E404" s="882">
        <f>DMT!$D$46</f>
        <v>445</v>
      </c>
      <c r="F404" s="883">
        <v>1.4999999999999999E-2</v>
      </c>
      <c r="G404" s="884">
        <f>IF(E404&lt;=30,(0.78*E404+7.82)*F404,((0.78*30+7.82)+0.78*(E404-30))*F404)</f>
        <v>5.3238000000000003</v>
      </c>
      <c r="H404" s="876">
        <v>0</v>
      </c>
      <c r="I404" s="876"/>
      <c r="J404" s="877">
        <v>0</v>
      </c>
      <c r="K404" s="878" t="s">
        <v>506</v>
      </c>
      <c r="L404" s="977">
        <f>ROUND(SUM(ORÇAMENTO!L404),2)</f>
        <v>0</v>
      </c>
      <c r="M404" s="934">
        <f t="shared" si="91"/>
        <v>0</v>
      </c>
      <c r="N404" s="868">
        <f t="shared" si="92"/>
        <v>0</v>
      </c>
      <c r="O404" s="880"/>
      <c r="P404" s="58" t="str">
        <f>IF(N402&gt;0,"xx",IF(N402&gt;0,"xy",""))</f>
        <v/>
      </c>
      <c r="Q404" s="317" t="str">
        <f t="shared" si="93"/>
        <v/>
      </c>
      <c r="R404" s="317" t="str">
        <f t="shared" si="94"/>
        <v/>
      </c>
      <c r="S404" s="317" t="str">
        <f t="shared" si="95"/>
        <v/>
      </c>
      <c r="V404" s="314">
        <f>SUM(ORÇAMENTO!N404)</f>
        <v>0</v>
      </c>
      <c r="W404" s="315">
        <f t="shared" si="96"/>
        <v>0</v>
      </c>
    </row>
    <row r="405" spans="1:23" ht="15" hidden="1" customHeight="1">
      <c r="A405" s="63" t="s">
        <v>147</v>
      </c>
      <c r="B405" s="870" t="s">
        <v>147</v>
      </c>
      <c r="C405" s="871"/>
      <c r="D405" s="931" t="s">
        <v>243</v>
      </c>
      <c r="E405" s="882">
        <f>DMT!$F$43</f>
        <v>0.2</v>
      </c>
      <c r="F405" s="883">
        <v>0.82799999999999996</v>
      </c>
      <c r="G405" s="923">
        <f t="shared" si="122"/>
        <v>2.3962319999999999</v>
      </c>
      <c r="H405" s="876">
        <v>0</v>
      </c>
      <c r="I405" s="876"/>
      <c r="J405" s="877">
        <v>0</v>
      </c>
      <c r="K405" s="878" t="s">
        <v>506</v>
      </c>
      <c r="L405" s="977">
        <f>ROUND(SUM(ORÇAMENTO!L405),2)</f>
        <v>0</v>
      </c>
      <c r="M405" s="934">
        <f t="shared" si="91"/>
        <v>0</v>
      </c>
      <c r="N405" s="868">
        <f t="shared" si="92"/>
        <v>0</v>
      </c>
      <c r="O405" s="880"/>
      <c r="P405" s="58" t="str">
        <f>IF(N402&gt;0,"xx",IF(N402&gt;0,"xy",""))</f>
        <v/>
      </c>
      <c r="Q405" s="317" t="str">
        <f t="shared" si="93"/>
        <v/>
      </c>
      <c r="R405" s="317" t="str">
        <f t="shared" si="94"/>
        <v/>
      </c>
      <c r="S405" s="317" t="str">
        <f t="shared" si="95"/>
        <v/>
      </c>
      <c r="V405" s="314">
        <f>SUM(ORÇAMENTO!N405)</f>
        <v>0</v>
      </c>
      <c r="W405" s="315">
        <f t="shared" ref="W405:W468" si="123">N405-V405</f>
        <v>0</v>
      </c>
    </row>
    <row r="406" spans="1:23" ht="15" hidden="1" customHeight="1">
      <c r="A406" s="63" t="s">
        <v>147</v>
      </c>
      <c r="B406" s="870" t="s">
        <v>147</v>
      </c>
      <c r="C406" s="871"/>
      <c r="D406" s="931" t="s">
        <v>244</v>
      </c>
      <c r="E406" s="882">
        <f>DMT!$F$28</f>
        <v>43.1</v>
      </c>
      <c r="F406" s="883">
        <f>SUM(F402:F405)</f>
        <v>1</v>
      </c>
      <c r="G406" s="887">
        <f>IF(E406&lt;=30,(1.07*E406+6.45)*F406,((1.07*30+6.45)+1.07*(E406-30))*F406)</f>
        <v>52.567000000000007</v>
      </c>
      <c r="H406" s="876">
        <v>0</v>
      </c>
      <c r="I406" s="876"/>
      <c r="J406" s="877">
        <v>0</v>
      </c>
      <c r="K406" s="878" t="s">
        <v>506</v>
      </c>
      <c r="L406" s="977">
        <f>ROUND(SUM(ORÇAMENTO!L406),2)</f>
        <v>0</v>
      </c>
      <c r="M406" s="934">
        <f t="shared" si="91"/>
        <v>0</v>
      </c>
      <c r="N406" s="868">
        <f t="shared" si="92"/>
        <v>0</v>
      </c>
      <c r="O406" s="880"/>
      <c r="P406" s="58" t="str">
        <f>IF(N402&gt;0,"xx",IF(N402&gt;0,"xy",""))</f>
        <v/>
      </c>
      <c r="Q406" s="317" t="str">
        <f t="shared" si="93"/>
        <v/>
      </c>
      <c r="R406" s="317" t="str">
        <f t="shared" si="94"/>
        <v/>
      </c>
      <c r="S406" s="317" t="str">
        <f t="shared" si="95"/>
        <v/>
      </c>
      <c r="V406" s="314">
        <f>SUM(ORÇAMENTO!N406)</f>
        <v>0</v>
      </c>
      <c r="W406" s="315">
        <f t="shared" si="123"/>
        <v>0</v>
      </c>
    </row>
    <row r="407" spans="1:23" ht="15" hidden="1" customHeight="1" thickBot="1">
      <c r="A407" s="63">
        <v>589000</v>
      </c>
      <c r="B407" s="978" t="s">
        <v>700</v>
      </c>
      <c r="C407" s="958" t="s">
        <v>213</v>
      </c>
      <c r="D407" s="986" t="s">
        <v>2149</v>
      </c>
      <c r="E407" s="994">
        <f>DMT!$D$45</f>
        <v>468</v>
      </c>
      <c r="F407" s="980">
        <v>1</v>
      </c>
      <c r="G407" s="923">
        <f>(0.94*E407+46.06)*F407</f>
        <v>485.97999999999996</v>
      </c>
      <c r="H407" s="962">
        <v>4828.8599999999997</v>
      </c>
      <c r="I407" s="962">
        <f>IF(ISBLANK(H407),"",H407*(1+$E$9)/(1+$E$10))+G407</f>
        <v>5163.1232400589097</v>
      </c>
      <c r="J407" s="963">
        <f t="shared" si="100"/>
        <v>6310.37</v>
      </c>
      <c r="K407" s="964" t="s">
        <v>14</v>
      </c>
      <c r="L407" s="965">
        <f>ROUND(SUM(ORÇAMENTO!L407),2)</f>
        <v>0</v>
      </c>
      <c r="M407" s="987">
        <f t="shared" si="91"/>
        <v>0</v>
      </c>
      <c r="N407" s="967">
        <f t="shared" si="92"/>
        <v>0</v>
      </c>
      <c r="O407" s="880"/>
      <c r="P407" s="58" t="str">
        <f>IF(N402&gt;0,"xx",IF(N402&gt;0,"xy",""))</f>
        <v/>
      </c>
      <c r="Q407" s="317" t="str">
        <f t="shared" si="93"/>
        <v/>
      </c>
      <c r="R407" s="317" t="str">
        <f t="shared" si="94"/>
        <v/>
      </c>
      <c r="S407" s="317" t="str">
        <f t="shared" si="95"/>
        <v/>
      </c>
      <c r="V407" s="314">
        <f>SUM(ORÇAMENTO!N407)</f>
        <v>0</v>
      </c>
      <c r="W407" s="315">
        <f t="shared" si="123"/>
        <v>0</v>
      </c>
    </row>
    <row r="408" spans="1:23" ht="15" hidden="1" customHeight="1">
      <c r="A408" s="63">
        <v>570000</v>
      </c>
      <c r="B408" s="973" t="s">
        <v>1635</v>
      </c>
      <c r="C408" s="974" t="s">
        <v>184</v>
      </c>
      <c r="D408" s="998" t="str">
        <f>CONCATENATE("CBUQ - Novo traço - ",Novos_Traços_CBUQ!C152," - (Quant. menor que 10.000 ton)")</f>
        <v>CBUQ - Novo traço - Reperfilamento 2 - "FAIXA C" - (Quant. menor que 10.000 ton)</v>
      </c>
      <c r="E408" s="948" t="s">
        <v>563</v>
      </c>
      <c r="F408" s="996">
        <f>Novos_Traços_CBUQ!F178</f>
        <v>5.0999999999999997E-2</v>
      </c>
      <c r="G408" s="950">
        <f>SUM(G409:G412)</f>
        <v>89.739336600000001</v>
      </c>
      <c r="H408" s="951">
        <v>187.41</v>
      </c>
      <c r="I408" s="951">
        <f>IF(ISBLANK(H408),"",SUM(G408:H408))</f>
        <v>277.14933659999997</v>
      </c>
      <c r="J408" s="952">
        <f t="shared" ref="J408" si="124">IF(ISBLANK(H408),0,ROUND(I408*(1+$E$10),2))</f>
        <v>338.73</v>
      </c>
      <c r="K408" s="953" t="s">
        <v>14</v>
      </c>
      <c r="L408" s="954">
        <f>ROUND(SUM(ORÇAMENTO!L408),2)</f>
        <v>0</v>
      </c>
      <c r="M408" s="955">
        <f t="shared" ref="M408:M413" si="125">IF(L408=0,0,ROUND(J408,2))</f>
        <v>0</v>
      </c>
      <c r="N408" s="956">
        <f t="shared" ref="N408:N413" si="126">IF(ISBLANK(L408),0,ROUND(L408*M408,2))</f>
        <v>0</v>
      </c>
      <c r="O408" s="880"/>
      <c r="Q408" s="317" t="str">
        <f t="shared" ref="Q408:Q413" si="127">IF(P408="X","x",IF(P408="xx","x",IF(P408="xy","x",IF(P408="y","x",IF(OR(N408&gt;0,N408&gt;0),"x","")))))</f>
        <v/>
      </c>
      <c r="R408" s="317" t="str">
        <f t="shared" ref="R408:R413" si="128">IF(P408="X","x",IF(P408="y","x",IF(P408="xx","x",IF(N408&gt;0,"x",""))))</f>
        <v/>
      </c>
      <c r="S408" s="317" t="str">
        <f t="shared" ref="S408:S413" si="129">IF(P408="X","x",IF(N408&gt;0,"x",""))</f>
        <v/>
      </c>
      <c r="V408" s="314">
        <f>SUM(ORÇAMENTO!N408)</f>
        <v>0</v>
      </c>
      <c r="W408" s="315">
        <f t="shared" si="123"/>
        <v>0</v>
      </c>
    </row>
    <row r="409" spans="1:23" ht="15" hidden="1" customHeight="1">
      <c r="A409" s="63" t="s">
        <v>147</v>
      </c>
      <c r="B409" s="870" t="s">
        <v>147</v>
      </c>
      <c r="C409" s="871"/>
      <c r="D409" s="931" t="s">
        <v>229</v>
      </c>
      <c r="E409" s="882">
        <f>DMT!$F$42</f>
        <v>290</v>
      </c>
      <c r="F409" s="1242">
        <f>Novos_Traços_CBUQ!F176</f>
        <v>9.4899999999999998E-2</v>
      </c>
      <c r="G409" s="923">
        <f t="shared" ref="G409" si="130">IF(E409&lt;=30,(1.07*E409+2.68)*F409,((1.07*30+2.68)+1.07*(E409-30))*F409)</f>
        <v>29.701802000000001</v>
      </c>
      <c r="H409" s="876">
        <v>0</v>
      </c>
      <c r="I409" s="876"/>
      <c r="J409" s="877">
        <v>0</v>
      </c>
      <c r="K409" s="878" t="s">
        <v>506</v>
      </c>
      <c r="L409" s="977">
        <f>ROUND(SUM(ORÇAMENTO!L409),2)</f>
        <v>0</v>
      </c>
      <c r="M409" s="934">
        <f t="shared" si="125"/>
        <v>0</v>
      </c>
      <c r="N409" s="868">
        <f t="shared" si="126"/>
        <v>0</v>
      </c>
      <c r="O409" s="880"/>
      <c r="P409" s="58" t="str">
        <f>IF(N408&gt;0,"xx",IF(N408&gt;0,"xy",""))</f>
        <v/>
      </c>
      <c r="Q409" s="317" t="str">
        <f t="shared" si="127"/>
        <v/>
      </c>
      <c r="R409" s="317" t="str">
        <f t="shared" si="128"/>
        <v/>
      </c>
      <c r="S409" s="317" t="str">
        <f t="shared" si="129"/>
        <v/>
      </c>
      <c r="V409" s="314">
        <f>SUM(ORÇAMENTO!N409)</f>
        <v>0</v>
      </c>
      <c r="W409" s="315">
        <f t="shared" si="123"/>
        <v>0</v>
      </c>
    </row>
    <row r="410" spans="1:23" ht="15" hidden="1" customHeight="1">
      <c r="A410" s="63" t="s">
        <v>147</v>
      </c>
      <c r="B410" s="870" t="s">
        <v>147</v>
      </c>
      <c r="C410" s="871"/>
      <c r="D410" s="931" t="s">
        <v>230</v>
      </c>
      <c r="E410" s="882">
        <f>DMT!$D$46</f>
        <v>445</v>
      </c>
      <c r="F410" s="1242">
        <f>Novos_Traços_CBUQ!F177</f>
        <v>1.4200000000000001E-2</v>
      </c>
      <c r="G410" s="884">
        <f>IF(E410&lt;=30,(0.78*E410+7.82)*F410,((0.78*30+7.82)+0.78*(E410-30))*F410)</f>
        <v>5.0398640000000006</v>
      </c>
      <c r="H410" s="876">
        <v>0</v>
      </c>
      <c r="I410" s="876"/>
      <c r="J410" s="877">
        <v>0</v>
      </c>
      <c r="K410" s="878" t="s">
        <v>506</v>
      </c>
      <c r="L410" s="977">
        <f>ROUND(SUM(ORÇAMENTO!L410),2)</f>
        <v>0</v>
      </c>
      <c r="M410" s="934">
        <f t="shared" si="125"/>
        <v>0</v>
      </c>
      <c r="N410" s="868">
        <f t="shared" si="126"/>
        <v>0</v>
      </c>
      <c r="O410" s="880"/>
      <c r="P410" s="58" t="str">
        <f>IF(N408&gt;0,"xx",IF(N408&gt;0,"xy",""))</f>
        <v/>
      </c>
      <c r="Q410" s="317" t="str">
        <f t="shared" si="127"/>
        <v/>
      </c>
      <c r="R410" s="317" t="str">
        <f t="shared" si="128"/>
        <v/>
      </c>
      <c r="S410" s="317" t="str">
        <f t="shared" si="129"/>
        <v/>
      </c>
      <c r="V410" s="314">
        <f>SUM(ORÇAMENTO!N410)</f>
        <v>0</v>
      </c>
      <c r="W410" s="315">
        <f t="shared" si="123"/>
        <v>0</v>
      </c>
    </row>
    <row r="411" spans="1:23" ht="15" hidden="1" customHeight="1">
      <c r="A411" s="63" t="s">
        <v>147</v>
      </c>
      <c r="B411" s="870" t="s">
        <v>147</v>
      </c>
      <c r="C411" s="871"/>
      <c r="D411" s="931" t="s">
        <v>243</v>
      </c>
      <c r="E411" s="882">
        <f>DMT!$F$43</f>
        <v>0.2</v>
      </c>
      <c r="F411" s="1242">
        <f>Novos_Traços_CBUQ!F174</f>
        <v>0.83989999999999998</v>
      </c>
      <c r="G411" s="923">
        <f t="shared" ref="G411" si="131">IF(E411&lt;=30,(1.07*E411+2.68)*F411,((1.07*30+2.68)+1.07*(E411-30))*F411)</f>
        <v>2.4306706</v>
      </c>
      <c r="H411" s="876">
        <v>0</v>
      </c>
      <c r="I411" s="876"/>
      <c r="J411" s="877">
        <v>0</v>
      </c>
      <c r="K411" s="878" t="s">
        <v>506</v>
      </c>
      <c r="L411" s="977">
        <f>ROUND(SUM(ORÇAMENTO!L411),2)</f>
        <v>0</v>
      </c>
      <c r="M411" s="934">
        <f t="shared" si="125"/>
        <v>0</v>
      </c>
      <c r="N411" s="868">
        <f t="shared" si="126"/>
        <v>0</v>
      </c>
      <c r="O411" s="880"/>
      <c r="P411" s="58" t="str">
        <f>IF(N408&gt;0,"xx",IF(N408&gt;0,"xy",""))</f>
        <v/>
      </c>
      <c r="Q411" s="317" t="str">
        <f t="shared" si="127"/>
        <v/>
      </c>
      <c r="R411" s="317" t="str">
        <f t="shared" si="128"/>
        <v/>
      </c>
      <c r="S411" s="317" t="str">
        <f t="shared" si="129"/>
        <v/>
      </c>
      <c r="V411" s="314">
        <f>SUM(ORÇAMENTO!N411)</f>
        <v>0</v>
      </c>
      <c r="W411" s="315">
        <f t="shared" si="123"/>
        <v>0</v>
      </c>
    </row>
    <row r="412" spans="1:23" ht="15" hidden="1" customHeight="1">
      <c r="A412" s="63" t="s">
        <v>147</v>
      </c>
      <c r="B412" s="870" t="s">
        <v>147</v>
      </c>
      <c r="C412" s="871"/>
      <c r="D412" s="931" t="s">
        <v>244</v>
      </c>
      <c r="E412" s="882">
        <f>DMT!$F$28</f>
        <v>43.1</v>
      </c>
      <c r="F412" s="883">
        <f>SUM(F408:F411)</f>
        <v>1</v>
      </c>
      <c r="G412" s="887">
        <f>IF(E412&lt;=30,(1.07*E412+6.45)*F412,((1.07*30+6.45)+1.07*(E412-30))*F412)</f>
        <v>52.567000000000007</v>
      </c>
      <c r="H412" s="876">
        <v>0</v>
      </c>
      <c r="I412" s="876"/>
      <c r="J412" s="877">
        <v>0</v>
      </c>
      <c r="K412" s="878" t="s">
        <v>506</v>
      </c>
      <c r="L412" s="977">
        <f>ROUND(SUM(ORÇAMENTO!L412),2)</f>
        <v>0</v>
      </c>
      <c r="M412" s="934">
        <f t="shared" si="125"/>
        <v>0</v>
      </c>
      <c r="N412" s="868">
        <f t="shared" si="126"/>
        <v>0</v>
      </c>
      <c r="O412" s="880"/>
      <c r="P412" s="58" t="str">
        <f>IF(N408&gt;0,"xx",IF(N408&gt;0,"xy",""))</f>
        <v/>
      </c>
      <c r="Q412" s="317" t="str">
        <f t="shared" si="127"/>
        <v/>
      </c>
      <c r="R412" s="317" t="str">
        <f t="shared" si="128"/>
        <v/>
      </c>
      <c r="S412" s="317" t="str">
        <f t="shared" si="129"/>
        <v/>
      </c>
      <c r="V412" s="314">
        <f>SUM(ORÇAMENTO!N412)</f>
        <v>0</v>
      </c>
      <c r="W412" s="315">
        <f t="shared" si="123"/>
        <v>0</v>
      </c>
    </row>
    <row r="413" spans="1:23" ht="15" hidden="1" customHeight="1" thickBot="1">
      <c r="A413" s="63">
        <v>589000</v>
      </c>
      <c r="B413" s="978" t="s">
        <v>700</v>
      </c>
      <c r="C413" s="958" t="s">
        <v>213</v>
      </c>
      <c r="D413" s="986" t="s">
        <v>2149</v>
      </c>
      <c r="E413" s="994">
        <f>DMT!$D$45</f>
        <v>468</v>
      </c>
      <c r="F413" s="980">
        <v>1</v>
      </c>
      <c r="G413" s="923">
        <f>(0.94*E413+46.06)*F413</f>
        <v>485.97999999999996</v>
      </c>
      <c r="H413" s="962">
        <v>4828.8599999999997</v>
      </c>
      <c r="I413" s="962">
        <f>IF(ISBLANK(H413),"",H413*(1+$E$9)/(1+$E$10))+G413</f>
        <v>5163.1232400589097</v>
      </c>
      <c r="J413" s="963">
        <f t="shared" ref="J413:J414" si="132">IF(ISBLANK(H413),0,ROUND(I413*(1+$E$10),2))</f>
        <v>6310.37</v>
      </c>
      <c r="K413" s="964" t="s">
        <v>14</v>
      </c>
      <c r="L413" s="965">
        <f>ROUND(SUM(ORÇAMENTO!L413),2)</f>
        <v>0</v>
      </c>
      <c r="M413" s="987">
        <f t="shared" si="125"/>
        <v>0</v>
      </c>
      <c r="N413" s="967">
        <f t="shared" si="126"/>
        <v>0</v>
      </c>
      <c r="O413" s="880"/>
      <c r="P413" s="58" t="str">
        <f>IF(N408&gt;0,"xx",IF(N408&gt;0,"xy",""))</f>
        <v/>
      </c>
      <c r="Q413" s="317" t="str">
        <f t="shared" si="127"/>
        <v/>
      </c>
      <c r="R413" s="317" t="str">
        <f t="shared" si="128"/>
        <v/>
      </c>
      <c r="S413" s="317" t="str">
        <f t="shared" si="129"/>
        <v/>
      </c>
      <c r="V413" s="314">
        <f>SUM(ORÇAMENTO!N413)</f>
        <v>0</v>
      </c>
      <c r="W413" s="315">
        <f t="shared" si="123"/>
        <v>0</v>
      </c>
    </row>
    <row r="414" spans="1:23" ht="15" hidden="1" customHeight="1">
      <c r="A414" s="63">
        <v>570000</v>
      </c>
      <c r="B414" s="973" t="s">
        <v>1635</v>
      </c>
      <c r="C414" s="974" t="s">
        <v>184</v>
      </c>
      <c r="D414" s="998" t="str">
        <f>CONCATENATE("CBUQ - Novo traço - ",Novos_Traços_CBUQ!J152," - (Quant. menor que 10.000 ton)")</f>
        <v>CBUQ - Novo traço - Reperfilamento 3 - "FAIXA C" - (Quant. menor que 10.000 ton)</v>
      </c>
      <c r="E414" s="948" t="s">
        <v>563</v>
      </c>
      <c r="F414" s="996">
        <f>Novos_Traços_CBUQ!M178</f>
        <v>0.05</v>
      </c>
      <c r="G414" s="950">
        <f>SUM(G415:G418)</f>
        <v>89.808441799999997</v>
      </c>
      <c r="H414" s="951">
        <v>187.41</v>
      </c>
      <c r="I414" s="951">
        <f>IF(ISBLANK(H414),"",SUM(G414:H414))</f>
        <v>277.21844179999999</v>
      </c>
      <c r="J414" s="952">
        <f t="shared" si="132"/>
        <v>338.82</v>
      </c>
      <c r="K414" s="953" t="s">
        <v>14</v>
      </c>
      <c r="L414" s="954">
        <f>ROUND(SUM(ORÇAMENTO!L414),2)</f>
        <v>0</v>
      </c>
      <c r="M414" s="955">
        <f t="shared" ref="M414:M419" si="133">IF(L414=0,0,ROUND(J414,2))</f>
        <v>0</v>
      </c>
      <c r="N414" s="956">
        <f t="shared" ref="N414:N419" si="134">IF(ISBLANK(L414),0,ROUND(L414*M414,2))</f>
        <v>0</v>
      </c>
      <c r="O414" s="880"/>
      <c r="Q414" s="317" t="str">
        <f t="shared" ref="Q414:Q419" si="135">IF(P414="X","x",IF(P414="xx","x",IF(P414="xy","x",IF(P414="y","x",IF(OR(N414&gt;0,N414&gt;0),"x","")))))</f>
        <v/>
      </c>
      <c r="R414" s="317" t="str">
        <f t="shared" ref="R414:R419" si="136">IF(P414="X","x",IF(P414="y","x",IF(P414="xx","x",IF(N414&gt;0,"x",""))))</f>
        <v/>
      </c>
      <c r="S414" s="317" t="str">
        <f t="shared" ref="S414:S419" si="137">IF(P414="X","x",IF(N414&gt;0,"x",""))</f>
        <v/>
      </c>
      <c r="V414" s="314">
        <f>SUM(ORÇAMENTO!N414)</f>
        <v>0</v>
      </c>
      <c r="W414" s="315">
        <f t="shared" si="123"/>
        <v>0</v>
      </c>
    </row>
    <row r="415" spans="1:23" ht="15" hidden="1" customHeight="1">
      <c r="A415" s="63" t="s">
        <v>147</v>
      </c>
      <c r="B415" s="870" t="s">
        <v>147</v>
      </c>
      <c r="C415" s="871"/>
      <c r="D415" s="931" t="s">
        <v>229</v>
      </c>
      <c r="E415" s="882">
        <f>DMT!$F$42</f>
        <v>290</v>
      </c>
      <c r="F415" s="1242">
        <f>Novos_Traços_CBUQ!M176</f>
        <v>9.5000000000000001E-2</v>
      </c>
      <c r="G415" s="923">
        <f t="shared" ref="G415" si="138">IF(E415&lt;=30,(1.07*E415+2.68)*F415,((1.07*30+2.68)+1.07*(E415-30))*F415)</f>
        <v>29.7331</v>
      </c>
      <c r="H415" s="876">
        <v>0</v>
      </c>
      <c r="I415" s="876"/>
      <c r="J415" s="877">
        <v>0</v>
      </c>
      <c r="K415" s="878" t="s">
        <v>506</v>
      </c>
      <c r="L415" s="977">
        <f>ROUND(SUM(ORÇAMENTO!L415),2)</f>
        <v>0</v>
      </c>
      <c r="M415" s="934">
        <f t="shared" si="133"/>
        <v>0</v>
      </c>
      <c r="N415" s="868">
        <f t="shared" si="134"/>
        <v>0</v>
      </c>
      <c r="O415" s="880"/>
      <c r="P415" s="58" t="str">
        <f>IF(N414&gt;0,"xx",IF(N414&gt;0,"xy",""))</f>
        <v/>
      </c>
      <c r="Q415" s="317" t="str">
        <f t="shared" si="135"/>
        <v/>
      </c>
      <c r="R415" s="317" t="str">
        <f t="shared" si="136"/>
        <v/>
      </c>
      <c r="S415" s="317" t="str">
        <f t="shared" si="137"/>
        <v/>
      </c>
      <c r="V415" s="314">
        <f>SUM(ORÇAMENTO!N415)</f>
        <v>0</v>
      </c>
      <c r="W415" s="315">
        <f t="shared" si="123"/>
        <v>0</v>
      </c>
    </row>
    <row r="416" spans="1:23" ht="15" hidden="1" customHeight="1">
      <c r="A416" s="63" t="s">
        <v>147</v>
      </c>
      <c r="B416" s="870" t="s">
        <v>147</v>
      </c>
      <c r="C416" s="871"/>
      <c r="D416" s="931" t="s">
        <v>230</v>
      </c>
      <c r="E416" s="882">
        <f>DMT!$D$46</f>
        <v>445</v>
      </c>
      <c r="F416" s="1242">
        <f>Novos_Traços_CBUQ!M177</f>
        <v>1.43E-2</v>
      </c>
      <c r="G416" s="884">
        <f>IF(E416&lt;=30,(0.78*E416+7.82)*F416,((0.78*30+7.82)+0.78*(E416-30))*F416)</f>
        <v>5.0753560000000002</v>
      </c>
      <c r="H416" s="876">
        <v>0</v>
      </c>
      <c r="I416" s="876"/>
      <c r="J416" s="877">
        <v>0</v>
      </c>
      <c r="K416" s="878" t="s">
        <v>506</v>
      </c>
      <c r="L416" s="977">
        <f>ROUND(SUM(ORÇAMENTO!L416),2)</f>
        <v>0</v>
      </c>
      <c r="M416" s="934">
        <f t="shared" si="133"/>
        <v>0</v>
      </c>
      <c r="N416" s="868">
        <f t="shared" si="134"/>
        <v>0</v>
      </c>
      <c r="O416" s="880"/>
      <c r="P416" s="58" t="str">
        <f>IF(N414&gt;0,"xx",IF(N414&gt;0,"xy",""))</f>
        <v/>
      </c>
      <c r="Q416" s="317" t="str">
        <f t="shared" si="135"/>
        <v/>
      </c>
      <c r="R416" s="317" t="str">
        <f t="shared" si="136"/>
        <v/>
      </c>
      <c r="S416" s="317" t="str">
        <f t="shared" si="137"/>
        <v/>
      </c>
      <c r="V416" s="314">
        <f>SUM(ORÇAMENTO!N416)</f>
        <v>0</v>
      </c>
      <c r="W416" s="315">
        <f t="shared" si="123"/>
        <v>0</v>
      </c>
    </row>
    <row r="417" spans="1:23" ht="15" hidden="1" customHeight="1">
      <c r="A417" s="63" t="s">
        <v>147</v>
      </c>
      <c r="B417" s="870" t="s">
        <v>147</v>
      </c>
      <c r="C417" s="871"/>
      <c r="D417" s="931" t="s">
        <v>243</v>
      </c>
      <c r="E417" s="882">
        <f>DMT!$F$43</f>
        <v>0.2</v>
      </c>
      <c r="F417" s="1242">
        <f>Novos_Traços_CBUQ!M174</f>
        <v>0.8407</v>
      </c>
      <c r="G417" s="923">
        <f t="shared" ref="G417" si="139">IF(E417&lt;=30,(1.07*E417+2.68)*F417,((1.07*30+2.68)+1.07*(E417-30))*F417)</f>
        <v>2.4329858</v>
      </c>
      <c r="H417" s="876">
        <v>0</v>
      </c>
      <c r="I417" s="876"/>
      <c r="J417" s="877">
        <v>0</v>
      </c>
      <c r="K417" s="878" t="s">
        <v>506</v>
      </c>
      <c r="L417" s="977">
        <f>ROUND(SUM(ORÇAMENTO!L417),2)</f>
        <v>0</v>
      </c>
      <c r="M417" s="934">
        <f t="shared" si="133"/>
        <v>0</v>
      </c>
      <c r="N417" s="868">
        <f t="shared" si="134"/>
        <v>0</v>
      </c>
      <c r="O417" s="880"/>
      <c r="P417" s="58" t="str">
        <f>IF(N414&gt;0,"xx",IF(N414&gt;0,"xy",""))</f>
        <v/>
      </c>
      <c r="Q417" s="317" t="str">
        <f t="shared" si="135"/>
        <v/>
      </c>
      <c r="R417" s="317" t="str">
        <f t="shared" si="136"/>
        <v/>
      </c>
      <c r="S417" s="317" t="str">
        <f t="shared" si="137"/>
        <v/>
      </c>
      <c r="V417" s="314">
        <f>SUM(ORÇAMENTO!N417)</f>
        <v>0</v>
      </c>
      <c r="W417" s="315">
        <f t="shared" si="123"/>
        <v>0</v>
      </c>
    </row>
    <row r="418" spans="1:23" ht="15" hidden="1" customHeight="1">
      <c r="A418" s="63" t="s">
        <v>147</v>
      </c>
      <c r="B418" s="870" t="s">
        <v>147</v>
      </c>
      <c r="C418" s="871"/>
      <c r="D418" s="931" t="s">
        <v>244</v>
      </c>
      <c r="E418" s="882">
        <f>DMT!$F$28</f>
        <v>43.1</v>
      </c>
      <c r="F418" s="883">
        <f>SUM(F414:F417)</f>
        <v>1</v>
      </c>
      <c r="G418" s="887">
        <f>IF(E418&lt;=30,(1.07*E418+6.45)*F418,((1.07*30+6.45)+1.07*(E418-30))*F418)</f>
        <v>52.567000000000007</v>
      </c>
      <c r="H418" s="876">
        <v>0</v>
      </c>
      <c r="I418" s="876"/>
      <c r="J418" s="877">
        <v>0</v>
      </c>
      <c r="K418" s="878" t="s">
        <v>506</v>
      </c>
      <c r="L418" s="977">
        <f>ROUND(SUM(ORÇAMENTO!L418),2)</f>
        <v>0</v>
      </c>
      <c r="M418" s="934">
        <f t="shared" si="133"/>
        <v>0</v>
      </c>
      <c r="N418" s="868">
        <f t="shared" si="134"/>
        <v>0</v>
      </c>
      <c r="O418" s="880"/>
      <c r="P418" s="58" t="str">
        <f>IF(N414&gt;0,"xx",IF(N414&gt;0,"xy",""))</f>
        <v/>
      </c>
      <c r="Q418" s="317" t="str">
        <f t="shared" si="135"/>
        <v/>
      </c>
      <c r="R418" s="317" t="str">
        <f t="shared" si="136"/>
        <v/>
      </c>
      <c r="S418" s="317" t="str">
        <f t="shared" si="137"/>
        <v/>
      </c>
      <c r="V418" s="314">
        <f>SUM(ORÇAMENTO!N418)</f>
        <v>0</v>
      </c>
      <c r="W418" s="315">
        <f t="shared" si="123"/>
        <v>0</v>
      </c>
    </row>
    <row r="419" spans="1:23" ht="15" hidden="1" customHeight="1" thickBot="1">
      <c r="A419" s="63">
        <v>589000</v>
      </c>
      <c r="B419" s="978" t="s">
        <v>700</v>
      </c>
      <c r="C419" s="958" t="s">
        <v>213</v>
      </c>
      <c r="D419" s="986" t="s">
        <v>2149</v>
      </c>
      <c r="E419" s="994">
        <f>DMT!$D$45</f>
        <v>468</v>
      </c>
      <c r="F419" s="980">
        <v>1</v>
      </c>
      <c r="G419" s="923">
        <f>(0.94*E419+46.06)*F419</f>
        <v>485.97999999999996</v>
      </c>
      <c r="H419" s="962">
        <v>4828.8599999999997</v>
      </c>
      <c r="I419" s="962">
        <f>IF(ISBLANK(H419),"",H419*(1+$E$9)/(1+$E$10))+G419</f>
        <v>5163.1232400589097</v>
      </c>
      <c r="J419" s="963">
        <f t="shared" ref="J419" si="140">IF(ISBLANK(H419),0,ROUND(I419*(1+$E$10),2))</f>
        <v>6310.37</v>
      </c>
      <c r="K419" s="964" t="s">
        <v>14</v>
      </c>
      <c r="L419" s="965">
        <f>ROUND(SUM(ORÇAMENTO!L419),2)</f>
        <v>0</v>
      </c>
      <c r="M419" s="987">
        <f t="shared" si="133"/>
        <v>0</v>
      </c>
      <c r="N419" s="967">
        <f t="shared" si="134"/>
        <v>0</v>
      </c>
      <c r="O419" s="880"/>
      <c r="P419" s="58" t="str">
        <f>IF(N414&gt;0,"xx",IF(N414&gt;0,"xy",""))</f>
        <v/>
      </c>
      <c r="Q419" s="317" t="str">
        <f t="shared" si="135"/>
        <v/>
      </c>
      <c r="R419" s="317" t="str">
        <f t="shared" si="136"/>
        <v/>
      </c>
      <c r="S419" s="317" t="str">
        <f t="shared" si="137"/>
        <v/>
      </c>
      <c r="V419" s="314">
        <f>SUM(ORÇAMENTO!N419)</f>
        <v>0</v>
      </c>
      <c r="W419" s="315">
        <f t="shared" si="123"/>
        <v>0</v>
      </c>
    </row>
    <row r="420" spans="1:23" ht="15" hidden="1" customHeight="1">
      <c r="A420" s="63">
        <v>570000</v>
      </c>
      <c r="B420" s="973" t="s">
        <v>1636</v>
      </c>
      <c r="C420" s="974" t="s">
        <v>184</v>
      </c>
      <c r="D420" s="947" t="s">
        <v>2190</v>
      </c>
      <c r="E420" s="948" t="s">
        <v>563</v>
      </c>
      <c r="F420" s="997">
        <v>0.05</v>
      </c>
      <c r="G420" s="950">
        <f>SUM(G421:G424)</f>
        <v>91.892755399999999</v>
      </c>
      <c r="H420" s="951">
        <v>187.41</v>
      </c>
      <c r="I420" s="951">
        <f>IF(ISBLANK(H420),"",SUM(G420:H420))</f>
        <v>279.30275540000002</v>
      </c>
      <c r="J420" s="952">
        <f t="shared" si="100"/>
        <v>341.36</v>
      </c>
      <c r="K420" s="953" t="s">
        <v>14</v>
      </c>
      <c r="L420" s="954">
        <f>ROUND(SUM(ORÇAMENTO!L420),2)</f>
        <v>0</v>
      </c>
      <c r="M420" s="955">
        <f t="shared" si="91"/>
        <v>0</v>
      </c>
      <c r="N420" s="956">
        <f t="shared" si="92"/>
        <v>0</v>
      </c>
      <c r="O420" s="880"/>
      <c r="Q420" s="317" t="str">
        <f t="shared" si="93"/>
        <v/>
      </c>
      <c r="R420" s="317" t="str">
        <f t="shared" si="94"/>
        <v/>
      </c>
      <c r="S420" s="317" t="str">
        <f t="shared" si="95"/>
        <v/>
      </c>
      <c r="V420" s="314">
        <f>SUM(ORÇAMENTO!N420)</f>
        <v>0</v>
      </c>
      <c r="W420" s="315">
        <f t="shared" si="123"/>
        <v>0</v>
      </c>
    </row>
    <row r="421" spans="1:23" ht="15" hidden="1" customHeight="1">
      <c r="A421" s="63" t="s">
        <v>147</v>
      </c>
      <c r="B421" s="870" t="s">
        <v>147</v>
      </c>
      <c r="C421" s="871"/>
      <c r="D421" s="931" t="s">
        <v>229</v>
      </c>
      <c r="E421" s="882">
        <f>DMT!$F$42</f>
        <v>290</v>
      </c>
      <c r="F421" s="883">
        <v>0.1007</v>
      </c>
      <c r="G421" s="923">
        <f t="shared" ref="G421:G423" si="141">IF(E421&lt;=30,(1.07*E421+2.68)*F421,((1.07*30+2.68)+1.07*(E421-30))*F421)</f>
        <v>31.517086000000003</v>
      </c>
      <c r="H421" s="876">
        <v>0</v>
      </c>
      <c r="I421" s="876"/>
      <c r="J421" s="877">
        <v>0</v>
      </c>
      <c r="K421" s="878" t="s">
        <v>506</v>
      </c>
      <c r="L421" s="977">
        <f>ROUND(SUM(ORÇAMENTO!L421),2)</f>
        <v>0</v>
      </c>
      <c r="M421" s="934">
        <f t="shared" si="91"/>
        <v>0</v>
      </c>
      <c r="N421" s="868">
        <f t="shared" si="92"/>
        <v>0</v>
      </c>
      <c r="O421" s="880"/>
      <c r="P421" s="58" t="str">
        <f>IF(N420&gt;0,"xx",IF(N420&gt;0,"xy",""))</f>
        <v/>
      </c>
      <c r="Q421" s="317" t="str">
        <f t="shared" si="93"/>
        <v/>
      </c>
      <c r="R421" s="317" t="str">
        <f t="shared" si="94"/>
        <v/>
      </c>
      <c r="S421" s="317" t="str">
        <f t="shared" si="95"/>
        <v/>
      </c>
      <c r="V421" s="314">
        <f>SUM(ORÇAMENTO!N421)</f>
        <v>0</v>
      </c>
      <c r="W421" s="315">
        <f t="shared" si="123"/>
        <v>0</v>
      </c>
    </row>
    <row r="422" spans="1:23" ht="15" hidden="1" customHeight="1">
      <c r="A422" s="63" t="s">
        <v>147</v>
      </c>
      <c r="B422" s="870" t="s">
        <v>147</v>
      </c>
      <c r="C422" s="871"/>
      <c r="D422" s="931" t="s">
        <v>230</v>
      </c>
      <c r="E422" s="882">
        <f>DMT!$D$46</f>
        <v>445</v>
      </c>
      <c r="F422" s="883">
        <v>1.52E-2</v>
      </c>
      <c r="G422" s="884">
        <f>IF(E422&lt;=30,(0.78*E422+7.82)*F422,((0.78*30+7.82)+0.78*(E422-30))*F422)</f>
        <v>5.3947840000000005</v>
      </c>
      <c r="H422" s="876">
        <v>0</v>
      </c>
      <c r="I422" s="876"/>
      <c r="J422" s="877">
        <v>0</v>
      </c>
      <c r="K422" s="878" t="s">
        <v>506</v>
      </c>
      <c r="L422" s="977">
        <f>ROUND(SUM(ORÇAMENTO!L422),2)</f>
        <v>0</v>
      </c>
      <c r="M422" s="934">
        <f t="shared" si="91"/>
        <v>0</v>
      </c>
      <c r="N422" s="868">
        <f t="shared" si="92"/>
        <v>0</v>
      </c>
      <c r="O422" s="880"/>
      <c r="P422" s="58" t="str">
        <f>IF(N420&gt;0,"xx",IF(N420&gt;0,"xy",""))</f>
        <v/>
      </c>
      <c r="Q422" s="317" t="str">
        <f t="shared" si="93"/>
        <v/>
      </c>
      <c r="R422" s="317" t="str">
        <f t="shared" si="94"/>
        <v/>
      </c>
      <c r="S422" s="317" t="str">
        <f t="shared" si="95"/>
        <v/>
      </c>
      <c r="V422" s="314">
        <f>SUM(ORÇAMENTO!N422)</f>
        <v>0</v>
      </c>
      <c r="W422" s="315">
        <f t="shared" si="123"/>
        <v>0</v>
      </c>
    </row>
    <row r="423" spans="1:23" ht="15" hidden="1" customHeight="1">
      <c r="A423" s="63" t="s">
        <v>147</v>
      </c>
      <c r="B423" s="870" t="s">
        <v>147</v>
      </c>
      <c r="C423" s="871"/>
      <c r="D423" s="931" t="s">
        <v>243</v>
      </c>
      <c r="E423" s="882">
        <f>DMT!$F$43</f>
        <v>0.2</v>
      </c>
      <c r="F423" s="883">
        <v>0.83409999999999995</v>
      </c>
      <c r="G423" s="923">
        <f t="shared" si="141"/>
        <v>2.4138853999999998</v>
      </c>
      <c r="H423" s="876">
        <v>0</v>
      </c>
      <c r="I423" s="876"/>
      <c r="J423" s="877">
        <v>0</v>
      </c>
      <c r="K423" s="878" t="s">
        <v>506</v>
      </c>
      <c r="L423" s="977">
        <f>ROUND(SUM(ORÇAMENTO!L423),2)</f>
        <v>0</v>
      </c>
      <c r="M423" s="934">
        <f t="shared" si="91"/>
        <v>0</v>
      </c>
      <c r="N423" s="868">
        <f t="shared" si="92"/>
        <v>0</v>
      </c>
      <c r="O423" s="880"/>
      <c r="P423" s="58" t="str">
        <f>IF(N420&gt;0,"xx",IF(N420&gt;0,"xy",""))</f>
        <v/>
      </c>
      <c r="Q423" s="317" t="str">
        <f t="shared" si="93"/>
        <v/>
      </c>
      <c r="R423" s="317" t="str">
        <f t="shared" si="94"/>
        <v/>
      </c>
      <c r="S423" s="317" t="str">
        <f t="shared" si="95"/>
        <v/>
      </c>
      <c r="V423" s="314">
        <f>SUM(ORÇAMENTO!N423)</f>
        <v>0</v>
      </c>
      <c r="W423" s="315">
        <f t="shared" si="123"/>
        <v>0</v>
      </c>
    </row>
    <row r="424" spans="1:23" ht="15" hidden="1" customHeight="1">
      <c r="A424" s="63" t="s">
        <v>147</v>
      </c>
      <c r="B424" s="870" t="s">
        <v>147</v>
      </c>
      <c r="C424" s="871"/>
      <c r="D424" s="931" t="s">
        <v>244</v>
      </c>
      <c r="E424" s="882">
        <f>DMT!$F$28</f>
        <v>43.1</v>
      </c>
      <c r="F424" s="883">
        <f>SUM(F420:F423)</f>
        <v>1</v>
      </c>
      <c r="G424" s="887">
        <f>IF(E424&lt;=30,(1.07*E424+6.45)*F424,((1.07*30+6.45)+1.07*(E424-30))*F424)</f>
        <v>52.567000000000007</v>
      </c>
      <c r="H424" s="876">
        <v>0</v>
      </c>
      <c r="I424" s="876"/>
      <c r="J424" s="877">
        <v>0</v>
      </c>
      <c r="K424" s="878" t="s">
        <v>506</v>
      </c>
      <c r="L424" s="977">
        <f>ROUND(SUM(ORÇAMENTO!L424),2)</f>
        <v>0</v>
      </c>
      <c r="M424" s="934">
        <f t="shared" si="91"/>
        <v>0</v>
      </c>
      <c r="N424" s="868">
        <f t="shared" si="92"/>
        <v>0</v>
      </c>
      <c r="O424" s="880"/>
      <c r="P424" s="58" t="str">
        <f>IF(N420&gt;0,"xx",IF(N420&gt;0,"xy",""))</f>
        <v/>
      </c>
      <c r="Q424" s="317" t="str">
        <f t="shared" si="93"/>
        <v/>
      </c>
      <c r="R424" s="317" t="str">
        <f t="shared" si="94"/>
        <v/>
      </c>
      <c r="S424" s="317" t="str">
        <f t="shared" si="95"/>
        <v/>
      </c>
      <c r="V424" s="314">
        <f>SUM(ORÇAMENTO!N424)</f>
        <v>0</v>
      </c>
      <c r="W424" s="315">
        <f t="shared" si="123"/>
        <v>0</v>
      </c>
    </row>
    <row r="425" spans="1:23" ht="15" hidden="1" customHeight="1" thickBot="1">
      <c r="A425" s="63">
        <v>589000</v>
      </c>
      <c r="B425" s="978" t="s">
        <v>703</v>
      </c>
      <c r="C425" s="958" t="s">
        <v>213</v>
      </c>
      <c r="D425" s="986" t="s">
        <v>2149</v>
      </c>
      <c r="E425" s="994">
        <f>DMT!$D$45</f>
        <v>468</v>
      </c>
      <c r="F425" s="980">
        <v>1</v>
      </c>
      <c r="G425" s="923">
        <f>(0.94*E425+46.06)*F425</f>
        <v>485.97999999999996</v>
      </c>
      <c r="H425" s="962">
        <v>4828.8599999999997</v>
      </c>
      <c r="I425" s="962">
        <f>IF(ISBLANK(H425),"",H425*(1+$E$9)/(1+$E$10))+G425</f>
        <v>5163.1232400589097</v>
      </c>
      <c r="J425" s="963">
        <f t="shared" si="100"/>
        <v>6310.37</v>
      </c>
      <c r="K425" s="964" t="s">
        <v>14</v>
      </c>
      <c r="L425" s="965">
        <f>ROUND(SUM(ORÇAMENTO!L425),2)</f>
        <v>0</v>
      </c>
      <c r="M425" s="987">
        <f t="shared" si="91"/>
        <v>0</v>
      </c>
      <c r="N425" s="967">
        <f t="shared" si="92"/>
        <v>0</v>
      </c>
      <c r="O425" s="880"/>
      <c r="P425" s="58" t="str">
        <f>IF(N420&gt;0,"xx",IF(N420&gt;0,"xy",""))</f>
        <v/>
      </c>
      <c r="Q425" s="317" t="str">
        <f t="shared" si="93"/>
        <v/>
      </c>
      <c r="R425" s="317" t="str">
        <f t="shared" si="94"/>
        <v/>
      </c>
      <c r="S425" s="317" t="str">
        <f t="shared" si="95"/>
        <v/>
      </c>
      <c r="V425" s="314">
        <f>SUM(ORÇAMENTO!N425)</f>
        <v>0</v>
      </c>
      <c r="W425" s="315">
        <f t="shared" si="123"/>
        <v>0</v>
      </c>
    </row>
    <row r="426" spans="1:23" ht="15" hidden="1" customHeight="1">
      <c r="A426" s="63">
        <v>570000</v>
      </c>
      <c r="B426" s="973" t="s">
        <v>1637</v>
      </c>
      <c r="C426" s="974" t="s">
        <v>184</v>
      </c>
      <c r="D426" s="947" t="s">
        <v>2191</v>
      </c>
      <c r="E426" s="948" t="s">
        <v>563</v>
      </c>
      <c r="F426" s="997">
        <v>5.5E-2</v>
      </c>
      <c r="G426" s="950">
        <f>SUM(G427:G430)</f>
        <v>91.688039800000013</v>
      </c>
      <c r="H426" s="951">
        <v>187.41</v>
      </c>
      <c r="I426" s="951">
        <f>IF(ISBLANK(H426),"",SUM(G426:H426))</f>
        <v>279.09803980000004</v>
      </c>
      <c r="J426" s="952">
        <f t="shared" si="100"/>
        <v>341.11</v>
      </c>
      <c r="K426" s="953" t="s">
        <v>14</v>
      </c>
      <c r="L426" s="954">
        <f>ROUND(SUM(ORÇAMENTO!L426),2)</f>
        <v>0</v>
      </c>
      <c r="M426" s="955">
        <f t="shared" si="91"/>
        <v>0</v>
      </c>
      <c r="N426" s="956">
        <f t="shared" si="92"/>
        <v>0</v>
      </c>
      <c r="O426" s="880"/>
      <c r="Q426" s="317" t="str">
        <f t="shared" si="93"/>
        <v/>
      </c>
      <c r="R426" s="317" t="str">
        <f t="shared" si="94"/>
        <v/>
      </c>
      <c r="S426" s="317" t="str">
        <f t="shared" si="95"/>
        <v/>
      </c>
      <c r="V426" s="314">
        <f>SUM(ORÇAMENTO!N426)</f>
        <v>0</v>
      </c>
      <c r="W426" s="315">
        <f t="shared" si="123"/>
        <v>0</v>
      </c>
    </row>
    <row r="427" spans="1:23" ht="15" hidden="1" customHeight="1">
      <c r="A427" s="63" t="s">
        <v>147</v>
      </c>
      <c r="B427" s="870" t="s">
        <v>147</v>
      </c>
      <c r="C427" s="871"/>
      <c r="D427" s="931" t="s">
        <v>229</v>
      </c>
      <c r="E427" s="882">
        <f>DMT!$F$42</f>
        <v>290</v>
      </c>
      <c r="F427" s="883">
        <v>0.1002</v>
      </c>
      <c r="G427" s="923">
        <f t="shared" ref="G427:G429" si="142">IF(E427&lt;=30,(1.07*E427+2.68)*F427,((1.07*30+2.68)+1.07*(E427-30))*F427)</f>
        <v>31.360596000000001</v>
      </c>
      <c r="H427" s="876">
        <v>0</v>
      </c>
      <c r="I427" s="876"/>
      <c r="J427" s="877">
        <v>0</v>
      </c>
      <c r="K427" s="878" t="s">
        <v>506</v>
      </c>
      <c r="L427" s="977">
        <f>ROUND(SUM(ORÇAMENTO!L427),2)</f>
        <v>0</v>
      </c>
      <c r="M427" s="934">
        <f t="shared" si="91"/>
        <v>0</v>
      </c>
      <c r="N427" s="868">
        <f t="shared" si="92"/>
        <v>0</v>
      </c>
      <c r="O427" s="880"/>
      <c r="P427" s="58" t="str">
        <f>IF(N426&gt;0,"xx",IF(N426&gt;0,"xy",""))</f>
        <v/>
      </c>
      <c r="Q427" s="317" t="str">
        <f t="shared" si="93"/>
        <v/>
      </c>
      <c r="R427" s="317" t="str">
        <f t="shared" si="94"/>
        <v/>
      </c>
      <c r="S427" s="317" t="str">
        <f t="shared" si="95"/>
        <v/>
      </c>
      <c r="V427" s="314">
        <f>SUM(ORÇAMENTO!N427)</f>
        <v>0</v>
      </c>
      <c r="W427" s="315">
        <f t="shared" si="123"/>
        <v>0</v>
      </c>
    </row>
    <row r="428" spans="1:23" ht="15" hidden="1" customHeight="1">
      <c r="A428" s="63" t="s">
        <v>147</v>
      </c>
      <c r="B428" s="870" t="s">
        <v>147</v>
      </c>
      <c r="C428" s="871"/>
      <c r="D428" s="931" t="s">
        <v>230</v>
      </c>
      <c r="E428" s="882">
        <f>DMT!$D$46</f>
        <v>445</v>
      </c>
      <c r="F428" s="883">
        <v>1.5100000000000001E-2</v>
      </c>
      <c r="G428" s="884">
        <f>IF(E428&lt;=30,(0.78*E428+7.82)*F428,((0.78*30+7.82)+0.78*(E428-30))*F428)</f>
        <v>5.3592920000000008</v>
      </c>
      <c r="H428" s="876">
        <v>0</v>
      </c>
      <c r="I428" s="876"/>
      <c r="J428" s="877">
        <v>0</v>
      </c>
      <c r="K428" s="878" t="s">
        <v>506</v>
      </c>
      <c r="L428" s="977">
        <f>ROUND(SUM(ORÇAMENTO!L428),2)</f>
        <v>0</v>
      </c>
      <c r="M428" s="934">
        <f t="shared" ref="M428:M527" si="143">IF(L428=0,0,ROUND(J428,2))</f>
        <v>0</v>
      </c>
      <c r="N428" s="868">
        <f t="shared" ref="N428:N527" si="144">IF(ISBLANK(L428),0,ROUND(L428*M428,2))</f>
        <v>0</v>
      </c>
      <c r="O428" s="880"/>
      <c r="P428" s="58" t="str">
        <f>IF(N426&gt;0,"xx",IF(N426&gt;0,"xy",""))</f>
        <v/>
      </c>
      <c r="Q428" s="317" t="str">
        <f t="shared" ref="Q428:Q527" si="145">IF(P428="X","x",IF(P428="xx","x",IF(P428="xy","x",IF(P428="y","x",IF(OR(N428&gt;0,N428&gt;0),"x","")))))</f>
        <v/>
      </c>
      <c r="R428" s="317" t="str">
        <f t="shared" ref="R428:R527" si="146">IF(P428="X","x",IF(P428="y","x",IF(P428="xx","x",IF(N428&gt;0,"x",""))))</f>
        <v/>
      </c>
      <c r="S428" s="317" t="str">
        <f t="shared" ref="S428:S527" si="147">IF(P428="X","x",IF(N428&gt;0,"x",""))</f>
        <v/>
      </c>
      <c r="V428" s="314">
        <f>SUM(ORÇAMENTO!N428)</f>
        <v>0</v>
      </c>
      <c r="W428" s="315">
        <f t="shared" si="123"/>
        <v>0</v>
      </c>
    </row>
    <row r="429" spans="1:23" ht="15" hidden="1" customHeight="1">
      <c r="A429" s="63" t="s">
        <v>147</v>
      </c>
      <c r="B429" s="870" t="s">
        <v>147</v>
      </c>
      <c r="C429" s="871"/>
      <c r="D429" s="931" t="s">
        <v>243</v>
      </c>
      <c r="E429" s="882">
        <f>DMT!$F$43</f>
        <v>0.2</v>
      </c>
      <c r="F429" s="883">
        <v>0.82969999999999999</v>
      </c>
      <c r="G429" s="923">
        <f t="shared" si="142"/>
        <v>2.4011518000000001</v>
      </c>
      <c r="H429" s="876">
        <v>0</v>
      </c>
      <c r="I429" s="876"/>
      <c r="J429" s="877">
        <v>0</v>
      </c>
      <c r="K429" s="878" t="s">
        <v>506</v>
      </c>
      <c r="L429" s="977">
        <f>ROUND(SUM(ORÇAMENTO!L429),2)</f>
        <v>0</v>
      </c>
      <c r="M429" s="934">
        <f t="shared" si="143"/>
        <v>0</v>
      </c>
      <c r="N429" s="868">
        <f t="shared" si="144"/>
        <v>0</v>
      </c>
      <c r="O429" s="880"/>
      <c r="P429" s="58" t="str">
        <f>IF(N426&gt;0,"xx",IF(N426&gt;0,"xy",""))</f>
        <v/>
      </c>
      <c r="Q429" s="317" t="str">
        <f t="shared" si="145"/>
        <v/>
      </c>
      <c r="R429" s="317" t="str">
        <f t="shared" si="146"/>
        <v/>
      </c>
      <c r="S429" s="317" t="str">
        <f t="shared" si="147"/>
        <v/>
      </c>
      <c r="V429" s="314">
        <f>SUM(ORÇAMENTO!N429)</f>
        <v>0</v>
      </c>
      <c r="W429" s="315">
        <f t="shared" si="123"/>
        <v>0</v>
      </c>
    </row>
    <row r="430" spans="1:23" ht="15" hidden="1" customHeight="1">
      <c r="A430" s="63" t="s">
        <v>147</v>
      </c>
      <c r="B430" s="870" t="s">
        <v>147</v>
      </c>
      <c r="C430" s="871"/>
      <c r="D430" s="931" t="s">
        <v>244</v>
      </c>
      <c r="E430" s="882">
        <f>DMT!$F$28</f>
        <v>43.1</v>
      </c>
      <c r="F430" s="883">
        <f>SUM(F426:F429)</f>
        <v>1</v>
      </c>
      <c r="G430" s="887">
        <f>IF(E430&lt;=30,(1.07*E430+6.45)*F430,((1.07*30+6.45)+1.07*(E430-30))*F430)</f>
        <v>52.567000000000007</v>
      </c>
      <c r="H430" s="876">
        <v>0</v>
      </c>
      <c r="I430" s="876"/>
      <c r="J430" s="877">
        <v>0</v>
      </c>
      <c r="K430" s="878" t="s">
        <v>506</v>
      </c>
      <c r="L430" s="977">
        <f>ROUND(SUM(ORÇAMENTO!L430),2)</f>
        <v>0</v>
      </c>
      <c r="M430" s="934">
        <f t="shared" si="143"/>
        <v>0</v>
      </c>
      <c r="N430" s="868">
        <f t="shared" si="144"/>
        <v>0</v>
      </c>
      <c r="O430" s="880"/>
      <c r="P430" s="58" t="str">
        <f>IF(N426&gt;0,"xx",IF(N426&gt;0,"xy",""))</f>
        <v/>
      </c>
      <c r="Q430" s="317" t="str">
        <f t="shared" si="145"/>
        <v/>
      </c>
      <c r="R430" s="317" t="str">
        <f t="shared" si="146"/>
        <v/>
      </c>
      <c r="S430" s="317" t="str">
        <f t="shared" si="147"/>
        <v/>
      </c>
      <c r="V430" s="314">
        <f>SUM(ORÇAMENTO!N430)</f>
        <v>0</v>
      </c>
      <c r="W430" s="315">
        <f t="shared" si="123"/>
        <v>0</v>
      </c>
    </row>
    <row r="431" spans="1:23" ht="15" hidden="1" customHeight="1" thickBot="1">
      <c r="A431" s="63">
        <v>589000</v>
      </c>
      <c r="B431" s="969" t="s">
        <v>701</v>
      </c>
      <c r="C431" s="970" t="s">
        <v>213</v>
      </c>
      <c r="D431" s="988" t="s">
        <v>2149</v>
      </c>
      <c r="E431" s="1284">
        <f>DMT!$D$45</f>
        <v>468</v>
      </c>
      <c r="F431" s="971">
        <v>1</v>
      </c>
      <c r="G431" s="1282">
        <f>(0.94*E431+46.06)*F431</f>
        <v>485.97999999999996</v>
      </c>
      <c r="H431" s="914">
        <v>4828.8599999999997</v>
      </c>
      <c r="I431" s="914">
        <f>IF(ISBLANK(H431),"",H431*(1+$E$9)/(1+$E$10))+G431</f>
        <v>5163.1232400589097</v>
      </c>
      <c r="J431" s="943">
        <f t="shared" si="100"/>
        <v>6310.37</v>
      </c>
      <c r="K431" s="944" t="s">
        <v>14</v>
      </c>
      <c r="L431" s="1283">
        <f>ROUND(SUM(ORÇAMENTO!L431),2)</f>
        <v>0</v>
      </c>
      <c r="M431" s="1280">
        <f t="shared" si="143"/>
        <v>0</v>
      </c>
      <c r="N431" s="916">
        <f t="shared" si="144"/>
        <v>0</v>
      </c>
      <c r="O431" s="880"/>
      <c r="P431" s="58" t="str">
        <f>IF(N426&gt;0,"xx",IF(N426&gt;0,"xy",""))</f>
        <v/>
      </c>
      <c r="Q431" s="317" t="str">
        <f t="shared" si="145"/>
        <v/>
      </c>
      <c r="R431" s="317" t="str">
        <f t="shared" si="146"/>
        <v/>
      </c>
      <c r="S431" s="317" t="str">
        <f t="shared" si="147"/>
        <v/>
      </c>
      <c r="V431" s="314">
        <f>SUM(ORÇAMENTO!N431)</f>
        <v>0</v>
      </c>
      <c r="W431" s="315">
        <f t="shared" si="123"/>
        <v>0</v>
      </c>
    </row>
    <row r="432" spans="1:23" ht="15" customHeight="1">
      <c r="A432" s="63">
        <v>570000</v>
      </c>
      <c r="B432" s="973" t="s">
        <v>1638</v>
      </c>
      <c r="C432" s="974" t="s">
        <v>184</v>
      </c>
      <c r="D432" s="947" t="s">
        <v>2192</v>
      </c>
      <c r="E432" s="948" t="s">
        <v>563</v>
      </c>
      <c r="F432" s="997">
        <v>5.7000000000000002E-2</v>
      </c>
      <c r="G432" s="950">
        <f>SUM(G433:G436)</f>
        <v>91.526532000000003</v>
      </c>
      <c r="H432" s="951">
        <v>187.41</v>
      </c>
      <c r="I432" s="951">
        <f>IF(ISBLANK(H432),"",SUM(G432:H432))</f>
        <v>278.936532</v>
      </c>
      <c r="J432" s="952">
        <f t="shared" si="100"/>
        <v>340.92</v>
      </c>
      <c r="K432" s="953" t="s">
        <v>14</v>
      </c>
      <c r="L432" s="954">
        <v>9620</v>
      </c>
      <c r="M432" s="955">
        <f t="shared" si="143"/>
        <v>340.92</v>
      </c>
      <c r="N432" s="956">
        <f t="shared" si="144"/>
        <v>3279650.4</v>
      </c>
      <c r="O432" s="869"/>
      <c r="Q432" s="317" t="str">
        <f t="shared" si="145"/>
        <v>x</v>
      </c>
      <c r="R432" s="317" t="str">
        <f t="shared" si="146"/>
        <v>x</v>
      </c>
      <c r="S432" s="317" t="str">
        <f t="shared" si="147"/>
        <v>x</v>
      </c>
      <c r="V432" s="314">
        <f>SUM(ORÇAMENTO!N432)</f>
        <v>3279650.4</v>
      </c>
      <c r="W432" s="315">
        <f t="shared" si="123"/>
        <v>0</v>
      </c>
    </row>
    <row r="433" spans="1:23" ht="15" customHeight="1">
      <c r="A433" s="63" t="s">
        <v>147</v>
      </c>
      <c r="B433" s="870" t="s">
        <v>147</v>
      </c>
      <c r="C433" s="871"/>
      <c r="D433" s="931" t="s">
        <v>229</v>
      </c>
      <c r="E433" s="882">
        <v>290</v>
      </c>
      <c r="F433" s="883">
        <v>0.1</v>
      </c>
      <c r="G433" s="923">
        <f t="shared" ref="G433:G435" si="148">IF(E433&lt;=30,(1.07*E433+2.68)*F433,((1.07*30+2.68)+1.07*(E433-30))*F433)</f>
        <v>31.298000000000002</v>
      </c>
      <c r="H433" s="876">
        <v>0</v>
      </c>
      <c r="I433" s="876"/>
      <c r="J433" s="877">
        <v>0</v>
      </c>
      <c r="K433" s="878" t="s">
        <v>506</v>
      </c>
      <c r="L433" s="977">
        <f>ROUND(SUM(ORÇAMENTO!L433),2)</f>
        <v>0</v>
      </c>
      <c r="M433" s="934">
        <f t="shared" si="143"/>
        <v>0</v>
      </c>
      <c r="N433" s="868">
        <f t="shared" si="144"/>
        <v>0</v>
      </c>
      <c r="O433" s="880"/>
      <c r="P433" s="58" t="str">
        <f>IF(N432&gt;0,"xx",IF(N432&gt;0,"xy",""))</f>
        <v>xx</v>
      </c>
      <c r="Q433" s="317" t="str">
        <f t="shared" si="145"/>
        <v>x</v>
      </c>
      <c r="R433" s="317" t="str">
        <f t="shared" si="146"/>
        <v>x</v>
      </c>
      <c r="S433" s="317" t="str">
        <f t="shared" si="147"/>
        <v/>
      </c>
      <c r="V433" s="314">
        <f>SUM(ORÇAMENTO!N433)</f>
        <v>0</v>
      </c>
      <c r="W433" s="315">
        <f t="shared" si="123"/>
        <v>0</v>
      </c>
    </row>
    <row r="434" spans="1:23" ht="15" customHeight="1">
      <c r="A434" s="63" t="s">
        <v>147</v>
      </c>
      <c r="B434" s="870" t="s">
        <v>147</v>
      </c>
      <c r="C434" s="871"/>
      <c r="D434" s="931" t="s">
        <v>230</v>
      </c>
      <c r="E434" s="882">
        <v>440</v>
      </c>
      <c r="F434" s="883">
        <v>1.4999999999999999E-2</v>
      </c>
      <c r="G434" s="884">
        <f>IF(E434&lt;=30,(0.78*E434+7.82)*F434,((0.78*30+7.82)+0.78*(E434-30))*F434)</f>
        <v>5.2653000000000008</v>
      </c>
      <c r="H434" s="876">
        <v>0</v>
      </c>
      <c r="I434" s="876"/>
      <c r="J434" s="877">
        <v>0</v>
      </c>
      <c r="K434" s="878" t="s">
        <v>506</v>
      </c>
      <c r="L434" s="977">
        <f>ROUND(SUM(ORÇAMENTO!L434),2)</f>
        <v>0</v>
      </c>
      <c r="M434" s="934">
        <f t="shared" si="143"/>
        <v>0</v>
      </c>
      <c r="N434" s="868">
        <f t="shared" si="144"/>
        <v>0</v>
      </c>
      <c r="O434" s="880"/>
      <c r="P434" s="58" t="str">
        <f>IF(N432&gt;0,"xx",IF(N432&gt;0,"xy",""))</f>
        <v>xx</v>
      </c>
      <c r="Q434" s="317" t="str">
        <f t="shared" si="145"/>
        <v>x</v>
      </c>
      <c r="R434" s="317" t="str">
        <f t="shared" si="146"/>
        <v>x</v>
      </c>
      <c r="S434" s="317" t="str">
        <f t="shared" si="147"/>
        <v/>
      </c>
      <c r="V434" s="314">
        <f>SUM(ORÇAMENTO!N434)</f>
        <v>0</v>
      </c>
      <c r="W434" s="315">
        <f t="shared" si="123"/>
        <v>0</v>
      </c>
    </row>
    <row r="435" spans="1:23" ht="15" customHeight="1">
      <c r="A435" s="63" t="s">
        <v>147</v>
      </c>
      <c r="B435" s="870" t="s">
        <v>147</v>
      </c>
      <c r="C435" s="871"/>
      <c r="D435" s="931" t="s">
        <v>243</v>
      </c>
      <c r="E435" s="882">
        <f>DMT!$F$43</f>
        <v>0.2</v>
      </c>
      <c r="F435" s="883">
        <v>0.82799999999999996</v>
      </c>
      <c r="G435" s="923">
        <f t="shared" si="148"/>
        <v>2.3962319999999999</v>
      </c>
      <c r="H435" s="876">
        <v>0</v>
      </c>
      <c r="I435" s="876"/>
      <c r="J435" s="877">
        <v>0</v>
      </c>
      <c r="K435" s="878" t="s">
        <v>506</v>
      </c>
      <c r="L435" s="977">
        <f>ROUND(SUM(ORÇAMENTO!L435),2)</f>
        <v>0</v>
      </c>
      <c r="M435" s="934">
        <f t="shared" si="143"/>
        <v>0</v>
      </c>
      <c r="N435" s="868">
        <f t="shared" si="144"/>
        <v>0</v>
      </c>
      <c r="O435" s="880"/>
      <c r="P435" s="58" t="str">
        <f>IF(N432&gt;0,"xx",IF(N432&gt;0,"xy",""))</f>
        <v>xx</v>
      </c>
      <c r="Q435" s="317" t="str">
        <f t="shared" si="145"/>
        <v>x</v>
      </c>
      <c r="R435" s="317" t="str">
        <f t="shared" si="146"/>
        <v>x</v>
      </c>
      <c r="S435" s="317" t="str">
        <f t="shared" si="147"/>
        <v/>
      </c>
      <c r="V435" s="314">
        <f>SUM(ORÇAMENTO!N435)</f>
        <v>0</v>
      </c>
      <c r="W435" s="315">
        <f t="shared" si="123"/>
        <v>0</v>
      </c>
    </row>
    <row r="436" spans="1:23" ht="15" customHeight="1">
      <c r="A436" s="63" t="s">
        <v>147</v>
      </c>
      <c r="B436" s="870" t="s">
        <v>147</v>
      </c>
      <c r="C436" s="871"/>
      <c r="D436" s="931" t="s">
        <v>244</v>
      </c>
      <c r="E436" s="882">
        <v>43.1</v>
      </c>
      <c r="F436" s="883">
        <f>SUM(F432:F435)</f>
        <v>1</v>
      </c>
      <c r="G436" s="887">
        <f>IF(E436&lt;=30,(1.07*E436+6.45)*F436,((1.07*30+6.45)+1.07*(E436-30))*F436)</f>
        <v>52.567000000000007</v>
      </c>
      <c r="H436" s="876">
        <v>0</v>
      </c>
      <c r="I436" s="876"/>
      <c r="J436" s="877">
        <v>0</v>
      </c>
      <c r="K436" s="878" t="s">
        <v>506</v>
      </c>
      <c r="L436" s="977">
        <f>ROUND(SUM(ORÇAMENTO!L436),2)</f>
        <v>0</v>
      </c>
      <c r="M436" s="934">
        <f t="shared" si="143"/>
        <v>0</v>
      </c>
      <c r="N436" s="868">
        <f t="shared" si="144"/>
        <v>0</v>
      </c>
      <c r="O436" s="880"/>
      <c r="P436" s="58" t="str">
        <f>IF(N432&gt;0,"xx",IF(N432&gt;0,"xy",""))</f>
        <v>xx</v>
      </c>
      <c r="Q436" s="317" t="str">
        <f t="shared" si="145"/>
        <v>x</v>
      </c>
      <c r="R436" s="317" t="str">
        <f t="shared" si="146"/>
        <v>x</v>
      </c>
      <c r="S436" s="317" t="str">
        <f t="shared" si="147"/>
        <v/>
      </c>
      <c r="V436" s="314">
        <f>SUM(ORÇAMENTO!N436)</f>
        <v>0</v>
      </c>
      <c r="W436" s="315">
        <f t="shared" si="123"/>
        <v>0</v>
      </c>
    </row>
    <row r="437" spans="1:23" ht="15" customHeight="1" thickBot="1">
      <c r="A437" s="63">
        <v>589000</v>
      </c>
      <c r="B437" s="978" t="s">
        <v>702</v>
      </c>
      <c r="C437" s="958" t="s">
        <v>213</v>
      </c>
      <c r="D437" s="986" t="s">
        <v>2149</v>
      </c>
      <c r="E437" s="994">
        <f>DMT!$D$45</f>
        <v>468</v>
      </c>
      <c r="F437" s="980">
        <v>1</v>
      </c>
      <c r="G437" s="1382">
        <f>(0.94*E437+46.06)*F437</f>
        <v>485.97999999999996</v>
      </c>
      <c r="H437" s="962">
        <v>4828.8599999999997</v>
      </c>
      <c r="I437" s="962">
        <f>IF(ISBLANK(H437),"",H437*(1+$E$9)/(1+$E$10))+G437</f>
        <v>5163.1232400589097</v>
      </c>
      <c r="J437" s="963">
        <f>IF(ISBLANK(H437),0,ROUND(I437*(1+$E$10),2))</f>
        <v>6310.37</v>
      </c>
      <c r="K437" s="964" t="s">
        <v>14</v>
      </c>
      <c r="L437" s="965">
        <f>ROUND(L432*F432,2)</f>
        <v>548.34</v>
      </c>
      <c r="M437" s="987">
        <f t="shared" si="143"/>
        <v>6310.37</v>
      </c>
      <c r="N437" s="967">
        <f t="shared" si="144"/>
        <v>3460228.29</v>
      </c>
      <c r="O437" s="1372"/>
      <c r="P437" s="58" t="str">
        <f>IF(N432&gt;0,"xx",IF(N432&gt;0,"xy",""))</f>
        <v>xx</v>
      </c>
      <c r="Q437" s="317" t="str">
        <f t="shared" si="145"/>
        <v>x</v>
      </c>
      <c r="R437" s="317" t="str">
        <f t="shared" si="146"/>
        <v>x</v>
      </c>
      <c r="S437" s="317" t="str">
        <f t="shared" si="147"/>
        <v>x</v>
      </c>
      <c r="V437" s="314">
        <f>SUM(ORÇAMENTO!N437)</f>
        <v>3460228.29</v>
      </c>
      <c r="W437" s="315">
        <f t="shared" si="123"/>
        <v>0</v>
      </c>
    </row>
    <row r="438" spans="1:23" hidden="1">
      <c r="A438" s="63">
        <v>570000</v>
      </c>
      <c r="B438" s="858" t="s">
        <v>1638</v>
      </c>
      <c r="C438" s="859" t="s">
        <v>184</v>
      </c>
      <c r="D438" s="1326" t="str">
        <f>CONCATENATE("CBUQ - Novos traços - ",Novos_Traços_CBUQ!C8," - (Quant. menor que 10.000 ton)")</f>
        <v>CBUQ - Novos traços - TRAÇO 4 - FAIXA "C" - (Quant. menor que 10.000 ton)</v>
      </c>
      <c r="E438" s="1005" t="s">
        <v>563</v>
      </c>
      <c r="F438" s="1327">
        <f>Novos_Traços_CBUQ!F34</f>
        <v>5.1999999999999998E-2</v>
      </c>
      <c r="G438" s="923">
        <f>SUM(G439:G442)</f>
        <v>89.992899400000013</v>
      </c>
      <c r="H438" s="864">
        <v>187.41</v>
      </c>
      <c r="I438" s="864">
        <f>IF(ISBLANK(H438),"",SUM(G438:H438))</f>
        <v>277.40289940000002</v>
      </c>
      <c r="J438" s="865">
        <f t="shared" ref="J438" si="149">IF(ISBLANK(H438),0,ROUND(I438*(1+$E$10),2))</f>
        <v>339.04</v>
      </c>
      <c r="K438" s="866" t="s">
        <v>14</v>
      </c>
      <c r="L438" s="1006">
        <f>ROUND(SUM(ORÇAMENTO!L438),2)</f>
        <v>0</v>
      </c>
      <c r="M438" s="879">
        <f t="shared" ref="M438:M443" si="150">IF(L438=0,0,ROUND(J438,2))</f>
        <v>0</v>
      </c>
      <c r="N438" s="907">
        <f t="shared" ref="N438:N443" si="151">IF(ISBLANK(L438),0,ROUND(L438*M438,2))</f>
        <v>0</v>
      </c>
      <c r="O438" s="880"/>
      <c r="Q438" s="317" t="str">
        <f t="shared" ref="Q438:Q443" si="152">IF(P438="X","x",IF(P438="xx","x",IF(P438="xy","x",IF(P438="y","x",IF(OR(N438&gt;0,N438&gt;0),"x","")))))</f>
        <v/>
      </c>
      <c r="R438" s="317" t="str">
        <f t="shared" ref="R438:R443" si="153">IF(P438="X","x",IF(P438="y","x",IF(P438="xx","x",IF(N438&gt;0,"x",""))))</f>
        <v/>
      </c>
      <c r="S438" s="317" t="str">
        <f t="shared" ref="S438:S443" si="154">IF(P438="X","x",IF(N438&gt;0,"x",""))</f>
        <v/>
      </c>
      <c r="V438" s="314">
        <f>SUM(ORÇAMENTO!N438)</f>
        <v>0</v>
      </c>
      <c r="W438" s="315">
        <f t="shared" si="123"/>
        <v>0</v>
      </c>
    </row>
    <row r="439" spans="1:23" ht="15" hidden="1" customHeight="1">
      <c r="A439" s="63" t="s">
        <v>147</v>
      </c>
      <c r="B439" s="870" t="s">
        <v>147</v>
      </c>
      <c r="C439" s="871"/>
      <c r="D439" s="931" t="s">
        <v>229</v>
      </c>
      <c r="E439" s="882">
        <f>DMT!$F$42</f>
        <v>290</v>
      </c>
      <c r="F439" s="1242">
        <f>Novos_Traços_CBUQ!F32</f>
        <v>9.5500000000000002E-2</v>
      </c>
      <c r="G439" s="923">
        <f t="shared" ref="G439" si="155">IF(E439&lt;=30,(1.07*E439+2.68)*F439,((1.07*30+2.68)+1.07*(E439-30))*F439)</f>
        <v>29.889590000000002</v>
      </c>
      <c r="H439" s="876">
        <v>0</v>
      </c>
      <c r="I439" s="876"/>
      <c r="J439" s="877">
        <v>0</v>
      </c>
      <c r="K439" s="878" t="s">
        <v>506</v>
      </c>
      <c r="L439" s="977">
        <f>ROUND(SUM(ORÇAMENTO!L439),2)</f>
        <v>0</v>
      </c>
      <c r="M439" s="934">
        <f t="shared" si="150"/>
        <v>0</v>
      </c>
      <c r="N439" s="868">
        <f t="shared" si="151"/>
        <v>0</v>
      </c>
      <c r="O439" s="880"/>
      <c r="P439" s="58" t="str">
        <f>IF(N438&gt;0,"xx",IF(N438&gt;0,"xy",""))</f>
        <v/>
      </c>
      <c r="Q439" s="317" t="str">
        <f t="shared" si="152"/>
        <v/>
      </c>
      <c r="R439" s="317" t="str">
        <f t="shared" si="153"/>
        <v/>
      </c>
      <c r="S439" s="317" t="str">
        <f t="shared" si="154"/>
        <v/>
      </c>
      <c r="V439" s="314">
        <f>SUM(ORÇAMENTO!N439)</f>
        <v>0</v>
      </c>
      <c r="W439" s="315">
        <f t="shared" si="123"/>
        <v>0</v>
      </c>
    </row>
    <row r="440" spans="1:23" ht="15" hidden="1" customHeight="1">
      <c r="A440" s="63" t="s">
        <v>147</v>
      </c>
      <c r="B440" s="870" t="s">
        <v>147</v>
      </c>
      <c r="C440" s="871"/>
      <c r="D440" s="931" t="s">
        <v>230</v>
      </c>
      <c r="E440" s="882">
        <f>DMT!$D$46</f>
        <v>445</v>
      </c>
      <c r="F440" s="1242">
        <f>Novos_Traços_CBUQ!F33</f>
        <v>1.44E-2</v>
      </c>
      <c r="G440" s="884">
        <f>IF(E440&lt;=30,(0.78*E440+7.82)*F440,((0.78*30+7.82)+0.78*(E440-30))*F440)</f>
        <v>5.1108479999999998</v>
      </c>
      <c r="H440" s="876">
        <v>0</v>
      </c>
      <c r="I440" s="876"/>
      <c r="J440" s="877">
        <v>0</v>
      </c>
      <c r="K440" s="878" t="s">
        <v>506</v>
      </c>
      <c r="L440" s="977">
        <f>ROUND(SUM(ORÇAMENTO!L440),2)</f>
        <v>0</v>
      </c>
      <c r="M440" s="934">
        <f t="shared" si="150"/>
        <v>0</v>
      </c>
      <c r="N440" s="868">
        <f t="shared" si="151"/>
        <v>0</v>
      </c>
      <c r="O440" s="880"/>
      <c r="P440" s="58" t="str">
        <f>IF(N438&gt;0,"xx",IF(N438&gt;0,"xy",""))</f>
        <v/>
      </c>
      <c r="Q440" s="317" t="str">
        <f t="shared" si="152"/>
        <v/>
      </c>
      <c r="R440" s="317" t="str">
        <f t="shared" si="153"/>
        <v/>
      </c>
      <c r="S440" s="317" t="str">
        <f t="shared" si="154"/>
        <v/>
      </c>
      <c r="V440" s="314">
        <f>SUM(ORÇAMENTO!N440)</f>
        <v>0</v>
      </c>
      <c r="W440" s="315">
        <f t="shared" si="123"/>
        <v>0</v>
      </c>
    </row>
    <row r="441" spans="1:23" ht="15" hidden="1" customHeight="1">
      <c r="A441" s="63" t="s">
        <v>147</v>
      </c>
      <c r="B441" s="870" t="s">
        <v>147</v>
      </c>
      <c r="C441" s="871"/>
      <c r="D441" s="931" t="s">
        <v>243</v>
      </c>
      <c r="E441" s="882">
        <f>DMT!$F$43</f>
        <v>0.2</v>
      </c>
      <c r="F441" s="1242">
        <f>Novos_Traços_CBUQ!F30</f>
        <v>0.83809999999999996</v>
      </c>
      <c r="G441" s="923">
        <f t="shared" ref="G441" si="156">IF(E441&lt;=30,(1.07*E441+2.68)*F441,((1.07*30+2.68)+1.07*(E441-30))*F441)</f>
        <v>2.4254614000000001</v>
      </c>
      <c r="H441" s="876">
        <v>0</v>
      </c>
      <c r="I441" s="876"/>
      <c r="J441" s="877">
        <v>0</v>
      </c>
      <c r="K441" s="878" t="s">
        <v>506</v>
      </c>
      <c r="L441" s="977">
        <f>ROUND(SUM(ORÇAMENTO!L441),2)</f>
        <v>0</v>
      </c>
      <c r="M441" s="934">
        <f t="shared" si="150"/>
        <v>0</v>
      </c>
      <c r="N441" s="868">
        <f t="shared" si="151"/>
        <v>0</v>
      </c>
      <c r="O441" s="880"/>
      <c r="P441" s="58" t="str">
        <f>IF(N438&gt;0,"xx",IF(N438&gt;0,"xy",""))</f>
        <v/>
      </c>
      <c r="Q441" s="317" t="str">
        <f t="shared" si="152"/>
        <v/>
      </c>
      <c r="R441" s="317" t="str">
        <f t="shared" si="153"/>
        <v/>
      </c>
      <c r="S441" s="317" t="str">
        <f t="shared" si="154"/>
        <v/>
      </c>
      <c r="V441" s="314">
        <f>SUM(ORÇAMENTO!N441)</f>
        <v>0</v>
      </c>
      <c r="W441" s="315">
        <f t="shared" si="123"/>
        <v>0</v>
      </c>
    </row>
    <row r="442" spans="1:23" ht="15" hidden="1" customHeight="1">
      <c r="A442" s="63" t="s">
        <v>147</v>
      </c>
      <c r="B442" s="870" t="s">
        <v>147</v>
      </c>
      <c r="C442" s="871"/>
      <c r="D442" s="931" t="s">
        <v>244</v>
      </c>
      <c r="E442" s="882">
        <f>DMT!$F$28</f>
        <v>43.1</v>
      </c>
      <c r="F442" s="883">
        <f>SUM(F438:F441)</f>
        <v>1</v>
      </c>
      <c r="G442" s="887">
        <f>IF(E442&lt;=30,(1.07*E442+6.45)*F442,((1.07*30+6.45)+1.07*(E442-30))*F442)</f>
        <v>52.567000000000007</v>
      </c>
      <c r="H442" s="876">
        <v>0</v>
      </c>
      <c r="I442" s="876"/>
      <c r="J442" s="877">
        <v>0</v>
      </c>
      <c r="K442" s="878" t="s">
        <v>506</v>
      </c>
      <c r="L442" s="977">
        <f>ROUND(SUM(ORÇAMENTO!L442),2)</f>
        <v>0</v>
      </c>
      <c r="M442" s="934">
        <f t="shared" si="150"/>
        <v>0</v>
      </c>
      <c r="N442" s="868">
        <f t="shared" si="151"/>
        <v>0</v>
      </c>
      <c r="O442" s="880"/>
      <c r="P442" s="58" t="str">
        <f>IF(N438&gt;0,"xx",IF(N438&gt;0,"xy",""))</f>
        <v/>
      </c>
      <c r="Q442" s="317" t="str">
        <f t="shared" si="152"/>
        <v/>
      </c>
      <c r="R442" s="317" t="str">
        <f t="shared" si="153"/>
        <v/>
      </c>
      <c r="S442" s="317" t="str">
        <f t="shared" si="154"/>
        <v/>
      </c>
      <c r="V442" s="314">
        <f>SUM(ORÇAMENTO!N442)</f>
        <v>0</v>
      </c>
      <c r="W442" s="315">
        <f t="shared" si="123"/>
        <v>0</v>
      </c>
    </row>
    <row r="443" spans="1:23" ht="15" hidden="1" customHeight="1" thickBot="1">
      <c r="A443" s="63">
        <v>589000</v>
      </c>
      <c r="B443" s="978" t="s">
        <v>702</v>
      </c>
      <c r="C443" s="958" t="s">
        <v>213</v>
      </c>
      <c r="D443" s="986" t="s">
        <v>2149</v>
      </c>
      <c r="E443" s="994">
        <f>DMT!$D$45</f>
        <v>468</v>
      </c>
      <c r="F443" s="980">
        <v>1</v>
      </c>
      <c r="G443" s="923">
        <f>(0.94*E443+46.06)*F443</f>
        <v>485.97999999999996</v>
      </c>
      <c r="H443" s="962">
        <v>4828.8599999999997</v>
      </c>
      <c r="I443" s="962">
        <f>IF(ISBLANK(H443),"",H443*(1+$E$9)/(1+$E$10))+G443</f>
        <v>5163.1232400589097</v>
      </c>
      <c r="J443" s="963">
        <f t="shared" ref="J443:J444" si="157">IF(ISBLANK(H443),0,ROUND(I443*(1+$E$10),2))</f>
        <v>6310.37</v>
      </c>
      <c r="K443" s="964" t="s">
        <v>14</v>
      </c>
      <c r="L443" s="965">
        <f>ROUND(SUM(ORÇAMENTO!L443),2)</f>
        <v>0</v>
      </c>
      <c r="M443" s="987">
        <f t="shared" si="150"/>
        <v>0</v>
      </c>
      <c r="N443" s="967">
        <f t="shared" si="151"/>
        <v>0</v>
      </c>
      <c r="O443" s="880"/>
      <c r="P443" s="58" t="str">
        <f>IF(N438&gt;0,"xx",IF(N438&gt;0,"xy",""))</f>
        <v/>
      </c>
      <c r="Q443" s="317" t="str">
        <f t="shared" si="152"/>
        <v/>
      </c>
      <c r="R443" s="317" t="str">
        <f t="shared" si="153"/>
        <v/>
      </c>
      <c r="S443" s="317" t="str">
        <f t="shared" si="154"/>
        <v/>
      </c>
      <c r="V443" s="314">
        <f>SUM(ORÇAMENTO!N443)</f>
        <v>0</v>
      </c>
      <c r="W443" s="315">
        <f t="shared" si="123"/>
        <v>0</v>
      </c>
    </row>
    <row r="444" spans="1:23" hidden="1">
      <c r="A444" s="63">
        <v>570000</v>
      </c>
      <c r="B444" s="973" t="s">
        <v>1638</v>
      </c>
      <c r="C444" s="974" t="s">
        <v>184</v>
      </c>
      <c r="D444" s="998" t="str">
        <f>CONCATENATE("CBUQ - Novos traços - ",Novos_Traços_CBUQ!J8," - (Quant. menor que 10.000 ton)")</f>
        <v>CBUQ - Novos traços - TRAÇO 5 - FAIXA "C" - (Quant. menor que 10.000 ton)</v>
      </c>
      <c r="E444" s="948" t="s">
        <v>563</v>
      </c>
      <c r="F444" s="999">
        <f>Novos_Traços_CBUQ!M34</f>
        <v>5.0999999999999997E-2</v>
      </c>
      <c r="G444" s="950">
        <f>SUM(G445:G448)</f>
        <v>90.026802000000004</v>
      </c>
      <c r="H444" s="951">
        <v>187.41</v>
      </c>
      <c r="I444" s="951">
        <f>IF(ISBLANK(H444),"",SUM(G444:H444))</f>
        <v>277.436802</v>
      </c>
      <c r="J444" s="952">
        <f t="shared" si="157"/>
        <v>339.08</v>
      </c>
      <c r="K444" s="953" t="s">
        <v>14</v>
      </c>
      <c r="L444" s="954">
        <f>ROUND(SUM(ORÇAMENTO!L444),2)</f>
        <v>0</v>
      </c>
      <c r="M444" s="955">
        <f t="shared" ref="M444:M455" si="158">IF(L444=0,0,ROUND(J444,2))</f>
        <v>0</v>
      </c>
      <c r="N444" s="956">
        <f t="shared" ref="N444:N455" si="159">IF(ISBLANK(L444),0,ROUND(L444*M444,2))</f>
        <v>0</v>
      </c>
      <c r="O444" s="880"/>
      <c r="Q444" s="317" t="str">
        <f t="shared" ref="Q444:Q455" si="160">IF(P444="X","x",IF(P444="xx","x",IF(P444="xy","x",IF(P444="y","x",IF(OR(N444&gt;0,N444&gt;0),"x","")))))</f>
        <v/>
      </c>
      <c r="R444" s="317" t="str">
        <f t="shared" ref="R444:R455" si="161">IF(P444="X","x",IF(P444="y","x",IF(P444="xx","x",IF(N444&gt;0,"x",""))))</f>
        <v/>
      </c>
      <c r="S444" s="317" t="str">
        <f t="shared" ref="S444:S455" si="162">IF(P444="X","x",IF(N444&gt;0,"x",""))</f>
        <v/>
      </c>
      <c r="V444" s="314">
        <f>SUM(ORÇAMENTO!N444)</f>
        <v>0</v>
      </c>
      <c r="W444" s="315">
        <f t="shared" si="123"/>
        <v>0</v>
      </c>
    </row>
    <row r="445" spans="1:23" ht="15" hidden="1" customHeight="1">
      <c r="A445" s="63" t="s">
        <v>147</v>
      </c>
      <c r="B445" s="870" t="s">
        <v>147</v>
      </c>
      <c r="C445" s="871"/>
      <c r="D445" s="931" t="s">
        <v>229</v>
      </c>
      <c r="E445" s="882">
        <f>DMT!$F$42</f>
        <v>290</v>
      </c>
      <c r="F445" s="1242">
        <f>Novos_Traços_CBUQ!M32</f>
        <v>9.5600000000000004E-2</v>
      </c>
      <c r="G445" s="923">
        <f t="shared" ref="G445" si="163">IF(E445&lt;=30,(1.07*E445+2.68)*F445,((1.07*30+2.68)+1.07*(E445-30))*F445)</f>
        <v>29.920888000000001</v>
      </c>
      <c r="H445" s="876">
        <v>0</v>
      </c>
      <c r="I445" s="876"/>
      <c r="J445" s="877">
        <v>0</v>
      </c>
      <c r="K445" s="878" t="s">
        <v>506</v>
      </c>
      <c r="L445" s="977">
        <f>ROUND(SUM(ORÇAMENTO!L445),2)</f>
        <v>0</v>
      </c>
      <c r="M445" s="934">
        <f t="shared" si="158"/>
        <v>0</v>
      </c>
      <c r="N445" s="868">
        <f t="shared" si="159"/>
        <v>0</v>
      </c>
      <c r="O445" s="880"/>
      <c r="P445" s="58" t="str">
        <f>IF(N444&gt;0,"xx",IF(N444&gt;0,"xy",""))</f>
        <v/>
      </c>
      <c r="Q445" s="317" t="str">
        <f t="shared" si="160"/>
        <v/>
      </c>
      <c r="R445" s="317" t="str">
        <f t="shared" si="161"/>
        <v/>
      </c>
      <c r="S445" s="317" t="str">
        <f t="shared" si="162"/>
        <v/>
      </c>
      <c r="V445" s="314">
        <f>SUM(ORÇAMENTO!N445)</f>
        <v>0</v>
      </c>
      <c r="W445" s="315">
        <f t="shared" si="123"/>
        <v>0</v>
      </c>
    </row>
    <row r="446" spans="1:23" ht="15" hidden="1" customHeight="1">
      <c r="A446" s="63" t="s">
        <v>147</v>
      </c>
      <c r="B446" s="870" t="s">
        <v>147</v>
      </c>
      <c r="C446" s="871"/>
      <c r="D446" s="931" t="s">
        <v>230</v>
      </c>
      <c r="E446" s="882">
        <f>DMT!$D$46</f>
        <v>445</v>
      </c>
      <c r="F446" s="1242">
        <f>Novos_Traços_CBUQ!M33</f>
        <v>1.44E-2</v>
      </c>
      <c r="G446" s="884">
        <f>IF(E446&lt;=30,(0.78*E446+7.82)*F446,((0.78*30+7.82)+0.78*(E446-30))*F446)</f>
        <v>5.1108479999999998</v>
      </c>
      <c r="H446" s="876">
        <v>0</v>
      </c>
      <c r="I446" s="876"/>
      <c r="J446" s="877">
        <v>0</v>
      </c>
      <c r="K446" s="878" t="s">
        <v>506</v>
      </c>
      <c r="L446" s="977">
        <f>ROUND(SUM(ORÇAMENTO!L446),2)</f>
        <v>0</v>
      </c>
      <c r="M446" s="934">
        <f t="shared" si="158"/>
        <v>0</v>
      </c>
      <c r="N446" s="868">
        <f t="shared" si="159"/>
        <v>0</v>
      </c>
      <c r="O446" s="880"/>
      <c r="P446" s="58" t="str">
        <f>IF(N444&gt;0,"xx",IF(N444&gt;0,"xy",""))</f>
        <v/>
      </c>
      <c r="Q446" s="317" t="str">
        <f t="shared" si="160"/>
        <v/>
      </c>
      <c r="R446" s="317" t="str">
        <f t="shared" si="161"/>
        <v/>
      </c>
      <c r="S446" s="317" t="str">
        <f t="shared" si="162"/>
        <v/>
      </c>
      <c r="V446" s="314">
        <f>SUM(ORÇAMENTO!N446)</f>
        <v>0</v>
      </c>
      <c r="W446" s="315">
        <f t="shared" si="123"/>
        <v>0</v>
      </c>
    </row>
    <row r="447" spans="1:23" ht="15" hidden="1" customHeight="1">
      <c r="A447" s="63" t="s">
        <v>147</v>
      </c>
      <c r="B447" s="870" t="s">
        <v>147</v>
      </c>
      <c r="C447" s="871"/>
      <c r="D447" s="931" t="s">
        <v>243</v>
      </c>
      <c r="E447" s="882">
        <f>DMT!$F$43</f>
        <v>0.2</v>
      </c>
      <c r="F447" s="1242">
        <f>Novos_Traços_CBUQ!M30</f>
        <v>0.83899999999999997</v>
      </c>
      <c r="G447" s="923">
        <f t="shared" ref="G447" si="164">IF(E447&lt;=30,(1.07*E447+2.68)*F447,((1.07*30+2.68)+1.07*(E447-30))*F447)</f>
        <v>2.4280659999999998</v>
      </c>
      <c r="H447" s="876">
        <v>0</v>
      </c>
      <c r="I447" s="876"/>
      <c r="J447" s="877">
        <v>0</v>
      </c>
      <c r="K447" s="878" t="s">
        <v>506</v>
      </c>
      <c r="L447" s="977">
        <f>ROUND(SUM(ORÇAMENTO!L447),2)</f>
        <v>0</v>
      </c>
      <c r="M447" s="934">
        <f t="shared" si="158"/>
        <v>0</v>
      </c>
      <c r="N447" s="868">
        <f t="shared" si="159"/>
        <v>0</v>
      </c>
      <c r="O447" s="880"/>
      <c r="P447" s="58" t="str">
        <f>IF(N444&gt;0,"xx",IF(N444&gt;0,"xy",""))</f>
        <v/>
      </c>
      <c r="Q447" s="317" t="str">
        <f t="shared" si="160"/>
        <v/>
      </c>
      <c r="R447" s="317" t="str">
        <f t="shared" si="161"/>
        <v/>
      </c>
      <c r="S447" s="317" t="str">
        <f t="shared" si="162"/>
        <v/>
      </c>
      <c r="V447" s="314">
        <f>SUM(ORÇAMENTO!N447)</f>
        <v>0</v>
      </c>
      <c r="W447" s="315">
        <f t="shared" si="123"/>
        <v>0</v>
      </c>
    </row>
    <row r="448" spans="1:23" ht="15" hidden="1" customHeight="1">
      <c r="A448" s="63" t="s">
        <v>147</v>
      </c>
      <c r="B448" s="870" t="s">
        <v>147</v>
      </c>
      <c r="C448" s="871"/>
      <c r="D448" s="931" t="s">
        <v>244</v>
      </c>
      <c r="E448" s="882">
        <f>DMT!$F$28</f>
        <v>43.1</v>
      </c>
      <c r="F448" s="883">
        <f>SUM(F444:F447)</f>
        <v>1</v>
      </c>
      <c r="G448" s="887">
        <f>IF(E448&lt;=30,(1.07*E448+6.45)*F448,((1.07*30+6.45)+1.07*(E448-30))*F448)</f>
        <v>52.567000000000007</v>
      </c>
      <c r="H448" s="876">
        <v>0</v>
      </c>
      <c r="I448" s="876"/>
      <c r="J448" s="877">
        <v>0</v>
      </c>
      <c r="K448" s="878" t="s">
        <v>506</v>
      </c>
      <c r="L448" s="977">
        <f>ROUND(SUM(ORÇAMENTO!L448),2)</f>
        <v>0</v>
      </c>
      <c r="M448" s="934">
        <f t="shared" si="158"/>
        <v>0</v>
      </c>
      <c r="N448" s="868">
        <f t="shared" si="159"/>
        <v>0</v>
      </c>
      <c r="O448" s="880"/>
      <c r="P448" s="58" t="str">
        <f>IF(N444&gt;0,"xx",IF(N444&gt;0,"xy",""))</f>
        <v/>
      </c>
      <c r="Q448" s="317" t="str">
        <f t="shared" si="160"/>
        <v/>
      </c>
      <c r="R448" s="317" t="str">
        <f t="shared" si="161"/>
        <v/>
      </c>
      <c r="S448" s="317" t="str">
        <f t="shared" si="162"/>
        <v/>
      </c>
      <c r="V448" s="314">
        <f>SUM(ORÇAMENTO!N448)</f>
        <v>0</v>
      </c>
      <c r="W448" s="315">
        <f t="shared" si="123"/>
        <v>0</v>
      </c>
    </row>
    <row r="449" spans="1:23" ht="15" hidden="1" customHeight="1" thickBot="1">
      <c r="A449" s="63">
        <v>589000</v>
      </c>
      <c r="B449" s="978" t="s">
        <v>702</v>
      </c>
      <c r="C449" s="958" t="s">
        <v>213</v>
      </c>
      <c r="D449" s="986" t="s">
        <v>2149</v>
      </c>
      <c r="E449" s="994">
        <f>DMT!$D$45</f>
        <v>468</v>
      </c>
      <c r="F449" s="980">
        <v>1</v>
      </c>
      <c r="G449" s="923">
        <f>(0.94*E449+46.06)*F449</f>
        <v>485.97999999999996</v>
      </c>
      <c r="H449" s="962">
        <v>4828.8599999999997</v>
      </c>
      <c r="I449" s="962">
        <f>IF(ISBLANK(H449),"",H449*(1+$E$9)/(1+$E$10))+G449</f>
        <v>5163.1232400589097</v>
      </c>
      <c r="J449" s="963">
        <f t="shared" ref="J449:J450" si="165">IF(ISBLANK(H449),0,ROUND(I449*(1+$E$10),2))</f>
        <v>6310.37</v>
      </c>
      <c r="K449" s="964" t="s">
        <v>14</v>
      </c>
      <c r="L449" s="965">
        <f>ROUND(SUM(ORÇAMENTO!L449),2)</f>
        <v>0</v>
      </c>
      <c r="M449" s="987">
        <f t="shared" si="158"/>
        <v>0</v>
      </c>
      <c r="N449" s="967">
        <f t="shared" si="159"/>
        <v>0</v>
      </c>
      <c r="O449" s="880"/>
      <c r="P449" s="58" t="str">
        <f>IF(N444&gt;0,"xx",IF(N444&gt;0,"xy",""))</f>
        <v/>
      </c>
      <c r="Q449" s="317" t="str">
        <f t="shared" si="160"/>
        <v/>
      </c>
      <c r="R449" s="317" t="str">
        <f t="shared" si="161"/>
        <v/>
      </c>
      <c r="S449" s="317" t="str">
        <f t="shared" si="162"/>
        <v/>
      </c>
      <c r="V449" s="314">
        <f>SUM(ORÇAMENTO!N449)</f>
        <v>0</v>
      </c>
      <c r="W449" s="315">
        <f t="shared" si="123"/>
        <v>0</v>
      </c>
    </row>
    <row r="450" spans="1:23" hidden="1">
      <c r="A450" s="63">
        <v>570000</v>
      </c>
      <c r="B450" s="973" t="s">
        <v>1638</v>
      </c>
      <c r="C450" s="974" t="s">
        <v>184</v>
      </c>
      <c r="D450" s="998" t="str">
        <f>CONCATENATE("CBUQ - Novos traços - ",Novos_Traços_CBUQ!C43," - (Quant. menor que 10.000 ton)")</f>
        <v>CBUQ - Novos traços - TRAÇO 6 - FAIXA "C" - (Quant. menor que 10.000 ton)</v>
      </c>
      <c r="E450" s="948" t="s">
        <v>563</v>
      </c>
      <c r="F450" s="999">
        <f>Novos_Traços_CBUQ!F69</f>
        <v>5.2999999999999999E-2</v>
      </c>
      <c r="G450" s="950">
        <f>SUM(G451:G454)</f>
        <v>89.958996800000008</v>
      </c>
      <c r="H450" s="951">
        <v>187.41</v>
      </c>
      <c r="I450" s="951">
        <f>IF(ISBLANK(H450),"",SUM(G450:H450))</f>
        <v>277.36899679999999</v>
      </c>
      <c r="J450" s="952">
        <f t="shared" si="165"/>
        <v>339</v>
      </c>
      <c r="K450" s="953" t="s">
        <v>14</v>
      </c>
      <c r="L450" s="954">
        <f>ROUND(SUM(ORÇAMENTO!L450),2)</f>
        <v>0</v>
      </c>
      <c r="M450" s="955">
        <f t="shared" si="158"/>
        <v>0</v>
      </c>
      <c r="N450" s="956">
        <f t="shared" si="159"/>
        <v>0</v>
      </c>
      <c r="O450" s="880"/>
      <c r="Q450" s="317" t="str">
        <f t="shared" si="160"/>
        <v/>
      </c>
      <c r="R450" s="317" t="str">
        <f t="shared" si="161"/>
        <v/>
      </c>
      <c r="S450" s="317" t="str">
        <f t="shared" si="162"/>
        <v/>
      </c>
      <c r="V450" s="314">
        <f>SUM(ORÇAMENTO!N450)</f>
        <v>0</v>
      </c>
      <c r="W450" s="315">
        <f t="shared" si="123"/>
        <v>0</v>
      </c>
    </row>
    <row r="451" spans="1:23" ht="15" hidden="1" customHeight="1">
      <c r="A451" s="63" t="s">
        <v>147</v>
      </c>
      <c r="B451" s="870" t="s">
        <v>147</v>
      </c>
      <c r="C451" s="871"/>
      <c r="D451" s="931" t="s">
        <v>229</v>
      </c>
      <c r="E451" s="882">
        <f>DMT!$F$42</f>
        <v>290</v>
      </c>
      <c r="F451" s="1242">
        <f>Novos_Traços_CBUQ!F67</f>
        <v>9.5399999999999999E-2</v>
      </c>
      <c r="G451" s="923">
        <f t="shared" ref="G451" si="166">IF(E451&lt;=30,(1.07*E451+2.68)*F451,((1.07*30+2.68)+1.07*(E451-30))*F451)</f>
        <v>29.858292000000002</v>
      </c>
      <c r="H451" s="876">
        <v>0</v>
      </c>
      <c r="I451" s="876"/>
      <c r="J451" s="877">
        <v>0</v>
      </c>
      <c r="K451" s="878" t="s">
        <v>506</v>
      </c>
      <c r="L451" s="977">
        <f>ROUND(SUM(ORÇAMENTO!L451),2)</f>
        <v>0</v>
      </c>
      <c r="M451" s="934">
        <f t="shared" si="158"/>
        <v>0</v>
      </c>
      <c r="N451" s="868">
        <f t="shared" si="159"/>
        <v>0</v>
      </c>
      <c r="O451" s="880"/>
      <c r="P451" s="58" t="str">
        <f>IF(N450&gt;0,"xx",IF(N450&gt;0,"xy",""))</f>
        <v/>
      </c>
      <c r="Q451" s="317" t="str">
        <f t="shared" si="160"/>
        <v/>
      </c>
      <c r="R451" s="317" t="str">
        <f t="shared" si="161"/>
        <v/>
      </c>
      <c r="S451" s="317" t="str">
        <f t="shared" si="162"/>
        <v/>
      </c>
      <c r="V451" s="314">
        <f>SUM(ORÇAMENTO!N451)</f>
        <v>0</v>
      </c>
      <c r="W451" s="315">
        <f t="shared" si="123"/>
        <v>0</v>
      </c>
    </row>
    <row r="452" spans="1:23" ht="15" hidden="1" customHeight="1">
      <c r="A452" s="63" t="s">
        <v>147</v>
      </c>
      <c r="B452" s="870" t="s">
        <v>147</v>
      </c>
      <c r="C452" s="871"/>
      <c r="D452" s="931" t="s">
        <v>230</v>
      </c>
      <c r="E452" s="882">
        <f>DMT!$D$46</f>
        <v>445</v>
      </c>
      <c r="F452" s="1242">
        <f>Novos_Traços_CBUQ!F68</f>
        <v>1.44E-2</v>
      </c>
      <c r="G452" s="884">
        <f>IF(E452&lt;=30,(0.78*E452+7.82)*F452,((0.78*30+7.82)+0.78*(E452-30))*F452)</f>
        <v>5.1108479999999998</v>
      </c>
      <c r="H452" s="876">
        <v>0</v>
      </c>
      <c r="I452" s="876"/>
      <c r="J452" s="877">
        <v>0</v>
      </c>
      <c r="K452" s="878" t="s">
        <v>506</v>
      </c>
      <c r="L452" s="977">
        <f>ROUND(SUM(ORÇAMENTO!L452),2)</f>
        <v>0</v>
      </c>
      <c r="M452" s="934">
        <f t="shared" si="158"/>
        <v>0</v>
      </c>
      <c r="N452" s="868">
        <f t="shared" si="159"/>
        <v>0</v>
      </c>
      <c r="O452" s="880"/>
      <c r="P452" s="58" t="str">
        <f>IF(N450&gt;0,"xx",IF(N450&gt;0,"xy",""))</f>
        <v/>
      </c>
      <c r="Q452" s="317" t="str">
        <f t="shared" si="160"/>
        <v/>
      </c>
      <c r="R452" s="317" t="str">
        <f t="shared" si="161"/>
        <v/>
      </c>
      <c r="S452" s="317" t="str">
        <f t="shared" si="162"/>
        <v/>
      </c>
      <c r="V452" s="314">
        <f>SUM(ORÇAMENTO!N452)</f>
        <v>0</v>
      </c>
      <c r="W452" s="315">
        <f t="shared" si="123"/>
        <v>0</v>
      </c>
    </row>
    <row r="453" spans="1:23" ht="15" hidden="1" customHeight="1">
      <c r="A453" s="63" t="s">
        <v>147</v>
      </c>
      <c r="B453" s="870" t="s">
        <v>147</v>
      </c>
      <c r="C453" s="871"/>
      <c r="D453" s="931" t="s">
        <v>243</v>
      </c>
      <c r="E453" s="882">
        <f>DMT!$F$43</f>
        <v>0.2</v>
      </c>
      <c r="F453" s="1242">
        <f>Novos_Traços_CBUQ!F65</f>
        <v>0.83720000000000006</v>
      </c>
      <c r="G453" s="923">
        <f t="shared" ref="G453" si="167">IF(E453&lt;=30,(1.07*E453+2.68)*F453,((1.07*30+2.68)+1.07*(E453-30))*F453)</f>
        <v>2.4228568000000004</v>
      </c>
      <c r="H453" s="876">
        <v>0</v>
      </c>
      <c r="I453" s="876"/>
      <c r="J453" s="877">
        <v>0</v>
      </c>
      <c r="K453" s="878" t="s">
        <v>506</v>
      </c>
      <c r="L453" s="977">
        <f>ROUND(SUM(ORÇAMENTO!L453),2)</f>
        <v>0</v>
      </c>
      <c r="M453" s="934">
        <f t="shared" si="158"/>
        <v>0</v>
      </c>
      <c r="N453" s="868">
        <f t="shared" si="159"/>
        <v>0</v>
      </c>
      <c r="O453" s="880"/>
      <c r="P453" s="58" t="str">
        <f>IF(N450&gt;0,"xx",IF(N450&gt;0,"xy",""))</f>
        <v/>
      </c>
      <c r="Q453" s="317" t="str">
        <f t="shared" si="160"/>
        <v/>
      </c>
      <c r="R453" s="317" t="str">
        <f t="shared" si="161"/>
        <v/>
      </c>
      <c r="S453" s="317" t="str">
        <f t="shared" si="162"/>
        <v/>
      </c>
      <c r="V453" s="314">
        <f>SUM(ORÇAMENTO!N453)</f>
        <v>0</v>
      </c>
      <c r="W453" s="315">
        <f t="shared" si="123"/>
        <v>0</v>
      </c>
    </row>
    <row r="454" spans="1:23" ht="15" hidden="1" customHeight="1">
      <c r="A454" s="63" t="s">
        <v>147</v>
      </c>
      <c r="B454" s="870" t="s">
        <v>147</v>
      </c>
      <c r="C454" s="871"/>
      <c r="D454" s="931" t="s">
        <v>244</v>
      </c>
      <c r="E454" s="882">
        <f>DMT!$F$28</f>
        <v>43.1</v>
      </c>
      <c r="F454" s="883">
        <f>SUM(F450:F453)</f>
        <v>1</v>
      </c>
      <c r="G454" s="887">
        <f>IF(E454&lt;=30,(1.07*E454+6.45)*F454,((1.07*30+6.45)+1.07*(E454-30))*F454)</f>
        <v>52.567000000000007</v>
      </c>
      <c r="H454" s="876">
        <v>0</v>
      </c>
      <c r="I454" s="876"/>
      <c r="J454" s="877">
        <v>0</v>
      </c>
      <c r="K454" s="878" t="s">
        <v>506</v>
      </c>
      <c r="L454" s="977">
        <f>ROUND(SUM(ORÇAMENTO!L454),2)</f>
        <v>0</v>
      </c>
      <c r="M454" s="934">
        <f t="shared" si="158"/>
        <v>0</v>
      </c>
      <c r="N454" s="868">
        <f t="shared" si="159"/>
        <v>0</v>
      </c>
      <c r="O454" s="880"/>
      <c r="P454" s="58" t="str">
        <f>IF(N450&gt;0,"xx",IF(N450&gt;0,"xy",""))</f>
        <v/>
      </c>
      <c r="Q454" s="317" t="str">
        <f t="shared" si="160"/>
        <v/>
      </c>
      <c r="R454" s="317" t="str">
        <f t="shared" si="161"/>
        <v/>
      </c>
      <c r="S454" s="317" t="str">
        <f t="shared" si="162"/>
        <v/>
      </c>
      <c r="V454" s="314">
        <f>SUM(ORÇAMENTO!N454)</f>
        <v>0</v>
      </c>
      <c r="W454" s="315">
        <f t="shared" si="123"/>
        <v>0</v>
      </c>
    </row>
    <row r="455" spans="1:23" ht="15" hidden="1" customHeight="1" thickBot="1">
      <c r="A455" s="63">
        <v>589000</v>
      </c>
      <c r="B455" s="978" t="s">
        <v>702</v>
      </c>
      <c r="C455" s="958" t="s">
        <v>213</v>
      </c>
      <c r="D455" s="986" t="s">
        <v>2149</v>
      </c>
      <c r="E455" s="994">
        <f>DMT!$D$45</f>
        <v>468</v>
      </c>
      <c r="F455" s="980">
        <v>1</v>
      </c>
      <c r="G455" s="923">
        <f>(0.94*E455+46.06)*F455</f>
        <v>485.97999999999996</v>
      </c>
      <c r="H455" s="962">
        <v>4828.8599999999997</v>
      </c>
      <c r="I455" s="962">
        <f>IF(ISBLANK(H455),"",H455*(1+$E$9)/(1+$E$10))+G455</f>
        <v>5163.1232400589097</v>
      </c>
      <c r="J455" s="963">
        <f t="shared" ref="J455:J456" si="168">IF(ISBLANK(H455),0,ROUND(I455*(1+$E$10),2))</f>
        <v>6310.37</v>
      </c>
      <c r="K455" s="964" t="s">
        <v>14</v>
      </c>
      <c r="L455" s="965">
        <f>ROUND(SUM(ORÇAMENTO!L455),2)</f>
        <v>0</v>
      </c>
      <c r="M455" s="987">
        <f t="shared" si="158"/>
        <v>0</v>
      </c>
      <c r="N455" s="967">
        <f t="shared" si="159"/>
        <v>0</v>
      </c>
      <c r="O455" s="880"/>
      <c r="P455" s="58" t="str">
        <f>IF(N450&gt;0,"xx",IF(N450&gt;0,"xy",""))</f>
        <v/>
      </c>
      <c r="Q455" s="317" t="str">
        <f t="shared" si="160"/>
        <v/>
      </c>
      <c r="R455" s="317" t="str">
        <f t="shared" si="161"/>
        <v/>
      </c>
      <c r="S455" s="317" t="str">
        <f t="shared" si="162"/>
        <v/>
      </c>
      <c r="V455" s="314">
        <f>SUM(ORÇAMENTO!N455)</f>
        <v>0</v>
      </c>
      <c r="W455" s="315">
        <f t="shared" si="123"/>
        <v>0</v>
      </c>
    </row>
    <row r="456" spans="1:23" hidden="1">
      <c r="A456" s="63">
        <v>570000</v>
      </c>
      <c r="B456" s="973" t="s">
        <v>1638</v>
      </c>
      <c r="C456" s="974" t="s">
        <v>184</v>
      </c>
      <c r="D456" s="998" t="str">
        <f>CONCATENATE("CBUQ - Novos traços - ",Novos_Traços_CBUQ!J43," - (Quant. menor que 10.000 ton)")</f>
        <v>CBUQ - Novos traços - TRAÇO 7 - FAIXA "C" - (Quant. menor que 10.000 ton)</v>
      </c>
      <c r="E456" s="948" t="s">
        <v>563</v>
      </c>
      <c r="F456" s="999">
        <f>Novos_Traços_CBUQ!M69</f>
        <v>4.9500000000000002E-2</v>
      </c>
      <c r="G456" s="950">
        <f>SUM(G457:G460)</f>
        <v>90.062151600000007</v>
      </c>
      <c r="H456" s="951">
        <v>187.41</v>
      </c>
      <c r="I456" s="951">
        <f>IF(ISBLANK(H456),"",SUM(G456:H456))</f>
        <v>277.47215160000002</v>
      </c>
      <c r="J456" s="952">
        <f t="shared" si="168"/>
        <v>339.13</v>
      </c>
      <c r="K456" s="953" t="s">
        <v>14</v>
      </c>
      <c r="L456" s="954">
        <f>ROUND(SUM(ORÇAMENTO!L456),2)</f>
        <v>0</v>
      </c>
      <c r="M456" s="955">
        <f t="shared" ref="M456:M467" si="169">IF(L456=0,0,ROUND(J456,2))</f>
        <v>0</v>
      </c>
      <c r="N456" s="956">
        <f t="shared" ref="N456:N467" si="170">IF(ISBLANK(L456),0,ROUND(L456*M456,2))</f>
        <v>0</v>
      </c>
      <c r="O456" s="880"/>
      <c r="Q456" s="317" t="str">
        <f t="shared" ref="Q456:Q467" si="171">IF(P456="X","x",IF(P456="xx","x",IF(P456="xy","x",IF(P456="y","x",IF(OR(N456&gt;0,N456&gt;0),"x","")))))</f>
        <v/>
      </c>
      <c r="R456" s="317" t="str">
        <f t="shared" ref="R456:R467" si="172">IF(P456="X","x",IF(P456="y","x",IF(P456="xx","x",IF(N456&gt;0,"x",""))))</f>
        <v/>
      </c>
      <c r="S456" s="317" t="str">
        <f t="shared" ref="S456:S467" si="173">IF(P456="X","x",IF(N456&gt;0,"x",""))</f>
        <v/>
      </c>
      <c r="V456" s="314">
        <f>SUM(ORÇAMENTO!N456)</f>
        <v>0</v>
      </c>
      <c r="W456" s="315">
        <f t="shared" si="123"/>
        <v>0</v>
      </c>
    </row>
    <row r="457" spans="1:23" ht="15" hidden="1" customHeight="1">
      <c r="A457" s="63" t="s">
        <v>147</v>
      </c>
      <c r="B457" s="870" t="s">
        <v>147</v>
      </c>
      <c r="C457" s="871"/>
      <c r="D457" s="931" t="s">
        <v>229</v>
      </c>
      <c r="E457" s="882">
        <f>DMT!$F$42</f>
        <v>290</v>
      </c>
      <c r="F457" s="1242">
        <f>Novos_Traços_CBUQ!M67</f>
        <v>9.5699999999999993E-2</v>
      </c>
      <c r="G457" s="923">
        <f t="shared" ref="G457" si="174">IF(E457&lt;=30,(1.07*E457+2.68)*F457,((1.07*30+2.68)+1.07*(E457-30))*F457)</f>
        <v>29.952186000000001</v>
      </c>
      <c r="H457" s="876">
        <v>0</v>
      </c>
      <c r="I457" s="876"/>
      <c r="J457" s="877">
        <v>0</v>
      </c>
      <c r="K457" s="878" t="s">
        <v>506</v>
      </c>
      <c r="L457" s="977">
        <f>ROUND(SUM(ORÇAMENTO!L457),2)</f>
        <v>0</v>
      </c>
      <c r="M457" s="934">
        <f t="shared" si="169"/>
        <v>0</v>
      </c>
      <c r="N457" s="868">
        <f t="shared" si="170"/>
        <v>0</v>
      </c>
      <c r="O457" s="880"/>
      <c r="P457" s="58" t="str">
        <f>IF(N456&gt;0,"xx",IF(N456&gt;0,"xy",""))</f>
        <v/>
      </c>
      <c r="Q457" s="317" t="str">
        <f t="shared" si="171"/>
        <v/>
      </c>
      <c r="R457" s="317" t="str">
        <f t="shared" si="172"/>
        <v/>
      </c>
      <c r="S457" s="317" t="str">
        <f t="shared" si="173"/>
        <v/>
      </c>
      <c r="V457" s="314">
        <f>SUM(ORÇAMENTO!N457)</f>
        <v>0</v>
      </c>
      <c r="W457" s="315">
        <f t="shared" si="123"/>
        <v>0</v>
      </c>
    </row>
    <row r="458" spans="1:23" ht="15" hidden="1" customHeight="1">
      <c r="A458" s="63" t="s">
        <v>147</v>
      </c>
      <c r="B458" s="870" t="s">
        <v>147</v>
      </c>
      <c r="C458" s="871"/>
      <c r="D458" s="931" t="s">
        <v>230</v>
      </c>
      <c r="E458" s="882">
        <f>DMT!$D$46</f>
        <v>445</v>
      </c>
      <c r="F458" s="1242">
        <f>Novos_Traços_CBUQ!M68</f>
        <v>1.44E-2</v>
      </c>
      <c r="G458" s="884">
        <f>IF(E458&lt;=30,(0.78*E458+7.82)*F458,((0.78*30+7.82)+0.78*(E458-30))*F458)</f>
        <v>5.1108479999999998</v>
      </c>
      <c r="H458" s="876">
        <v>0</v>
      </c>
      <c r="I458" s="876"/>
      <c r="J458" s="877">
        <v>0</v>
      </c>
      <c r="K458" s="878" t="s">
        <v>506</v>
      </c>
      <c r="L458" s="977">
        <f>ROUND(SUM(ORÇAMENTO!L458),2)</f>
        <v>0</v>
      </c>
      <c r="M458" s="934">
        <f t="shared" si="169"/>
        <v>0</v>
      </c>
      <c r="N458" s="868">
        <f t="shared" si="170"/>
        <v>0</v>
      </c>
      <c r="O458" s="880"/>
      <c r="P458" s="58" t="str">
        <f>IF(N456&gt;0,"xx",IF(N456&gt;0,"xy",""))</f>
        <v/>
      </c>
      <c r="Q458" s="317" t="str">
        <f t="shared" si="171"/>
        <v/>
      </c>
      <c r="R458" s="317" t="str">
        <f t="shared" si="172"/>
        <v/>
      </c>
      <c r="S458" s="317" t="str">
        <f t="shared" si="173"/>
        <v/>
      </c>
      <c r="V458" s="314">
        <f>SUM(ORÇAMENTO!N458)</f>
        <v>0</v>
      </c>
      <c r="W458" s="315">
        <f t="shared" si="123"/>
        <v>0</v>
      </c>
    </row>
    <row r="459" spans="1:23" ht="15" hidden="1" customHeight="1">
      <c r="A459" s="63" t="s">
        <v>147</v>
      </c>
      <c r="B459" s="870" t="s">
        <v>147</v>
      </c>
      <c r="C459" s="871"/>
      <c r="D459" s="931" t="s">
        <v>243</v>
      </c>
      <c r="E459" s="882">
        <f>DMT!$F$43</f>
        <v>0.2</v>
      </c>
      <c r="F459" s="1242">
        <f>Novos_Traços_CBUQ!M65</f>
        <v>0.84040000000000004</v>
      </c>
      <c r="G459" s="923">
        <f t="shared" ref="G459" si="175">IF(E459&lt;=30,(1.07*E459+2.68)*F459,((1.07*30+2.68)+1.07*(E459-30))*F459)</f>
        <v>2.4321176000000002</v>
      </c>
      <c r="H459" s="876">
        <v>0</v>
      </c>
      <c r="I459" s="876"/>
      <c r="J459" s="877">
        <v>0</v>
      </c>
      <c r="K459" s="878" t="s">
        <v>506</v>
      </c>
      <c r="L459" s="977">
        <f>ROUND(SUM(ORÇAMENTO!L459),2)</f>
        <v>0</v>
      </c>
      <c r="M459" s="934">
        <f t="shared" si="169"/>
        <v>0</v>
      </c>
      <c r="N459" s="868">
        <f t="shared" si="170"/>
        <v>0</v>
      </c>
      <c r="O459" s="880"/>
      <c r="P459" s="58" t="str">
        <f>IF(N456&gt;0,"xx",IF(N456&gt;0,"xy",""))</f>
        <v/>
      </c>
      <c r="Q459" s="317" t="str">
        <f t="shared" si="171"/>
        <v/>
      </c>
      <c r="R459" s="317" t="str">
        <f t="shared" si="172"/>
        <v/>
      </c>
      <c r="S459" s="317" t="str">
        <f t="shared" si="173"/>
        <v/>
      </c>
      <c r="V459" s="314">
        <f>SUM(ORÇAMENTO!N459)</f>
        <v>0</v>
      </c>
      <c r="W459" s="315">
        <f t="shared" si="123"/>
        <v>0</v>
      </c>
    </row>
    <row r="460" spans="1:23" ht="15" hidden="1" customHeight="1">
      <c r="A460" s="63" t="s">
        <v>147</v>
      </c>
      <c r="B460" s="870" t="s">
        <v>147</v>
      </c>
      <c r="C460" s="871"/>
      <c r="D460" s="931" t="s">
        <v>244</v>
      </c>
      <c r="E460" s="882">
        <f>DMT!$F$28</f>
        <v>43.1</v>
      </c>
      <c r="F460" s="883">
        <f>SUM(F456:F459)</f>
        <v>1</v>
      </c>
      <c r="G460" s="887">
        <f>IF(E460&lt;=30,(1.07*E460+6.45)*F460,((1.07*30+6.45)+1.07*(E460-30))*F460)</f>
        <v>52.567000000000007</v>
      </c>
      <c r="H460" s="876">
        <v>0</v>
      </c>
      <c r="I460" s="876"/>
      <c r="J460" s="877">
        <v>0</v>
      </c>
      <c r="K460" s="878" t="s">
        <v>506</v>
      </c>
      <c r="L460" s="977">
        <f>ROUND(SUM(ORÇAMENTO!L460),2)</f>
        <v>0</v>
      </c>
      <c r="M460" s="934">
        <f t="shared" si="169"/>
        <v>0</v>
      </c>
      <c r="N460" s="868">
        <f t="shared" si="170"/>
        <v>0</v>
      </c>
      <c r="O460" s="880"/>
      <c r="P460" s="58" t="str">
        <f>IF(N456&gt;0,"xx",IF(N456&gt;0,"xy",""))</f>
        <v/>
      </c>
      <c r="Q460" s="317" t="str">
        <f t="shared" si="171"/>
        <v/>
      </c>
      <c r="R460" s="317" t="str">
        <f t="shared" si="172"/>
        <v/>
      </c>
      <c r="S460" s="317" t="str">
        <f t="shared" si="173"/>
        <v/>
      </c>
      <c r="V460" s="314">
        <f>SUM(ORÇAMENTO!N460)</f>
        <v>0</v>
      </c>
      <c r="W460" s="315">
        <f t="shared" si="123"/>
        <v>0</v>
      </c>
    </row>
    <row r="461" spans="1:23" ht="15" hidden="1" customHeight="1" thickBot="1">
      <c r="A461" s="63">
        <v>589000</v>
      </c>
      <c r="B461" s="978" t="s">
        <v>702</v>
      </c>
      <c r="C461" s="958" t="s">
        <v>213</v>
      </c>
      <c r="D461" s="986" t="s">
        <v>2149</v>
      </c>
      <c r="E461" s="994">
        <f>DMT!$D$45</f>
        <v>468</v>
      </c>
      <c r="F461" s="980">
        <v>1</v>
      </c>
      <c r="G461" s="923">
        <f>(0.94*E461+46.06)*F461</f>
        <v>485.97999999999996</v>
      </c>
      <c r="H461" s="962">
        <v>4828.8599999999997</v>
      </c>
      <c r="I461" s="962">
        <f>IF(ISBLANK(H461),"",H461*(1+$E$9)/(1+$E$10))+G461</f>
        <v>5163.1232400589097</v>
      </c>
      <c r="J461" s="963">
        <f t="shared" ref="J461:J462" si="176">IF(ISBLANK(H461),0,ROUND(I461*(1+$E$10),2))</f>
        <v>6310.37</v>
      </c>
      <c r="K461" s="964" t="s">
        <v>14</v>
      </c>
      <c r="L461" s="965">
        <f>ROUND(SUM(ORÇAMENTO!L461),2)</f>
        <v>0</v>
      </c>
      <c r="M461" s="987">
        <f t="shared" si="169"/>
        <v>0</v>
      </c>
      <c r="N461" s="967">
        <f t="shared" si="170"/>
        <v>0</v>
      </c>
      <c r="O461" s="880"/>
      <c r="P461" s="58" t="str">
        <f>IF(N456&gt;0,"xx",IF(N456&gt;0,"xy",""))</f>
        <v/>
      </c>
      <c r="Q461" s="317" t="str">
        <f t="shared" si="171"/>
        <v/>
      </c>
      <c r="R461" s="317" t="str">
        <f t="shared" si="172"/>
        <v/>
      </c>
      <c r="S461" s="317" t="str">
        <f t="shared" si="173"/>
        <v/>
      </c>
      <c r="V461" s="314">
        <f>SUM(ORÇAMENTO!N461)</f>
        <v>0</v>
      </c>
      <c r="W461" s="315">
        <f t="shared" si="123"/>
        <v>0</v>
      </c>
    </row>
    <row r="462" spans="1:23" hidden="1">
      <c r="A462" s="63">
        <v>570000</v>
      </c>
      <c r="B462" s="973" t="s">
        <v>1638</v>
      </c>
      <c r="C462" s="974" t="s">
        <v>184</v>
      </c>
      <c r="D462" s="998" t="str">
        <f>CONCATENATE("CBUQ - Novos traços - ",Novos_Traços_CBUQ!C79," - (Quant. menor que 10.000 ton)")</f>
        <v>CBUQ - Novos traços - TRAÇO 8 - FAIXA "C" - (Quant. menor que 10.000 ton)</v>
      </c>
      <c r="E462" s="948" t="s">
        <v>563</v>
      </c>
      <c r="F462" s="999">
        <f>Novos_Traços_CBUQ!F105</f>
        <v>4.9000000000000002E-2</v>
      </c>
      <c r="G462" s="950">
        <f>SUM(G463:G466)</f>
        <v>90.129809800000004</v>
      </c>
      <c r="H462" s="951">
        <v>187.41</v>
      </c>
      <c r="I462" s="951">
        <f>IF(ISBLANK(H462),"",SUM(G462:H462))</f>
        <v>277.5398098</v>
      </c>
      <c r="J462" s="952">
        <f t="shared" si="176"/>
        <v>339.21</v>
      </c>
      <c r="K462" s="953" t="s">
        <v>14</v>
      </c>
      <c r="L462" s="954">
        <f>ROUND(SUM(ORÇAMENTO!L462),2)</f>
        <v>0</v>
      </c>
      <c r="M462" s="955">
        <f t="shared" si="169"/>
        <v>0</v>
      </c>
      <c r="N462" s="956">
        <f t="shared" si="170"/>
        <v>0</v>
      </c>
      <c r="O462" s="880"/>
      <c r="Q462" s="317" t="str">
        <f t="shared" si="171"/>
        <v/>
      </c>
      <c r="R462" s="317" t="str">
        <f t="shared" si="172"/>
        <v/>
      </c>
      <c r="S462" s="317" t="str">
        <f t="shared" si="173"/>
        <v/>
      </c>
      <c r="V462" s="314">
        <f>SUM(ORÇAMENTO!N462)</f>
        <v>0</v>
      </c>
      <c r="W462" s="315">
        <f t="shared" si="123"/>
        <v>0</v>
      </c>
    </row>
    <row r="463" spans="1:23" ht="15" hidden="1" customHeight="1">
      <c r="A463" s="63" t="s">
        <v>147</v>
      </c>
      <c r="B463" s="870" t="s">
        <v>147</v>
      </c>
      <c r="C463" s="871"/>
      <c r="D463" s="931" t="s">
        <v>229</v>
      </c>
      <c r="E463" s="882">
        <f>DMT!$F$42</f>
        <v>290</v>
      </c>
      <c r="F463" s="1242">
        <f>Novos_Traços_CBUQ!F103</f>
        <v>9.5799999999999996E-2</v>
      </c>
      <c r="G463" s="923">
        <f t="shared" ref="G463" si="177">IF(E463&lt;=30,(1.07*E463+2.68)*F463,((1.07*30+2.68)+1.07*(E463-30))*F463)</f>
        <v>29.983484000000001</v>
      </c>
      <c r="H463" s="876">
        <v>0</v>
      </c>
      <c r="I463" s="876"/>
      <c r="J463" s="877">
        <v>0</v>
      </c>
      <c r="K463" s="878" t="s">
        <v>506</v>
      </c>
      <c r="L463" s="977">
        <f>ROUND(SUM(ORÇAMENTO!L463),2)</f>
        <v>0</v>
      </c>
      <c r="M463" s="934">
        <f t="shared" si="169"/>
        <v>0</v>
      </c>
      <c r="N463" s="868">
        <f t="shared" si="170"/>
        <v>0</v>
      </c>
      <c r="O463" s="880"/>
      <c r="P463" s="58" t="str">
        <f>IF(N462&gt;0,"xx",IF(N462&gt;0,"xy",""))</f>
        <v/>
      </c>
      <c r="Q463" s="317" t="str">
        <f t="shared" si="171"/>
        <v/>
      </c>
      <c r="R463" s="317" t="str">
        <f t="shared" si="172"/>
        <v/>
      </c>
      <c r="S463" s="317" t="str">
        <f t="shared" si="173"/>
        <v/>
      </c>
      <c r="V463" s="314">
        <f>SUM(ORÇAMENTO!N463)</f>
        <v>0</v>
      </c>
      <c r="W463" s="315">
        <f t="shared" si="123"/>
        <v>0</v>
      </c>
    </row>
    <row r="464" spans="1:23" ht="15" hidden="1" customHeight="1">
      <c r="A464" s="63" t="s">
        <v>147</v>
      </c>
      <c r="B464" s="870" t="s">
        <v>147</v>
      </c>
      <c r="C464" s="871"/>
      <c r="D464" s="931" t="s">
        <v>230</v>
      </c>
      <c r="E464" s="882">
        <f>DMT!$D$46</f>
        <v>445</v>
      </c>
      <c r="F464" s="1242">
        <f>Novos_Traços_CBUQ!F104</f>
        <v>1.4500000000000001E-2</v>
      </c>
      <c r="G464" s="884">
        <f>IF(E464&lt;=30,(0.78*E464+7.82)*F464,((0.78*30+7.82)+0.78*(E464-30))*F464)</f>
        <v>5.1463400000000004</v>
      </c>
      <c r="H464" s="876">
        <v>0</v>
      </c>
      <c r="I464" s="876"/>
      <c r="J464" s="877">
        <v>0</v>
      </c>
      <c r="K464" s="878" t="s">
        <v>506</v>
      </c>
      <c r="L464" s="977">
        <f>ROUND(SUM(ORÇAMENTO!L464),2)</f>
        <v>0</v>
      </c>
      <c r="M464" s="934">
        <f t="shared" si="169"/>
        <v>0</v>
      </c>
      <c r="N464" s="868">
        <f t="shared" si="170"/>
        <v>0</v>
      </c>
      <c r="O464" s="880"/>
      <c r="P464" s="58" t="str">
        <f>IF(N462&gt;0,"xx",IF(N462&gt;0,"xy",""))</f>
        <v/>
      </c>
      <c r="Q464" s="317" t="str">
        <f t="shared" si="171"/>
        <v/>
      </c>
      <c r="R464" s="317" t="str">
        <f t="shared" si="172"/>
        <v/>
      </c>
      <c r="S464" s="317" t="str">
        <f t="shared" si="173"/>
        <v/>
      </c>
      <c r="V464" s="314">
        <f>SUM(ORÇAMENTO!N464)</f>
        <v>0</v>
      </c>
      <c r="W464" s="315">
        <f t="shared" si="123"/>
        <v>0</v>
      </c>
    </row>
    <row r="465" spans="1:23" ht="15" hidden="1" customHeight="1">
      <c r="A465" s="63" t="s">
        <v>147</v>
      </c>
      <c r="B465" s="870" t="s">
        <v>147</v>
      </c>
      <c r="C465" s="871"/>
      <c r="D465" s="931" t="s">
        <v>243</v>
      </c>
      <c r="E465" s="882">
        <f>DMT!$F$43</f>
        <v>0.2</v>
      </c>
      <c r="F465" s="1242">
        <f>Novos_Traços_CBUQ!F101</f>
        <v>0.8407</v>
      </c>
      <c r="G465" s="923">
        <f t="shared" ref="G465" si="178">IF(E465&lt;=30,(1.07*E465+2.68)*F465,((1.07*30+2.68)+1.07*(E465-30))*F465)</f>
        <v>2.4329858</v>
      </c>
      <c r="H465" s="876">
        <v>0</v>
      </c>
      <c r="I465" s="876"/>
      <c r="J465" s="877">
        <v>0</v>
      </c>
      <c r="K465" s="878" t="s">
        <v>506</v>
      </c>
      <c r="L465" s="977">
        <f>ROUND(SUM(ORÇAMENTO!L465),2)</f>
        <v>0</v>
      </c>
      <c r="M465" s="934">
        <f t="shared" si="169"/>
        <v>0</v>
      </c>
      <c r="N465" s="868">
        <f t="shared" si="170"/>
        <v>0</v>
      </c>
      <c r="O465" s="880"/>
      <c r="P465" s="58" t="str">
        <f>IF(N462&gt;0,"xx",IF(N462&gt;0,"xy",""))</f>
        <v/>
      </c>
      <c r="Q465" s="317" t="str">
        <f t="shared" si="171"/>
        <v/>
      </c>
      <c r="R465" s="317" t="str">
        <f t="shared" si="172"/>
        <v/>
      </c>
      <c r="S465" s="317" t="str">
        <f t="shared" si="173"/>
        <v/>
      </c>
      <c r="V465" s="314">
        <f>SUM(ORÇAMENTO!N465)</f>
        <v>0</v>
      </c>
      <c r="W465" s="315">
        <f t="shared" si="123"/>
        <v>0</v>
      </c>
    </row>
    <row r="466" spans="1:23" ht="15" hidden="1" customHeight="1">
      <c r="A466" s="63" t="s">
        <v>147</v>
      </c>
      <c r="B466" s="870" t="s">
        <v>147</v>
      </c>
      <c r="C466" s="871"/>
      <c r="D466" s="931" t="s">
        <v>244</v>
      </c>
      <c r="E466" s="882">
        <f>DMT!$F$28</f>
        <v>43.1</v>
      </c>
      <c r="F466" s="883">
        <f>SUM(F462:F465)</f>
        <v>1</v>
      </c>
      <c r="G466" s="887">
        <f>IF(E466&lt;=30,(1.07*E466+6.45)*F466,((1.07*30+6.45)+1.07*(E466-30))*F466)</f>
        <v>52.567000000000007</v>
      </c>
      <c r="H466" s="876">
        <v>0</v>
      </c>
      <c r="I466" s="876"/>
      <c r="J466" s="877">
        <v>0</v>
      </c>
      <c r="K466" s="878" t="s">
        <v>506</v>
      </c>
      <c r="L466" s="977">
        <f>ROUND(SUM(ORÇAMENTO!L466),2)</f>
        <v>0</v>
      </c>
      <c r="M466" s="934">
        <f t="shared" si="169"/>
        <v>0</v>
      </c>
      <c r="N466" s="868">
        <f t="shared" si="170"/>
        <v>0</v>
      </c>
      <c r="O466" s="880"/>
      <c r="P466" s="58" t="str">
        <f>IF(N462&gt;0,"xx",IF(N462&gt;0,"xy",""))</f>
        <v/>
      </c>
      <c r="Q466" s="317" t="str">
        <f t="shared" si="171"/>
        <v/>
      </c>
      <c r="R466" s="317" t="str">
        <f t="shared" si="172"/>
        <v/>
      </c>
      <c r="S466" s="317" t="str">
        <f t="shared" si="173"/>
        <v/>
      </c>
      <c r="V466" s="314">
        <f>SUM(ORÇAMENTO!N466)</f>
        <v>0</v>
      </c>
      <c r="W466" s="315">
        <f t="shared" si="123"/>
        <v>0</v>
      </c>
    </row>
    <row r="467" spans="1:23" ht="15" hidden="1" customHeight="1" thickBot="1">
      <c r="A467" s="63">
        <v>589000</v>
      </c>
      <c r="B467" s="978" t="s">
        <v>702</v>
      </c>
      <c r="C467" s="958" t="s">
        <v>213</v>
      </c>
      <c r="D467" s="986" t="s">
        <v>2149</v>
      </c>
      <c r="E467" s="994">
        <f>DMT!$D$45</f>
        <v>468</v>
      </c>
      <c r="F467" s="980">
        <v>1</v>
      </c>
      <c r="G467" s="923">
        <f>(0.94*E467+46.06)*F467</f>
        <v>485.97999999999996</v>
      </c>
      <c r="H467" s="962">
        <v>4828.8599999999997</v>
      </c>
      <c r="I467" s="962">
        <f>IF(ISBLANK(H467),"",H467*(1+$E$9)/(1+$E$10))+G467</f>
        <v>5163.1232400589097</v>
      </c>
      <c r="J467" s="963">
        <f t="shared" ref="J467" si="179">IF(ISBLANK(H467),0,ROUND(I467*(1+$E$10),2))</f>
        <v>6310.37</v>
      </c>
      <c r="K467" s="964" t="s">
        <v>14</v>
      </c>
      <c r="L467" s="965">
        <f>ROUND(SUM(ORÇAMENTO!L467),2)</f>
        <v>0</v>
      </c>
      <c r="M467" s="987">
        <f t="shared" si="169"/>
        <v>0</v>
      </c>
      <c r="N467" s="967">
        <f t="shared" si="170"/>
        <v>0</v>
      </c>
      <c r="O467" s="880"/>
      <c r="P467" s="58" t="str">
        <f>IF(N462&gt;0,"xx",IF(N462&gt;0,"xy",""))</f>
        <v/>
      </c>
      <c r="Q467" s="317" t="str">
        <f t="shared" si="171"/>
        <v/>
      </c>
      <c r="R467" s="317" t="str">
        <f t="shared" si="172"/>
        <v/>
      </c>
      <c r="S467" s="317" t="str">
        <f t="shared" si="173"/>
        <v/>
      </c>
      <c r="V467" s="314">
        <f>SUM(ORÇAMENTO!N467)</f>
        <v>0</v>
      </c>
      <c r="W467" s="315">
        <f t="shared" si="123"/>
        <v>0</v>
      </c>
    </row>
    <row r="468" spans="1:23" ht="15" hidden="1" customHeight="1">
      <c r="A468" s="63">
        <v>570400</v>
      </c>
      <c r="B468" s="973" t="s">
        <v>1639</v>
      </c>
      <c r="C468" s="974" t="s">
        <v>184</v>
      </c>
      <c r="D468" s="947" t="s">
        <v>2193</v>
      </c>
      <c r="E468" s="948" t="s">
        <v>563</v>
      </c>
      <c r="F468" s="949">
        <v>0.05</v>
      </c>
      <c r="G468" s="950">
        <f>SUM(G469:G472)</f>
        <v>91.892755399999999</v>
      </c>
      <c r="H468" s="951">
        <v>169.12</v>
      </c>
      <c r="I468" s="951">
        <f>IF(ISBLANK(H468),"",SUM(G468:H468))</f>
        <v>261.0127554</v>
      </c>
      <c r="J468" s="952">
        <f t="shared" si="100"/>
        <v>319.01</v>
      </c>
      <c r="K468" s="953" t="s">
        <v>14</v>
      </c>
      <c r="L468" s="954">
        <f>ROUND(SUM(ORÇAMENTO!L468),2)</f>
        <v>0</v>
      </c>
      <c r="M468" s="955">
        <f t="shared" si="143"/>
        <v>0</v>
      </c>
      <c r="N468" s="956">
        <f t="shared" si="144"/>
        <v>0</v>
      </c>
      <c r="O468" s="880"/>
      <c r="Q468" s="317" t="str">
        <f t="shared" si="145"/>
        <v/>
      </c>
      <c r="R468" s="317" t="str">
        <f t="shared" si="146"/>
        <v/>
      </c>
      <c r="S468" s="317" t="str">
        <f t="shared" si="147"/>
        <v/>
      </c>
      <c r="V468" s="314">
        <f>SUM(ORÇAMENTO!N468)</f>
        <v>0</v>
      </c>
      <c r="W468" s="315">
        <f t="shared" si="123"/>
        <v>0</v>
      </c>
    </row>
    <row r="469" spans="1:23" ht="15" hidden="1" customHeight="1">
      <c r="A469" s="63" t="s">
        <v>147</v>
      </c>
      <c r="B469" s="870" t="s">
        <v>147</v>
      </c>
      <c r="C469" s="871"/>
      <c r="D469" s="931" t="s">
        <v>229</v>
      </c>
      <c r="E469" s="882">
        <f>DMT!$F$42</f>
        <v>290</v>
      </c>
      <c r="F469" s="883">
        <v>0.1007</v>
      </c>
      <c r="G469" s="923">
        <f t="shared" ref="G469:G471" si="180">IF(E469&lt;=30,(1.07*E469+2.68)*F469,((1.07*30+2.68)+1.07*(E469-30))*F469)</f>
        <v>31.517086000000003</v>
      </c>
      <c r="H469" s="876">
        <v>0</v>
      </c>
      <c r="I469" s="876"/>
      <c r="J469" s="877">
        <v>0</v>
      </c>
      <c r="K469" s="878" t="s">
        <v>506</v>
      </c>
      <c r="L469" s="977">
        <f>ROUND(SUM(ORÇAMENTO!L469),2)</f>
        <v>0</v>
      </c>
      <c r="M469" s="934">
        <f t="shared" si="143"/>
        <v>0</v>
      </c>
      <c r="N469" s="868">
        <f t="shared" si="144"/>
        <v>0</v>
      </c>
      <c r="O469" s="880"/>
      <c r="P469" s="58" t="str">
        <f>IF(N468&gt;0,"xx",IF(N468&gt;0,"xy",""))</f>
        <v/>
      </c>
      <c r="Q469" s="317" t="str">
        <f t="shared" si="145"/>
        <v/>
      </c>
      <c r="R469" s="317" t="str">
        <f t="shared" si="146"/>
        <v/>
      </c>
      <c r="S469" s="317" t="str">
        <f t="shared" si="147"/>
        <v/>
      </c>
      <c r="V469" s="314">
        <f>SUM(ORÇAMENTO!N469)</f>
        <v>0</v>
      </c>
      <c r="W469" s="315">
        <f t="shared" ref="W469:W532" si="181">N469-V469</f>
        <v>0</v>
      </c>
    </row>
    <row r="470" spans="1:23" ht="15" hidden="1" customHeight="1">
      <c r="A470" s="63" t="s">
        <v>147</v>
      </c>
      <c r="B470" s="870" t="s">
        <v>147</v>
      </c>
      <c r="C470" s="871"/>
      <c r="D470" s="931" t="s">
        <v>230</v>
      </c>
      <c r="E470" s="882">
        <f>DMT!$D$46</f>
        <v>445</v>
      </c>
      <c r="F470" s="883">
        <v>1.52E-2</v>
      </c>
      <c r="G470" s="884">
        <f>IF(E470&lt;=30,(0.78*E470+7.82)*F470,((0.78*30+7.82)+0.78*(E470-30))*F470)</f>
        <v>5.3947840000000005</v>
      </c>
      <c r="H470" s="876">
        <v>0</v>
      </c>
      <c r="I470" s="876"/>
      <c r="J470" s="877">
        <v>0</v>
      </c>
      <c r="K470" s="878" t="s">
        <v>506</v>
      </c>
      <c r="L470" s="977">
        <f>ROUND(SUM(ORÇAMENTO!L470),2)</f>
        <v>0</v>
      </c>
      <c r="M470" s="934">
        <f t="shared" si="143"/>
        <v>0</v>
      </c>
      <c r="N470" s="868">
        <f t="shared" si="144"/>
        <v>0</v>
      </c>
      <c r="O470" s="880"/>
      <c r="P470" s="58" t="str">
        <f>IF(N468&gt;0,"xx",IF(N468&gt;0,"xy",""))</f>
        <v/>
      </c>
      <c r="Q470" s="317" t="str">
        <f t="shared" si="145"/>
        <v/>
      </c>
      <c r="R470" s="317" t="str">
        <f t="shared" si="146"/>
        <v/>
      </c>
      <c r="S470" s="317" t="str">
        <f t="shared" si="147"/>
        <v/>
      </c>
      <c r="V470" s="314">
        <f>SUM(ORÇAMENTO!N470)</f>
        <v>0</v>
      </c>
      <c r="W470" s="315">
        <f t="shared" si="181"/>
        <v>0</v>
      </c>
    </row>
    <row r="471" spans="1:23" ht="15" hidden="1" customHeight="1">
      <c r="A471" s="63" t="s">
        <v>147</v>
      </c>
      <c r="B471" s="870" t="s">
        <v>147</v>
      </c>
      <c r="C471" s="871"/>
      <c r="D471" s="931" t="s">
        <v>243</v>
      </c>
      <c r="E471" s="882">
        <f>DMT!$F$43</f>
        <v>0.2</v>
      </c>
      <c r="F471" s="883">
        <v>0.83409999999999995</v>
      </c>
      <c r="G471" s="923">
        <f t="shared" si="180"/>
        <v>2.4138853999999998</v>
      </c>
      <c r="H471" s="876">
        <v>0</v>
      </c>
      <c r="I471" s="876"/>
      <c r="J471" s="877">
        <v>0</v>
      </c>
      <c r="K471" s="878" t="s">
        <v>506</v>
      </c>
      <c r="L471" s="977">
        <f>ROUND(SUM(ORÇAMENTO!L471),2)</f>
        <v>0</v>
      </c>
      <c r="M471" s="934">
        <f t="shared" si="143"/>
        <v>0</v>
      </c>
      <c r="N471" s="868">
        <f t="shared" si="144"/>
        <v>0</v>
      </c>
      <c r="O471" s="880"/>
      <c r="P471" s="58" t="str">
        <f>IF(N468&gt;0,"xx",IF(N468&gt;0,"xy",""))</f>
        <v/>
      </c>
      <c r="Q471" s="317" t="str">
        <f t="shared" si="145"/>
        <v/>
      </c>
      <c r="R471" s="317" t="str">
        <f t="shared" si="146"/>
        <v/>
      </c>
      <c r="S471" s="317" t="str">
        <f t="shared" si="147"/>
        <v/>
      </c>
      <c r="V471" s="314">
        <f>SUM(ORÇAMENTO!N471)</f>
        <v>0</v>
      </c>
      <c r="W471" s="315">
        <f t="shared" si="181"/>
        <v>0</v>
      </c>
    </row>
    <row r="472" spans="1:23" ht="15" hidden="1" customHeight="1">
      <c r="A472" s="63" t="s">
        <v>147</v>
      </c>
      <c r="B472" s="870" t="s">
        <v>147</v>
      </c>
      <c r="C472" s="871"/>
      <c r="D472" s="931" t="s">
        <v>244</v>
      </c>
      <c r="E472" s="882">
        <f>DMT!$F$28</f>
        <v>43.1</v>
      </c>
      <c r="F472" s="883">
        <f>SUM(F468:F471)</f>
        <v>1</v>
      </c>
      <c r="G472" s="887">
        <f>IF(E472&lt;=30,(1.07*E472+6.45)*F472,((1.07*30+6.45)+1.07*(E472-30))*F472)</f>
        <v>52.567000000000007</v>
      </c>
      <c r="H472" s="876">
        <v>0</v>
      </c>
      <c r="I472" s="876"/>
      <c r="J472" s="877">
        <v>0</v>
      </c>
      <c r="K472" s="878" t="s">
        <v>506</v>
      </c>
      <c r="L472" s="977">
        <f>ROUND(SUM(ORÇAMENTO!L472),2)</f>
        <v>0</v>
      </c>
      <c r="M472" s="934">
        <f t="shared" si="143"/>
        <v>0</v>
      </c>
      <c r="N472" s="868">
        <f t="shared" si="144"/>
        <v>0</v>
      </c>
      <c r="O472" s="880"/>
      <c r="P472" s="58" t="str">
        <f>IF(N468&gt;0,"xx",IF(N468&gt;0,"xy",""))</f>
        <v/>
      </c>
      <c r="Q472" s="317" t="str">
        <f t="shared" si="145"/>
        <v/>
      </c>
      <c r="R472" s="317" t="str">
        <f t="shared" si="146"/>
        <v/>
      </c>
      <c r="S472" s="317" t="str">
        <f t="shared" si="147"/>
        <v/>
      </c>
      <c r="V472" s="314">
        <f>SUM(ORÇAMENTO!N472)</f>
        <v>0</v>
      </c>
      <c r="W472" s="315">
        <f t="shared" si="181"/>
        <v>0</v>
      </c>
    </row>
    <row r="473" spans="1:23" ht="15" hidden="1" customHeight="1" thickBot="1">
      <c r="A473" s="63">
        <v>589000</v>
      </c>
      <c r="B473" s="978" t="s">
        <v>1661</v>
      </c>
      <c r="C473" s="958" t="s">
        <v>213</v>
      </c>
      <c r="D473" s="986" t="s">
        <v>2150</v>
      </c>
      <c r="E473" s="994">
        <f>DMT!$D$45</f>
        <v>468</v>
      </c>
      <c r="F473" s="980">
        <v>1</v>
      </c>
      <c r="G473" s="923">
        <f>(0.94*E473+46.06)*F473</f>
        <v>485.97999999999996</v>
      </c>
      <c r="H473" s="962">
        <v>4828.8599999999997</v>
      </c>
      <c r="I473" s="962">
        <f>IF(ISBLANK(H473),"",H473*(1+$E$9)/(1+$E$10))+G473</f>
        <v>5163.1232400589097</v>
      </c>
      <c r="J473" s="963">
        <f t="shared" si="100"/>
        <v>6310.37</v>
      </c>
      <c r="K473" s="964" t="s">
        <v>14</v>
      </c>
      <c r="L473" s="965">
        <f>ROUND(SUM(ORÇAMENTO!L473),2)</f>
        <v>0</v>
      </c>
      <c r="M473" s="987">
        <f t="shared" si="143"/>
        <v>0</v>
      </c>
      <c r="N473" s="967">
        <f t="shared" si="144"/>
        <v>0</v>
      </c>
      <c r="O473" s="880"/>
      <c r="P473" s="58" t="str">
        <f>IF(N468&gt;0,"xx",IF(N468&gt;0,"xy",""))</f>
        <v/>
      </c>
      <c r="Q473" s="317" t="str">
        <f t="shared" si="145"/>
        <v/>
      </c>
      <c r="R473" s="317" t="str">
        <f t="shared" si="146"/>
        <v/>
      </c>
      <c r="S473" s="317" t="str">
        <f t="shared" si="147"/>
        <v/>
      </c>
      <c r="V473" s="314">
        <f>SUM(ORÇAMENTO!N473)</f>
        <v>0</v>
      </c>
      <c r="W473" s="315">
        <f t="shared" si="181"/>
        <v>0</v>
      </c>
    </row>
    <row r="474" spans="1:23" ht="15" hidden="1" customHeight="1">
      <c r="A474" s="63">
        <v>570400</v>
      </c>
      <c r="B474" s="973" t="s">
        <v>1640</v>
      </c>
      <c r="C474" s="974" t="s">
        <v>184</v>
      </c>
      <c r="D474" s="947" t="s">
        <v>2194</v>
      </c>
      <c r="E474" s="948" t="s">
        <v>563</v>
      </c>
      <c r="F474" s="949">
        <v>5.5E-2</v>
      </c>
      <c r="G474" s="950">
        <f>SUM(G475:G478)</f>
        <v>91.688039800000013</v>
      </c>
      <c r="H474" s="951">
        <v>169.12</v>
      </c>
      <c r="I474" s="951">
        <f>IF(ISBLANK(H474),"",SUM(G474:H474))</f>
        <v>260.80803980000002</v>
      </c>
      <c r="J474" s="952">
        <f t="shared" si="100"/>
        <v>318.76</v>
      </c>
      <c r="K474" s="953" t="s">
        <v>14</v>
      </c>
      <c r="L474" s="954">
        <f>ROUND(SUM(ORÇAMENTO!L474),2)</f>
        <v>0</v>
      </c>
      <c r="M474" s="955">
        <f t="shared" si="143"/>
        <v>0</v>
      </c>
      <c r="N474" s="956">
        <f t="shared" si="144"/>
        <v>0</v>
      </c>
      <c r="O474" s="880"/>
      <c r="Q474" s="317" t="str">
        <f t="shared" si="145"/>
        <v/>
      </c>
      <c r="R474" s="317" t="str">
        <f t="shared" si="146"/>
        <v/>
      </c>
      <c r="S474" s="317" t="str">
        <f t="shared" si="147"/>
        <v/>
      </c>
      <c r="V474" s="314">
        <f>SUM(ORÇAMENTO!N474)</f>
        <v>0</v>
      </c>
      <c r="W474" s="315">
        <f t="shared" si="181"/>
        <v>0</v>
      </c>
    </row>
    <row r="475" spans="1:23" ht="15" hidden="1" customHeight="1">
      <c r="A475" s="63" t="s">
        <v>147</v>
      </c>
      <c r="B475" s="870" t="s">
        <v>147</v>
      </c>
      <c r="C475" s="871"/>
      <c r="D475" s="931" t="s">
        <v>229</v>
      </c>
      <c r="E475" s="882">
        <f>DMT!$F$42</f>
        <v>290</v>
      </c>
      <c r="F475" s="883">
        <v>0.1002</v>
      </c>
      <c r="G475" s="923">
        <f t="shared" ref="G475:G477" si="182">IF(E475&lt;=30,(1.07*E475+2.68)*F475,((1.07*30+2.68)+1.07*(E475-30))*F475)</f>
        <v>31.360596000000001</v>
      </c>
      <c r="H475" s="876">
        <v>0</v>
      </c>
      <c r="I475" s="876"/>
      <c r="J475" s="877">
        <v>0</v>
      </c>
      <c r="K475" s="878" t="s">
        <v>506</v>
      </c>
      <c r="L475" s="977">
        <f>ROUND(SUM(ORÇAMENTO!L475),2)</f>
        <v>0</v>
      </c>
      <c r="M475" s="934">
        <f t="shared" si="143"/>
        <v>0</v>
      </c>
      <c r="N475" s="868">
        <f t="shared" si="144"/>
        <v>0</v>
      </c>
      <c r="O475" s="880"/>
      <c r="P475" s="58" t="str">
        <f>IF(N474&gt;0,"xx",IF(N474&gt;0,"xy",""))</f>
        <v/>
      </c>
      <c r="Q475" s="317" t="str">
        <f t="shared" si="145"/>
        <v/>
      </c>
      <c r="R475" s="317" t="str">
        <f t="shared" si="146"/>
        <v/>
      </c>
      <c r="S475" s="317" t="str">
        <f t="shared" si="147"/>
        <v/>
      </c>
      <c r="V475" s="314">
        <f>SUM(ORÇAMENTO!N475)</f>
        <v>0</v>
      </c>
      <c r="W475" s="315">
        <f t="shared" si="181"/>
        <v>0</v>
      </c>
    </row>
    <row r="476" spans="1:23" ht="15" hidden="1" customHeight="1">
      <c r="A476" s="63" t="s">
        <v>147</v>
      </c>
      <c r="B476" s="870" t="s">
        <v>147</v>
      </c>
      <c r="C476" s="871"/>
      <c r="D476" s="931" t="s">
        <v>230</v>
      </c>
      <c r="E476" s="882">
        <f>DMT!$D$46</f>
        <v>445</v>
      </c>
      <c r="F476" s="883">
        <v>1.5100000000000001E-2</v>
      </c>
      <c r="G476" s="884">
        <f>IF(E476&lt;=30,(0.78*E476+7.82)*F476,((0.78*30+7.82)+0.78*(E476-30))*F476)</f>
        <v>5.3592920000000008</v>
      </c>
      <c r="H476" s="876">
        <v>0</v>
      </c>
      <c r="I476" s="876"/>
      <c r="J476" s="877">
        <v>0</v>
      </c>
      <c r="K476" s="878" t="s">
        <v>506</v>
      </c>
      <c r="L476" s="977">
        <f>ROUND(SUM(ORÇAMENTO!L476),2)</f>
        <v>0</v>
      </c>
      <c r="M476" s="934">
        <f t="shared" si="143"/>
        <v>0</v>
      </c>
      <c r="N476" s="868">
        <f t="shared" si="144"/>
        <v>0</v>
      </c>
      <c r="O476" s="880"/>
      <c r="P476" s="58" t="str">
        <f>IF(N474&gt;0,"xx",IF(N474&gt;0,"xy",""))</f>
        <v/>
      </c>
      <c r="Q476" s="317" t="str">
        <f t="shared" si="145"/>
        <v/>
      </c>
      <c r="R476" s="317" t="str">
        <f t="shared" si="146"/>
        <v/>
      </c>
      <c r="S476" s="317" t="str">
        <f t="shared" si="147"/>
        <v/>
      </c>
      <c r="V476" s="314">
        <f>SUM(ORÇAMENTO!N476)</f>
        <v>0</v>
      </c>
      <c r="W476" s="315">
        <f t="shared" si="181"/>
        <v>0</v>
      </c>
    </row>
    <row r="477" spans="1:23" ht="15" hidden="1" customHeight="1">
      <c r="A477" s="63" t="s">
        <v>147</v>
      </c>
      <c r="B477" s="870" t="s">
        <v>147</v>
      </c>
      <c r="C477" s="871"/>
      <c r="D477" s="931" t="s">
        <v>243</v>
      </c>
      <c r="E477" s="882">
        <f>DMT!$F$43</f>
        <v>0.2</v>
      </c>
      <c r="F477" s="883">
        <v>0.82969999999999999</v>
      </c>
      <c r="G477" s="923">
        <f t="shared" si="182"/>
        <v>2.4011518000000001</v>
      </c>
      <c r="H477" s="876">
        <v>0</v>
      </c>
      <c r="I477" s="876"/>
      <c r="J477" s="877">
        <v>0</v>
      </c>
      <c r="K477" s="878" t="s">
        <v>506</v>
      </c>
      <c r="L477" s="977">
        <f>ROUND(SUM(ORÇAMENTO!L477),2)</f>
        <v>0</v>
      </c>
      <c r="M477" s="934">
        <f t="shared" si="143"/>
        <v>0</v>
      </c>
      <c r="N477" s="868">
        <f t="shared" si="144"/>
        <v>0</v>
      </c>
      <c r="O477" s="880"/>
      <c r="P477" s="58" t="str">
        <f>IF(N474&gt;0,"xx",IF(N474&gt;0,"xy",""))</f>
        <v/>
      </c>
      <c r="Q477" s="317" t="str">
        <f t="shared" si="145"/>
        <v/>
      </c>
      <c r="R477" s="317" t="str">
        <f t="shared" si="146"/>
        <v/>
      </c>
      <c r="S477" s="317" t="str">
        <f t="shared" si="147"/>
        <v/>
      </c>
      <c r="V477" s="314">
        <f>SUM(ORÇAMENTO!N477)</f>
        <v>0</v>
      </c>
      <c r="W477" s="315">
        <f t="shared" si="181"/>
        <v>0</v>
      </c>
    </row>
    <row r="478" spans="1:23" ht="15" hidden="1" customHeight="1">
      <c r="A478" s="63" t="s">
        <v>147</v>
      </c>
      <c r="B478" s="870" t="s">
        <v>147</v>
      </c>
      <c r="C478" s="871"/>
      <c r="D478" s="931" t="s">
        <v>244</v>
      </c>
      <c r="E478" s="882">
        <f>DMT!$F$28</f>
        <v>43.1</v>
      </c>
      <c r="F478" s="883">
        <f>SUM(F474:F477)</f>
        <v>1</v>
      </c>
      <c r="G478" s="887">
        <f>IF(E478&lt;=30,(1.07*E478+6.45)*F478,((1.07*30+6.45)+1.07*(E478-30))*F478)</f>
        <v>52.567000000000007</v>
      </c>
      <c r="H478" s="876">
        <v>0</v>
      </c>
      <c r="I478" s="876"/>
      <c r="J478" s="877">
        <v>0</v>
      </c>
      <c r="K478" s="878" t="s">
        <v>506</v>
      </c>
      <c r="L478" s="977">
        <f>ROUND(SUM(ORÇAMENTO!L478),2)</f>
        <v>0</v>
      </c>
      <c r="M478" s="934">
        <f t="shared" si="143"/>
        <v>0</v>
      </c>
      <c r="N478" s="868">
        <f t="shared" si="144"/>
        <v>0</v>
      </c>
      <c r="O478" s="880"/>
      <c r="P478" s="58" t="str">
        <f>IF(N474&gt;0,"xx",IF(N474&gt;0,"xy",""))</f>
        <v/>
      </c>
      <c r="Q478" s="317" t="str">
        <f t="shared" si="145"/>
        <v/>
      </c>
      <c r="R478" s="317" t="str">
        <f t="shared" si="146"/>
        <v/>
      </c>
      <c r="S478" s="317" t="str">
        <f t="shared" si="147"/>
        <v/>
      </c>
      <c r="V478" s="314">
        <f>SUM(ORÇAMENTO!N478)</f>
        <v>0</v>
      </c>
      <c r="W478" s="315">
        <f t="shared" si="181"/>
        <v>0</v>
      </c>
    </row>
    <row r="479" spans="1:23" ht="15" hidden="1" customHeight="1" thickBot="1">
      <c r="A479" s="63">
        <v>589000</v>
      </c>
      <c r="B479" s="978" t="s">
        <v>1662</v>
      </c>
      <c r="C479" s="958" t="s">
        <v>213</v>
      </c>
      <c r="D479" s="986" t="s">
        <v>2150</v>
      </c>
      <c r="E479" s="994">
        <f>DMT!$D$45</f>
        <v>468</v>
      </c>
      <c r="F479" s="980">
        <v>1</v>
      </c>
      <c r="G479" s="923">
        <f>(0.94*E479+46.06)*F479</f>
        <v>485.97999999999996</v>
      </c>
      <c r="H479" s="962">
        <v>4828.8599999999997</v>
      </c>
      <c r="I479" s="962">
        <f>IF(ISBLANK(H479),"",H479*(1+$E$9)/(1+$E$10))+G479</f>
        <v>5163.1232400589097</v>
      </c>
      <c r="J479" s="963">
        <f t="shared" ref="J479:J545" si="183">IF(ISBLANK(H479),0,ROUND(I479*(1+$E$10),2))</f>
        <v>6310.37</v>
      </c>
      <c r="K479" s="964" t="s">
        <v>14</v>
      </c>
      <c r="L479" s="965">
        <f>ROUND(SUM(ORÇAMENTO!L479),2)</f>
        <v>0</v>
      </c>
      <c r="M479" s="987">
        <f t="shared" si="143"/>
        <v>0</v>
      </c>
      <c r="N479" s="967">
        <f t="shared" si="144"/>
        <v>0</v>
      </c>
      <c r="O479" s="880"/>
      <c r="P479" s="58" t="str">
        <f>IF(N474&gt;0,"xx",IF(N474&gt;0,"xy",""))</f>
        <v/>
      </c>
      <c r="Q479" s="317" t="str">
        <f t="shared" si="145"/>
        <v/>
      </c>
      <c r="R479" s="317" t="str">
        <f t="shared" si="146"/>
        <v/>
      </c>
      <c r="S479" s="317" t="str">
        <f t="shared" si="147"/>
        <v/>
      </c>
      <c r="V479" s="314">
        <f>SUM(ORÇAMENTO!N479)</f>
        <v>0</v>
      </c>
      <c r="W479" s="315">
        <f t="shared" si="181"/>
        <v>0</v>
      </c>
    </row>
    <row r="480" spans="1:23" ht="15" hidden="1" customHeight="1">
      <c r="A480" s="63">
        <v>570400</v>
      </c>
      <c r="B480" s="973" t="s">
        <v>1641</v>
      </c>
      <c r="C480" s="974" t="s">
        <v>184</v>
      </c>
      <c r="D480" s="947" t="s">
        <v>2195</v>
      </c>
      <c r="E480" s="948" t="s">
        <v>563</v>
      </c>
      <c r="F480" s="949">
        <v>5.7000000000000002E-2</v>
      </c>
      <c r="G480" s="950">
        <f>SUM(G481:G484)</f>
        <v>91.585032000000012</v>
      </c>
      <c r="H480" s="951">
        <v>169.12</v>
      </c>
      <c r="I480" s="951">
        <f>IF(ISBLANK(H480),"",SUM(G480:H480))</f>
        <v>260.70503200000002</v>
      </c>
      <c r="J480" s="952">
        <f t="shared" si="183"/>
        <v>318.63</v>
      </c>
      <c r="K480" s="953" t="s">
        <v>14</v>
      </c>
      <c r="L480" s="954">
        <f>ROUND(SUM(ORÇAMENTO!L480),2)</f>
        <v>0</v>
      </c>
      <c r="M480" s="955">
        <f t="shared" si="143"/>
        <v>0</v>
      </c>
      <c r="N480" s="956">
        <f t="shared" si="144"/>
        <v>0</v>
      </c>
      <c r="O480" s="880"/>
      <c r="Q480" s="317" t="str">
        <f t="shared" si="145"/>
        <v/>
      </c>
      <c r="R480" s="317" t="str">
        <f t="shared" si="146"/>
        <v/>
      </c>
      <c r="S480" s="317" t="str">
        <f t="shared" si="147"/>
        <v/>
      </c>
      <c r="V480" s="314">
        <f>SUM(ORÇAMENTO!N480)</f>
        <v>0</v>
      </c>
      <c r="W480" s="315">
        <f t="shared" si="181"/>
        <v>0</v>
      </c>
    </row>
    <row r="481" spans="1:23" ht="15" hidden="1" customHeight="1">
      <c r="A481" s="63" t="s">
        <v>147</v>
      </c>
      <c r="B481" s="870" t="s">
        <v>147</v>
      </c>
      <c r="C481" s="871"/>
      <c r="D481" s="931" t="s">
        <v>229</v>
      </c>
      <c r="E481" s="882">
        <f>DMT!$F$42</f>
        <v>290</v>
      </c>
      <c r="F481" s="883">
        <v>0.1</v>
      </c>
      <c r="G481" s="923">
        <f t="shared" ref="G481:G483" si="184">IF(E481&lt;=30,(1.07*E481+2.68)*F481,((1.07*30+2.68)+1.07*(E481-30))*F481)</f>
        <v>31.298000000000002</v>
      </c>
      <c r="H481" s="876">
        <v>0</v>
      </c>
      <c r="I481" s="876"/>
      <c r="J481" s="877">
        <v>0</v>
      </c>
      <c r="K481" s="878" t="s">
        <v>506</v>
      </c>
      <c r="L481" s="977">
        <f>ROUND(SUM(ORÇAMENTO!L481),2)</f>
        <v>0</v>
      </c>
      <c r="M481" s="934">
        <f t="shared" si="143"/>
        <v>0</v>
      </c>
      <c r="N481" s="868">
        <f t="shared" si="144"/>
        <v>0</v>
      </c>
      <c r="O481" s="880"/>
      <c r="P481" s="58" t="str">
        <f>IF(N480&gt;0,"xx",IF(N480&gt;0,"xy",""))</f>
        <v/>
      </c>
      <c r="Q481" s="317" t="str">
        <f t="shared" si="145"/>
        <v/>
      </c>
      <c r="R481" s="317" t="str">
        <f t="shared" si="146"/>
        <v/>
      </c>
      <c r="S481" s="317" t="str">
        <f t="shared" si="147"/>
        <v/>
      </c>
      <c r="V481" s="314">
        <f>SUM(ORÇAMENTO!N481)</f>
        <v>0</v>
      </c>
      <c r="W481" s="315">
        <f t="shared" si="181"/>
        <v>0</v>
      </c>
    </row>
    <row r="482" spans="1:23" ht="15" hidden="1" customHeight="1">
      <c r="A482" s="63" t="s">
        <v>147</v>
      </c>
      <c r="B482" s="870" t="s">
        <v>147</v>
      </c>
      <c r="C482" s="871"/>
      <c r="D482" s="931" t="s">
        <v>230</v>
      </c>
      <c r="E482" s="882">
        <f>DMT!$D$46</f>
        <v>445</v>
      </c>
      <c r="F482" s="883">
        <v>1.4999999999999999E-2</v>
      </c>
      <c r="G482" s="884">
        <f>IF(E482&lt;=30,(0.78*E482+7.82)*F482,((0.78*30+7.82)+0.78*(E482-30))*F482)</f>
        <v>5.3238000000000003</v>
      </c>
      <c r="H482" s="876">
        <v>0</v>
      </c>
      <c r="I482" s="876"/>
      <c r="J482" s="877">
        <v>0</v>
      </c>
      <c r="K482" s="878" t="s">
        <v>506</v>
      </c>
      <c r="L482" s="977">
        <f>ROUND(SUM(ORÇAMENTO!L482),2)</f>
        <v>0</v>
      </c>
      <c r="M482" s="934">
        <f t="shared" si="143"/>
        <v>0</v>
      </c>
      <c r="N482" s="868">
        <f t="shared" si="144"/>
        <v>0</v>
      </c>
      <c r="O482" s="880"/>
      <c r="P482" s="58" t="str">
        <f>IF(N480&gt;0,"xx",IF(N480&gt;0,"xy",""))</f>
        <v/>
      </c>
      <c r="Q482" s="317" t="str">
        <f t="shared" si="145"/>
        <v/>
      </c>
      <c r="R482" s="317" t="str">
        <f t="shared" si="146"/>
        <v/>
      </c>
      <c r="S482" s="317" t="str">
        <f t="shared" si="147"/>
        <v/>
      </c>
      <c r="V482" s="314">
        <f>SUM(ORÇAMENTO!N482)</f>
        <v>0</v>
      </c>
      <c r="W482" s="315">
        <f t="shared" si="181"/>
        <v>0</v>
      </c>
    </row>
    <row r="483" spans="1:23" ht="15" hidden="1" customHeight="1">
      <c r="A483" s="63" t="s">
        <v>147</v>
      </c>
      <c r="B483" s="870" t="s">
        <v>147</v>
      </c>
      <c r="C483" s="871"/>
      <c r="D483" s="931" t="s">
        <v>243</v>
      </c>
      <c r="E483" s="882">
        <f>DMT!$F$43</f>
        <v>0.2</v>
      </c>
      <c r="F483" s="883">
        <v>0.82799999999999996</v>
      </c>
      <c r="G483" s="923">
        <f t="shared" si="184"/>
        <v>2.3962319999999999</v>
      </c>
      <c r="H483" s="876">
        <v>0</v>
      </c>
      <c r="I483" s="876"/>
      <c r="J483" s="877">
        <v>0</v>
      </c>
      <c r="K483" s="878" t="s">
        <v>506</v>
      </c>
      <c r="L483" s="977">
        <f>ROUND(SUM(ORÇAMENTO!L483),2)</f>
        <v>0</v>
      </c>
      <c r="M483" s="934">
        <f t="shared" si="143"/>
        <v>0</v>
      </c>
      <c r="N483" s="868">
        <f t="shared" si="144"/>
        <v>0</v>
      </c>
      <c r="O483" s="880"/>
      <c r="P483" s="58" t="str">
        <f>IF(N480&gt;0,"xx",IF(N480&gt;0,"xy",""))</f>
        <v/>
      </c>
      <c r="Q483" s="317" t="str">
        <f t="shared" si="145"/>
        <v/>
      </c>
      <c r="R483" s="317" t="str">
        <f t="shared" si="146"/>
        <v/>
      </c>
      <c r="S483" s="317" t="str">
        <f t="shared" si="147"/>
        <v/>
      </c>
      <c r="V483" s="314">
        <f>SUM(ORÇAMENTO!N483)</f>
        <v>0</v>
      </c>
      <c r="W483" s="315">
        <f t="shared" si="181"/>
        <v>0</v>
      </c>
    </row>
    <row r="484" spans="1:23" ht="15" hidden="1" customHeight="1">
      <c r="A484" s="63" t="s">
        <v>147</v>
      </c>
      <c r="B484" s="870" t="s">
        <v>147</v>
      </c>
      <c r="C484" s="871"/>
      <c r="D484" s="931" t="s">
        <v>244</v>
      </c>
      <c r="E484" s="882">
        <f>DMT!$F$28</f>
        <v>43.1</v>
      </c>
      <c r="F484" s="883">
        <f>SUM(F480:F483)</f>
        <v>1</v>
      </c>
      <c r="G484" s="887">
        <f>IF(E484&lt;=30,(1.07*E484+6.45)*F484,((1.07*30+6.45)+1.07*(E484-30))*F484)</f>
        <v>52.567000000000007</v>
      </c>
      <c r="H484" s="876">
        <v>0</v>
      </c>
      <c r="I484" s="876"/>
      <c r="J484" s="877">
        <v>0</v>
      </c>
      <c r="K484" s="878" t="s">
        <v>506</v>
      </c>
      <c r="L484" s="977">
        <f>ROUND(SUM(ORÇAMENTO!L484),2)</f>
        <v>0</v>
      </c>
      <c r="M484" s="934">
        <f t="shared" si="143"/>
        <v>0</v>
      </c>
      <c r="N484" s="868">
        <f t="shared" si="144"/>
        <v>0</v>
      </c>
      <c r="O484" s="880"/>
      <c r="P484" s="58" t="str">
        <f>IF(N480&gt;0,"xx",IF(N480&gt;0,"xy",""))</f>
        <v/>
      </c>
      <c r="Q484" s="317" t="str">
        <f t="shared" si="145"/>
        <v/>
      </c>
      <c r="R484" s="317" t="str">
        <f t="shared" si="146"/>
        <v/>
      </c>
      <c r="S484" s="317" t="str">
        <f t="shared" si="147"/>
        <v/>
      </c>
      <c r="V484" s="314">
        <f>SUM(ORÇAMENTO!N484)</f>
        <v>0</v>
      </c>
      <c r="W484" s="315">
        <f t="shared" si="181"/>
        <v>0</v>
      </c>
    </row>
    <row r="485" spans="1:23" ht="15" hidden="1" customHeight="1" thickBot="1">
      <c r="A485" s="63">
        <v>589000</v>
      </c>
      <c r="B485" s="978" t="s">
        <v>710</v>
      </c>
      <c r="C485" s="958" t="s">
        <v>213</v>
      </c>
      <c r="D485" s="986" t="s">
        <v>2150</v>
      </c>
      <c r="E485" s="994">
        <f>DMT!$D$45</f>
        <v>468</v>
      </c>
      <c r="F485" s="980">
        <v>1</v>
      </c>
      <c r="G485" s="923">
        <f>(0.94*E485+46.06)*F485</f>
        <v>485.97999999999996</v>
      </c>
      <c r="H485" s="962">
        <v>4828.8599999999997</v>
      </c>
      <c r="I485" s="962">
        <f>IF(ISBLANK(H485),"",H485*(1+$E$9)/(1+$E$10))+G485</f>
        <v>5163.1232400589097</v>
      </c>
      <c r="J485" s="963">
        <f t="shared" si="183"/>
        <v>6310.37</v>
      </c>
      <c r="K485" s="964" t="s">
        <v>14</v>
      </c>
      <c r="L485" s="965">
        <f>ROUND(SUM(ORÇAMENTO!L485),2)</f>
        <v>0</v>
      </c>
      <c r="M485" s="987">
        <f t="shared" si="143"/>
        <v>0</v>
      </c>
      <c r="N485" s="967">
        <f t="shared" si="144"/>
        <v>0</v>
      </c>
      <c r="O485" s="880"/>
      <c r="P485" s="58" t="str">
        <f>IF(N480&gt;0,"xx",IF(N480&gt;0,"xy",""))</f>
        <v/>
      </c>
      <c r="Q485" s="317" t="str">
        <f t="shared" si="145"/>
        <v/>
      </c>
      <c r="R485" s="317" t="str">
        <f t="shared" si="146"/>
        <v/>
      </c>
      <c r="S485" s="317" t="str">
        <f t="shared" si="147"/>
        <v/>
      </c>
      <c r="V485" s="314">
        <f>SUM(ORÇAMENTO!N485)</f>
        <v>0</v>
      </c>
      <c r="W485" s="315">
        <f t="shared" si="181"/>
        <v>0</v>
      </c>
    </row>
    <row r="486" spans="1:23" hidden="1">
      <c r="A486" s="63">
        <v>570000</v>
      </c>
      <c r="B486" s="973" t="s">
        <v>1638</v>
      </c>
      <c r="C486" s="974" t="s">
        <v>184</v>
      </c>
      <c r="D486" s="998" t="str">
        <f>CONCATENATE("CBUQ - Novo Traço - ",Novos_Traços_CBUQ!J79," - (Quantidade MAIOR que 10.000 ton)")</f>
        <v>CBUQ - Novo Traço - TRAÇO 4 - FAIXA "C" - (Quantidade MAIOR que 10.000 ton)</v>
      </c>
      <c r="E486" s="948" t="s">
        <v>563</v>
      </c>
      <c r="F486" s="999">
        <f>Novos_Traços_CBUQ!M105</f>
        <v>0.05</v>
      </c>
      <c r="G486" s="950">
        <f>SUM(G487:G490)</f>
        <v>90.060704600000008</v>
      </c>
      <c r="H486" s="951">
        <v>187.41</v>
      </c>
      <c r="I486" s="951">
        <f>IF(ISBLANK(H486),"",SUM(G486:H486))</f>
        <v>277.47070459999998</v>
      </c>
      <c r="J486" s="952">
        <f t="shared" ref="J486" si="185">IF(ISBLANK(H486),0,ROUND(I486*(1+$E$10),2))</f>
        <v>339.12</v>
      </c>
      <c r="K486" s="953" t="s">
        <v>14</v>
      </c>
      <c r="L486" s="954">
        <f>ROUND(SUM(ORÇAMENTO!L486),2)</f>
        <v>0</v>
      </c>
      <c r="M486" s="955">
        <f t="shared" si="143"/>
        <v>0</v>
      </c>
      <c r="N486" s="956">
        <f t="shared" si="144"/>
        <v>0</v>
      </c>
      <c r="O486" s="880"/>
      <c r="Q486" s="317" t="str">
        <f t="shared" si="145"/>
        <v/>
      </c>
      <c r="R486" s="317" t="str">
        <f t="shared" si="146"/>
        <v/>
      </c>
      <c r="S486" s="317" t="str">
        <f t="shared" si="147"/>
        <v/>
      </c>
      <c r="V486" s="314">
        <f>SUM(ORÇAMENTO!N486)</f>
        <v>0</v>
      </c>
      <c r="W486" s="315">
        <f t="shared" si="181"/>
        <v>0</v>
      </c>
    </row>
    <row r="487" spans="1:23" ht="15" hidden="1" customHeight="1">
      <c r="A487" s="63" t="s">
        <v>147</v>
      </c>
      <c r="B487" s="870" t="s">
        <v>147</v>
      </c>
      <c r="C487" s="871"/>
      <c r="D487" s="931" t="s">
        <v>229</v>
      </c>
      <c r="E487" s="882">
        <f>DMT!$F$42</f>
        <v>290</v>
      </c>
      <c r="F487" s="1242">
        <f>Novos_Traços_CBUQ!M103</f>
        <v>9.5699999999999993E-2</v>
      </c>
      <c r="G487" s="923">
        <f t="shared" ref="G487" si="186">IF(E487&lt;=30,(1.07*E487+2.68)*F487,((1.07*30+2.68)+1.07*(E487-30))*F487)</f>
        <v>29.952186000000001</v>
      </c>
      <c r="H487" s="876">
        <v>0</v>
      </c>
      <c r="I487" s="876"/>
      <c r="J487" s="877">
        <v>0</v>
      </c>
      <c r="K487" s="878" t="s">
        <v>506</v>
      </c>
      <c r="L487" s="977">
        <f>ROUND(SUM(ORÇAMENTO!L487),2)</f>
        <v>0</v>
      </c>
      <c r="M487" s="934">
        <f t="shared" si="143"/>
        <v>0</v>
      </c>
      <c r="N487" s="868">
        <f t="shared" si="144"/>
        <v>0</v>
      </c>
      <c r="O487" s="880"/>
      <c r="P487" s="58" t="str">
        <f>IF(N486&gt;0,"xx",IF(N486&gt;0,"xy",""))</f>
        <v/>
      </c>
      <c r="Q487" s="317" t="str">
        <f t="shared" si="145"/>
        <v/>
      </c>
      <c r="R487" s="317" t="str">
        <f t="shared" si="146"/>
        <v/>
      </c>
      <c r="S487" s="317" t="str">
        <f t="shared" si="147"/>
        <v/>
      </c>
      <c r="V487" s="314">
        <f>SUM(ORÇAMENTO!N487)</f>
        <v>0</v>
      </c>
      <c r="W487" s="315">
        <f t="shared" si="181"/>
        <v>0</v>
      </c>
    </row>
    <row r="488" spans="1:23" ht="15" hidden="1" customHeight="1">
      <c r="A488" s="63" t="s">
        <v>147</v>
      </c>
      <c r="B488" s="870" t="s">
        <v>147</v>
      </c>
      <c r="C488" s="871"/>
      <c r="D488" s="931" t="s">
        <v>230</v>
      </c>
      <c r="E488" s="882">
        <f>DMT!$D$46</f>
        <v>445</v>
      </c>
      <c r="F488" s="1242">
        <f>Novos_Traços_CBUQ!M104</f>
        <v>1.44E-2</v>
      </c>
      <c r="G488" s="884">
        <f>IF(E488&lt;=30,(0.78*E488+7.82)*F488,((0.78*30+7.82)+0.78*(E488-30))*F488)</f>
        <v>5.1108479999999998</v>
      </c>
      <c r="H488" s="876">
        <v>0</v>
      </c>
      <c r="I488" s="876"/>
      <c r="J488" s="877">
        <v>0</v>
      </c>
      <c r="K488" s="878" t="s">
        <v>506</v>
      </c>
      <c r="L488" s="977">
        <f>ROUND(SUM(ORÇAMENTO!L488),2)</f>
        <v>0</v>
      </c>
      <c r="M488" s="934">
        <f t="shared" si="143"/>
        <v>0</v>
      </c>
      <c r="N488" s="868">
        <f t="shared" si="144"/>
        <v>0</v>
      </c>
      <c r="O488" s="880"/>
      <c r="P488" s="58" t="str">
        <f>IF(N486&gt;0,"xx",IF(N486&gt;0,"xy",""))</f>
        <v/>
      </c>
      <c r="Q488" s="317" t="str">
        <f t="shared" si="145"/>
        <v/>
      </c>
      <c r="R488" s="317" t="str">
        <f t="shared" si="146"/>
        <v/>
      </c>
      <c r="S488" s="317" t="str">
        <f t="shared" si="147"/>
        <v/>
      </c>
      <c r="V488" s="314">
        <f>SUM(ORÇAMENTO!N488)</f>
        <v>0</v>
      </c>
      <c r="W488" s="315">
        <f t="shared" si="181"/>
        <v>0</v>
      </c>
    </row>
    <row r="489" spans="1:23" ht="15" hidden="1" customHeight="1">
      <c r="A489" s="63" t="s">
        <v>147</v>
      </c>
      <c r="B489" s="870" t="s">
        <v>147</v>
      </c>
      <c r="C489" s="871"/>
      <c r="D489" s="931" t="s">
        <v>243</v>
      </c>
      <c r="E489" s="882">
        <f>DMT!$F$43</f>
        <v>0.2</v>
      </c>
      <c r="F489" s="1242">
        <f>Novos_Traços_CBUQ!M101</f>
        <v>0.83989999999999998</v>
      </c>
      <c r="G489" s="923">
        <f t="shared" ref="G489" si="187">IF(E489&lt;=30,(1.07*E489+2.68)*F489,((1.07*30+2.68)+1.07*(E489-30))*F489)</f>
        <v>2.4306706</v>
      </c>
      <c r="H489" s="876">
        <v>0</v>
      </c>
      <c r="I489" s="876"/>
      <c r="J489" s="877">
        <v>0</v>
      </c>
      <c r="K489" s="878" t="s">
        <v>506</v>
      </c>
      <c r="L489" s="977">
        <f>ROUND(SUM(ORÇAMENTO!L489),2)</f>
        <v>0</v>
      </c>
      <c r="M489" s="934">
        <f t="shared" si="143"/>
        <v>0</v>
      </c>
      <c r="N489" s="868">
        <f t="shared" si="144"/>
        <v>0</v>
      </c>
      <c r="O489" s="880"/>
      <c r="P489" s="58" t="str">
        <f>IF(N486&gt;0,"xx",IF(N486&gt;0,"xy",""))</f>
        <v/>
      </c>
      <c r="Q489" s="317" t="str">
        <f t="shared" si="145"/>
        <v/>
      </c>
      <c r="R489" s="317" t="str">
        <f t="shared" si="146"/>
        <v/>
      </c>
      <c r="S489" s="317" t="str">
        <f t="shared" si="147"/>
        <v/>
      </c>
      <c r="V489" s="314">
        <f>SUM(ORÇAMENTO!N489)</f>
        <v>0</v>
      </c>
      <c r="W489" s="315">
        <f t="shared" si="181"/>
        <v>0</v>
      </c>
    </row>
    <row r="490" spans="1:23" ht="15" hidden="1" customHeight="1">
      <c r="A490" s="63" t="s">
        <v>147</v>
      </c>
      <c r="B490" s="870" t="s">
        <v>147</v>
      </c>
      <c r="C490" s="871"/>
      <c r="D490" s="931" t="s">
        <v>244</v>
      </c>
      <c r="E490" s="882">
        <f>DMT!$F$28</f>
        <v>43.1</v>
      </c>
      <c r="F490" s="883">
        <f>SUM(F486:F489)</f>
        <v>1</v>
      </c>
      <c r="G490" s="887">
        <f>IF(E490&lt;=30,(1.07*E490+6.45)*F490,((1.07*30+6.45)+1.07*(E490-30))*F490)</f>
        <v>52.567000000000007</v>
      </c>
      <c r="H490" s="876">
        <v>0</v>
      </c>
      <c r="I490" s="876"/>
      <c r="J490" s="877">
        <v>0</v>
      </c>
      <c r="K490" s="878" t="s">
        <v>506</v>
      </c>
      <c r="L490" s="977">
        <f>ROUND(SUM(ORÇAMENTO!L490),2)</f>
        <v>0</v>
      </c>
      <c r="M490" s="934">
        <f t="shared" si="143"/>
        <v>0</v>
      </c>
      <c r="N490" s="868">
        <f t="shared" si="144"/>
        <v>0</v>
      </c>
      <c r="O490" s="880"/>
      <c r="P490" s="58" t="str">
        <f>IF(N486&gt;0,"xx",IF(N486&gt;0,"xy",""))</f>
        <v/>
      </c>
      <c r="Q490" s="317" t="str">
        <f t="shared" si="145"/>
        <v/>
      </c>
      <c r="R490" s="317" t="str">
        <f t="shared" si="146"/>
        <v/>
      </c>
      <c r="S490" s="317" t="str">
        <f t="shared" si="147"/>
        <v/>
      </c>
      <c r="V490" s="314">
        <f>SUM(ORÇAMENTO!N490)</f>
        <v>0</v>
      </c>
      <c r="W490" s="315">
        <f t="shared" si="181"/>
        <v>0</v>
      </c>
    </row>
    <row r="491" spans="1:23" ht="15" hidden="1" customHeight="1" thickBot="1">
      <c r="A491" s="63">
        <v>589000</v>
      </c>
      <c r="B491" s="978" t="s">
        <v>702</v>
      </c>
      <c r="C491" s="958" t="s">
        <v>213</v>
      </c>
      <c r="D491" s="986" t="s">
        <v>2149</v>
      </c>
      <c r="E491" s="994">
        <f>DMT!$D$45</f>
        <v>468</v>
      </c>
      <c r="F491" s="980">
        <v>1</v>
      </c>
      <c r="G491" s="923">
        <f>(0.94*E491+46.06)*F491</f>
        <v>485.97999999999996</v>
      </c>
      <c r="H491" s="962">
        <v>4828.8599999999997</v>
      </c>
      <c r="I491" s="962">
        <f>IF(ISBLANK(H491),"",H491*(1+$E$9)/(1+$E$10))+G491</f>
        <v>5163.1232400589097</v>
      </c>
      <c r="J491" s="963">
        <f t="shared" ref="J491" si="188">IF(ISBLANK(H491),0,ROUND(I491*(1+$E$10),2))</f>
        <v>6310.37</v>
      </c>
      <c r="K491" s="964" t="s">
        <v>14</v>
      </c>
      <c r="L491" s="965">
        <f>ROUND(SUM(ORÇAMENTO!L491),2)</f>
        <v>0</v>
      </c>
      <c r="M491" s="987">
        <f t="shared" si="143"/>
        <v>0</v>
      </c>
      <c r="N491" s="967">
        <f t="shared" si="144"/>
        <v>0</v>
      </c>
      <c r="O491" s="880"/>
      <c r="P491" s="58" t="str">
        <f>IF(N486&gt;0,"xx",IF(N486&gt;0,"xy",""))</f>
        <v/>
      </c>
      <c r="Q491" s="317" t="str">
        <f t="shared" si="145"/>
        <v/>
      </c>
      <c r="R491" s="317" t="str">
        <f t="shared" si="146"/>
        <v/>
      </c>
      <c r="S491" s="317" t="str">
        <f t="shared" si="147"/>
        <v/>
      </c>
      <c r="V491" s="314">
        <f>SUM(ORÇAMENTO!N491)</f>
        <v>0</v>
      </c>
      <c r="W491" s="315">
        <f t="shared" si="181"/>
        <v>0</v>
      </c>
    </row>
    <row r="492" spans="1:23" ht="22.5" hidden="1">
      <c r="A492" s="63">
        <v>570360</v>
      </c>
      <c r="B492" s="973">
        <v>570360</v>
      </c>
      <c r="C492" s="974" t="s">
        <v>184</v>
      </c>
      <c r="D492" s="947" t="s">
        <v>245</v>
      </c>
      <c r="E492" s="1000" t="s">
        <v>565</v>
      </c>
      <c r="F492" s="949">
        <v>5.8999999999999997E-2</v>
      </c>
      <c r="G492" s="950">
        <f>SUM(G493:G496)</f>
        <v>91.579244000000017</v>
      </c>
      <c r="H492" s="951">
        <v>178.95</v>
      </c>
      <c r="I492" s="951">
        <f>IF(ISBLANK(H492),"",SUM(G492:H492))</f>
        <v>270.52924400000001</v>
      </c>
      <c r="J492" s="952">
        <f t="shared" si="183"/>
        <v>330.64</v>
      </c>
      <c r="K492" s="953" t="s">
        <v>14</v>
      </c>
      <c r="L492" s="954">
        <f>ROUND(SUM(ORÇAMENTO!L492),2)</f>
        <v>0</v>
      </c>
      <c r="M492" s="955">
        <f t="shared" si="143"/>
        <v>0</v>
      </c>
      <c r="N492" s="956">
        <f t="shared" si="144"/>
        <v>0</v>
      </c>
      <c r="O492" s="880"/>
      <c r="Q492" s="317" t="str">
        <f t="shared" si="145"/>
        <v/>
      </c>
      <c r="R492" s="317" t="str">
        <f t="shared" si="146"/>
        <v/>
      </c>
      <c r="S492" s="317" t="str">
        <f t="shared" si="147"/>
        <v/>
      </c>
      <c r="V492" s="314">
        <f>SUM(ORÇAMENTO!N492)</f>
        <v>0</v>
      </c>
      <c r="W492" s="315">
        <f t="shared" si="181"/>
        <v>0</v>
      </c>
    </row>
    <row r="493" spans="1:23" ht="15" hidden="1" customHeight="1">
      <c r="A493" s="63" t="s">
        <v>147</v>
      </c>
      <c r="B493" s="870" t="s">
        <v>147</v>
      </c>
      <c r="C493" s="871"/>
      <c r="D493" s="931" t="s">
        <v>229</v>
      </c>
      <c r="E493" s="882">
        <f>DMT!$F$42</f>
        <v>290</v>
      </c>
      <c r="F493" s="883">
        <v>0.1</v>
      </c>
      <c r="G493" s="923">
        <f t="shared" ref="G493:G495" si="189">IF(E493&lt;=30,(1.07*E493+2.68)*F493,((1.07*30+2.68)+1.07*(E493-30))*F493)</f>
        <v>31.298000000000002</v>
      </c>
      <c r="H493" s="876">
        <v>0</v>
      </c>
      <c r="I493" s="876"/>
      <c r="J493" s="877">
        <v>0</v>
      </c>
      <c r="K493" s="878" t="s">
        <v>506</v>
      </c>
      <c r="L493" s="977">
        <f>ROUND(SUM(ORÇAMENTO!L493),2)</f>
        <v>0</v>
      </c>
      <c r="M493" s="934">
        <f t="shared" si="143"/>
        <v>0</v>
      </c>
      <c r="N493" s="868">
        <f t="shared" si="144"/>
        <v>0</v>
      </c>
      <c r="O493" s="880"/>
      <c r="P493" s="58" t="str">
        <f>IF(N492&gt;0,"xx",IF(N492&gt;0,"xy",""))</f>
        <v/>
      </c>
      <c r="Q493" s="317" t="str">
        <f t="shared" si="145"/>
        <v/>
      </c>
      <c r="R493" s="317" t="str">
        <f t="shared" si="146"/>
        <v/>
      </c>
      <c r="S493" s="317" t="str">
        <f t="shared" si="147"/>
        <v/>
      </c>
      <c r="V493" s="314">
        <f>SUM(ORÇAMENTO!N493)</f>
        <v>0</v>
      </c>
      <c r="W493" s="315">
        <f t="shared" si="181"/>
        <v>0</v>
      </c>
    </row>
    <row r="494" spans="1:23" ht="15" hidden="1" customHeight="1">
      <c r="A494" s="63" t="s">
        <v>147</v>
      </c>
      <c r="B494" s="870" t="s">
        <v>147</v>
      </c>
      <c r="C494" s="871"/>
      <c r="D494" s="931" t="s">
        <v>230</v>
      </c>
      <c r="E494" s="882">
        <f>DMT!$D$46</f>
        <v>445</v>
      </c>
      <c r="F494" s="883">
        <v>1.4999999999999999E-2</v>
      </c>
      <c r="G494" s="884">
        <f>IF(E494&lt;=30,(0.78*E494+7.82)*F494,((0.78*30+7.82)+0.78*(E494-30))*F494)</f>
        <v>5.3238000000000003</v>
      </c>
      <c r="H494" s="876">
        <v>0</v>
      </c>
      <c r="I494" s="876"/>
      <c r="J494" s="877">
        <v>0</v>
      </c>
      <c r="K494" s="878" t="s">
        <v>506</v>
      </c>
      <c r="L494" s="977">
        <f>ROUND(SUM(ORÇAMENTO!L494),2)</f>
        <v>0</v>
      </c>
      <c r="M494" s="934">
        <f t="shared" si="143"/>
        <v>0</v>
      </c>
      <c r="N494" s="868">
        <f t="shared" si="144"/>
        <v>0</v>
      </c>
      <c r="O494" s="880"/>
      <c r="P494" s="58" t="str">
        <f>IF(N492&gt;0,"xx",IF(N492&gt;0,"xy",""))</f>
        <v/>
      </c>
      <c r="Q494" s="317" t="str">
        <f t="shared" si="145"/>
        <v/>
      </c>
      <c r="R494" s="317" t="str">
        <f t="shared" si="146"/>
        <v/>
      </c>
      <c r="S494" s="317" t="str">
        <f t="shared" si="147"/>
        <v/>
      </c>
      <c r="V494" s="314">
        <f>SUM(ORÇAMENTO!N494)</f>
        <v>0</v>
      </c>
      <c r="W494" s="315">
        <f t="shared" si="181"/>
        <v>0</v>
      </c>
    </row>
    <row r="495" spans="1:23" ht="15" hidden="1" customHeight="1">
      <c r="A495" s="63" t="s">
        <v>147</v>
      </c>
      <c r="B495" s="870" t="s">
        <v>147</v>
      </c>
      <c r="C495" s="871"/>
      <c r="D495" s="931" t="s">
        <v>243</v>
      </c>
      <c r="E495" s="882">
        <f>DMT!$F$43</f>
        <v>0.2</v>
      </c>
      <c r="F495" s="883">
        <v>0.82599999999999996</v>
      </c>
      <c r="G495" s="923">
        <f t="shared" si="189"/>
        <v>2.390444</v>
      </c>
      <c r="H495" s="876">
        <v>0</v>
      </c>
      <c r="I495" s="876"/>
      <c r="J495" s="877">
        <v>0</v>
      </c>
      <c r="K495" s="878" t="s">
        <v>506</v>
      </c>
      <c r="L495" s="977">
        <f>ROUND(SUM(ORÇAMENTO!L495),2)</f>
        <v>0</v>
      </c>
      <c r="M495" s="934">
        <f t="shared" si="143"/>
        <v>0</v>
      </c>
      <c r="N495" s="868">
        <f t="shared" si="144"/>
        <v>0</v>
      </c>
      <c r="O495" s="880"/>
      <c r="P495" s="58" t="str">
        <f>IF(N492&gt;0,"xx",IF(N492&gt;0,"xy",""))</f>
        <v/>
      </c>
      <c r="Q495" s="317" t="str">
        <f t="shared" si="145"/>
        <v/>
      </c>
      <c r="R495" s="317" t="str">
        <f t="shared" si="146"/>
        <v/>
      </c>
      <c r="S495" s="317" t="str">
        <f t="shared" si="147"/>
        <v/>
      </c>
      <c r="V495" s="314">
        <f>SUM(ORÇAMENTO!N495)</f>
        <v>0</v>
      </c>
      <c r="W495" s="315">
        <f t="shared" si="181"/>
        <v>0</v>
      </c>
    </row>
    <row r="496" spans="1:23" ht="15" hidden="1" customHeight="1">
      <c r="A496" s="63" t="s">
        <v>147</v>
      </c>
      <c r="B496" s="870" t="s">
        <v>147</v>
      </c>
      <c r="C496" s="871"/>
      <c r="D496" s="931" t="s">
        <v>244</v>
      </c>
      <c r="E496" s="882">
        <f>DMT!$F$28</f>
        <v>43.1</v>
      </c>
      <c r="F496" s="883">
        <f>SUM(F492:F495)</f>
        <v>1</v>
      </c>
      <c r="G496" s="887">
        <f>IF(E496&lt;=30,(1.07*E496+6.45)*F496,((1.07*30+6.45)+1.07*(E496-30))*F496)</f>
        <v>52.567000000000007</v>
      </c>
      <c r="H496" s="876">
        <v>0</v>
      </c>
      <c r="I496" s="876"/>
      <c r="J496" s="877">
        <v>0</v>
      </c>
      <c r="K496" s="878" t="s">
        <v>506</v>
      </c>
      <c r="L496" s="977">
        <f>ROUND(SUM(ORÇAMENTO!L496),2)</f>
        <v>0</v>
      </c>
      <c r="M496" s="934">
        <f t="shared" si="143"/>
        <v>0</v>
      </c>
      <c r="N496" s="868">
        <f t="shared" si="144"/>
        <v>0</v>
      </c>
      <c r="O496" s="880"/>
      <c r="P496" s="58" t="str">
        <f>IF(N492&gt;0,"xx",IF(N492&gt;0,"xy",""))</f>
        <v/>
      </c>
      <c r="Q496" s="317" t="str">
        <f t="shared" si="145"/>
        <v/>
      </c>
      <c r="R496" s="317" t="str">
        <f t="shared" si="146"/>
        <v/>
      </c>
      <c r="S496" s="317" t="str">
        <f t="shared" si="147"/>
        <v/>
      </c>
      <c r="V496" s="314">
        <f>SUM(ORÇAMENTO!N496)</f>
        <v>0</v>
      </c>
      <c r="W496" s="315">
        <f t="shared" si="181"/>
        <v>0</v>
      </c>
    </row>
    <row r="497" spans="1:23" ht="15" hidden="1" customHeight="1" thickBot="1">
      <c r="A497" s="63">
        <v>589040</v>
      </c>
      <c r="B497" s="978">
        <v>589040</v>
      </c>
      <c r="C497" s="958" t="s">
        <v>213</v>
      </c>
      <c r="D497" s="986" t="s">
        <v>561</v>
      </c>
      <c r="E497" s="994">
        <f>DMT!$D$45</f>
        <v>468</v>
      </c>
      <c r="F497" s="980">
        <v>1</v>
      </c>
      <c r="G497" s="923">
        <f>(0.94*E497+46.06)*F497</f>
        <v>485.97999999999996</v>
      </c>
      <c r="H497" s="962">
        <v>6122.06</v>
      </c>
      <c r="I497" s="962">
        <f>IF(ISBLANK(H497),"",H497*(1+$E$9)/(1+$E$10))+G497</f>
        <v>6415.6925085910652</v>
      </c>
      <c r="J497" s="963">
        <f t="shared" si="183"/>
        <v>7841.26</v>
      </c>
      <c r="K497" s="964" t="s">
        <v>14</v>
      </c>
      <c r="L497" s="965">
        <f>ROUND(SUM(ORÇAMENTO!L497),2)</f>
        <v>0</v>
      </c>
      <c r="M497" s="987">
        <f t="shared" si="143"/>
        <v>0</v>
      </c>
      <c r="N497" s="967">
        <f t="shared" si="144"/>
        <v>0</v>
      </c>
      <c r="O497" s="880"/>
      <c r="P497" s="58" t="str">
        <f>IF(N492&gt;0,"xx",IF(N492&gt;0,"xy",""))</f>
        <v/>
      </c>
      <c r="Q497" s="317" t="str">
        <f t="shared" si="145"/>
        <v/>
      </c>
      <c r="R497" s="317" t="str">
        <f t="shared" si="146"/>
        <v/>
      </c>
      <c r="S497" s="317" t="str">
        <f t="shared" si="147"/>
        <v/>
      </c>
      <c r="V497" s="314">
        <f>SUM(ORÇAMENTO!N497)</f>
        <v>0</v>
      </c>
      <c r="W497" s="315">
        <f t="shared" si="181"/>
        <v>0</v>
      </c>
    </row>
    <row r="498" spans="1:23" ht="22.5" hidden="1">
      <c r="A498" s="63">
        <v>570350</v>
      </c>
      <c r="B498" s="973">
        <v>570350</v>
      </c>
      <c r="C498" s="974" t="s">
        <v>184</v>
      </c>
      <c r="D498" s="947" t="s">
        <v>1883</v>
      </c>
      <c r="E498" s="1000" t="s">
        <v>566</v>
      </c>
      <c r="F498" s="949">
        <v>0.06</v>
      </c>
      <c r="G498" s="950">
        <f>SUM(G499:G502)</f>
        <v>91.576350000000005</v>
      </c>
      <c r="H498" s="951">
        <v>188.55</v>
      </c>
      <c r="I498" s="951">
        <f>IF(ISBLANK(H498),"",SUM(G498:H498))</f>
        <v>280.12635</v>
      </c>
      <c r="J498" s="952">
        <f t="shared" si="183"/>
        <v>342.37</v>
      </c>
      <c r="K498" s="953" t="s">
        <v>567</v>
      </c>
      <c r="L498" s="954">
        <f>ROUND(SUM(ORÇAMENTO!L498),2)</f>
        <v>0</v>
      </c>
      <c r="M498" s="955">
        <f t="shared" si="143"/>
        <v>0</v>
      </c>
      <c r="N498" s="956">
        <f t="shared" si="144"/>
        <v>0</v>
      </c>
      <c r="O498" s="880"/>
      <c r="Q498" s="317" t="str">
        <f t="shared" si="145"/>
        <v/>
      </c>
      <c r="R498" s="317" t="str">
        <f t="shared" si="146"/>
        <v/>
      </c>
      <c r="S498" s="317" t="str">
        <f t="shared" si="147"/>
        <v/>
      </c>
      <c r="V498" s="314">
        <f>SUM(ORÇAMENTO!N498)</f>
        <v>0</v>
      </c>
      <c r="W498" s="315">
        <f t="shared" si="181"/>
        <v>0</v>
      </c>
    </row>
    <row r="499" spans="1:23" ht="15" hidden="1" customHeight="1">
      <c r="A499" s="63" t="s">
        <v>147</v>
      </c>
      <c r="B499" s="870" t="s">
        <v>147</v>
      </c>
      <c r="C499" s="871"/>
      <c r="D499" s="931" t="s">
        <v>229</v>
      </c>
      <c r="E499" s="882">
        <f>DMT!$F$42</f>
        <v>290</v>
      </c>
      <c r="F499" s="883">
        <v>0.1</v>
      </c>
      <c r="G499" s="923">
        <f t="shared" ref="G499:G501" si="190">IF(E499&lt;=30,(1.07*E499+2.68)*F499,((1.07*30+2.68)+1.07*(E499-30))*F499)</f>
        <v>31.298000000000002</v>
      </c>
      <c r="H499" s="876">
        <v>0</v>
      </c>
      <c r="I499" s="876"/>
      <c r="J499" s="877">
        <v>0</v>
      </c>
      <c r="K499" s="878" t="s">
        <v>506</v>
      </c>
      <c r="L499" s="977">
        <f>ROUND(SUM(ORÇAMENTO!L499),2)</f>
        <v>0</v>
      </c>
      <c r="M499" s="934">
        <f t="shared" si="143"/>
        <v>0</v>
      </c>
      <c r="N499" s="868">
        <f t="shared" si="144"/>
        <v>0</v>
      </c>
      <c r="O499" s="880"/>
      <c r="P499" s="58" t="str">
        <f>IF(N498&gt;0,"xx",IF(N498&gt;0,"xy",""))</f>
        <v/>
      </c>
      <c r="Q499" s="317" t="str">
        <f t="shared" si="145"/>
        <v/>
      </c>
      <c r="R499" s="317" t="str">
        <f t="shared" si="146"/>
        <v/>
      </c>
      <c r="S499" s="317" t="str">
        <f t="shared" si="147"/>
        <v/>
      </c>
      <c r="V499" s="314">
        <f>SUM(ORÇAMENTO!N499)</f>
        <v>0</v>
      </c>
      <c r="W499" s="315">
        <f t="shared" si="181"/>
        <v>0</v>
      </c>
    </row>
    <row r="500" spans="1:23" ht="15" hidden="1" customHeight="1">
      <c r="A500" s="63" t="s">
        <v>147</v>
      </c>
      <c r="B500" s="870" t="s">
        <v>147</v>
      </c>
      <c r="C500" s="871"/>
      <c r="D500" s="931" t="s">
        <v>230</v>
      </c>
      <c r="E500" s="882">
        <f>DMT!$D$46</f>
        <v>445</v>
      </c>
      <c r="F500" s="883">
        <v>1.4999999999999999E-2</v>
      </c>
      <c r="G500" s="884">
        <f>IF(E500&lt;=30,(0.78*E500+7.82)*F500,((0.78*30+7.82)+0.78*(E500-30))*F500)</f>
        <v>5.3238000000000003</v>
      </c>
      <c r="H500" s="876">
        <v>0</v>
      </c>
      <c r="I500" s="876"/>
      <c r="J500" s="877">
        <v>0</v>
      </c>
      <c r="K500" s="878" t="s">
        <v>506</v>
      </c>
      <c r="L500" s="977">
        <f>ROUND(SUM(ORÇAMENTO!L500),2)</f>
        <v>0</v>
      </c>
      <c r="M500" s="934">
        <f t="shared" si="143"/>
        <v>0</v>
      </c>
      <c r="N500" s="868">
        <f t="shared" si="144"/>
        <v>0</v>
      </c>
      <c r="O500" s="880"/>
      <c r="P500" s="58" t="str">
        <f>IF(N498&gt;0,"xx",IF(N498&gt;0,"xy",""))</f>
        <v/>
      </c>
      <c r="Q500" s="317" t="str">
        <f t="shared" si="145"/>
        <v/>
      </c>
      <c r="R500" s="317" t="str">
        <f t="shared" si="146"/>
        <v/>
      </c>
      <c r="S500" s="317" t="str">
        <f t="shared" si="147"/>
        <v/>
      </c>
      <c r="V500" s="314">
        <f>SUM(ORÇAMENTO!N500)</f>
        <v>0</v>
      </c>
      <c r="W500" s="315">
        <f t="shared" si="181"/>
        <v>0</v>
      </c>
    </row>
    <row r="501" spans="1:23" ht="15" hidden="1" customHeight="1">
      <c r="A501" s="63" t="s">
        <v>147</v>
      </c>
      <c r="B501" s="870" t="s">
        <v>147</v>
      </c>
      <c r="C501" s="871"/>
      <c r="D501" s="931" t="s">
        <v>243</v>
      </c>
      <c r="E501" s="882">
        <f>DMT!$F$43</f>
        <v>0.2</v>
      </c>
      <c r="F501" s="883">
        <v>0.82499999999999996</v>
      </c>
      <c r="G501" s="923">
        <f t="shared" si="190"/>
        <v>2.3875500000000001</v>
      </c>
      <c r="H501" s="876">
        <v>0</v>
      </c>
      <c r="I501" s="876"/>
      <c r="J501" s="877">
        <v>0</v>
      </c>
      <c r="K501" s="878" t="s">
        <v>506</v>
      </c>
      <c r="L501" s="977">
        <f>ROUND(SUM(ORÇAMENTO!L501),2)</f>
        <v>0</v>
      </c>
      <c r="M501" s="934">
        <f t="shared" si="143"/>
        <v>0</v>
      </c>
      <c r="N501" s="868">
        <f t="shared" si="144"/>
        <v>0</v>
      </c>
      <c r="O501" s="880"/>
      <c r="P501" s="58" t="str">
        <f>IF(N498&gt;0,"xx",IF(N498&gt;0,"xy",""))</f>
        <v/>
      </c>
      <c r="Q501" s="317" t="str">
        <f t="shared" si="145"/>
        <v/>
      </c>
      <c r="R501" s="317" t="str">
        <f t="shared" si="146"/>
        <v/>
      </c>
      <c r="S501" s="317" t="str">
        <f t="shared" si="147"/>
        <v/>
      </c>
      <c r="V501" s="314">
        <f>SUM(ORÇAMENTO!N501)</f>
        <v>0</v>
      </c>
      <c r="W501" s="315">
        <f t="shared" si="181"/>
        <v>0</v>
      </c>
    </row>
    <row r="502" spans="1:23" ht="15" hidden="1" customHeight="1">
      <c r="A502" s="63" t="s">
        <v>147</v>
      </c>
      <c r="B502" s="870" t="s">
        <v>147</v>
      </c>
      <c r="C502" s="871"/>
      <c r="D502" s="931" t="s">
        <v>244</v>
      </c>
      <c r="E502" s="882">
        <f>DMT!$F$28</f>
        <v>43.1</v>
      </c>
      <c r="F502" s="883">
        <f>SUM(F498:F501)</f>
        <v>1</v>
      </c>
      <c r="G502" s="887">
        <f>IF(E502&lt;=30,(1.07*E502+6.45)*F502,((1.07*30+6.45)+1.07*(E502-30))*F502)</f>
        <v>52.567000000000007</v>
      </c>
      <c r="H502" s="876">
        <v>0</v>
      </c>
      <c r="I502" s="876"/>
      <c r="J502" s="877">
        <v>0</v>
      </c>
      <c r="K502" s="878" t="s">
        <v>506</v>
      </c>
      <c r="L502" s="977">
        <f>ROUND(SUM(ORÇAMENTO!L502),2)</f>
        <v>0</v>
      </c>
      <c r="M502" s="934">
        <f t="shared" si="143"/>
        <v>0</v>
      </c>
      <c r="N502" s="868">
        <f t="shared" si="144"/>
        <v>0</v>
      </c>
      <c r="O502" s="880"/>
      <c r="P502" s="58" t="str">
        <f>IF(N498&gt;0,"xx",IF(N498&gt;0,"xy",""))</f>
        <v/>
      </c>
      <c r="Q502" s="317" t="str">
        <f t="shared" si="145"/>
        <v/>
      </c>
      <c r="R502" s="317" t="str">
        <f t="shared" si="146"/>
        <v/>
      </c>
      <c r="S502" s="317" t="str">
        <f t="shared" si="147"/>
        <v/>
      </c>
      <c r="V502" s="314">
        <f>SUM(ORÇAMENTO!N502)</f>
        <v>0</v>
      </c>
      <c r="W502" s="315">
        <f t="shared" si="181"/>
        <v>0</v>
      </c>
    </row>
    <row r="503" spans="1:23" ht="15" hidden="1" customHeight="1" thickBot="1">
      <c r="A503" s="63">
        <v>589050</v>
      </c>
      <c r="B503" s="978">
        <v>589050</v>
      </c>
      <c r="C503" s="958" t="s">
        <v>213</v>
      </c>
      <c r="D503" s="986" t="s">
        <v>1884</v>
      </c>
      <c r="E503" s="994">
        <f>DMT!$D$45</f>
        <v>468</v>
      </c>
      <c r="F503" s="980">
        <v>1</v>
      </c>
      <c r="G503" s="923">
        <f>(0.94*E503+46.06)*F503</f>
        <v>485.97999999999996</v>
      </c>
      <c r="H503" s="962">
        <v>5201.1000000000004</v>
      </c>
      <c r="I503" s="962">
        <f>IF(ISBLANK(H503),"",H503*(1+$E$9)/(1+$E$10))+G503</f>
        <v>5523.6679234167887</v>
      </c>
      <c r="J503" s="963">
        <f t="shared" si="183"/>
        <v>6751.03</v>
      </c>
      <c r="K503" s="964" t="s">
        <v>14</v>
      </c>
      <c r="L503" s="965">
        <f>ROUND(SUM(ORÇAMENTO!L503),2)</f>
        <v>0</v>
      </c>
      <c r="M503" s="987">
        <f t="shared" si="143"/>
        <v>0</v>
      </c>
      <c r="N503" s="967">
        <f t="shared" si="144"/>
        <v>0</v>
      </c>
      <c r="O503" s="880"/>
      <c r="P503" s="58" t="str">
        <f>IF(N498&gt;0,"xx",IF(N498&gt;0,"xy",""))</f>
        <v/>
      </c>
      <c r="Q503" s="317" t="str">
        <f t="shared" si="145"/>
        <v/>
      </c>
      <c r="R503" s="317" t="str">
        <f t="shared" si="146"/>
        <v/>
      </c>
      <c r="S503" s="317" t="str">
        <f t="shared" si="147"/>
        <v/>
      </c>
      <c r="V503" s="314">
        <f>SUM(ORÇAMENTO!N503)</f>
        <v>0</v>
      </c>
      <c r="W503" s="315">
        <f t="shared" si="181"/>
        <v>0</v>
      </c>
    </row>
    <row r="504" spans="1:23" ht="15" hidden="1" customHeight="1">
      <c r="A504" s="63">
        <v>502615</v>
      </c>
      <c r="B504" s="973">
        <v>502615</v>
      </c>
      <c r="C504" s="974" t="s">
        <v>184</v>
      </c>
      <c r="D504" s="947" t="s">
        <v>1915</v>
      </c>
      <c r="E504" s="948"/>
      <c r="F504" s="949"/>
      <c r="G504" s="950">
        <f>SUM(G505:G508)</f>
        <v>302.71031700000003</v>
      </c>
      <c r="H504" s="951">
        <v>307.27999999999997</v>
      </c>
      <c r="I504" s="951">
        <f t="shared" ref="I504:I538" si="191">IF(ISBLANK(H504),"",SUM(G504:H504))</f>
        <v>609.990317</v>
      </c>
      <c r="J504" s="952">
        <f t="shared" si="183"/>
        <v>745.53</v>
      </c>
      <c r="K504" s="953" t="s">
        <v>10</v>
      </c>
      <c r="L504" s="954">
        <f>ROUND(SUM(ORÇAMENTO!L504),2)</f>
        <v>0</v>
      </c>
      <c r="M504" s="955">
        <f t="shared" si="143"/>
        <v>0</v>
      </c>
      <c r="N504" s="956">
        <f t="shared" si="144"/>
        <v>0</v>
      </c>
      <c r="O504" s="880"/>
      <c r="Q504" s="317" t="str">
        <f t="shared" si="145"/>
        <v/>
      </c>
      <c r="R504" s="317" t="str">
        <f t="shared" si="146"/>
        <v/>
      </c>
      <c r="S504" s="317" t="str">
        <f t="shared" si="147"/>
        <v/>
      </c>
      <c r="V504" s="314">
        <f>SUM(ORÇAMENTO!N504)</f>
        <v>0</v>
      </c>
      <c r="W504" s="315">
        <f t="shared" si="181"/>
        <v>0</v>
      </c>
    </row>
    <row r="505" spans="1:23" ht="15" hidden="1" customHeight="1">
      <c r="A505" s="63" t="s">
        <v>147</v>
      </c>
      <c r="B505" s="870" t="s">
        <v>147</v>
      </c>
      <c r="C505" s="871"/>
      <c r="D505" s="931" t="s">
        <v>190</v>
      </c>
      <c r="E505" s="882">
        <f>DMT!$D$51</f>
        <v>445</v>
      </c>
      <c r="F505" s="883">
        <v>0.33</v>
      </c>
      <c r="G505" s="884">
        <f>IF(E505&lt;=30,(0.78*E505+7.82)*F505,((0.78*30+7.82)+0.78*(E505-30))*F505)</f>
        <v>117.12360000000001</v>
      </c>
      <c r="H505" s="876">
        <v>0</v>
      </c>
      <c r="I505" s="876"/>
      <c r="J505" s="877">
        <v>0</v>
      </c>
      <c r="K505" s="932" t="s">
        <v>506</v>
      </c>
      <c r="L505" s="933">
        <f>ROUND(SUM(ORÇAMENTO!L505),2)</f>
        <v>0</v>
      </c>
      <c r="M505" s="934">
        <f t="shared" si="143"/>
        <v>0</v>
      </c>
      <c r="N505" s="868">
        <f t="shared" si="144"/>
        <v>0</v>
      </c>
      <c r="O505" s="880"/>
      <c r="P505" s="58" t="str">
        <f>IF(N504&gt;0,"xx",IF(N504&gt;0,"xy",""))</f>
        <v/>
      </c>
      <c r="Q505" s="317" t="str">
        <f t="shared" si="145"/>
        <v/>
      </c>
      <c r="R505" s="317" t="str">
        <f t="shared" si="146"/>
        <v/>
      </c>
      <c r="S505" s="317" t="str">
        <f t="shared" si="147"/>
        <v/>
      </c>
      <c r="V505" s="314">
        <f>SUM(ORÇAMENTO!N505)</f>
        <v>0</v>
      </c>
      <c r="W505" s="315">
        <f t="shared" si="181"/>
        <v>0</v>
      </c>
    </row>
    <row r="506" spans="1:23" ht="15" hidden="1" customHeight="1">
      <c r="A506" s="63" t="s">
        <v>147</v>
      </c>
      <c r="B506" s="870" t="s">
        <v>147</v>
      </c>
      <c r="C506" s="871"/>
      <c r="D506" s="931" t="s">
        <v>229</v>
      </c>
      <c r="E506" s="882">
        <f>DMT!$F$48</f>
        <v>27</v>
      </c>
      <c r="F506" s="883">
        <v>0.92100000000000004</v>
      </c>
      <c r="G506" s="923">
        <f t="shared" ref="G506:G508" si="192">IF(E506&lt;=30,(1.07*E506+2.68)*F506,((1.07*30+2.68)+1.07*(E506-30))*F506)</f>
        <v>29.075970000000002</v>
      </c>
      <c r="H506" s="876">
        <v>0</v>
      </c>
      <c r="I506" s="876"/>
      <c r="J506" s="877">
        <v>0</v>
      </c>
      <c r="K506" s="932" t="s">
        <v>506</v>
      </c>
      <c r="L506" s="933">
        <f>ROUND(SUM(ORÇAMENTO!L506),2)</f>
        <v>0</v>
      </c>
      <c r="M506" s="934">
        <f t="shared" si="143"/>
        <v>0</v>
      </c>
      <c r="N506" s="868">
        <f t="shared" si="144"/>
        <v>0</v>
      </c>
      <c r="O506" s="880"/>
      <c r="P506" s="58" t="str">
        <f>IF(N504&gt;0,"xx",IF(N504&gt;0,"xy",""))</f>
        <v/>
      </c>
      <c r="Q506" s="317" t="str">
        <f t="shared" si="145"/>
        <v/>
      </c>
      <c r="R506" s="317" t="str">
        <f t="shared" si="146"/>
        <v/>
      </c>
      <c r="S506" s="317" t="str">
        <f t="shared" si="147"/>
        <v/>
      </c>
      <c r="V506" s="314">
        <f>SUM(ORÇAMENTO!N506)</f>
        <v>0</v>
      </c>
      <c r="W506" s="315">
        <f t="shared" si="181"/>
        <v>0</v>
      </c>
    </row>
    <row r="507" spans="1:23" ht="15" hidden="1" customHeight="1">
      <c r="A507" s="63" t="s">
        <v>147</v>
      </c>
      <c r="B507" s="870" t="s">
        <v>147</v>
      </c>
      <c r="C507" s="871"/>
      <c r="D507" s="931" t="s">
        <v>233</v>
      </c>
      <c r="E507" s="882">
        <f>DMT!$F$49</f>
        <v>33</v>
      </c>
      <c r="F507" s="883">
        <v>1.1000000000000001</v>
      </c>
      <c r="G507" s="923">
        <f t="shared" si="192"/>
        <v>41.789000000000009</v>
      </c>
      <c r="H507" s="876">
        <v>0</v>
      </c>
      <c r="I507" s="876"/>
      <c r="J507" s="877">
        <v>0</v>
      </c>
      <c r="K507" s="932" t="s">
        <v>506</v>
      </c>
      <c r="L507" s="933">
        <f>ROUND(SUM(ORÇAMENTO!L507),2)</f>
        <v>0</v>
      </c>
      <c r="M507" s="934">
        <f t="shared" si="143"/>
        <v>0</v>
      </c>
      <c r="N507" s="868">
        <f t="shared" si="144"/>
        <v>0</v>
      </c>
      <c r="O507" s="880"/>
      <c r="P507" s="58" t="str">
        <f>IF(N504&gt;0,"xx",IF(N504&gt;0,"xy",""))</f>
        <v/>
      </c>
      <c r="Q507" s="317" t="str">
        <f t="shared" si="145"/>
        <v/>
      </c>
      <c r="R507" s="317" t="str">
        <f t="shared" si="146"/>
        <v/>
      </c>
      <c r="S507" s="317" t="str">
        <f t="shared" si="147"/>
        <v/>
      </c>
      <c r="V507" s="314">
        <f>SUM(ORÇAMENTO!N507)</f>
        <v>0</v>
      </c>
      <c r="W507" s="315">
        <f t="shared" si="181"/>
        <v>0</v>
      </c>
    </row>
    <row r="508" spans="1:23" ht="15" hidden="1" customHeight="1">
      <c r="A508" s="63" t="s">
        <v>147</v>
      </c>
      <c r="B508" s="870" t="s">
        <v>147</v>
      </c>
      <c r="C508" s="871"/>
      <c r="D508" s="931" t="s">
        <v>244</v>
      </c>
      <c r="E508" s="882">
        <f>DMT!$F$21</f>
        <v>43.1</v>
      </c>
      <c r="F508" s="883">
        <f>SUM(F504:F507)</f>
        <v>2.351</v>
      </c>
      <c r="G508" s="887">
        <f t="shared" si="192"/>
        <v>114.72174700000001</v>
      </c>
      <c r="H508" s="876">
        <v>0</v>
      </c>
      <c r="I508" s="876"/>
      <c r="J508" s="877">
        <v>0</v>
      </c>
      <c r="K508" s="878" t="s">
        <v>506</v>
      </c>
      <c r="L508" s="977">
        <f>ROUND(SUM(ORÇAMENTO!L508),2)</f>
        <v>0</v>
      </c>
      <c r="M508" s="934">
        <f t="shared" si="143"/>
        <v>0</v>
      </c>
      <c r="N508" s="868">
        <f t="shared" si="144"/>
        <v>0</v>
      </c>
      <c r="O508" s="880"/>
      <c r="P508" s="58" t="str">
        <f>IF(N504&gt;0,"xx",IF(N504&gt;0,"xy",""))</f>
        <v/>
      </c>
      <c r="Q508" s="317" t="str">
        <f t="shared" si="145"/>
        <v/>
      </c>
      <c r="R508" s="317" t="str">
        <f t="shared" si="146"/>
        <v/>
      </c>
      <c r="S508" s="317" t="str">
        <f t="shared" si="147"/>
        <v/>
      </c>
      <c r="V508" s="314">
        <f>SUM(ORÇAMENTO!N508)</f>
        <v>0</v>
      </c>
      <c r="W508" s="315">
        <f t="shared" si="181"/>
        <v>0</v>
      </c>
    </row>
    <row r="509" spans="1:23" ht="15" hidden="1" customHeight="1">
      <c r="A509" s="63">
        <v>502605</v>
      </c>
      <c r="B509" s="870">
        <v>502605</v>
      </c>
      <c r="C509" s="871" t="s">
        <v>184</v>
      </c>
      <c r="D509" s="881" t="s">
        <v>1916</v>
      </c>
      <c r="E509" s="882"/>
      <c r="F509" s="883"/>
      <c r="G509" s="923">
        <f>SUM(G510:G513)</f>
        <v>213.83103</v>
      </c>
      <c r="H509" s="876">
        <v>182.71</v>
      </c>
      <c r="I509" s="876">
        <f t="shared" si="191"/>
        <v>396.54102999999998</v>
      </c>
      <c r="J509" s="877">
        <f t="shared" si="183"/>
        <v>484.65</v>
      </c>
      <c r="K509" s="878" t="s">
        <v>10</v>
      </c>
      <c r="L509" s="885">
        <f>ROUND(SUM(ORÇAMENTO!L509),2)</f>
        <v>0</v>
      </c>
      <c r="M509" s="886">
        <f t="shared" si="143"/>
        <v>0</v>
      </c>
      <c r="N509" s="868">
        <f t="shared" si="144"/>
        <v>0</v>
      </c>
      <c r="O509" s="880"/>
      <c r="Q509" s="317" t="str">
        <f t="shared" si="145"/>
        <v/>
      </c>
      <c r="R509" s="317" t="str">
        <f t="shared" si="146"/>
        <v/>
      </c>
      <c r="S509" s="317" t="str">
        <f t="shared" si="147"/>
        <v/>
      </c>
      <c r="V509" s="314">
        <f>SUM(ORÇAMENTO!N509)</f>
        <v>0</v>
      </c>
      <c r="W509" s="315">
        <f t="shared" si="181"/>
        <v>0</v>
      </c>
    </row>
    <row r="510" spans="1:23" ht="15" hidden="1" customHeight="1">
      <c r="A510" s="63" t="s">
        <v>147</v>
      </c>
      <c r="B510" s="870" t="s">
        <v>147</v>
      </c>
      <c r="C510" s="871"/>
      <c r="D510" s="931" t="s">
        <v>190</v>
      </c>
      <c r="E510" s="882">
        <f>DMT!$D$51</f>
        <v>445</v>
      </c>
      <c r="F510" s="883">
        <v>0.12</v>
      </c>
      <c r="G510" s="884">
        <f>IF(E510&lt;=30,(0.78*E510+7.82)*F510,((0.78*30+7.82)+0.78*(E510-30))*F510)</f>
        <v>42.590400000000002</v>
      </c>
      <c r="H510" s="876">
        <v>0</v>
      </c>
      <c r="I510" s="876"/>
      <c r="J510" s="877">
        <v>0</v>
      </c>
      <c r="K510" s="932" t="s">
        <v>506</v>
      </c>
      <c r="L510" s="933">
        <f>ROUND(SUM(ORÇAMENTO!L510),2)</f>
        <v>0</v>
      </c>
      <c r="M510" s="934">
        <f t="shared" si="143"/>
        <v>0</v>
      </c>
      <c r="N510" s="868">
        <f t="shared" si="144"/>
        <v>0</v>
      </c>
      <c r="O510" s="880"/>
      <c r="P510" s="58" t="str">
        <f>IF(N509&gt;0,"xx",IF(N509&gt;0,"xy",""))</f>
        <v/>
      </c>
      <c r="Q510" s="317" t="str">
        <f t="shared" si="145"/>
        <v/>
      </c>
      <c r="R510" s="317" t="str">
        <f t="shared" si="146"/>
        <v/>
      </c>
      <c r="S510" s="317" t="str">
        <f t="shared" si="147"/>
        <v/>
      </c>
      <c r="V510" s="314">
        <f>SUM(ORÇAMENTO!N510)</f>
        <v>0</v>
      </c>
      <c r="W510" s="315">
        <f t="shared" si="181"/>
        <v>0</v>
      </c>
    </row>
    <row r="511" spans="1:23" ht="15" hidden="1" customHeight="1">
      <c r="A511" s="63" t="s">
        <v>147</v>
      </c>
      <c r="B511" s="870" t="s">
        <v>147</v>
      </c>
      <c r="C511" s="871"/>
      <c r="D511" s="931" t="s">
        <v>229</v>
      </c>
      <c r="E511" s="882">
        <f>DMT!$F$48</f>
        <v>27</v>
      </c>
      <c r="F511" s="883">
        <v>0.87</v>
      </c>
      <c r="G511" s="923">
        <f t="shared" ref="G511:G513" si="193">IF(E511&lt;=30,(1.07*E511+2.68)*F511,((1.07*30+2.68)+1.07*(E511-30))*F511)</f>
        <v>27.465900000000001</v>
      </c>
      <c r="H511" s="876">
        <v>0</v>
      </c>
      <c r="I511" s="876"/>
      <c r="J511" s="877">
        <v>0</v>
      </c>
      <c r="K511" s="932" t="s">
        <v>506</v>
      </c>
      <c r="L511" s="933">
        <f>ROUND(SUM(ORÇAMENTO!L511),2)</f>
        <v>0</v>
      </c>
      <c r="M511" s="934">
        <f t="shared" si="143"/>
        <v>0</v>
      </c>
      <c r="N511" s="868">
        <f t="shared" si="144"/>
        <v>0</v>
      </c>
      <c r="O511" s="880"/>
      <c r="P511" s="58" t="str">
        <f>IF(N509&gt;0,"xx",IF(N509&gt;0,"xy",""))</f>
        <v/>
      </c>
      <c r="Q511" s="317" t="str">
        <f t="shared" si="145"/>
        <v/>
      </c>
      <c r="R511" s="317" t="str">
        <f t="shared" si="146"/>
        <v/>
      </c>
      <c r="S511" s="317" t="str">
        <f t="shared" si="147"/>
        <v/>
      </c>
      <c r="V511" s="314">
        <f>SUM(ORÇAMENTO!N511)</f>
        <v>0</v>
      </c>
      <c r="W511" s="315">
        <f t="shared" si="181"/>
        <v>0</v>
      </c>
    </row>
    <row r="512" spans="1:23" ht="15" hidden="1" customHeight="1">
      <c r="A512" s="63" t="s">
        <v>147</v>
      </c>
      <c r="B512" s="870" t="s">
        <v>147</v>
      </c>
      <c r="C512" s="871"/>
      <c r="D512" s="931" t="s">
        <v>233</v>
      </c>
      <c r="E512" s="882">
        <f>DMT!$F$49</f>
        <v>33</v>
      </c>
      <c r="F512" s="883">
        <v>1.1000000000000001</v>
      </c>
      <c r="G512" s="923">
        <f t="shared" si="193"/>
        <v>41.789000000000009</v>
      </c>
      <c r="H512" s="876">
        <v>0</v>
      </c>
      <c r="I512" s="876"/>
      <c r="J512" s="877">
        <v>0</v>
      </c>
      <c r="K512" s="932" t="s">
        <v>506</v>
      </c>
      <c r="L512" s="933">
        <f>ROUND(SUM(ORÇAMENTO!L512),2)</f>
        <v>0</v>
      </c>
      <c r="M512" s="934">
        <f t="shared" si="143"/>
        <v>0</v>
      </c>
      <c r="N512" s="868">
        <f t="shared" si="144"/>
        <v>0</v>
      </c>
      <c r="O512" s="880"/>
      <c r="P512" s="58" t="str">
        <f>IF(N509&gt;0,"xx",IF(N509&gt;0,"xy",""))</f>
        <v/>
      </c>
      <c r="Q512" s="317" t="str">
        <f t="shared" si="145"/>
        <v/>
      </c>
      <c r="R512" s="317" t="str">
        <f t="shared" si="146"/>
        <v/>
      </c>
      <c r="S512" s="317" t="str">
        <f t="shared" si="147"/>
        <v/>
      </c>
      <c r="V512" s="314">
        <f>SUM(ORÇAMENTO!N512)</f>
        <v>0</v>
      </c>
      <c r="W512" s="315">
        <f t="shared" si="181"/>
        <v>0</v>
      </c>
    </row>
    <row r="513" spans="1:23" ht="15" hidden="1" customHeight="1">
      <c r="A513" s="63" t="s">
        <v>147</v>
      </c>
      <c r="B513" s="870" t="s">
        <v>147</v>
      </c>
      <c r="C513" s="871"/>
      <c r="D513" s="931" t="s">
        <v>244</v>
      </c>
      <c r="E513" s="882">
        <f>DMT!$F$21</f>
        <v>43.1</v>
      </c>
      <c r="F513" s="883">
        <f>SUM(F509:F512)</f>
        <v>2.09</v>
      </c>
      <c r="G513" s="887">
        <f t="shared" si="193"/>
        <v>101.98573</v>
      </c>
      <c r="H513" s="876">
        <v>0</v>
      </c>
      <c r="I513" s="876"/>
      <c r="J513" s="877">
        <v>0</v>
      </c>
      <c r="K513" s="878" t="s">
        <v>506</v>
      </c>
      <c r="L513" s="977">
        <f>ROUND(SUM(ORÇAMENTO!L513),2)</f>
        <v>0</v>
      </c>
      <c r="M513" s="934">
        <f t="shared" si="143"/>
        <v>0</v>
      </c>
      <c r="N513" s="868">
        <f t="shared" si="144"/>
        <v>0</v>
      </c>
      <c r="O513" s="880"/>
      <c r="P513" s="58" t="str">
        <f>IF(N509&gt;0,"xx",IF(N509&gt;0,"xy",""))</f>
        <v/>
      </c>
      <c r="Q513" s="317" t="str">
        <f t="shared" si="145"/>
        <v/>
      </c>
      <c r="R513" s="317" t="str">
        <f t="shared" si="146"/>
        <v/>
      </c>
      <c r="S513" s="317" t="str">
        <f t="shared" si="147"/>
        <v/>
      </c>
      <c r="V513" s="314">
        <f>SUM(ORÇAMENTO!N513)</f>
        <v>0</v>
      </c>
      <c r="W513" s="315">
        <f t="shared" si="181"/>
        <v>0</v>
      </c>
    </row>
    <row r="514" spans="1:23" ht="15" hidden="1" customHeight="1">
      <c r="A514" s="63">
        <v>505185</v>
      </c>
      <c r="B514" s="870">
        <v>505185</v>
      </c>
      <c r="C514" s="871" t="s">
        <v>184</v>
      </c>
      <c r="D514" s="881" t="s">
        <v>1917</v>
      </c>
      <c r="E514" s="882"/>
      <c r="F514" s="883"/>
      <c r="G514" s="923">
        <f>SUM(G515:G518)</f>
        <v>254.19165000000004</v>
      </c>
      <c r="H514" s="876">
        <v>238.23</v>
      </c>
      <c r="I514" s="876">
        <f t="shared" si="191"/>
        <v>492.42165</v>
      </c>
      <c r="J514" s="877">
        <f t="shared" si="183"/>
        <v>601.84</v>
      </c>
      <c r="K514" s="878" t="s">
        <v>10</v>
      </c>
      <c r="L514" s="885">
        <f>ROUND(SUM(ORÇAMENTO!L514),2)</f>
        <v>0</v>
      </c>
      <c r="M514" s="886">
        <f t="shared" si="143"/>
        <v>0</v>
      </c>
      <c r="N514" s="868">
        <f t="shared" si="144"/>
        <v>0</v>
      </c>
      <c r="O514" s="880"/>
      <c r="Q514" s="317" t="str">
        <f t="shared" si="145"/>
        <v/>
      </c>
      <c r="R514" s="317" t="str">
        <f t="shared" si="146"/>
        <v/>
      </c>
      <c r="S514" s="317" t="str">
        <f t="shared" si="147"/>
        <v/>
      </c>
      <c r="V514" s="314">
        <f>SUM(ORÇAMENTO!N514)</f>
        <v>0</v>
      </c>
      <c r="W514" s="315">
        <f t="shared" si="181"/>
        <v>0</v>
      </c>
    </row>
    <row r="515" spans="1:23" ht="15" hidden="1" customHeight="1">
      <c r="A515" s="63" t="s">
        <v>147</v>
      </c>
      <c r="B515" s="870" t="s">
        <v>147</v>
      </c>
      <c r="C515" s="871"/>
      <c r="D515" s="931" t="s">
        <v>190</v>
      </c>
      <c r="E515" s="882">
        <f>DMT!$D$51</f>
        <v>445</v>
      </c>
      <c r="F515" s="883">
        <v>0.18</v>
      </c>
      <c r="G515" s="884">
        <f>IF(E515&lt;=30,(0.78*E515+7.82)*F515,((0.78*30+7.82)+0.78*(E515-30))*F515)</f>
        <v>63.885600000000004</v>
      </c>
      <c r="H515" s="876">
        <v>0</v>
      </c>
      <c r="I515" s="876"/>
      <c r="J515" s="877">
        <v>0</v>
      </c>
      <c r="K515" s="932" t="s">
        <v>506</v>
      </c>
      <c r="L515" s="933">
        <f>ROUND(SUM(ORÇAMENTO!L515),2)</f>
        <v>0</v>
      </c>
      <c r="M515" s="934">
        <f t="shared" si="143"/>
        <v>0</v>
      </c>
      <c r="N515" s="868">
        <f t="shared" si="144"/>
        <v>0</v>
      </c>
      <c r="O515" s="880"/>
      <c r="P515" s="58" t="str">
        <f>IF(N514&gt;0,"xx",IF(N514&gt;0,"xy",""))</f>
        <v/>
      </c>
      <c r="Q515" s="317" t="str">
        <f t="shared" si="145"/>
        <v/>
      </c>
      <c r="R515" s="317" t="str">
        <f t="shared" si="146"/>
        <v/>
      </c>
      <c r="S515" s="317" t="str">
        <f t="shared" si="147"/>
        <v/>
      </c>
      <c r="V515" s="314">
        <f>SUM(ORÇAMENTO!N515)</f>
        <v>0</v>
      </c>
      <c r="W515" s="315">
        <f t="shared" si="181"/>
        <v>0</v>
      </c>
    </row>
    <row r="516" spans="1:23" ht="15" hidden="1" customHeight="1">
      <c r="A516" s="63" t="s">
        <v>147</v>
      </c>
      <c r="B516" s="870" t="s">
        <v>147</v>
      </c>
      <c r="C516" s="871"/>
      <c r="D516" s="931" t="s">
        <v>229</v>
      </c>
      <c r="E516" s="882">
        <f>DMT!$F$48</f>
        <v>27</v>
      </c>
      <c r="F516" s="883">
        <v>1.06</v>
      </c>
      <c r="G516" s="923">
        <f t="shared" ref="G516:G518" si="194">IF(E516&lt;=30,(1.07*E516+2.68)*F516,((1.07*30+2.68)+1.07*(E516-30))*F516)</f>
        <v>33.464200000000005</v>
      </c>
      <c r="H516" s="876">
        <v>0</v>
      </c>
      <c r="I516" s="876"/>
      <c r="J516" s="877">
        <v>0</v>
      </c>
      <c r="K516" s="932" t="s">
        <v>506</v>
      </c>
      <c r="L516" s="933">
        <f>ROUND(SUM(ORÇAMENTO!L516),2)</f>
        <v>0</v>
      </c>
      <c r="M516" s="934">
        <f t="shared" si="143"/>
        <v>0</v>
      </c>
      <c r="N516" s="868">
        <f t="shared" si="144"/>
        <v>0</v>
      </c>
      <c r="O516" s="880"/>
      <c r="P516" s="58" t="str">
        <f>IF(N514&gt;0,"xx",IF(N514&gt;0,"xy",""))</f>
        <v/>
      </c>
      <c r="Q516" s="317" t="str">
        <f t="shared" si="145"/>
        <v/>
      </c>
      <c r="R516" s="317" t="str">
        <f t="shared" si="146"/>
        <v/>
      </c>
      <c r="S516" s="317" t="str">
        <f t="shared" si="147"/>
        <v/>
      </c>
      <c r="V516" s="314">
        <f>SUM(ORÇAMENTO!N516)</f>
        <v>0</v>
      </c>
      <c r="W516" s="315">
        <f t="shared" si="181"/>
        <v>0</v>
      </c>
    </row>
    <row r="517" spans="1:23" ht="15" hidden="1" customHeight="1">
      <c r="A517" s="63" t="s">
        <v>147</v>
      </c>
      <c r="B517" s="870" t="s">
        <v>147</v>
      </c>
      <c r="C517" s="871"/>
      <c r="D517" s="931" t="s">
        <v>233</v>
      </c>
      <c r="E517" s="882">
        <f>DMT!$F$49</f>
        <v>33</v>
      </c>
      <c r="F517" s="883">
        <v>1.1100000000000001</v>
      </c>
      <c r="G517" s="923">
        <f t="shared" si="194"/>
        <v>42.168900000000008</v>
      </c>
      <c r="H517" s="876">
        <v>0</v>
      </c>
      <c r="I517" s="876"/>
      <c r="J517" s="877">
        <v>0</v>
      </c>
      <c r="K517" s="932" t="s">
        <v>506</v>
      </c>
      <c r="L517" s="933">
        <f>ROUND(SUM(ORÇAMENTO!L517),2)</f>
        <v>0</v>
      </c>
      <c r="M517" s="934">
        <f t="shared" si="143"/>
        <v>0</v>
      </c>
      <c r="N517" s="868">
        <f t="shared" si="144"/>
        <v>0</v>
      </c>
      <c r="O517" s="880"/>
      <c r="P517" s="58" t="str">
        <f>IF(N514&gt;0,"xx",IF(N514&gt;0,"xy",""))</f>
        <v/>
      </c>
      <c r="Q517" s="317" t="str">
        <f t="shared" si="145"/>
        <v/>
      </c>
      <c r="R517" s="317" t="str">
        <f t="shared" si="146"/>
        <v/>
      </c>
      <c r="S517" s="317" t="str">
        <f t="shared" si="147"/>
        <v/>
      </c>
      <c r="V517" s="314">
        <f>SUM(ORÇAMENTO!N517)</f>
        <v>0</v>
      </c>
      <c r="W517" s="315">
        <f t="shared" si="181"/>
        <v>0</v>
      </c>
    </row>
    <row r="518" spans="1:23" ht="15" hidden="1" customHeight="1">
      <c r="A518" s="63" t="s">
        <v>147</v>
      </c>
      <c r="B518" s="870" t="s">
        <v>147</v>
      </c>
      <c r="C518" s="871"/>
      <c r="D518" s="931" t="s">
        <v>244</v>
      </c>
      <c r="E518" s="882">
        <f>DMT!$F$22</f>
        <v>43.1</v>
      </c>
      <c r="F518" s="883">
        <f>SUM(F514:F517)</f>
        <v>2.35</v>
      </c>
      <c r="G518" s="923">
        <f t="shared" si="194"/>
        <v>114.67295000000001</v>
      </c>
      <c r="H518" s="876">
        <v>0</v>
      </c>
      <c r="I518" s="876"/>
      <c r="J518" s="877">
        <v>0</v>
      </c>
      <c r="K518" s="878" t="s">
        <v>506</v>
      </c>
      <c r="L518" s="977">
        <f>ROUND(SUM(ORÇAMENTO!L518),2)</f>
        <v>0</v>
      </c>
      <c r="M518" s="934">
        <f t="shared" si="143"/>
        <v>0</v>
      </c>
      <c r="N518" s="868">
        <f t="shared" si="144"/>
        <v>0</v>
      </c>
      <c r="O518" s="880"/>
      <c r="P518" s="58" t="str">
        <f>IF(N514&gt;0,"xx",IF(N514&gt;0,"xy",""))</f>
        <v/>
      </c>
      <c r="Q518" s="317" t="str">
        <f t="shared" si="145"/>
        <v/>
      </c>
      <c r="R518" s="317" t="str">
        <f t="shared" si="146"/>
        <v/>
      </c>
      <c r="S518" s="317" t="str">
        <f t="shared" si="147"/>
        <v/>
      </c>
      <c r="V518" s="314">
        <f>SUM(ORÇAMENTO!N518)</f>
        <v>0</v>
      </c>
      <c r="W518" s="315">
        <f t="shared" si="181"/>
        <v>0</v>
      </c>
    </row>
    <row r="519" spans="1:23" ht="15" hidden="1" customHeight="1">
      <c r="A519" s="63">
        <v>505415</v>
      </c>
      <c r="B519" s="870">
        <v>505415</v>
      </c>
      <c r="C519" s="871" t="s">
        <v>184</v>
      </c>
      <c r="D519" s="881" t="s">
        <v>1918</v>
      </c>
      <c r="E519" s="882"/>
      <c r="F519" s="883"/>
      <c r="G519" s="923">
        <f t="shared" ref="G519:G528" si="195">IF(E519&lt;=30,(0.87*E519+2.18)*F519,((0.87*30+2.18)+0.87*(E519-30))*F519)</f>
        <v>0</v>
      </c>
      <c r="H519" s="876">
        <v>8.49</v>
      </c>
      <c r="I519" s="876">
        <f t="shared" si="191"/>
        <v>8.49</v>
      </c>
      <c r="J519" s="877">
        <f t="shared" si="183"/>
        <v>10.38</v>
      </c>
      <c r="K519" s="878" t="s">
        <v>12</v>
      </c>
      <c r="L519" s="885">
        <f>ROUND(SUM(ORÇAMENTO!L519),2)</f>
        <v>0</v>
      </c>
      <c r="M519" s="886">
        <f t="shared" si="143"/>
        <v>0</v>
      </c>
      <c r="N519" s="868">
        <f t="shared" si="144"/>
        <v>0</v>
      </c>
      <c r="O519" s="880"/>
      <c r="Q519" s="317" t="str">
        <f t="shared" si="145"/>
        <v/>
      </c>
      <c r="R519" s="317" t="str">
        <f t="shared" si="146"/>
        <v/>
      </c>
      <c r="S519" s="317" t="str">
        <f t="shared" si="147"/>
        <v/>
      </c>
      <c r="V519" s="314">
        <f>SUM(ORÇAMENTO!N519)</f>
        <v>0</v>
      </c>
      <c r="W519" s="315">
        <f t="shared" si="181"/>
        <v>0</v>
      </c>
    </row>
    <row r="520" spans="1:23" ht="15" hidden="1" customHeight="1">
      <c r="A520" s="63">
        <v>505416</v>
      </c>
      <c r="B520" s="870">
        <v>505416</v>
      </c>
      <c r="C520" s="871" t="s">
        <v>184</v>
      </c>
      <c r="D520" s="881" t="s">
        <v>1919</v>
      </c>
      <c r="E520" s="882"/>
      <c r="F520" s="883"/>
      <c r="G520" s="923">
        <f t="shared" si="195"/>
        <v>0</v>
      </c>
      <c r="H520" s="876">
        <v>10</v>
      </c>
      <c r="I520" s="876">
        <f t="shared" si="191"/>
        <v>10</v>
      </c>
      <c r="J520" s="877">
        <f t="shared" si="183"/>
        <v>12.22</v>
      </c>
      <c r="K520" s="878" t="s">
        <v>12</v>
      </c>
      <c r="L520" s="885">
        <f>ROUND(SUM(ORÇAMENTO!L520),2)</f>
        <v>0</v>
      </c>
      <c r="M520" s="886">
        <f t="shared" si="143"/>
        <v>0</v>
      </c>
      <c r="N520" s="868">
        <f t="shared" si="144"/>
        <v>0</v>
      </c>
      <c r="O520" s="880"/>
      <c r="Q520" s="317" t="str">
        <f t="shared" si="145"/>
        <v/>
      </c>
      <c r="R520" s="317" t="str">
        <f t="shared" si="146"/>
        <v/>
      </c>
      <c r="S520" s="317" t="str">
        <f t="shared" si="147"/>
        <v/>
      </c>
      <c r="V520" s="314">
        <f>SUM(ORÇAMENTO!N520)</f>
        <v>0</v>
      </c>
      <c r="W520" s="315">
        <f t="shared" si="181"/>
        <v>0</v>
      </c>
    </row>
    <row r="521" spans="1:23" ht="15" hidden="1" customHeight="1">
      <c r="A521" s="63">
        <v>5111000</v>
      </c>
      <c r="B521" s="870">
        <v>5111000</v>
      </c>
      <c r="C521" s="871" t="s">
        <v>184</v>
      </c>
      <c r="D521" s="881" t="s">
        <v>1920</v>
      </c>
      <c r="E521" s="882"/>
      <c r="F521" s="883"/>
      <c r="G521" s="923">
        <f t="shared" si="195"/>
        <v>0</v>
      </c>
      <c r="H521" s="876">
        <v>4.25</v>
      </c>
      <c r="I521" s="876">
        <f t="shared" si="191"/>
        <v>4.25</v>
      </c>
      <c r="J521" s="877">
        <f t="shared" si="183"/>
        <v>5.19</v>
      </c>
      <c r="K521" s="878" t="s">
        <v>12</v>
      </c>
      <c r="L521" s="885">
        <f>ROUND(SUM(ORÇAMENTO!L521),2)</f>
        <v>0</v>
      </c>
      <c r="M521" s="886">
        <f t="shared" si="143"/>
        <v>0</v>
      </c>
      <c r="N521" s="868">
        <f t="shared" si="144"/>
        <v>0</v>
      </c>
      <c r="O521" s="880"/>
      <c r="Q521" s="317" t="str">
        <f t="shared" si="145"/>
        <v/>
      </c>
      <c r="R521" s="317" t="str">
        <f t="shared" si="146"/>
        <v/>
      </c>
      <c r="S521" s="317" t="str">
        <f t="shared" si="147"/>
        <v/>
      </c>
      <c r="V521" s="314">
        <f>SUM(ORÇAMENTO!N521)</f>
        <v>0</v>
      </c>
      <c r="W521" s="315">
        <f t="shared" si="181"/>
        <v>0</v>
      </c>
    </row>
    <row r="522" spans="1:23" ht="15" hidden="1" customHeight="1">
      <c r="A522" s="63">
        <v>504840</v>
      </c>
      <c r="B522" s="870">
        <v>504840</v>
      </c>
      <c r="C522" s="871" t="s">
        <v>184</v>
      </c>
      <c r="D522" s="881" t="s">
        <v>1921</v>
      </c>
      <c r="E522" s="882"/>
      <c r="F522" s="883"/>
      <c r="G522" s="923">
        <f t="shared" si="195"/>
        <v>0</v>
      </c>
      <c r="H522" s="876">
        <v>41.95</v>
      </c>
      <c r="I522" s="876">
        <f t="shared" si="191"/>
        <v>41.95</v>
      </c>
      <c r="J522" s="877">
        <f t="shared" si="183"/>
        <v>51.27</v>
      </c>
      <c r="K522" s="878" t="s">
        <v>16</v>
      </c>
      <c r="L522" s="885">
        <f>ROUND(SUM(ORÇAMENTO!L522),2)</f>
        <v>0</v>
      </c>
      <c r="M522" s="886">
        <f t="shared" si="143"/>
        <v>0</v>
      </c>
      <c r="N522" s="868">
        <f t="shared" si="144"/>
        <v>0</v>
      </c>
      <c r="O522" s="880"/>
      <c r="Q522" s="317" t="str">
        <f t="shared" si="145"/>
        <v/>
      </c>
      <c r="R522" s="317" t="str">
        <f t="shared" si="146"/>
        <v/>
      </c>
      <c r="S522" s="317" t="str">
        <f t="shared" si="147"/>
        <v/>
      </c>
      <c r="V522" s="314">
        <f>SUM(ORÇAMENTO!N522)</f>
        <v>0</v>
      </c>
      <c r="W522" s="315">
        <f t="shared" si="181"/>
        <v>0</v>
      </c>
    </row>
    <row r="523" spans="1:23" ht="15" hidden="1" customHeight="1">
      <c r="A523" s="63">
        <v>503110</v>
      </c>
      <c r="B523" s="870">
        <v>503110</v>
      </c>
      <c r="C523" s="871" t="s">
        <v>184</v>
      </c>
      <c r="D523" s="881" t="s">
        <v>1922</v>
      </c>
      <c r="E523" s="882"/>
      <c r="F523" s="883"/>
      <c r="G523" s="923">
        <f t="shared" si="195"/>
        <v>0</v>
      </c>
      <c r="H523" s="876">
        <v>3.61</v>
      </c>
      <c r="I523" s="876">
        <f t="shared" si="191"/>
        <v>3.61</v>
      </c>
      <c r="J523" s="877">
        <f t="shared" si="183"/>
        <v>4.41</v>
      </c>
      <c r="K523" s="878" t="s">
        <v>12</v>
      </c>
      <c r="L523" s="885">
        <f>ROUND(SUM(ORÇAMENTO!L523),2)</f>
        <v>0</v>
      </c>
      <c r="M523" s="886">
        <f t="shared" si="143"/>
        <v>0</v>
      </c>
      <c r="N523" s="868">
        <f t="shared" si="144"/>
        <v>0</v>
      </c>
      <c r="O523" s="880"/>
      <c r="Q523" s="317" t="str">
        <f t="shared" si="145"/>
        <v/>
      </c>
      <c r="R523" s="317" t="str">
        <f t="shared" si="146"/>
        <v/>
      </c>
      <c r="S523" s="317" t="str">
        <f t="shared" si="147"/>
        <v/>
      </c>
      <c r="V523" s="314">
        <f>SUM(ORÇAMENTO!N523)</f>
        <v>0</v>
      </c>
      <c r="W523" s="315">
        <f t="shared" si="181"/>
        <v>0</v>
      </c>
    </row>
    <row r="524" spans="1:23" ht="15" hidden="1" customHeight="1">
      <c r="A524" s="63">
        <v>507215</v>
      </c>
      <c r="B524" s="870">
        <v>507215</v>
      </c>
      <c r="C524" s="871" t="s">
        <v>184</v>
      </c>
      <c r="D524" s="881" t="s">
        <v>1923</v>
      </c>
      <c r="E524" s="882"/>
      <c r="F524" s="883"/>
      <c r="G524" s="923">
        <f t="shared" si="195"/>
        <v>0</v>
      </c>
      <c r="H524" s="876">
        <v>7.84</v>
      </c>
      <c r="I524" s="876">
        <f t="shared" si="191"/>
        <v>7.84</v>
      </c>
      <c r="J524" s="877">
        <f t="shared" si="183"/>
        <v>9.58</v>
      </c>
      <c r="K524" s="878" t="s">
        <v>16</v>
      </c>
      <c r="L524" s="885">
        <f>ROUND(SUM(ORÇAMENTO!L524),2)</f>
        <v>0</v>
      </c>
      <c r="M524" s="886">
        <f t="shared" si="143"/>
        <v>0</v>
      </c>
      <c r="N524" s="868">
        <f t="shared" si="144"/>
        <v>0</v>
      </c>
      <c r="O524" s="880"/>
      <c r="Q524" s="317" t="str">
        <f t="shared" si="145"/>
        <v/>
      </c>
      <c r="R524" s="317" t="str">
        <f t="shared" si="146"/>
        <v/>
      </c>
      <c r="S524" s="317" t="str">
        <f t="shared" si="147"/>
        <v/>
      </c>
      <c r="V524" s="314">
        <f>SUM(ORÇAMENTO!N524)</f>
        <v>0</v>
      </c>
      <c r="W524" s="315">
        <f t="shared" si="181"/>
        <v>0</v>
      </c>
    </row>
    <row r="525" spans="1:23" ht="15" hidden="1" customHeight="1">
      <c r="A525" s="63">
        <v>507210</v>
      </c>
      <c r="B525" s="870">
        <v>507210</v>
      </c>
      <c r="C525" s="871" t="s">
        <v>184</v>
      </c>
      <c r="D525" s="881" t="s">
        <v>1924</v>
      </c>
      <c r="E525" s="882"/>
      <c r="F525" s="883"/>
      <c r="G525" s="923">
        <f t="shared" si="195"/>
        <v>0</v>
      </c>
      <c r="H525" s="876">
        <v>8.4</v>
      </c>
      <c r="I525" s="876">
        <f t="shared" si="191"/>
        <v>8.4</v>
      </c>
      <c r="J525" s="877">
        <f t="shared" si="183"/>
        <v>10.27</v>
      </c>
      <c r="K525" s="878" t="s">
        <v>16</v>
      </c>
      <c r="L525" s="885">
        <f>ROUND(SUM(ORÇAMENTO!L525),2)</f>
        <v>0</v>
      </c>
      <c r="M525" s="886">
        <f t="shared" si="143"/>
        <v>0</v>
      </c>
      <c r="N525" s="868">
        <f t="shared" si="144"/>
        <v>0</v>
      </c>
      <c r="O525" s="880"/>
      <c r="Q525" s="317" t="str">
        <f t="shared" si="145"/>
        <v/>
      </c>
      <c r="R525" s="317" t="str">
        <f t="shared" si="146"/>
        <v/>
      </c>
      <c r="S525" s="317" t="str">
        <f t="shared" si="147"/>
        <v/>
      </c>
      <c r="V525" s="314">
        <f>SUM(ORÇAMENTO!N525)</f>
        <v>0</v>
      </c>
      <c r="W525" s="315">
        <f t="shared" si="181"/>
        <v>0</v>
      </c>
    </row>
    <row r="526" spans="1:23" ht="15" hidden="1" customHeight="1">
      <c r="A526" s="63">
        <v>507220</v>
      </c>
      <c r="B526" s="870">
        <v>507220</v>
      </c>
      <c r="C526" s="871" t="s">
        <v>184</v>
      </c>
      <c r="D526" s="881" t="s">
        <v>1925</v>
      </c>
      <c r="E526" s="882"/>
      <c r="F526" s="883"/>
      <c r="G526" s="923">
        <f t="shared" si="195"/>
        <v>0</v>
      </c>
      <c r="H526" s="876">
        <v>7.48</v>
      </c>
      <c r="I526" s="876">
        <f t="shared" si="191"/>
        <v>7.48</v>
      </c>
      <c r="J526" s="877">
        <f t="shared" si="183"/>
        <v>9.14</v>
      </c>
      <c r="K526" s="878" t="s">
        <v>16</v>
      </c>
      <c r="L526" s="885">
        <f>ROUND(SUM(ORÇAMENTO!L526),2)</f>
        <v>0</v>
      </c>
      <c r="M526" s="886">
        <f t="shared" si="143"/>
        <v>0</v>
      </c>
      <c r="N526" s="868">
        <f t="shared" si="144"/>
        <v>0</v>
      </c>
      <c r="O526" s="880"/>
      <c r="Q526" s="317" t="str">
        <f t="shared" si="145"/>
        <v/>
      </c>
      <c r="R526" s="317" t="str">
        <f t="shared" si="146"/>
        <v/>
      </c>
      <c r="S526" s="317" t="str">
        <f t="shared" si="147"/>
        <v/>
      </c>
      <c r="V526" s="314">
        <f>SUM(ORÇAMENTO!N526)</f>
        <v>0</v>
      </c>
      <c r="W526" s="315">
        <f t="shared" si="181"/>
        <v>0</v>
      </c>
    </row>
    <row r="527" spans="1:23" ht="15" hidden="1" customHeight="1">
      <c r="A527" s="63">
        <v>507225</v>
      </c>
      <c r="B527" s="870">
        <v>507225</v>
      </c>
      <c r="C527" s="871" t="s">
        <v>184</v>
      </c>
      <c r="D527" s="881" t="s">
        <v>1926</v>
      </c>
      <c r="E527" s="882"/>
      <c r="F527" s="883"/>
      <c r="G527" s="923">
        <f t="shared" si="195"/>
        <v>0</v>
      </c>
      <c r="H527" s="876">
        <v>7.48</v>
      </c>
      <c r="I527" s="876">
        <f t="shared" si="191"/>
        <v>7.48</v>
      </c>
      <c r="J527" s="877">
        <f t="shared" si="183"/>
        <v>9.14</v>
      </c>
      <c r="K527" s="878" t="s">
        <v>16</v>
      </c>
      <c r="L527" s="885">
        <f>ROUND(SUM(ORÇAMENTO!L527),2)</f>
        <v>0</v>
      </c>
      <c r="M527" s="886">
        <f t="shared" si="143"/>
        <v>0</v>
      </c>
      <c r="N527" s="868">
        <f t="shared" si="144"/>
        <v>0</v>
      </c>
      <c r="O527" s="880"/>
      <c r="Q527" s="317" t="str">
        <f t="shared" si="145"/>
        <v/>
      </c>
      <c r="R527" s="317" t="str">
        <f t="shared" si="146"/>
        <v/>
      </c>
      <c r="S527" s="317" t="str">
        <f t="shared" si="147"/>
        <v/>
      </c>
      <c r="V527" s="314">
        <f>SUM(ORÇAMENTO!N527)</f>
        <v>0</v>
      </c>
      <c r="W527" s="315">
        <f t="shared" si="181"/>
        <v>0</v>
      </c>
    </row>
    <row r="528" spans="1:23" ht="15" hidden="1" customHeight="1">
      <c r="A528" s="63">
        <v>507232</v>
      </c>
      <c r="B528" s="870">
        <v>507232</v>
      </c>
      <c r="C528" s="871" t="s">
        <v>184</v>
      </c>
      <c r="D528" s="881" t="s">
        <v>1927</v>
      </c>
      <c r="E528" s="882"/>
      <c r="F528" s="883"/>
      <c r="G528" s="923">
        <f t="shared" si="195"/>
        <v>0</v>
      </c>
      <c r="H528" s="876">
        <v>8.3000000000000007</v>
      </c>
      <c r="I528" s="876">
        <f t="shared" si="191"/>
        <v>8.3000000000000007</v>
      </c>
      <c r="J528" s="877">
        <f t="shared" si="183"/>
        <v>10.14</v>
      </c>
      <c r="K528" s="878" t="s">
        <v>16</v>
      </c>
      <c r="L528" s="885">
        <f>ROUND(SUM(ORÇAMENTO!L528),2)</f>
        <v>0</v>
      </c>
      <c r="M528" s="886">
        <f t="shared" ref="M528:M591" si="196">IF(L528=0,0,ROUND(J528,2))</f>
        <v>0</v>
      </c>
      <c r="N528" s="868">
        <f t="shared" ref="N528:N591" si="197">IF(ISBLANK(L528),0,ROUND(L528*M528,2))</f>
        <v>0</v>
      </c>
      <c r="O528" s="880"/>
      <c r="Q528" s="317" t="str">
        <f t="shared" ref="Q528:Q591" si="198">IF(P528="X","x",IF(P528="xx","x",IF(P528="xy","x",IF(P528="y","x",IF(OR(N528&gt;0,N528&gt;0),"x","")))))</f>
        <v/>
      </c>
      <c r="R528" s="317" t="str">
        <f t="shared" ref="R528:R591" si="199">IF(P528="X","x",IF(P528="y","x",IF(P528="xx","x",IF(N528&gt;0,"x",""))))</f>
        <v/>
      </c>
      <c r="S528" s="317" t="str">
        <f t="shared" ref="S528:S591" si="200">IF(P528="X","x",IF(N528&gt;0,"x",""))</f>
        <v/>
      </c>
      <c r="V528" s="314">
        <f>SUM(ORÇAMENTO!N528)</f>
        <v>0</v>
      </c>
      <c r="W528" s="315">
        <f t="shared" si="181"/>
        <v>0</v>
      </c>
    </row>
    <row r="529" spans="1:23" ht="15" hidden="1" customHeight="1">
      <c r="A529" s="63">
        <v>504920</v>
      </c>
      <c r="B529" s="870">
        <v>504920</v>
      </c>
      <c r="C529" s="871" t="s">
        <v>184</v>
      </c>
      <c r="D529" s="881" t="s">
        <v>1928</v>
      </c>
      <c r="E529" s="902">
        <v>20</v>
      </c>
      <c r="F529" s="883">
        <v>1.1000000000000001E-3</v>
      </c>
      <c r="G529" s="884">
        <f>IF(E529&lt;=30,(0.78*E529+7.82)*F529,((0.78*30+7.82)+0.78*(E529-30))*F529)</f>
        <v>2.5762000000000004E-2</v>
      </c>
      <c r="H529" s="876">
        <v>11.4</v>
      </c>
      <c r="I529" s="876">
        <f t="shared" si="191"/>
        <v>11.425762000000001</v>
      </c>
      <c r="J529" s="877">
        <f t="shared" si="183"/>
        <v>13.96</v>
      </c>
      <c r="K529" s="878" t="s">
        <v>16</v>
      </c>
      <c r="L529" s="885">
        <f>ROUND(SUM(ORÇAMENTO!L529),2)</f>
        <v>0</v>
      </c>
      <c r="M529" s="886">
        <f t="shared" si="196"/>
        <v>0</v>
      </c>
      <c r="N529" s="868">
        <f t="shared" si="197"/>
        <v>0</v>
      </c>
      <c r="O529" s="880"/>
      <c r="Q529" s="317" t="str">
        <f t="shared" si="198"/>
        <v/>
      </c>
      <c r="R529" s="317" t="str">
        <f t="shared" si="199"/>
        <v/>
      </c>
      <c r="S529" s="317" t="str">
        <f t="shared" si="200"/>
        <v/>
      </c>
      <c r="V529" s="314">
        <f>SUM(ORÇAMENTO!N529)</f>
        <v>0</v>
      </c>
      <c r="W529" s="315">
        <f t="shared" si="181"/>
        <v>0</v>
      </c>
    </row>
    <row r="530" spans="1:23" ht="15" hidden="1" customHeight="1">
      <c r="A530" s="63">
        <v>502660</v>
      </c>
      <c r="B530" s="870">
        <v>502660</v>
      </c>
      <c r="C530" s="871" t="s">
        <v>184</v>
      </c>
      <c r="D530" s="881" t="s">
        <v>1929</v>
      </c>
      <c r="E530" s="882"/>
      <c r="F530" s="883"/>
      <c r="G530" s="923">
        <f t="shared" ref="G530:G532" si="201">IF(E530&lt;=30,(1.07*E530+2.68)*F530,((1.07*30+2.68)+1.07*(E530-30))*F530)</f>
        <v>0</v>
      </c>
      <c r="H530" s="876">
        <v>15.77</v>
      </c>
      <c r="I530" s="876">
        <f t="shared" si="191"/>
        <v>15.77</v>
      </c>
      <c r="J530" s="877">
        <f t="shared" si="183"/>
        <v>19.27</v>
      </c>
      <c r="K530" s="878" t="s">
        <v>13</v>
      </c>
      <c r="L530" s="885">
        <f>ROUND(SUM(ORÇAMENTO!L530),2)</f>
        <v>0</v>
      </c>
      <c r="M530" s="886">
        <f t="shared" si="196"/>
        <v>0</v>
      </c>
      <c r="N530" s="868">
        <f t="shared" si="197"/>
        <v>0</v>
      </c>
      <c r="O530" s="880"/>
      <c r="Q530" s="317" t="str">
        <f t="shared" si="198"/>
        <v/>
      </c>
      <c r="R530" s="317" t="str">
        <f t="shared" si="199"/>
        <v/>
      </c>
      <c r="S530" s="317" t="str">
        <f t="shared" si="200"/>
        <v/>
      </c>
      <c r="V530" s="314">
        <f>SUM(ORÇAMENTO!N530)</f>
        <v>0</v>
      </c>
      <c r="W530" s="315">
        <f t="shared" si="181"/>
        <v>0</v>
      </c>
    </row>
    <row r="531" spans="1:23" ht="15" hidden="1" customHeight="1">
      <c r="A531" s="63">
        <v>502680</v>
      </c>
      <c r="B531" s="870">
        <v>502680</v>
      </c>
      <c r="C531" s="871" t="s">
        <v>184</v>
      </c>
      <c r="D531" s="881" t="s">
        <v>1930</v>
      </c>
      <c r="E531" s="882"/>
      <c r="F531" s="883"/>
      <c r="G531" s="923">
        <f t="shared" si="201"/>
        <v>0</v>
      </c>
      <c r="H531" s="876">
        <v>14.93</v>
      </c>
      <c r="I531" s="876">
        <f t="shared" si="191"/>
        <v>14.93</v>
      </c>
      <c r="J531" s="877">
        <f t="shared" si="183"/>
        <v>18.25</v>
      </c>
      <c r="K531" s="878" t="s">
        <v>13</v>
      </c>
      <c r="L531" s="885">
        <f>ROUND(SUM(ORÇAMENTO!L531),2)</f>
        <v>0</v>
      </c>
      <c r="M531" s="886">
        <f t="shared" si="196"/>
        <v>0</v>
      </c>
      <c r="N531" s="868">
        <f t="shared" si="197"/>
        <v>0</v>
      </c>
      <c r="O531" s="880"/>
      <c r="Q531" s="317" t="str">
        <f t="shared" si="198"/>
        <v/>
      </c>
      <c r="R531" s="317" t="str">
        <f t="shared" si="199"/>
        <v/>
      </c>
      <c r="S531" s="317" t="str">
        <f t="shared" si="200"/>
        <v/>
      </c>
      <c r="V531" s="314">
        <f>SUM(ORÇAMENTO!N531)</f>
        <v>0</v>
      </c>
      <c r="W531" s="315">
        <f t="shared" si="181"/>
        <v>0</v>
      </c>
    </row>
    <row r="532" spans="1:23" ht="15" hidden="1" customHeight="1">
      <c r="A532" s="63">
        <v>502670</v>
      </c>
      <c r="B532" s="870">
        <v>502670</v>
      </c>
      <c r="C532" s="871" t="s">
        <v>184</v>
      </c>
      <c r="D532" s="881" t="s">
        <v>1931</v>
      </c>
      <c r="E532" s="882"/>
      <c r="F532" s="883"/>
      <c r="G532" s="887">
        <f t="shared" si="201"/>
        <v>0</v>
      </c>
      <c r="H532" s="876">
        <v>19.57</v>
      </c>
      <c r="I532" s="876">
        <f t="shared" si="191"/>
        <v>19.57</v>
      </c>
      <c r="J532" s="877">
        <f t="shared" si="183"/>
        <v>23.92</v>
      </c>
      <c r="K532" s="878" t="s">
        <v>13</v>
      </c>
      <c r="L532" s="885">
        <f>ROUND(SUM(ORÇAMENTO!L532),2)</f>
        <v>0</v>
      </c>
      <c r="M532" s="886">
        <f t="shared" si="196"/>
        <v>0</v>
      </c>
      <c r="N532" s="868">
        <f t="shared" si="197"/>
        <v>0</v>
      </c>
      <c r="O532" s="880"/>
      <c r="Q532" s="317" t="str">
        <f t="shared" si="198"/>
        <v/>
      </c>
      <c r="R532" s="317" t="str">
        <f t="shared" si="199"/>
        <v/>
      </c>
      <c r="S532" s="317" t="str">
        <f t="shared" si="200"/>
        <v/>
      </c>
      <c r="V532" s="314">
        <f>SUM(ORÇAMENTO!N532)</f>
        <v>0</v>
      </c>
      <c r="W532" s="315">
        <f t="shared" si="181"/>
        <v>0</v>
      </c>
    </row>
    <row r="533" spans="1:23" ht="15" hidden="1" customHeight="1">
      <c r="A533" s="63">
        <v>502645</v>
      </c>
      <c r="B533" s="870">
        <v>502645</v>
      </c>
      <c r="C533" s="871" t="s">
        <v>184</v>
      </c>
      <c r="D533" s="881" t="s">
        <v>1932</v>
      </c>
      <c r="E533" s="882"/>
      <c r="F533" s="883"/>
      <c r="G533" s="923">
        <f>SUM(G534:G537)</f>
        <v>306.56383550000004</v>
      </c>
      <c r="H533" s="876">
        <v>322.94</v>
      </c>
      <c r="I533" s="876">
        <f t="shared" si="191"/>
        <v>629.50383550000004</v>
      </c>
      <c r="J533" s="877">
        <f t="shared" si="183"/>
        <v>769.38</v>
      </c>
      <c r="K533" s="878" t="s">
        <v>10</v>
      </c>
      <c r="L533" s="885">
        <f>ROUND(SUM(ORÇAMENTO!L533),2)</f>
        <v>0</v>
      </c>
      <c r="M533" s="886">
        <f t="shared" si="196"/>
        <v>0</v>
      </c>
      <c r="N533" s="868">
        <f t="shared" si="197"/>
        <v>0</v>
      </c>
      <c r="O533" s="880"/>
      <c r="Q533" s="317" t="str">
        <f t="shared" si="198"/>
        <v/>
      </c>
      <c r="R533" s="317" t="str">
        <f t="shared" si="199"/>
        <v/>
      </c>
      <c r="S533" s="317" t="str">
        <f t="shared" si="200"/>
        <v/>
      </c>
      <c r="V533" s="314">
        <f>SUM(ORÇAMENTO!N533)</f>
        <v>0</v>
      </c>
      <c r="W533" s="315">
        <f t="shared" ref="W533:W596" si="202">N533-V533</f>
        <v>0</v>
      </c>
    </row>
    <row r="534" spans="1:23" ht="15" hidden="1" customHeight="1">
      <c r="A534" s="63" t="s">
        <v>147</v>
      </c>
      <c r="B534" s="870" t="s">
        <v>147</v>
      </c>
      <c r="C534" s="871"/>
      <c r="D534" s="931" t="s">
        <v>190</v>
      </c>
      <c r="E534" s="882">
        <f>DMT!$D$51</f>
        <v>445</v>
      </c>
      <c r="F534" s="883">
        <v>0.38</v>
      </c>
      <c r="G534" s="884">
        <f>IF(E534&lt;=30,(0.78*E534+7.82)*F534,((0.78*30+7.82)+0.78*(E534-30))*F534)</f>
        <v>134.86960000000002</v>
      </c>
      <c r="H534" s="876">
        <v>0</v>
      </c>
      <c r="I534" s="876"/>
      <c r="J534" s="877">
        <v>0</v>
      </c>
      <c r="K534" s="932"/>
      <c r="L534" s="933">
        <f>ROUND(SUM(ORÇAMENTO!L534),2)</f>
        <v>0</v>
      </c>
      <c r="M534" s="934">
        <f t="shared" si="196"/>
        <v>0</v>
      </c>
      <c r="N534" s="868">
        <f t="shared" si="197"/>
        <v>0</v>
      </c>
      <c r="O534" s="880"/>
      <c r="P534" s="58" t="str">
        <f>IF(N533&gt;0,"xx",IF(N533&gt;0,"xy",""))</f>
        <v/>
      </c>
      <c r="Q534" s="317" t="str">
        <f t="shared" si="198"/>
        <v/>
      </c>
      <c r="R534" s="317" t="str">
        <f t="shared" si="199"/>
        <v/>
      </c>
      <c r="S534" s="317" t="str">
        <f t="shared" si="200"/>
        <v/>
      </c>
      <c r="V534" s="314">
        <f>SUM(ORÇAMENTO!N534)</f>
        <v>0</v>
      </c>
      <c r="W534" s="315">
        <f t="shared" si="202"/>
        <v>0</v>
      </c>
    </row>
    <row r="535" spans="1:23" ht="15" hidden="1" customHeight="1">
      <c r="A535" s="63" t="s">
        <v>147</v>
      </c>
      <c r="B535" s="870" t="s">
        <v>147</v>
      </c>
      <c r="C535" s="871"/>
      <c r="D535" s="931" t="s">
        <v>229</v>
      </c>
      <c r="E535" s="882">
        <f>DMT!$F$48</f>
        <v>27</v>
      </c>
      <c r="F535" s="883">
        <v>0.70050000000000001</v>
      </c>
      <c r="G535" s="923">
        <f t="shared" ref="G535:G537" si="203">IF(E535&lt;=30,(1.07*E535+2.68)*F535,((1.07*30+2.68)+1.07*(E535-30))*F535)</f>
        <v>22.114785000000001</v>
      </c>
      <c r="H535" s="876">
        <v>0</v>
      </c>
      <c r="I535" s="876"/>
      <c r="J535" s="877">
        <v>0</v>
      </c>
      <c r="K535" s="932" t="s">
        <v>506</v>
      </c>
      <c r="L535" s="933">
        <f>ROUND(SUM(ORÇAMENTO!L535),2)</f>
        <v>0</v>
      </c>
      <c r="M535" s="934">
        <f t="shared" si="196"/>
        <v>0</v>
      </c>
      <c r="N535" s="868">
        <f t="shared" si="197"/>
        <v>0</v>
      </c>
      <c r="O535" s="880"/>
      <c r="P535" s="58" t="str">
        <f>IF(N533&gt;0,"xx",IF(N533&gt;0,"xy",""))</f>
        <v/>
      </c>
      <c r="Q535" s="317" t="str">
        <f t="shared" si="198"/>
        <v/>
      </c>
      <c r="R535" s="317" t="str">
        <f t="shared" si="199"/>
        <v/>
      </c>
      <c r="S535" s="317" t="str">
        <f t="shared" si="200"/>
        <v/>
      </c>
      <c r="V535" s="314">
        <f>SUM(ORÇAMENTO!N535)</f>
        <v>0</v>
      </c>
      <c r="W535" s="315">
        <f t="shared" si="202"/>
        <v>0</v>
      </c>
    </row>
    <row r="536" spans="1:23" ht="15" hidden="1" customHeight="1">
      <c r="A536" s="63" t="s">
        <v>147</v>
      </c>
      <c r="B536" s="870" t="s">
        <v>147</v>
      </c>
      <c r="C536" s="871"/>
      <c r="D536" s="931" t="s">
        <v>233</v>
      </c>
      <c r="E536" s="882">
        <f>DMT!$F$49</f>
        <v>33</v>
      </c>
      <c r="F536" s="883">
        <v>1.1160000000000001</v>
      </c>
      <c r="G536" s="923">
        <f t="shared" si="203"/>
        <v>42.396840000000005</v>
      </c>
      <c r="H536" s="876">
        <v>0</v>
      </c>
      <c r="I536" s="876"/>
      <c r="J536" s="877">
        <v>0</v>
      </c>
      <c r="K536" s="932" t="s">
        <v>506</v>
      </c>
      <c r="L536" s="933">
        <f>ROUND(SUM(ORÇAMENTO!L536),2)</f>
        <v>0</v>
      </c>
      <c r="M536" s="934">
        <f t="shared" si="196"/>
        <v>0</v>
      </c>
      <c r="N536" s="868">
        <f t="shared" si="197"/>
        <v>0</v>
      </c>
      <c r="O536" s="880"/>
      <c r="P536" s="58" t="str">
        <f>IF(N533&gt;0,"xx",IF(N533&gt;0,"xy",""))</f>
        <v/>
      </c>
      <c r="Q536" s="317" t="str">
        <f t="shared" si="198"/>
        <v/>
      </c>
      <c r="R536" s="317" t="str">
        <f t="shared" si="199"/>
        <v/>
      </c>
      <c r="S536" s="317" t="str">
        <f t="shared" si="200"/>
        <v/>
      </c>
      <c r="V536" s="314">
        <f>SUM(ORÇAMENTO!N536)</f>
        <v>0</v>
      </c>
      <c r="W536" s="315">
        <f t="shared" si="202"/>
        <v>0</v>
      </c>
    </row>
    <row r="537" spans="1:23" ht="15" hidden="1" customHeight="1">
      <c r="A537" s="63" t="s">
        <v>147</v>
      </c>
      <c r="B537" s="870" t="s">
        <v>147</v>
      </c>
      <c r="C537" s="871"/>
      <c r="D537" s="931" t="s">
        <v>244</v>
      </c>
      <c r="E537" s="882">
        <f>DMT!$F$22</f>
        <v>43.1</v>
      </c>
      <c r="F537" s="883">
        <f>SUM(F533:F536)</f>
        <v>2.1965000000000003</v>
      </c>
      <c r="G537" s="887">
        <f t="shared" si="203"/>
        <v>107.18261050000002</v>
      </c>
      <c r="H537" s="876">
        <v>0</v>
      </c>
      <c r="I537" s="876"/>
      <c r="J537" s="877">
        <v>0</v>
      </c>
      <c r="K537" s="878" t="s">
        <v>506</v>
      </c>
      <c r="L537" s="977">
        <f>ROUND(SUM(ORÇAMENTO!L537),2)</f>
        <v>0</v>
      </c>
      <c r="M537" s="934">
        <f t="shared" si="196"/>
        <v>0</v>
      </c>
      <c r="N537" s="868">
        <f t="shared" si="197"/>
        <v>0</v>
      </c>
      <c r="O537" s="880"/>
      <c r="P537" s="58" t="str">
        <f>IF(N533&gt;0,"xx",IF(N533&gt;0,"xy",""))</f>
        <v/>
      </c>
      <c r="Q537" s="317" t="str">
        <f t="shared" si="198"/>
        <v/>
      </c>
      <c r="R537" s="317" t="str">
        <f t="shared" si="199"/>
        <v/>
      </c>
      <c r="S537" s="317" t="str">
        <f t="shared" si="200"/>
        <v/>
      </c>
      <c r="V537" s="314">
        <f>SUM(ORÇAMENTO!N537)</f>
        <v>0</v>
      </c>
      <c r="W537" s="315">
        <f t="shared" si="202"/>
        <v>0</v>
      </c>
    </row>
    <row r="538" spans="1:23" ht="15" hidden="1" customHeight="1">
      <c r="A538" s="63">
        <v>502646</v>
      </c>
      <c r="B538" s="870">
        <v>502646</v>
      </c>
      <c r="C538" s="871" t="s">
        <v>184</v>
      </c>
      <c r="D538" s="881" t="s">
        <v>1933</v>
      </c>
      <c r="E538" s="882"/>
      <c r="F538" s="883"/>
      <c r="G538" s="923">
        <f>SUM(G539:G542)</f>
        <v>306.56383550000004</v>
      </c>
      <c r="H538" s="876">
        <v>378.42</v>
      </c>
      <c r="I538" s="876">
        <f t="shared" si="191"/>
        <v>684.98383550000005</v>
      </c>
      <c r="J538" s="877">
        <f t="shared" si="183"/>
        <v>837.19</v>
      </c>
      <c r="K538" s="878" t="s">
        <v>10</v>
      </c>
      <c r="L538" s="885">
        <f>ROUND(SUM(ORÇAMENTO!L538),2)</f>
        <v>0</v>
      </c>
      <c r="M538" s="886">
        <f t="shared" si="196"/>
        <v>0</v>
      </c>
      <c r="N538" s="868">
        <f t="shared" si="197"/>
        <v>0</v>
      </c>
      <c r="O538" s="880"/>
      <c r="Q538" s="317" t="str">
        <f t="shared" si="198"/>
        <v/>
      </c>
      <c r="R538" s="317" t="str">
        <f t="shared" si="199"/>
        <v/>
      </c>
      <c r="S538" s="317" t="str">
        <f t="shared" si="200"/>
        <v/>
      </c>
      <c r="V538" s="314">
        <f>SUM(ORÇAMENTO!N538)</f>
        <v>0</v>
      </c>
      <c r="W538" s="315">
        <f t="shared" si="202"/>
        <v>0</v>
      </c>
    </row>
    <row r="539" spans="1:23" ht="15" hidden="1" customHeight="1">
      <c r="A539" s="63" t="s">
        <v>147</v>
      </c>
      <c r="B539" s="870" t="s">
        <v>147</v>
      </c>
      <c r="C539" s="871"/>
      <c r="D539" s="931" t="s">
        <v>190</v>
      </c>
      <c r="E539" s="882">
        <f>DMT!$D$51</f>
        <v>445</v>
      </c>
      <c r="F539" s="883">
        <v>0.38</v>
      </c>
      <c r="G539" s="884">
        <f>IF(E539&lt;=30,(0.78*E539+7.82)*F539,((0.78*30+7.82)+0.78*(E539-30))*F539)</f>
        <v>134.86960000000002</v>
      </c>
      <c r="H539" s="876">
        <v>0</v>
      </c>
      <c r="I539" s="876"/>
      <c r="J539" s="877">
        <v>0</v>
      </c>
      <c r="K539" s="932" t="s">
        <v>506</v>
      </c>
      <c r="L539" s="933">
        <f>ROUND(SUM(ORÇAMENTO!L539),2)</f>
        <v>0</v>
      </c>
      <c r="M539" s="934">
        <f t="shared" si="196"/>
        <v>0</v>
      </c>
      <c r="N539" s="868">
        <f t="shared" si="197"/>
        <v>0</v>
      </c>
      <c r="O539" s="880"/>
      <c r="P539" s="58" t="str">
        <f>IF(N538&gt;0,"xx",IF(N538&gt;0,"xy",""))</f>
        <v/>
      </c>
      <c r="Q539" s="317" t="str">
        <f t="shared" si="198"/>
        <v/>
      </c>
      <c r="R539" s="317" t="str">
        <f t="shared" si="199"/>
        <v/>
      </c>
      <c r="S539" s="317" t="str">
        <f t="shared" si="200"/>
        <v/>
      </c>
      <c r="V539" s="314">
        <f>SUM(ORÇAMENTO!N539)</f>
        <v>0</v>
      </c>
      <c r="W539" s="315">
        <f t="shared" si="202"/>
        <v>0</v>
      </c>
    </row>
    <row r="540" spans="1:23" ht="15" hidden="1" customHeight="1">
      <c r="A540" s="63" t="s">
        <v>147</v>
      </c>
      <c r="B540" s="870" t="s">
        <v>147</v>
      </c>
      <c r="C540" s="871"/>
      <c r="D540" s="931" t="s">
        <v>229</v>
      </c>
      <c r="E540" s="882">
        <f>DMT!$F$48</f>
        <v>27</v>
      </c>
      <c r="F540" s="883">
        <v>0.70050000000000001</v>
      </c>
      <c r="G540" s="923">
        <f t="shared" ref="G540:G551" si="204">IF(E540&lt;=30,(1.07*E540+2.68)*F540,((1.07*30+2.68)+1.07*(E540-30))*F540)</f>
        <v>22.114785000000001</v>
      </c>
      <c r="H540" s="876">
        <v>0</v>
      </c>
      <c r="I540" s="876"/>
      <c r="J540" s="877">
        <v>0</v>
      </c>
      <c r="K540" s="932" t="s">
        <v>506</v>
      </c>
      <c r="L540" s="933">
        <f>ROUND(SUM(ORÇAMENTO!L540),2)</f>
        <v>0</v>
      </c>
      <c r="M540" s="934">
        <f t="shared" si="196"/>
        <v>0</v>
      </c>
      <c r="N540" s="868">
        <f t="shared" si="197"/>
        <v>0</v>
      </c>
      <c r="O540" s="880"/>
      <c r="P540" s="58" t="str">
        <f>IF(N538&gt;0,"xx",IF(N538&gt;0,"xy",""))</f>
        <v/>
      </c>
      <c r="Q540" s="317" t="str">
        <f t="shared" si="198"/>
        <v/>
      </c>
      <c r="R540" s="317" t="str">
        <f t="shared" si="199"/>
        <v/>
      </c>
      <c r="S540" s="317" t="str">
        <f t="shared" si="200"/>
        <v/>
      </c>
      <c r="V540" s="314">
        <f>SUM(ORÇAMENTO!N540)</f>
        <v>0</v>
      </c>
      <c r="W540" s="315">
        <f t="shared" si="202"/>
        <v>0</v>
      </c>
    </row>
    <row r="541" spans="1:23" ht="15" hidden="1" customHeight="1">
      <c r="A541" s="63" t="s">
        <v>147</v>
      </c>
      <c r="B541" s="870" t="s">
        <v>147</v>
      </c>
      <c r="C541" s="871"/>
      <c r="D541" s="931" t="s">
        <v>233</v>
      </c>
      <c r="E541" s="882">
        <f>DMT!$F$49</f>
        <v>33</v>
      </c>
      <c r="F541" s="883">
        <v>1.1160000000000001</v>
      </c>
      <c r="G541" s="923">
        <f t="shared" si="204"/>
        <v>42.396840000000005</v>
      </c>
      <c r="H541" s="876">
        <v>0</v>
      </c>
      <c r="I541" s="876"/>
      <c r="J541" s="877">
        <v>0</v>
      </c>
      <c r="K541" s="878" t="s">
        <v>506</v>
      </c>
      <c r="L541" s="977">
        <f>ROUND(SUM(ORÇAMENTO!L541),2)</f>
        <v>0</v>
      </c>
      <c r="M541" s="934">
        <f t="shared" si="196"/>
        <v>0</v>
      </c>
      <c r="N541" s="868">
        <f t="shared" si="197"/>
        <v>0</v>
      </c>
      <c r="O541" s="880"/>
      <c r="P541" s="58" t="str">
        <f>IF(N537&gt;0,"xx",IF(N537&gt;0,"xy",""))</f>
        <v/>
      </c>
      <c r="Q541" s="317" t="str">
        <f t="shared" si="198"/>
        <v/>
      </c>
      <c r="R541" s="317" t="str">
        <f t="shared" si="199"/>
        <v/>
      </c>
      <c r="S541" s="317" t="str">
        <f t="shared" si="200"/>
        <v/>
      </c>
      <c r="V541" s="314">
        <f>SUM(ORÇAMENTO!N541)</f>
        <v>0</v>
      </c>
      <c r="W541" s="315">
        <f t="shared" si="202"/>
        <v>0</v>
      </c>
    </row>
    <row r="542" spans="1:23" ht="15" hidden="1" customHeight="1" thickBot="1">
      <c r="A542" s="63" t="s">
        <v>147</v>
      </c>
      <c r="B542" s="978" t="s">
        <v>147</v>
      </c>
      <c r="C542" s="958"/>
      <c r="D542" s="986" t="s">
        <v>244</v>
      </c>
      <c r="E542" s="1001">
        <f>DMT!$F$22</f>
        <v>43.1</v>
      </c>
      <c r="F542" s="980">
        <f>SUM(F538:F541)</f>
        <v>2.1965000000000003</v>
      </c>
      <c r="G542" s="1002">
        <f t="shared" si="204"/>
        <v>107.18261050000002</v>
      </c>
      <c r="H542" s="962">
        <v>0</v>
      </c>
      <c r="I542" s="962"/>
      <c r="J542" s="963">
        <v>0</v>
      </c>
      <c r="K542" s="1003" t="s">
        <v>506</v>
      </c>
      <c r="L542" s="1004">
        <f>ROUND(SUM(ORÇAMENTO!L542),2)</f>
        <v>0</v>
      </c>
      <c r="M542" s="987">
        <f t="shared" si="196"/>
        <v>0</v>
      </c>
      <c r="N542" s="967">
        <f t="shared" si="197"/>
        <v>0</v>
      </c>
      <c r="O542" s="880"/>
      <c r="P542" s="58" t="str">
        <f>IF(N538&gt;0,"xx",IF(N538&gt;0,"xy",""))</f>
        <v/>
      </c>
      <c r="Q542" s="317" t="str">
        <f t="shared" si="198"/>
        <v/>
      </c>
      <c r="R542" s="317" t="str">
        <f t="shared" si="199"/>
        <v/>
      </c>
      <c r="S542" s="317" t="str">
        <f t="shared" si="200"/>
        <v/>
      </c>
      <c r="V542" s="314">
        <f>SUM(ORÇAMENTO!N542)</f>
        <v>0</v>
      </c>
      <c r="W542" s="315">
        <f t="shared" si="202"/>
        <v>0</v>
      </c>
    </row>
    <row r="543" spans="1:23" ht="45" hidden="1">
      <c r="A543" s="63">
        <v>97104</v>
      </c>
      <c r="B543" s="858">
        <v>97104</v>
      </c>
      <c r="C543" s="859" t="s">
        <v>590</v>
      </c>
      <c r="D543" s="920" t="s">
        <v>1913</v>
      </c>
      <c r="E543" s="1005">
        <f>DMT!$F$22</f>
        <v>43.1</v>
      </c>
      <c r="F543" s="921">
        <f>2.4*0.15</f>
        <v>0.36</v>
      </c>
      <c r="G543" s="923">
        <f t="shared" si="204"/>
        <v>17.56692</v>
      </c>
      <c r="H543" s="864">
        <v>121.45</v>
      </c>
      <c r="I543" s="864">
        <f t="shared" ref="I543:I560" si="205">IF(ISBLANK(H543),"",SUM(G543:H543))</f>
        <v>139.01692</v>
      </c>
      <c r="J543" s="865">
        <f t="shared" si="183"/>
        <v>169.91</v>
      </c>
      <c r="K543" s="866" t="s">
        <v>12</v>
      </c>
      <c r="L543" s="1006">
        <f>ROUND(SUM(ORÇAMENTO!L543),2)</f>
        <v>0</v>
      </c>
      <c r="M543" s="879">
        <f t="shared" si="196"/>
        <v>0</v>
      </c>
      <c r="N543" s="907">
        <f t="shared" si="197"/>
        <v>0</v>
      </c>
      <c r="O543" s="880"/>
      <c r="Q543" s="317" t="str">
        <f t="shared" si="198"/>
        <v/>
      </c>
      <c r="R543" s="317" t="str">
        <f t="shared" si="199"/>
        <v/>
      </c>
      <c r="S543" s="317" t="str">
        <f t="shared" si="200"/>
        <v/>
      </c>
      <c r="V543" s="314">
        <f>SUM(ORÇAMENTO!N543)</f>
        <v>0</v>
      </c>
      <c r="W543" s="315">
        <f t="shared" si="202"/>
        <v>0</v>
      </c>
    </row>
    <row r="544" spans="1:23" ht="45" hidden="1">
      <c r="A544" s="63">
        <v>97105</v>
      </c>
      <c r="B544" s="870">
        <v>97105</v>
      </c>
      <c r="C544" s="871" t="s">
        <v>590</v>
      </c>
      <c r="D544" s="881" t="s">
        <v>1907</v>
      </c>
      <c r="E544" s="882">
        <f>DMT!$F$22</f>
        <v>43.1</v>
      </c>
      <c r="F544" s="883">
        <f>2.4*0.175</f>
        <v>0.42</v>
      </c>
      <c r="G544" s="923">
        <f t="shared" si="204"/>
        <v>20.49474</v>
      </c>
      <c r="H544" s="876">
        <v>136.68</v>
      </c>
      <c r="I544" s="876">
        <f t="shared" si="205"/>
        <v>157.17474000000001</v>
      </c>
      <c r="J544" s="877">
        <f t="shared" si="183"/>
        <v>192.1</v>
      </c>
      <c r="K544" s="878" t="s">
        <v>12</v>
      </c>
      <c r="L544" s="885">
        <f>ROUND(SUM(ORÇAMENTO!L544),2)</f>
        <v>0</v>
      </c>
      <c r="M544" s="886">
        <f t="shared" si="196"/>
        <v>0</v>
      </c>
      <c r="N544" s="868">
        <f t="shared" si="197"/>
        <v>0</v>
      </c>
      <c r="O544" s="880"/>
      <c r="Q544" s="317" t="str">
        <f t="shared" si="198"/>
        <v/>
      </c>
      <c r="R544" s="317" t="str">
        <f t="shared" si="199"/>
        <v/>
      </c>
      <c r="S544" s="317" t="str">
        <f t="shared" si="200"/>
        <v/>
      </c>
      <c r="V544" s="314">
        <f>SUM(ORÇAMENTO!N544)</f>
        <v>0</v>
      </c>
      <c r="W544" s="315">
        <f t="shared" si="202"/>
        <v>0</v>
      </c>
    </row>
    <row r="545" spans="1:23" ht="45" hidden="1">
      <c r="A545" s="63">
        <v>97106</v>
      </c>
      <c r="B545" s="870">
        <v>97106</v>
      </c>
      <c r="C545" s="871" t="s">
        <v>590</v>
      </c>
      <c r="D545" s="881" t="s">
        <v>1908</v>
      </c>
      <c r="E545" s="882">
        <f>DMT!$F$22</f>
        <v>43.1</v>
      </c>
      <c r="F545" s="883">
        <f>2.4*0.2</f>
        <v>0.48</v>
      </c>
      <c r="G545" s="923">
        <f t="shared" si="204"/>
        <v>23.422560000000001</v>
      </c>
      <c r="H545" s="876">
        <v>150.85</v>
      </c>
      <c r="I545" s="876">
        <f t="shared" si="205"/>
        <v>174.27256</v>
      </c>
      <c r="J545" s="877">
        <f t="shared" si="183"/>
        <v>213</v>
      </c>
      <c r="K545" s="878" t="s">
        <v>12</v>
      </c>
      <c r="L545" s="885">
        <f>ROUND(SUM(ORÇAMENTO!L545),2)</f>
        <v>0</v>
      </c>
      <c r="M545" s="886">
        <f t="shared" si="196"/>
        <v>0</v>
      </c>
      <c r="N545" s="868">
        <f t="shared" si="197"/>
        <v>0</v>
      </c>
      <c r="O545" s="880"/>
      <c r="Q545" s="317" t="str">
        <f t="shared" si="198"/>
        <v/>
      </c>
      <c r="R545" s="317" t="str">
        <f t="shared" si="199"/>
        <v/>
      </c>
      <c r="S545" s="317" t="str">
        <f t="shared" si="200"/>
        <v/>
      </c>
      <c r="V545" s="314">
        <f>SUM(ORÇAMENTO!N545)</f>
        <v>0</v>
      </c>
      <c r="W545" s="315">
        <f t="shared" si="202"/>
        <v>0</v>
      </c>
    </row>
    <row r="546" spans="1:23" ht="45" hidden="1">
      <c r="A546" s="63">
        <v>97107</v>
      </c>
      <c r="B546" s="870">
        <v>97107</v>
      </c>
      <c r="C546" s="871" t="s">
        <v>590</v>
      </c>
      <c r="D546" s="881" t="s">
        <v>1909</v>
      </c>
      <c r="E546" s="882">
        <f>DMT!$F$22</f>
        <v>43.1</v>
      </c>
      <c r="F546" s="883">
        <f>2.4*0.225</f>
        <v>0.54</v>
      </c>
      <c r="G546" s="923">
        <f t="shared" si="204"/>
        <v>26.350380000000005</v>
      </c>
      <c r="H546" s="876">
        <v>172.16</v>
      </c>
      <c r="I546" s="876">
        <f t="shared" si="205"/>
        <v>198.51038</v>
      </c>
      <c r="J546" s="877">
        <f t="shared" ref="J546:J562" si="206">IF(ISBLANK(H546),0,ROUND(I546*(1+$E$10),2))</f>
        <v>242.62</v>
      </c>
      <c r="K546" s="878" t="s">
        <v>12</v>
      </c>
      <c r="L546" s="885">
        <f>ROUND(SUM(ORÇAMENTO!L546),2)</f>
        <v>0</v>
      </c>
      <c r="M546" s="886">
        <f t="shared" si="196"/>
        <v>0</v>
      </c>
      <c r="N546" s="868">
        <f t="shared" si="197"/>
        <v>0</v>
      </c>
      <c r="O546" s="880"/>
      <c r="Q546" s="317" t="str">
        <f t="shared" si="198"/>
        <v/>
      </c>
      <c r="R546" s="317" t="str">
        <f t="shared" si="199"/>
        <v/>
      </c>
      <c r="S546" s="317" t="str">
        <f t="shared" si="200"/>
        <v/>
      </c>
      <c r="V546" s="314">
        <f>SUM(ORÇAMENTO!N546)</f>
        <v>0</v>
      </c>
      <c r="W546" s="315">
        <f t="shared" si="202"/>
        <v>0</v>
      </c>
    </row>
    <row r="547" spans="1:23" ht="45" hidden="1">
      <c r="A547" s="63">
        <v>97108</v>
      </c>
      <c r="B547" s="870">
        <v>97108</v>
      </c>
      <c r="C547" s="871" t="s">
        <v>590</v>
      </c>
      <c r="D547" s="881" t="s">
        <v>1910</v>
      </c>
      <c r="E547" s="882">
        <f>DMT!$F$22</f>
        <v>43.1</v>
      </c>
      <c r="F547" s="883">
        <f>2.4*0.25</f>
        <v>0.6</v>
      </c>
      <c r="G547" s="923">
        <f t="shared" si="204"/>
        <v>29.278200000000002</v>
      </c>
      <c r="H547" s="876">
        <v>196.46</v>
      </c>
      <c r="I547" s="876">
        <f t="shared" si="205"/>
        <v>225.73820000000001</v>
      </c>
      <c r="J547" s="877">
        <f t="shared" si="206"/>
        <v>275.89999999999998</v>
      </c>
      <c r="K547" s="878" t="s">
        <v>12</v>
      </c>
      <c r="L547" s="885">
        <f>ROUND(SUM(ORÇAMENTO!L547),2)</f>
        <v>0</v>
      </c>
      <c r="M547" s="886">
        <f t="shared" si="196"/>
        <v>0</v>
      </c>
      <c r="N547" s="868">
        <f t="shared" si="197"/>
        <v>0</v>
      </c>
      <c r="O547" s="880"/>
      <c r="Q547" s="317" t="str">
        <f t="shared" si="198"/>
        <v/>
      </c>
      <c r="R547" s="317" t="str">
        <f t="shared" si="199"/>
        <v/>
      </c>
      <c r="S547" s="317" t="str">
        <f t="shared" si="200"/>
        <v/>
      </c>
      <c r="V547" s="314">
        <f>SUM(ORÇAMENTO!N547)</f>
        <v>0</v>
      </c>
      <c r="W547" s="315">
        <f t="shared" si="202"/>
        <v>0</v>
      </c>
    </row>
    <row r="548" spans="1:23" ht="45" hidden="1">
      <c r="A548" s="63">
        <v>97109</v>
      </c>
      <c r="B548" s="870">
        <v>97109</v>
      </c>
      <c r="C548" s="871" t="s">
        <v>590</v>
      </c>
      <c r="D548" s="881" t="s">
        <v>1911</v>
      </c>
      <c r="E548" s="882">
        <f>DMT!$F$22</f>
        <v>43.1</v>
      </c>
      <c r="F548" s="883">
        <f>2.4*0.275</f>
        <v>0.66</v>
      </c>
      <c r="G548" s="923">
        <f t="shared" si="204"/>
        <v>32.206020000000002</v>
      </c>
      <c r="H548" s="876">
        <v>217</v>
      </c>
      <c r="I548" s="876">
        <f t="shared" si="205"/>
        <v>249.20602</v>
      </c>
      <c r="J548" s="877">
        <f t="shared" si="206"/>
        <v>304.58</v>
      </c>
      <c r="K548" s="878" t="s">
        <v>12</v>
      </c>
      <c r="L548" s="885">
        <f>ROUND(SUM(ORÇAMENTO!L548),2)</f>
        <v>0</v>
      </c>
      <c r="M548" s="886">
        <f t="shared" si="196"/>
        <v>0</v>
      </c>
      <c r="N548" s="868">
        <f t="shared" si="197"/>
        <v>0</v>
      </c>
      <c r="O548" s="880"/>
      <c r="Q548" s="317" t="str">
        <f t="shared" si="198"/>
        <v/>
      </c>
      <c r="R548" s="317" t="str">
        <f t="shared" si="199"/>
        <v/>
      </c>
      <c r="S548" s="317" t="str">
        <f t="shared" si="200"/>
        <v/>
      </c>
      <c r="V548" s="314">
        <f>SUM(ORÇAMENTO!N548)</f>
        <v>0</v>
      </c>
      <c r="W548" s="315">
        <f t="shared" si="202"/>
        <v>0</v>
      </c>
    </row>
    <row r="549" spans="1:23" ht="22.5" hidden="1">
      <c r="A549" s="63">
        <v>97111</v>
      </c>
      <c r="B549" s="870">
        <v>97111</v>
      </c>
      <c r="C549" s="871" t="s">
        <v>590</v>
      </c>
      <c r="D549" s="881" t="s">
        <v>1977</v>
      </c>
      <c r="E549" s="882">
        <f>DMT!$F$22</f>
        <v>43.1</v>
      </c>
      <c r="F549" s="883">
        <f>2.4*0.125</f>
        <v>0.3</v>
      </c>
      <c r="G549" s="923">
        <f t="shared" si="204"/>
        <v>14.639100000000001</v>
      </c>
      <c r="H549" s="876">
        <v>274.89</v>
      </c>
      <c r="I549" s="876">
        <f t="shared" si="205"/>
        <v>289.52909999999997</v>
      </c>
      <c r="J549" s="877">
        <f t="shared" si="206"/>
        <v>353.86</v>
      </c>
      <c r="K549" s="878" t="s">
        <v>12</v>
      </c>
      <c r="L549" s="885">
        <f>ROUND(SUM(ORÇAMENTO!L549),2)</f>
        <v>0</v>
      </c>
      <c r="M549" s="886">
        <f t="shared" si="196"/>
        <v>0</v>
      </c>
      <c r="N549" s="868">
        <f t="shared" si="197"/>
        <v>0</v>
      </c>
      <c r="O549" s="880"/>
      <c r="Q549" s="317" t="str">
        <f t="shared" si="198"/>
        <v/>
      </c>
      <c r="R549" s="317" t="str">
        <f t="shared" si="199"/>
        <v/>
      </c>
      <c r="S549" s="317" t="str">
        <f t="shared" si="200"/>
        <v/>
      </c>
      <c r="V549" s="314">
        <f>SUM(ORÇAMENTO!N549)</f>
        <v>0</v>
      </c>
      <c r="W549" s="315">
        <f t="shared" si="202"/>
        <v>0</v>
      </c>
    </row>
    <row r="550" spans="1:23" ht="22.5" hidden="1">
      <c r="A550" s="63">
        <v>97112</v>
      </c>
      <c r="B550" s="870">
        <v>97112</v>
      </c>
      <c r="C550" s="871" t="s">
        <v>590</v>
      </c>
      <c r="D550" s="881" t="s">
        <v>1982</v>
      </c>
      <c r="E550" s="882">
        <f>DMT!$F$22</f>
        <v>43.1</v>
      </c>
      <c r="F550" s="883">
        <f>2.4*0.15</f>
        <v>0.36</v>
      </c>
      <c r="G550" s="923">
        <f t="shared" si="204"/>
        <v>17.56692</v>
      </c>
      <c r="H550" s="876">
        <v>231.07</v>
      </c>
      <c r="I550" s="876">
        <f t="shared" si="205"/>
        <v>248.63692</v>
      </c>
      <c r="J550" s="877">
        <f t="shared" si="206"/>
        <v>303.88</v>
      </c>
      <c r="K550" s="878" t="s">
        <v>12</v>
      </c>
      <c r="L550" s="885">
        <f>ROUND(SUM(ORÇAMENTO!L550),2)</f>
        <v>0</v>
      </c>
      <c r="M550" s="886">
        <f t="shared" si="196"/>
        <v>0</v>
      </c>
      <c r="N550" s="868">
        <f t="shared" si="197"/>
        <v>0</v>
      </c>
      <c r="O550" s="880"/>
      <c r="Q550" s="317" t="str">
        <f t="shared" si="198"/>
        <v/>
      </c>
      <c r="R550" s="317" t="str">
        <f t="shared" si="199"/>
        <v/>
      </c>
      <c r="S550" s="317" t="str">
        <f t="shared" si="200"/>
        <v/>
      </c>
      <c r="V550" s="314">
        <f>SUM(ORÇAMENTO!N550)</f>
        <v>0</v>
      </c>
      <c r="W550" s="315">
        <f t="shared" si="202"/>
        <v>0</v>
      </c>
    </row>
    <row r="551" spans="1:23" ht="22.5" hidden="1">
      <c r="A551" s="63">
        <v>97112</v>
      </c>
      <c r="B551" s="870">
        <v>97112</v>
      </c>
      <c r="C551" s="871" t="s">
        <v>590</v>
      </c>
      <c r="D551" s="881" t="s">
        <v>1982</v>
      </c>
      <c r="E551" s="882">
        <f>DMT!$F$22</f>
        <v>43.1</v>
      </c>
      <c r="F551" s="883">
        <f>2.4*0.175</f>
        <v>0.42</v>
      </c>
      <c r="G551" s="923">
        <f t="shared" si="204"/>
        <v>20.49474</v>
      </c>
      <c r="H551" s="876">
        <v>231.07</v>
      </c>
      <c r="I551" s="876">
        <f t="shared" si="205"/>
        <v>251.56474</v>
      </c>
      <c r="J551" s="877">
        <f t="shared" si="206"/>
        <v>307.45999999999998</v>
      </c>
      <c r="K551" s="878" t="s">
        <v>12</v>
      </c>
      <c r="L551" s="885">
        <f>ROUND(SUM(ORÇAMENTO!L551),2)</f>
        <v>0</v>
      </c>
      <c r="M551" s="886">
        <f t="shared" si="196"/>
        <v>0</v>
      </c>
      <c r="N551" s="868">
        <f t="shared" si="197"/>
        <v>0</v>
      </c>
      <c r="O551" s="880"/>
      <c r="Q551" s="317" t="str">
        <f t="shared" si="198"/>
        <v/>
      </c>
      <c r="R551" s="317" t="str">
        <f t="shared" si="199"/>
        <v/>
      </c>
      <c r="S551" s="317" t="str">
        <f t="shared" si="200"/>
        <v/>
      </c>
      <c r="V551" s="314">
        <f>SUM(ORÇAMENTO!N551)</f>
        <v>0</v>
      </c>
      <c r="W551" s="315">
        <f t="shared" si="202"/>
        <v>0</v>
      </c>
    </row>
    <row r="552" spans="1:23" ht="45" hidden="1">
      <c r="A552" s="63">
        <v>97113</v>
      </c>
      <c r="B552" s="870">
        <v>97113</v>
      </c>
      <c r="C552" s="871" t="s">
        <v>590</v>
      </c>
      <c r="D552" s="881" t="s">
        <v>1912</v>
      </c>
      <c r="E552" s="882"/>
      <c r="F552" s="883"/>
      <c r="G552" s="923">
        <f t="shared" ref="G552:G560" si="207">IF(E552&lt;=30,(0.87*E552+2.18)*F552,((0.87*30+2.18)+0.87*(E552-30))*F552)</f>
        <v>0</v>
      </c>
      <c r="H552" s="876">
        <v>3.15</v>
      </c>
      <c r="I552" s="876">
        <f t="shared" si="205"/>
        <v>3.15</v>
      </c>
      <c r="J552" s="877">
        <f t="shared" si="206"/>
        <v>3.85</v>
      </c>
      <c r="K552" s="878" t="s">
        <v>12</v>
      </c>
      <c r="L552" s="885">
        <f>ROUND(SUM(ORÇAMENTO!L552),2)</f>
        <v>0</v>
      </c>
      <c r="M552" s="886">
        <f t="shared" si="196"/>
        <v>0</v>
      </c>
      <c r="N552" s="868">
        <f t="shared" si="197"/>
        <v>0</v>
      </c>
      <c r="O552" s="880"/>
      <c r="Q552" s="317" t="str">
        <f t="shared" si="198"/>
        <v/>
      </c>
      <c r="R552" s="317" t="str">
        <f t="shared" si="199"/>
        <v/>
      </c>
      <c r="S552" s="317" t="str">
        <f t="shared" si="200"/>
        <v/>
      </c>
      <c r="V552" s="314">
        <f>SUM(ORÇAMENTO!N552)</f>
        <v>0</v>
      </c>
      <c r="W552" s="315">
        <f t="shared" si="202"/>
        <v>0</v>
      </c>
    </row>
    <row r="553" spans="1:23" ht="22.5" hidden="1">
      <c r="A553" s="63">
        <v>97114</v>
      </c>
      <c r="B553" s="870">
        <v>97114</v>
      </c>
      <c r="C553" s="871" t="s">
        <v>590</v>
      </c>
      <c r="D553" s="881" t="s">
        <v>1899</v>
      </c>
      <c r="E553" s="882"/>
      <c r="F553" s="883"/>
      <c r="G553" s="923">
        <f t="shared" si="207"/>
        <v>0</v>
      </c>
      <c r="H553" s="876">
        <v>0.44</v>
      </c>
      <c r="I553" s="876">
        <f t="shared" si="205"/>
        <v>0.44</v>
      </c>
      <c r="J553" s="877">
        <f t="shared" si="206"/>
        <v>0.54</v>
      </c>
      <c r="K553" s="878" t="s">
        <v>13</v>
      </c>
      <c r="L553" s="885">
        <f>ROUND(SUM(ORÇAMENTO!L553),2)</f>
        <v>0</v>
      </c>
      <c r="M553" s="886">
        <f t="shared" si="196"/>
        <v>0</v>
      </c>
      <c r="N553" s="868">
        <f t="shared" si="197"/>
        <v>0</v>
      </c>
      <c r="O553" s="880"/>
      <c r="Q553" s="317" t="str">
        <f t="shared" si="198"/>
        <v/>
      </c>
      <c r="R553" s="317" t="str">
        <f t="shared" si="199"/>
        <v/>
      </c>
      <c r="S553" s="317" t="str">
        <f t="shared" si="200"/>
        <v/>
      </c>
      <c r="V553" s="314">
        <f>SUM(ORÇAMENTO!N553)</f>
        <v>0</v>
      </c>
      <c r="W553" s="315">
        <f t="shared" si="202"/>
        <v>0</v>
      </c>
    </row>
    <row r="554" spans="1:23" ht="22.5" hidden="1">
      <c r="A554" s="63">
        <v>97115</v>
      </c>
      <c r="B554" s="870">
        <v>97115</v>
      </c>
      <c r="C554" s="871" t="s">
        <v>590</v>
      </c>
      <c r="D554" s="881" t="s">
        <v>1900</v>
      </c>
      <c r="E554" s="882"/>
      <c r="F554" s="883"/>
      <c r="G554" s="923">
        <f t="shared" si="207"/>
        <v>0</v>
      </c>
      <c r="H554" s="876">
        <v>46.64</v>
      </c>
      <c r="I554" s="876">
        <f t="shared" si="205"/>
        <v>46.64</v>
      </c>
      <c r="J554" s="877">
        <f t="shared" si="206"/>
        <v>57</v>
      </c>
      <c r="K554" s="878" t="s">
        <v>16</v>
      </c>
      <c r="L554" s="885">
        <f>ROUND(SUM(ORÇAMENTO!L554),2)</f>
        <v>0</v>
      </c>
      <c r="M554" s="886">
        <f t="shared" si="196"/>
        <v>0</v>
      </c>
      <c r="N554" s="868">
        <f t="shared" si="197"/>
        <v>0</v>
      </c>
      <c r="O554" s="880"/>
      <c r="Q554" s="317" t="str">
        <f t="shared" si="198"/>
        <v/>
      </c>
      <c r="R554" s="317" t="str">
        <f t="shared" si="199"/>
        <v/>
      </c>
      <c r="S554" s="317" t="str">
        <f t="shared" si="200"/>
        <v/>
      </c>
      <c r="V554" s="314">
        <f>SUM(ORÇAMENTO!N554)</f>
        <v>0</v>
      </c>
      <c r="W554" s="315">
        <f t="shared" si="202"/>
        <v>0</v>
      </c>
    </row>
    <row r="555" spans="1:23" ht="22.5" hidden="1">
      <c r="A555" s="63">
        <v>97116</v>
      </c>
      <c r="B555" s="870">
        <v>97116</v>
      </c>
      <c r="C555" s="871" t="s">
        <v>590</v>
      </c>
      <c r="D555" s="881" t="s">
        <v>1901</v>
      </c>
      <c r="E555" s="882"/>
      <c r="F555" s="883"/>
      <c r="G555" s="923">
        <f t="shared" si="207"/>
        <v>0</v>
      </c>
      <c r="H555" s="876">
        <v>26.06</v>
      </c>
      <c r="I555" s="876">
        <f t="shared" si="205"/>
        <v>26.06</v>
      </c>
      <c r="J555" s="877">
        <f t="shared" si="206"/>
        <v>31.85</v>
      </c>
      <c r="K555" s="878" t="s">
        <v>16</v>
      </c>
      <c r="L555" s="885">
        <f>ROUND(SUM(ORÇAMENTO!L555),2)</f>
        <v>0</v>
      </c>
      <c r="M555" s="886">
        <f t="shared" si="196"/>
        <v>0</v>
      </c>
      <c r="N555" s="868">
        <f t="shared" si="197"/>
        <v>0</v>
      </c>
      <c r="O555" s="880"/>
      <c r="Q555" s="317" t="str">
        <f t="shared" si="198"/>
        <v/>
      </c>
      <c r="R555" s="317" t="str">
        <f t="shared" si="199"/>
        <v/>
      </c>
      <c r="S555" s="317" t="str">
        <f t="shared" si="200"/>
        <v/>
      </c>
      <c r="V555" s="314">
        <f>SUM(ORÇAMENTO!N555)</f>
        <v>0</v>
      </c>
      <c r="W555" s="315">
        <f t="shared" si="202"/>
        <v>0</v>
      </c>
    </row>
    <row r="556" spans="1:23" ht="22.5" hidden="1">
      <c r="A556" s="63">
        <v>97117</v>
      </c>
      <c r="B556" s="870">
        <v>97117</v>
      </c>
      <c r="C556" s="871" t="s">
        <v>590</v>
      </c>
      <c r="D556" s="881" t="s">
        <v>1902</v>
      </c>
      <c r="E556" s="882"/>
      <c r="F556" s="883"/>
      <c r="G556" s="923">
        <f t="shared" si="207"/>
        <v>0</v>
      </c>
      <c r="H556" s="876">
        <v>22.24</v>
      </c>
      <c r="I556" s="876">
        <f t="shared" si="205"/>
        <v>22.24</v>
      </c>
      <c r="J556" s="877">
        <f t="shared" si="206"/>
        <v>27.18</v>
      </c>
      <c r="K556" s="878" t="s">
        <v>16</v>
      </c>
      <c r="L556" s="885">
        <f>ROUND(SUM(ORÇAMENTO!L556),2)</f>
        <v>0</v>
      </c>
      <c r="M556" s="886">
        <f t="shared" si="196"/>
        <v>0</v>
      </c>
      <c r="N556" s="868">
        <f t="shared" si="197"/>
        <v>0</v>
      </c>
      <c r="O556" s="880"/>
      <c r="Q556" s="317" t="str">
        <f t="shared" si="198"/>
        <v/>
      </c>
      <c r="R556" s="317" t="str">
        <f t="shared" si="199"/>
        <v/>
      </c>
      <c r="S556" s="317" t="str">
        <f t="shared" si="200"/>
        <v/>
      </c>
      <c r="V556" s="314">
        <f>SUM(ORÇAMENTO!N556)</f>
        <v>0</v>
      </c>
      <c r="W556" s="315">
        <f t="shared" si="202"/>
        <v>0</v>
      </c>
    </row>
    <row r="557" spans="1:23" ht="22.5" hidden="1">
      <c r="A557" s="63">
        <v>97118</v>
      </c>
      <c r="B557" s="870">
        <v>97118</v>
      </c>
      <c r="C557" s="871" t="s">
        <v>590</v>
      </c>
      <c r="D557" s="881" t="s">
        <v>1903</v>
      </c>
      <c r="E557" s="882"/>
      <c r="F557" s="883"/>
      <c r="G557" s="923">
        <f t="shared" si="207"/>
        <v>0</v>
      </c>
      <c r="H557" s="876">
        <v>18.18</v>
      </c>
      <c r="I557" s="876">
        <f t="shared" si="205"/>
        <v>18.18</v>
      </c>
      <c r="J557" s="877">
        <f t="shared" si="206"/>
        <v>22.22</v>
      </c>
      <c r="K557" s="878" t="s">
        <v>16</v>
      </c>
      <c r="L557" s="885">
        <f>ROUND(SUM(ORÇAMENTO!L557),2)</f>
        <v>0</v>
      </c>
      <c r="M557" s="886">
        <f t="shared" si="196"/>
        <v>0</v>
      </c>
      <c r="N557" s="868">
        <f t="shared" si="197"/>
        <v>0</v>
      </c>
      <c r="O557" s="880"/>
      <c r="Q557" s="317" t="str">
        <f t="shared" si="198"/>
        <v/>
      </c>
      <c r="R557" s="317" t="str">
        <f t="shared" si="199"/>
        <v/>
      </c>
      <c r="S557" s="317" t="str">
        <f t="shared" si="200"/>
        <v/>
      </c>
      <c r="V557" s="314">
        <f>SUM(ORÇAMENTO!N557)</f>
        <v>0</v>
      </c>
      <c r="W557" s="315">
        <f t="shared" si="202"/>
        <v>0</v>
      </c>
    </row>
    <row r="558" spans="1:23" ht="22.5" hidden="1">
      <c r="A558" s="63">
        <v>97119</v>
      </c>
      <c r="B558" s="870">
        <v>97119</v>
      </c>
      <c r="C558" s="871" t="s">
        <v>590</v>
      </c>
      <c r="D558" s="881" t="s">
        <v>1904</v>
      </c>
      <c r="E558" s="882"/>
      <c r="F558" s="883"/>
      <c r="G558" s="923">
        <f t="shared" si="207"/>
        <v>0</v>
      </c>
      <c r="H558" s="876">
        <v>16.12</v>
      </c>
      <c r="I558" s="876">
        <f t="shared" si="205"/>
        <v>16.12</v>
      </c>
      <c r="J558" s="877">
        <f t="shared" si="206"/>
        <v>19.7</v>
      </c>
      <c r="K558" s="878" t="s">
        <v>16</v>
      </c>
      <c r="L558" s="885">
        <f>ROUND(SUM(ORÇAMENTO!L558),2)</f>
        <v>0</v>
      </c>
      <c r="M558" s="886">
        <f t="shared" si="196"/>
        <v>0</v>
      </c>
      <c r="N558" s="868">
        <f t="shared" si="197"/>
        <v>0</v>
      </c>
      <c r="O558" s="880"/>
      <c r="Q558" s="317" t="str">
        <f t="shared" si="198"/>
        <v/>
      </c>
      <c r="R558" s="317" t="str">
        <f t="shared" si="199"/>
        <v/>
      </c>
      <c r="S558" s="317" t="str">
        <f t="shared" si="200"/>
        <v/>
      </c>
      <c r="V558" s="314">
        <f>SUM(ORÇAMENTO!N558)</f>
        <v>0</v>
      </c>
      <c r="W558" s="315">
        <f t="shared" si="202"/>
        <v>0</v>
      </c>
    </row>
    <row r="559" spans="1:23" ht="22.5" hidden="1">
      <c r="A559" s="63">
        <v>97120</v>
      </c>
      <c r="B559" s="870">
        <v>97120</v>
      </c>
      <c r="C559" s="871" t="s">
        <v>590</v>
      </c>
      <c r="D559" s="881" t="s">
        <v>1905</v>
      </c>
      <c r="E559" s="882"/>
      <c r="F559" s="883"/>
      <c r="G559" s="923">
        <f t="shared" si="207"/>
        <v>0</v>
      </c>
      <c r="H559" s="876">
        <v>10.31</v>
      </c>
      <c r="I559" s="876">
        <f t="shared" si="205"/>
        <v>10.31</v>
      </c>
      <c r="J559" s="877">
        <f t="shared" si="206"/>
        <v>12.6</v>
      </c>
      <c r="K559" s="878" t="s">
        <v>16</v>
      </c>
      <c r="L559" s="885">
        <f>ROUND(SUM(ORÇAMENTO!L559),2)</f>
        <v>0</v>
      </c>
      <c r="M559" s="886">
        <f t="shared" si="196"/>
        <v>0</v>
      </c>
      <c r="N559" s="868">
        <f t="shared" si="197"/>
        <v>0</v>
      </c>
      <c r="O559" s="880"/>
      <c r="Q559" s="317" t="str">
        <f t="shared" si="198"/>
        <v/>
      </c>
      <c r="R559" s="317" t="str">
        <f t="shared" si="199"/>
        <v/>
      </c>
      <c r="S559" s="317" t="str">
        <f t="shared" si="200"/>
        <v/>
      </c>
      <c r="V559" s="314">
        <f>SUM(ORÇAMENTO!N559)</f>
        <v>0</v>
      </c>
      <c r="W559" s="315">
        <f t="shared" si="202"/>
        <v>0</v>
      </c>
    </row>
    <row r="560" spans="1:23" hidden="1">
      <c r="A560" s="63">
        <v>96395</v>
      </c>
      <c r="B560" s="969">
        <v>96395</v>
      </c>
      <c r="C560" s="970" t="s">
        <v>590</v>
      </c>
      <c r="D560" s="939" t="s">
        <v>1906</v>
      </c>
      <c r="E560" s="940"/>
      <c r="F560" s="971"/>
      <c r="G560" s="942">
        <f t="shared" si="207"/>
        <v>0</v>
      </c>
      <c r="H560" s="914">
        <v>232.87</v>
      </c>
      <c r="I560" s="914">
        <f t="shared" si="205"/>
        <v>232.87</v>
      </c>
      <c r="J560" s="943">
        <f t="shared" si="206"/>
        <v>284.61</v>
      </c>
      <c r="K560" s="944" t="s">
        <v>10</v>
      </c>
      <c r="L560" s="1272">
        <f>ROUND(SUM(ORÇAMENTO!L560),2)</f>
        <v>0</v>
      </c>
      <c r="M560" s="1273">
        <f t="shared" si="196"/>
        <v>0</v>
      </c>
      <c r="N560" s="916">
        <f t="shared" si="197"/>
        <v>0</v>
      </c>
      <c r="O560" s="880"/>
      <c r="Q560" s="317" t="str">
        <f t="shared" si="198"/>
        <v/>
      </c>
      <c r="R560" s="317" t="str">
        <f t="shared" si="199"/>
        <v/>
      </c>
      <c r="S560" s="317" t="str">
        <f t="shared" si="200"/>
        <v/>
      </c>
      <c r="V560" s="314">
        <f>SUM(ORÇAMENTO!N560)</f>
        <v>0</v>
      </c>
      <c r="W560" s="315">
        <f t="shared" si="202"/>
        <v>0</v>
      </c>
    </row>
    <row r="561" spans="1:23" ht="15" customHeight="1" thickBot="1">
      <c r="A561" s="63">
        <v>505000</v>
      </c>
      <c r="B561" s="1348">
        <v>505000</v>
      </c>
      <c r="C561" s="1349" t="s">
        <v>184</v>
      </c>
      <c r="D561" s="1350" t="s">
        <v>246</v>
      </c>
      <c r="E561" s="1351">
        <f>DMT!$F$29</f>
        <v>4</v>
      </c>
      <c r="F561" s="1352">
        <v>2.4</v>
      </c>
      <c r="G561" s="1362">
        <f t="shared" ref="G561:G562" si="208">IF(E561&lt;=30,(1.07*E561+2.68)*F561,((1.07*30+2.68)+1.07*(E561-30))*F561)</f>
        <v>16.704000000000001</v>
      </c>
      <c r="H561" s="1354">
        <v>233.68</v>
      </c>
      <c r="I561" s="1354">
        <f>IF(ISBLANK(H561),"",SUM(G561:H561))</f>
        <v>250.38400000000001</v>
      </c>
      <c r="J561" s="1355">
        <f t="shared" si="206"/>
        <v>306.02</v>
      </c>
      <c r="K561" s="1356" t="s">
        <v>10</v>
      </c>
      <c r="L561" s="1357">
        <v>150</v>
      </c>
      <c r="M561" s="1357">
        <f t="shared" si="196"/>
        <v>306.02</v>
      </c>
      <c r="N561" s="1358">
        <f t="shared" si="197"/>
        <v>45903</v>
      </c>
      <c r="O561" s="1359"/>
      <c r="Q561" s="317" t="str">
        <f t="shared" si="198"/>
        <v>x</v>
      </c>
      <c r="R561" s="317" t="str">
        <f t="shared" si="199"/>
        <v>x</v>
      </c>
      <c r="S561" s="317" t="str">
        <f t="shared" si="200"/>
        <v>x</v>
      </c>
      <c r="V561" s="314">
        <f>SUM(ORÇAMENTO!N561)</f>
        <v>45903</v>
      </c>
      <c r="W561" s="315">
        <f t="shared" si="202"/>
        <v>0</v>
      </c>
    </row>
    <row r="562" spans="1:23" ht="15" hidden="1" customHeight="1">
      <c r="A562" s="63">
        <v>505100</v>
      </c>
      <c r="B562" s="858">
        <v>505100</v>
      </c>
      <c r="C562" s="859" t="s">
        <v>184</v>
      </c>
      <c r="D562" s="920" t="s">
        <v>247</v>
      </c>
      <c r="E562" s="1005">
        <f>DMT!$F$29</f>
        <v>4</v>
      </c>
      <c r="F562" s="921">
        <v>2.4</v>
      </c>
      <c r="G562" s="923">
        <f t="shared" si="208"/>
        <v>16.704000000000001</v>
      </c>
      <c r="H562" s="864">
        <v>301.82</v>
      </c>
      <c r="I562" s="864">
        <f>IF(ISBLANK(H562),"",SUM(G562:H562))</f>
        <v>318.524</v>
      </c>
      <c r="J562" s="865">
        <f t="shared" si="206"/>
        <v>389.3</v>
      </c>
      <c r="K562" s="866" t="s">
        <v>10</v>
      </c>
      <c r="L562" s="1006">
        <f>ROUND(SUM(ORÇAMENTO!L562),2)</f>
        <v>0</v>
      </c>
      <c r="M562" s="879">
        <f t="shared" si="196"/>
        <v>0</v>
      </c>
      <c r="N562" s="907">
        <f t="shared" si="197"/>
        <v>0</v>
      </c>
      <c r="O562" s="880"/>
      <c r="Q562" s="317" t="str">
        <f t="shared" si="198"/>
        <v/>
      </c>
      <c r="R562" s="317" t="str">
        <f t="shared" si="199"/>
        <v/>
      </c>
      <c r="S562" s="317" t="str">
        <f t="shared" si="200"/>
        <v/>
      </c>
      <c r="V562" s="314">
        <f>SUM(ORÇAMENTO!N562)</f>
        <v>0</v>
      </c>
      <c r="W562" s="315">
        <f t="shared" si="202"/>
        <v>0</v>
      </c>
    </row>
    <row r="563" spans="1:23" ht="15" hidden="1" customHeight="1">
      <c r="A563" s="63" t="s">
        <v>165</v>
      </c>
      <c r="B563" s="888" t="s">
        <v>165</v>
      </c>
      <c r="C563" s="889"/>
      <c r="D563" s="890" t="s">
        <v>204</v>
      </c>
      <c r="E563" s="891"/>
      <c r="F563" s="892"/>
      <c r="G563" s="893"/>
      <c r="H563" s="894">
        <v>0</v>
      </c>
      <c r="I563" s="894"/>
      <c r="J563" s="894"/>
      <c r="K563" s="895" t="s">
        <v>506</v>
      </c>
      <c r="L563" s="896">
        <f>ROUND(SUM(ORÇAMENTO!L563),2)</f>
        <v>0</v>
      </c>
      <c r="M563" s="897">
        <f t="shared" si="196"/>
        <v>0</v>
      </c>
      <c r="N563" s="898">
        <f t="shared" si="197"/>
        <v>0</v>
      </c>
      <c r="O563" s="880"/>
      <c r="P563" s="58" t="str">
        <f>IF(OR(SUM(N564:N588)&gt;0,SUM(N564:N588)&gt;0),"y","")</f>
        <v/>
      </c>
      <c r="Q563" s="317" t="str">
        <f t="shared" si="198"/>
        <v/>
      </c>
      <c r="R563" s="317" t="str">
        <f t="shared" si="199"/>
        <v/>
      </c>
      <c r="S563" s="317" t="str">
        <f t="shared" si="200"/>
        <v/>
      </c>
      <c r="V563" s="314">
        <f>SUM(ORÇAMENTO!N563)</f>
        <v>0</v>
      </c>
      <c r="W563" s="315">
        <f t="shared" si="202"/>
        <v>0</v>
      </c>
    </row>
    <row r="564" spans="1:23" ht="15" hidden="1" customHeight="1">
      <c r="A564" s="63" t="s">
        <v>165</v>
      </c>
      <c r="B564" s="899" t="s">
        <v>165</v>
      </c>
      <c r="C564" s="900" t="s">
        <v>165</v>
      </c>
      <c r="D564" s="901"/>
      <c r="E564" s="902"/>
      <c r="F564" s="903"/>
      <c r="G564" s="904"/>
      <c r="H564" s="905"/>
      <c r="I564" s="876" t="str">
        <f t="shared" ref="I564" si="209">IF(ISBLANK(H564),"",SUM(G564:H564))</f>
        <v/>
      </c>
      <c r="J564" s="1249" t="str">
        <f>IF(I564="","",IF(U564=0,ROUND(I564*(1+E$10),2),ROUND(I564*(1+E$9),2)))</f>
        <v/>
      </c>
      <c r="K564" s="1248" t="s">
        <v>506</v>
      </c>
      <c r="L564" s="885">
        <f>ROUND(SUM(ORÇAMENTO!L564),2)</f>
        <v>0</v>
      </c>
      <c r="M564" s="886">
        <f t="shared" si="196"/>
        <v>0</v>
      </c>
      <c r="N564" s="868">
        <f t="shared" si="197"/>
        <v>0</v>
      </c>
      <c r="O564" s="880"/>
      <c r="Q564" s="317" t="str">
        <f t="shared" si="198"/>
        <v/>
      </c>
      <c r="R564" s="317" t="str">
        <f t="shared" si="199"/>
        <v/>
      </c>
      <c r="S564" s="317" t="str">
        <f t="shared" si="200"/>
        <v/>
      </c>
      <c r="U564" s="1247">
        <v>1</v>
      </c>
      <c r="V564" s="314">
        <f>SUM(ORÇAMENTO!N564)</f>
        <v>0</v>
      </c>
      <c r="W564" s="315">
        <f t="shared" si="202"/>
        <v>0</v>
      </c>
    </row>
    <row r="565" spans="1:23" ht="15" hidden="1" customHeight="1">
      <c r="A565" s="63" t="s">
        <v>165</v>
      </c>
      <c r="B565" s="899" t="s">
        <v>165</v>
      </c>
      <c r="C565" s="900" t="s">
        <v>165</v>
      </c>
      <c r="D565" s="901"/>
      <c r="E565" s="902"/>
      <c r="F565" s="903"/>
      <c r="G565" s="904"/>
      <c r="H565" s="905">
        <v>0</v>
      </c>
      <c r="I565" s="876">
        <f t="shared" ref="I565:I588" si="210">IF(ISBLANK(H565),"",SUM(G565:H565))</f>
        <v>0</v>
      </c>
      <c r="J565" s="877">
        <f t="shared" ref="J565:J588" si="211">IF(I565="","",IF(U565=0,ROUND(I565*(1+E$10),2),ROUND(I565*(1+E$9),2)))</f>
        <v>0</v>
      </c>
      <c r="K565" s="903" t="s">
        <v>506</v>
      </c>
      <c r="L565" s="879">
        <f>ROUND(SUM(ORÇAMENTO!L565),2)</f>
        <v>0</v>
      </c>
      <c r="M565" s="879">
        <f t="shared" si="196"/>
        <v>0</v>
      </c>
      <c r="N565" s="907">
        <f t="shared" si="197"/>
        <v>0</v>
      </c>
      <c r="O565" s="880"/>
      <c r="Q565" s="317" t="str">
        <f t="shared" si="198"/>
        <v/>
      </c>
      <c r="R565" s="317" t="str">
        <f t="shared" si="199"/>
        <v/>
      </c>
      <c r="S565" s="317" t="str">
        <f t="shared" si="200"/>
        <v/>
      </c>
      <c r="U565" s="1247">
        <v>1</v>
      </c>
      <c r="V565" s="314">
        <f>SUM(ORÇAMENTO!N565)</f>
        <v>0</v>
      </c>
      <c r="W565" s="315">
        <f t="shared" si="202"/>
        <v>0</v>
      </c>
    </row>
    <row r="566" spans="1:23" ht="15" hidden="1" customHeight="1">
      <c r="A566" s="63" t="s">
        <v>165</v>
      </c>
      <c r="B566" s="899" t="s">
        <v>165</v>
      </c>
      <c r="C566" s="900" t="s">
        <v>165</v>
      </c>
      <c r="D566" s="901"/>
      <c r="E566" s="902"/>
      <c r="F566" s="903"/>
      <c r="G566" s="904"/>
      <c r="H566" s="905">
        <v>0</v>
      </c>
      <c r="I566" s="876">
        <f t="shared" si="210"/>
        <v>0</v>
      </c>
      <c r="J566" s="877">
        <f t="shared" si="211"/>
        <v>0</v>
      </c>
      <c r="K566" s="903" t="s">
        <v>506</v>
      </c>
      <c r="L566" s="879">
        <f>ROUND(SUM(ORÇAMENTO!L566),2)</f>
        <v>0</v>
      </c>
      <c r="M566" s="879">
        <f t="shared" si="196"/>
        <v>0</v>
      </c>
      <c r="N566" s="868">
        <f t="shared" si="197"/>
        <v>0</v>
      </c>
      <c r="O566" s="880"/>
      <c r="Q566" s="317" t="str">
        <f t="shared" si="198"/>
        <v/>
      </c>
      <c r="R566" s="317" t="str">
        <f t="shared" si="199"/>
        <v/>
      </c>
      <c r="S566" s="317" t="str">
        <f t="shared" si="200"/>
        <v/>
      </c>
      <c r="U566" s="1247">
        <v>1</v>
      </c>
      <c r="V566" s="314">
        <f>SUM(ORÇAMENTO!N566)</f>
        <v>0</v>
      </c>
      <c r="W566" s="315">
        <f t="shared" si="202"/>
        <v>0</v>
      </c>
    </row>
    <row r="567" spans="1:23" ht="15" hidden="1" customHeight="1">
      <c r="A567" s="63" t="s">
        <v>165</v>
      </c>
      <c r="B567" s="899" t="s">
        <v>165</v>
      </c>
      <c r="C567" s="900" t="s">
        <v>165</v>
      </c>
      <c r="D567" s="901"/>
      <c r="E567" s="902"/>
      <c r="F567" s="903"/>
      <c r="G567" s="904"/>
      <c r="H567" s="905">
        <v>0</v>
      </c>
      <c r="I567" s="876">
        <f t="shared" si="210"/>
        <v>0</v>
      </c>
      <c r="J567" s="877">
        <f t="shared" si="211"/>
        <v>0</v>
      </c>
      <c r="K567" s="903" t="s">
        <v>506</v>
      </c>
      <c r="L567" s="879">
        <f>ROUND(SUM(ORÇAMENTO!L567),2)</f>
        <v>0</v>
      </c>
      <c r="M567" s="879">
        <f t="shared" si="196"/>
        <v>0</v>
      </c>
      <c r="N567" s="868">
        <f t="shared" si="197"/>
        <v>0</v>
      </c>
      <c r="O567" s="880"/>
      <c r="Q567" s="317" t="str">
        <f t="shared" si="198"/>
        <v/>
      </c>
      <c r="R567" s="317" t="str">
        <f t="shared" si="199"/>
        <v/>
      </c>
      <c r="S567" s="317" t="str">
        <f t="shared" si="200"/>
        <v/>
      </c>
      <c r="U567" s="1247">
        <v>1</v>
      </c>
      <c r="V567" s="314">
        <f>SUM(ORÇAMENTO!N567)</f>
        <v>0</v>
      </c>
      <c r="W567" s="315">
        <f t="shared" si="202"/>
        <v>0</v>
      </c>
    </row>
    <row r="568" spans="1:23" ht="15" hidden="1" customHeight="1">
      <c r="A568" s="63" t="s">
        <v>165</v>
      </c>
      <c r="B568" s="899" t="s">
        <v>165</v>
      </c>
      <c r="C568" s="900" t="s">
        <v>165</v>
      </c>
      <c r="D568" s="901"/>
      <c r="E568" s="902"/>
      <c r="F568" s="903"/>
      <c r="G568" s="904"/>
      <c r="H568" s="905">
        <v>0</v>
      </c>
      <c r="I568" s="876">
        <f t="shared" si="210"/>
        <v>0</v>
      </c>
      <c r="J568" s="877">
        <f t="shared" si="211"/>
        <v>0</v>
      </c>
      <c r="K568" s="903" t="s">
        <v>506</v>
      </c>
      <c r="L568" s="879">
        <f>ROUND(SUM(ORÇAMENTO!L568),2)</f>
        <v>0</v>
      </c>
      <c r="M568" s="879">
        <f t="shared" si="196"/>
        <v>0</v>
      </c>
      <c r="N568" s="868">
        <f t="shared" si="197"/>
        <v>0</v>
      </c>
      <c r="O568" s="880"/>
      <c r="Q568" s="317" t="str">
        <f t="shared" si="198"/>
        <v/>
      </c>
      <c r="R568" s="317" t="str">
        <f t="shared" si="199"/>
        <v/>
      </c>
      <c r="S568" s="317" t="str">
        <f t="shared" si="200"/>
        <v/>
      </c>
      <c r="U568" s="1247">
        <v>1</v>
      </c>
      <c r="V568" s="314">
        <f>SUM(ORÇAMENTO!N568)</f>
        <v>0</v>
      </c>
      <c r="W568" s="315">
        <f t="shared" si="202"/>
        <v>0</v>
      </c>
    </row>
    <row r="569" spans="1:23" ht="15" hidden="1" customHeight="1">
      <c r="A569" s="63" t="s">
        <v>165</v>
      </c>
      <c r="B569" s="899" t="s">
        <v>165</v>
      </c>
      <c r="C569" s="900" t="s">
        <v>165</v>
      </c>
      <c r="D569" s="901"/>
      <c r="E569" s="902"/>
      <c r="F569" s="903"/>
      <c r="G569" s="904"/>
      <c r="H569" s="905">
        <v>0</v>
      </c>
      <c r="I569" s="876">
        <f t="shared" si="210"/>
        <v>0</v>
      </c>
      <c r="J569" s="877">
        <f t="shared" si="211"/>
        <v>0</v>
      </c>
      <c r="K569" s="903" t="s">
        <v>506</v>
      </c>
      <c r="L569" s="879">
        <f>ROUND(SUM(ORÇAMENTO!L569),2)</f>
        <v>0</v>
      </c>
      <c r="M569" s="879">
        <f t="shared" si="196"/>
        <v>0</v>
      </c>
      <c r="N569" s="868">
        <f t="shared" si="197"/>
        <v>0</v>
      </c>
      <c r="O569" s="880"/>
      <c r="Q569" s="317" t="str">
        <f t="shared" si="198"/>
        <v/>
      </c>
      <c r="R569" s="317" t="str">
        <f t="shared" si="199"/>
        <v/>
      </c>
      <c r="S569" s="317" t="str">
        <f t="shared" si="200"/>
        <v/>
      </c>
      <c r="U569" s="1247">
        <v>1</v>
      </c>
      <c r="V569" s="314">
        <f>SUM(ORÇAMENTO!N569)</f>
        <v>0</v>
      </c>
      <c r="W569" s="315">
        <f t="shared" si="202"/>
        <v>0</v>
      </c>
    </row>
    <row r="570" spans="1:23" ht="15" hidden="1" customHeight="1">
      <c r="A570" s="63" t="s">
        <v>165</v>
      </c>
      <c r="B570" s="899" t="s">
        <v>165</v>
      </c>
      <c r="C570" s="900" t="s">
        <v>165</v>
      </c>
      <c r="D570" s="901"/>
      <c r="E570" s="902"/>
      <c r="F570" s="903"/>
      <c r="G570" s="904"/>
      <c r="H570" s="905">
        <v>0</v>
      </c>
      <c r="I570" s="876">
        <f t="shared" si="210"/>
        <v>0</v>
      </c>
      <c r="J570" s="877">
        <f t="shared" si="211"/>
        <v>0</v>
      </c>
      <c r="K570" s="903" t="s">
        <v>506</v>
      </c>
      <c r="L570" s="879">
        <f>ROUND(SUM(ORÇAMENTO!L570),2)</f>
        <v>0</v>
      </c>
      <c r="M570" s="879">
        <f t="shared" si="196"/>
        <v>0</v>
      </c>
      <c r="N570" s="868">
        <f t="shared" si="197"/>
        <v>0</v>
      </c>
      <c r="O570" s="880"/>
      <c r="Q570" s="317" t="str">
        <f t="shared" si="198"/>
        <v/>
      </c>
      <c r="R570" s="317" t="str">
        <f t="shared" si="199"/>
        <v/>
      </c>
      <c r="S570" s="317" t="str">
        <f t="shared" si="200"/>
        <v/>
      </c>
      <c r="U570" s="1247">
        <v>1</v>
      </c>
      <c r="V570" s="314">
        <f>SUM(ORÇAMENTO!N570)</f>
        <v>0</v>
      </c>
      <c r="W570" s="315">
        <f t="shared" si="202"/>
        <v>0</v>
      </c>
    </row>
    <row r="571" spans="1:23" ht="15" hidden="1" customHeight="1">
      <c r="A571" s="63" t="s">
        <v>165</v>
      </c>
      <c r="B571" s="899" t="s">
        <v>165</v>
      </c>
      <c r="C571" s="900" t="s">
        <v>165</v>
      </c>
      <c r="D571" s="901"/>
      <c r="E571" s="902"/>
      <c r="F571" s="903"/>
      <c r="G571" s="904"/>
      <c r="H571" s="905">
        <v>0</v>
      </c>
      <c r="I571" s="876">
        <f t="shared" si="210"/>
        <v>0</v>
      </c>
      <c r="J571" s="877">
        <f t="shared" si="211"/>
        <v>0</v>
      </c>
      <c r="K571" s="903" t="s">
        <v>506</v>
      </c>
      <c r="L571" s="879">
        <f>ROUND(SUM(ORÇAMENTO!L571),2)</f>
        <v>0</v>
      </c>
      <c r="M571" s="879">
        <f t="shared" si="196"/>
        <v>0</v>
      </c>
      <c r="N571" s="868">
        <f t="shared" si="197"/>
        <v>0</v>
      </c>
      <c r="O571" s="880"/>
      <c r="Q571" s="317" t="str">
        <f t="shared" si="198"/>
        <v/>
      </c>
      <c r="R571" s="317" t="str">
        <f t="shared" si="199"/>
        <v/>
      </c>
      <c r="S571" s="317" t="str">
        <f t="shared" si="200"/>
        <v/>
      </c>
      <c r="U571" s="1247">
        <v>1</v>
      </c>
      <c r="V571" s="314">
        <f>SUM(ORÇAMENTO!N571)</f>
        <v>0</v>
      </c>
      <c r="W571" s="315">
        <f t="shared" si="202"/>
        <v>0</v>
      </c>
    </row>
    <row r="572" spans="1:23" ht="15" hidden="1" customHeight="1">
      <c r="A572" s="63" t="s">
        <v>165</v>
      </c>
      <c r="B572" s="899" t="s">
        <v>165</v>
      </c>
      <c r="C572" s="900" t="s">
        <v>165</v>
      </c>
      <c r="D572" s="901"/>
      <c r="E572" s="902"/>
      <c r="F572" s="903"/>
      <c r="G572" s="904"/>
      <c r="H572" s="905">
        <v>0</v>
      </c>
      <c r="I572" s="876">
        <f t="shared" si="210"/>
        <v>0</v>
      </c>
      <c r="J572" s="877">
        <f t="shared" si="211"/>
        <v>0</v>
      </c>
      <c r="K572" s="903" t="s">
        <v>506</v>
      </c>
      <c r="L572" s="879">
        <f>ROUND(SUM(ORÇAMENTO!L572),2)</f>
        <v>0</v>
      </c>
      <c r="M572" s="879">
        <f t="shared" si="196"/>
        <v>0</v>
      </c>
      <c r="N572" s="868">
        <f t="shared" si="197"/>
        <v>0</v>
      </c>
      <c r="O572" s="880"/>
      <c r="Q572" s="317" t="str">
        <f t="shared" si="198"/>
        <v/>
      </c>
      <c r="R572" s="317" t="str">
        <f t="shared" si="199"/>
        <v/>
      </c>
      <c r="S572" s="317" t="str">
        <f t="shared" si="200"/>
        <v/>
      </c>
      <c r="U572" s="1247">
        <v>1</v>
      </c>
      <c r="V572" s="314">
        <f>SUM(ORÇAMENTO!N572)</f>
        <v>0</v>
      </c>
      <c r="W572" s="315">
        <f t="shared" si="202"/>
        <v>0</v>
      </c>
    </row>
    <row r="573" spans="1:23" ht="15" hidden="1" customHeight="1">
      <c r="A573" s="63" t="s">
        <v>165</v>
      </c>
      <c r="B573" s="899" t="s">
        <v>165</v>
      </c>
      <c r="C573" s="900" t="s">
        <v>165</v>
      </c>
      <c r="D573" s="901"/>
      <c r="E573" s="902"/>
      <c r="F573" s="903"/>
      <c r="G573" s="904"/>
      <c r="H573" s="905">
        <v>0</v>
      </c>
      <c r="I573" s="876">
        <f t="shared" si="210"/>
        <v>0</v>
      </c>
      <c r="J573" s="877">
        <f t="shared" si="211"/>
        <v>0</v>
      </c>
      <c r="K573" s="903" t="s">
        <v>506</v>
      </c>
      <c r="L573" s="879">
        <f>ROUND(SUM(ORÇAMENTO!L573),2)</f>
        <v>0</v>
      </c>
      <c r="M573" s="879">
        <f t="shared" si="196"/>
        <v>0</v>
      </c>
      <c r="N573" s="868">
        <f t="shared" si="197"/>
        <v>0</v>
      </c>
      <c r="O573" s="880"/>
      <c r="Q573" s="317" t="str">
        <f t="shared" si="198"/>
        <v/>
      </c>
      <c r="R573" s="317" t="str">
        <f t="shared" si="199"/>
        <v/>
      </c>
      <c r="S573" s="317" t="str">
        <f t="shared" si="200"/>
        <v/>
      </c>
      <c r="U573" s="1247">
        <v>1</v>
      </c>
      <c r="V573" s="314">
        <f>SUM(ORÇAMENTO!N573)</f>
        <v>0</v>
      </c>
      <c r="W573" s="315">
        <f t="shared" si="202"/>
        <v>0</v>
      </c>
    </row>
    <row r="574" spans="1:23" ht="15" hidden="1" customHeight="1">
      <c r="A574" s="63" t="s">
        <v>165</v>
      </c>
      <c r="B574" s="899" t="s">
        <v>165</v>
      </c>
      <c r="C574" s="900" t="s">
        <v>165</v>
      </c>
      <c r="D574" s="901"/>
      <c r="E574" s="902"/>
      <c r="F574" s="903"/>
      <c r="G574" s="904"/>
      <c r="H574" s="905">
        <v>0</v>
      </c>
      <c r="I574" s="876">
        <f t="shared" si="210"/>
        <v>0</v>
      </c>
      <c r="J574" s="877">
        <f t="shared" si="211"/>
        <v>0</v>
      </c>
      <c r="K574" s="903" t="s">
        <v>506</v>
      </c>
      <c r="L574" s="879">
        <f>ROUND(SUM(ORÇAMENTO!L574),2)</f>
        <v>0</v>
      </c>
      <c r="M574" s="879">
        <f t="shared" si="196"/>
        <v>0</v>
      </c>
      <c r="N574" s="868">
        <f t="shared" si="197"/>
        <v>0</v>
      </c>
      <c r="O574" s="880"/>
      <c r="Q574" s="317" t="str">
        <f t="shared" si="198"/>
        <v/>
      </c>
      <c r="R574" s="317" t="str">
        <f t="shared" si="199"/>
        <v/>
      </c>
      <c r="S574" s="317" t="str">
        <f t="shared" si="200"/>
        <v/>
      </c>
      <c r="U574" s="1247">
        <v>1</v>
      </c>
      <c r="V574" s="314">
        <f>SUM(ORÇAMENTO!N574)</f>
        <v>0</v>
      </c>
      <c r="W574" s="315">
        <f t="shared" si="202"/>
        <v>0</v>
      </c>
    </row>
    <row r="575" spans="1:23" ht="15" hidden="1" customHeight="1">
      <c r="A575" s="63" t="s">
        <v>165</v>
      </c>
      <c r="B575" s="899" t="s">
        <v>165</v>
      </c>
      <c r="C575" s="900" t="s">
        <v>165</v>
      </c>
      <c r="D575" s="901"/>
      <c r="E575" s="902"/>
      <c r="F575" s="903"/>
      <c r="G575" s="904"/>
      <c r="H575" s="905">
        <v>0</v>
      </c>
      <c r="I575" s="876">
        <f t="shared" si="210"/>
        <v>0</v>
      </c>
      <c r="J575" s="877">
        <f t="shared" si="211"/>
        <v>0</v>
      </c>
      <c r="K575" s="903" t="s">
        <v>506</v>
      </c>
      <c r="L575" s="879">
        <f>ROUND(SUM(ORÇAMENTO!L575),2)</f>
        <v>0</v>
      </c>
      <c r="M575" s="879">
        <f t="shared" si="196"/>
        <v>0</v>
      </c>
      <c r="N575" s="868">
        <f t="shared" si="197"/>
        <v>0</v>
      </c>
      <c r="O575" s="880"/>
      <c r="Q575" s="317" t="str">
        <f t="shared" si="198"/>
        <v/>
      </c>
      <c r="R575" s="317" t="str">
        <f t="shared" si="199"/>
        <v/>
      </c>
      <c r="S575" s="317" t="str">
        <f t="shared" si="200"/>
        <v/>
      </c>
      <c r="U575" s="1247">
        <v>1</v>
      </c>
      <c r="V575" s="314">
        <f>SUM(ORÇAMENTO!N575)</f>
        <v>0</v>
      </c>
      <c r="W575" s="315">
        <f t="shared" si="202"/>
        <v>0</v>
      </c>
    </row>
    <row r="576" spans="1:23" ht="15" hidden="1" customHeight="1">
      <c r="A576" s="63" t="s">
        <v>165</v>
      </c>
      <c r="B576" s="899" t="s">
        <v>165</v>
      </c>
      <c r="C576" s="900" t="s">
        <v>165</v>
      </c>
      <c r="D576" s="901"/>
      <c r="E576" s="902"/>
      <c r="F576" s="903"/>
      <c r="G576" s="904"/>
      <c r="H576" s="905">
        <v>0</v>
      </c>
      <c r="I576" s="876">
        <f t="shared" si="210"/>
        <v>0</v>
      </c>
      <c r="J576" s="877">
        <f t="shared" si="211"/>
        <v>0</v>
      </c>
      <c r="K576" s="903" t="s">
        <v>506</v>
      </c>
      <c r="L576" s="879">
        <f>ROUND(SUM(ORÇAMENTO!L576),2)</f>
        <v>0</v>
      </c>
      <c r="M576" s="879">
        <f t="shared" si="196"/>
        <v>0</v>
      </c>
      <c r="N576" s="868">
        <f t="shared" si="197"/>
        <v>0</v>
      </c>
      <c r="O576" s="880"/>
      <c r="Q576" s="317" t="str">
        <f t="shared" si="198"/>
        <v/>
      </c>
      <c r="R576" s="317" t="str">
        <f t="shared" si="199"/>
        <v/>
      </c>
      <c r="S576" s="317" t="str">
        <f t="shared" si="200"/>
        <v/>
      </c>
      <c r="U576" s="1247">
        <v>1</v>
      </c>
      <c r="V576" s="314">
        <f>SUM(ORÇAMENTO!N576)</f>
        <v>0</v>
      </c>
      <c r="W576" s="315">
        <f t="shared" si="202"/>
        <v>0</v>
      </c>
    </row>
    <row r="577" spans="1:23" ht="15" hidden="1" customHeight="1">
      <c r="A577" s="63" t="s">
        <v>165</v>
      </c>
      <c r="B577" s="899" t="s">
        <v>165</v>
      </c>
      <c r="C577" s="900" t="s">
        <v>165</v>
      </c>
      <c r="D577" s="901"/>
      <c r="E577" s="902"/>
      <c r="F577" s="903"/>
      <c r="G577" s="904"/>
      <c r="H577" s="905">
        <v>0</v>
      </c>
      <c r="I577" s="876">
        <f t="shared" si="210"/>
        <v>0</v>
      </c>
      <c r="J577" s="877">
        <f t="shared" si="211"/>
        <v>0</v>
      </c>
      <c r="K577" s="903" t="s">
        <v>506</v>
      </c>
      <c r="L577" s="879">
        <f>ROUND(SUM(ORÇAMENTO!L577),2)</f>
        <v>0</v>
      </c>
      <c r="M577" s="879">
        <f t="shared" si="196"/>
        <v>0</v>
      </c>
      <c r="N577" s="868">
        <f t="shared" si="197"/>
        <v>0</v>
      </c>
      <c r="O577" s="880"/>
      <c r="Q577" s="317" t="str">
        <f t="shared" si="198"/>
        <v/>
      </c>
      <c r="R577" s="317" t="str">
        <f t="shared" si="199"/>
        <v/>
      </c>
      <c r="S577" s="317" t="str">
        <f t="shared" si="200"/>
        <v/>
      </c>
      <c r="U577" s="1247">
        <v>1</v>
      </c>
      <c r="V577" s="314">
        <f>SUM(ORÇAMENTO!N577)</f>
        <v>0</v>
      </c>
      <c r="W577" s="315">
        <f t="shared" si="202"/>
        <v>0</v>
      </c>
    </row>
    <row r="578" spans="1:23" ht="15" hidden="1" customHeight="1">
      <c r="A578" s="63" t="s">
        <v>165</v>
      </c>
      <c r="B578" s="899" t="s">
        <v>165</v>
      </c>
      <c r="C578" s="900" t="s">
        <v>165</v>
      </c>
      <c r="D578" s="901"/>
      <c r="E578" s="902"/>
      <c r="F578" s="903"/>
      <c r="G578" s="904"/>
      <c r="H578" s="905">
        <v>0</v>
      </c>
      <c r="I578" s="876">
        <f t="shared" si="210"/>
        <v>0</v>
      </c>
      <c r="J578" s="877">
        <f t="shared" si="211"/>
        <v>0</v>
      </c>
      <c r="K578" s="903" t="s">
        <v>506</v>
      </c>
      <c r="L578" s="879">
        <f>ROUND(SUM(ORÇAMENTO!L578),2)</f>
        <v>0</v>
      </c>
      <c r="M578" s="879">
        <f t="shared" si="196"/>
        <v>0</v>
      </c>
      <c r="N578" s="868">
        <f t="shared" si="197"/>
        <v>0</v>
      </c>
      <c r="O578" s="880"/>
      <c r="Q578" s="317" t="str">
        <f t="shared" si="198"/>
        <v/>
      </c>
      <c r="R578" s="317" t="str">
        <f t="shared" si="199"/>
        <v/>
      </c>
      <c r="S578" s="317" t="str">
        <f t="shared" si="200"/>
        <v/>
      </c>
      <c r="U578" s="1247">
        <v>1</v>
      </c>
      <c r="V578" s="314">
        <f>SUM(ORÇAMENTO!N578)</f>
        <v>0</v>
      </c>
      <c r="W578" s="315">
        <f t="shared" si="202"/>
        <v>0</v>
      </c>
    </row>
    <row r="579" spans="1:23" ht="15" hidden="1" customHeight="1">
      <c r="A579" s="63" t="s">
        <v>165</v>
      </c>
      <c r="B579" s="899" t="s">
        <v>165</v>
      </c>
      <c r="C579" s="900" t="s">
        <v>165</v>
      </c>
      <c r="D579" s="901"/>
      <c r="E579" s="902"/>
      <c r="F579" s="903"/>
      <c r="G579" s="904"/>
      <c r="H579" s="905">
        <v>0</v>
      </c>
      <c r="I579" s="876">
        <f t="shared" si="210"/>
        <v>0</v>
      </c>
      <c r="J579" s="877">
        <f t="shared" si="211"/>
        <v>0</v>
      </c>
      <c r="K579" s="903" t="s">
        <v>506</v>
      </c>
      <c r="L579" s="879">
        <f>ROUND(SUM(ORÇAMENTO!L579),2)</f>
        <v>0</v>
      </c>
      <c r="M579" s="879">
        <f t="shared" si="196"/>
        <v>0</v>
      </c>
      <c r="N579" s="868">
        <f t="shared" si="197"/>
        <v>0</v>
      </c>
      <c r="O579" s="880"/>
      <c r="Q579" s="317" t="str">
        <f t="shared" si="198"/>
        <v/>
      </c>
      <c r="R579" s="317" t="str">
        <f t="shared" si="199"/>
        <v/>
      </c>
      <c r="S579" s="317" t="str">
        <f t="shared" si="200"/>
        <v/>
      </c>
      <c r="U579" s="1247">
        <v>1</v>
      </c>
      <c r="V579" s="314">
        <f>SUM(ORÇAMENTO!N579)</f>
        <v>0</v>
      </c>
      <c r="W579" s="315">
        <f t="shared" si="202"/>
        <v>0</v>
      </c>
    </row>
    <row r="580" spans="1:23" ht="15" hidden="1" customHeight="1">
      <c r="A580" s="63" t="s">
        <v>165</v>
      </c>
      <c r="B580" s="899" t="s">
        <v>165</v>
      </c>
      <c r="C580" s="900" t="s">
        <v>165</v>
      </c>
      <c r="D580" s="901"/>
      <c r="E580" s="902"/>
      <c r="F580" s="903"/>
      <c r="G580" s="904"/>
      <c r="H580" s="905">
        <v>0</v>
      </c>
      <c r="I580" s="876">
        <f t="shared" si="210"/>
        <v>0</v>
      </c>
      <c r="J580" s="877">
        <f t="shared" si="211"/>
        <v>0</v>
      </c>
      <c r="K580" s="903" t="s">
        <v>506</v>
      </c>
      <c r="L580" s="879">
        <f>ROUND(SUM(ORÇAMENTO!L580),2)</f>
        <v>0</v>
      </c>
      <c r="M580" s="879">
        <f t="shared" si="196"/>
        <v>0</v>
      </c>
      <c r="N580" s="868">
        <f t="shared" si="197"/>
        <v>0</v>
      </c>
      <c r="O580" s="880"/>
      <c r="Q580" s="317" t="str">
        <f t="shared" si="198"/>
        <v/>
      </c>
      <c r="R580" s="317" t="str">
        <f t="shared" si="199"/>
        <v/>
      </c>
      <c r="S580" s="317" t="str">
        <f t="shared" si="200"/>
        <v/>
      </c>
      <c r="U580" s="1247">
        <v>1</v>
      </c>
      <c r="V580" s="314">
        <f>SUM(ORÇAMENTO!N580)</f>
        <v>0</v>
      </c>
      <c r="W580" s="315">
        <f t="shared" si="202"/>
        <v>0</v>
      </c>
    </row>
    <row r="581" spans="1:23" ht="15" hidden="1" customHeight="1">
      <c r="A581" s="63" t="s">
        <v>165</v>
      </c>
      <c r="B581" s="899" t="s">
        <v>165</v>
      </c>
      <c r="C581" s="900" t="s">
        <v>165</v>
      </c>
      <c r="D581" s="901"/>
      <c r="E581" s="902"/>
      <c r="F581" s="903"/>
      <c r="G581" s="904"/>
      <c r="H581" s="905">
        <v>0</v>
      </c>
      <c r="I581" s="876">
        <f t="shared" si="210"/>
        <v>0</v>
      </c>
      <c r="J581" s="877">
        <f t="shared" si="211"/>
        <v>0</v>
      </c>
      <c r="K581" s="903" t="s">
        <v>506</v>
      </c>
      <c r="L581" s="879">
        <f>ROUND(SUM(ORÇAMENTO!L581),2)</f>
        <v>0</v>
      </c>
      <c r="M581" s="879">
        <f t="shared" si="196"/>
        <v>0</v>
      </c>
      <c r="N581" s="868">
        <f t="shared" si="197"/>
        <v>0</v>
      </c>
      <c r="O581" s="880"/>
      <c r="Q581" s="317" t="str">
        <f t="shared" si="198"/>
        <v/>
      </c>
      <c r="R581" s="317" t="str">
        <f t="shared" si="199"/>
        <v/>
      </c>
      <c r="S581" s="317" t="str">
        <f t="shared" si="200"/>
        <v/>
      </c>
      <c r="U581" s="1247">
        <v>1</v>
      </c>
      <c r="V581" s="314">
        <f>SUM(ORÇAMENTO!N581)</f>
        <v>0</v>
      </c>
      <c r="W581" s="315">
        <f t="shared" si="202"/>
        <v>0</v>
      </c>
    </row>
    <row r="582" spans="1:23" ht="15" hidden="1" customHeight="1">
      <c r="A582" s="63" t="s">
        <v>165</v>
      </c>
      <c r="B582" s="899" t="s">
        <v>165</v>
      </c>
      <c r="C582" s="900" t="s">
        <v>165</v>
      </c>
      <c r="D582" s="901"/>
      <c r="E582" s="902"/>
      <c r="F582" s="903"/>
      <c r="G582" s="904"/>
      <c r="H582" s="905">
        <v>0</v>
      </c>
      <c r="I582" s="876">
        <f t="shared" si="210"/>
        <v>0</v>
      </c>
      <c r="J582" s="877">
        <f t="shared" si="211"/>
        <v>0</v>
      </c>
      <c r="K582" s="903" t="s">
        <v>506</v>
      </c>
      <c r="L582" s="879">
        <f>ROUND(SUM(ORÇAMENTO!L582),2)</f>
        <v>0</v>
      </c>
      <c r="M582" s="879">
        <f t="shared" si="196"/>
        <v>0</v>
      </c>
      <c r="N582" s="868">
        <f t="shared" si="197"/>
        <v>0</v>
      </c>
      <c r="O582" s="880"/>
      <c r="Q582" s="317" t="str">
        <f t="shared" si="198"/>
        <v/>
      </c>
      <c r="R582" s="317" t="str">
        <f t="shared" si="199"/>
        <v/>
      </c>
      <c r="S582" s="317" t="str">
        <f t="shared" si="200"/>
        <v/>
      </c>
      <c r="U582" s="1247">
        <v>1</v>
      </c>
      <c r="V582" s="314">
        <f>SUM(ORÇAMENTO!N582)</f>
        <v>0</v>
      </c>
      <c r="W582" s="315">
        <f t="shared" si="202"/>
        <v>0</v>
      </c>
    </row>
    <row r="583" spans="1:23" ht="15" hidden="1" customHeight="1">
      <c r="A583" s="63" t="s">
        <v>165</v>
      </c>
      <c r="B583" s="899" t="s">
        <v>165</v>
      </c>
      <c r="C583" s="900" t="s">
        <v>165</v>
      </c>
      <c r="D583" s="901"/>
      <c r="E583" s="902"/>
      <c r="F583" s="903"/>
      <c r="G583" s="904"/>
      <c r="H583" s="905">
        <v>0</v>
      </c>
      <c r="I583" s="876">
        <f t="shared" si="210"/>
        <v>0</v>
      </c>
      <c r="J583" s="877">
        <f t="shared" si="211"/>
        <v>0</v>
      </c>
      <c r="K583" s="903" t="s">
        <v>506</v>
      </c>
      <c r="L583" s="879">
        <f>ROUND(SUM(ORÇAMENTO!L583),2)</f>
        <v>0</v>
      </c>
      <c r="M583" s="879">
        <f t="shared" si="196"/>
        <v>0</v>
      </c>
      <c r="N583" s="868">
        <f t="shared" si="197"/>
        <v>0</v>
      </c>
      <c r="O583" s="880"/>
      <c r="Q583" s="317" t="str">
        <f t="shared" si="198"/>
        <v/>
      </c>
      <c r="R583" s="317" t="str">
        <f t="shared" si="199"/>
        <v/>
      </c>
      <c r="S583" s="317" t="str">
        <f t="shared" si="200"/>
        <v/>
      </c>
      <c r="U583" s="1247">
        <v>1</v>
      </c>
      <c r="V583" s="314">
        <f>SUM(ORÇAMENTO!N583)</f>
        <v>0</v>
      </c>
      <c r="W583" s="315">
        <f t="shared" si="202"/>
        <v>0</v>
      </c>
    </row>
    <row r="584" spans="1:23" ht="15" hidden="1" customHeight="1">
      <c r="A584" s="63" t="s">
        <v>165</v>
      </c>
      <c r="B584" s="899" t="s">
        <v>165</v>
      </c>
      <c r="C584" s="900" t="s">
        <v>165</v>
      </c>
      <c r="D584" s="901"/>
      <c r="E584" s="902"/>
      <c r="F584" s="903"/>
      <c r="G584" s="904"/>
      <c r="H584" s="905">
        <v>0</v>
      </c>
      <c r="I584" s="876">
        <f t="shared" si="210"/>
        <v>0</v>
      </c>
      <c r="J584" s="877">
        <f t="shared" si="211"/>
        <v>0</v>
      </c>
      <c r="K584" s="903" t="s">
        <v>506</v>
      </c>
      <c r="L584" s="879">
        <f>ROUND(SUM(ORÇAMENTO!L584),2)</f>
        <v>0</v>
      </c>
      <c r="M584" s="879">
        <f t="shared" si="196"/>
        <v>0</v>
      </c>
      <c r="N584" s="868">
        <f t="shared" si="197"/>
        <v>0</v>
      </c>
      <c r="O584" s="880"/>
      <c r="Q584" s="317" t="str">
        <f t="shared" si="198"/>
        <v/>
      </c>
      <c r="R584" s="317" t="str">
        <f t="shared" si="199"/>
        <v/>
      </c>
      <c r="S584" s="317" t="str">
        <f t="shared" si="200"/>
        <v/>
      </c>
      <c r="U584" s="1247">
        <v>1</v>
      </c>
      <c r="V584" s="314">
        <f>SUM(ORÇAMENTO!N584)</f>
        <v>0</v>
      </c>
      <c r="W584" s="315">
        <f t="shared" si="202"/>
        <v>0</v>
      </c>
    </row>
    <row r="585" spans="1:23" ht="15" hidden="1" customHeight="1">
      <c r="A585" s="63" t="s">
        <v>165</v>
      </c>
      <c r="B585" s="899" t="s">
        <v>165</v>
      </c>
      <c r="C585" s="900" t="s">
        <v>165</v>
      </c>
      <c r="D585" s="901"/>
      <c r="E585" s="902"/>
      <c r="F585" s="903"/>
      <c r="G585" s="904"/>
      <c r="H585" s="905">
        <v>0</v>
      </c>
      <c r="I585" s="876">
        <f t="shared" si="210"/>
        <v>0</v>
      </c>
      <c r="J585" s="877">
        <f t="shared" si="211"/>
        <v>0</v>
      </c>
      <c r="K585" s="903" t="s">
        <v>506</v>
      </c>
      <c r="L585" s="879">
        <f>ROUND(SUM(ORÇAMENTO!L585),2)</f>
        <v>0</v>
      </c>
      <c r="M585" s="879">
        <f t="shared" si="196"/>
        <v>0</v>
      </c>
      <c r="N585" s="868">
        <f t="shared" si="197"/>
        <v>0</v>
      </c>
      <c r="O585" s="880"/>
      <c r="Q585" s="317" t="str">
        <f t="shared" si="198"/>
        <v/>
      </c>
      <c r="R585" s="317" t="str">
        <f t="shared" si="199"/>
        <v/>
      </c>
      <c r="S585" s="317" t="str">
        <f t="shared" si="200"/>
        <v/>
      </c>
      <c r="U585" s="1247">
        <v>1</v>
      </c>
      <c r="V585" s="314">
        <f>SUM(ORÇAMENTO!N585)</f>
        <v>0</v>
      </c>
      <c r="W585" s="315">
        <f t="shared" si="202"/>
        <v>0</v>
      </c>
    </row>
    <row r="586" spans="1:23" ht="15" hidden="1" customHeight="1">
      <c r="A586" s="63" t="s">
        <v>165</v>
      </c>
      <c r="B586" s="899" t="s">
        <v>165</v>
      </c>
      <c r="C586" s="900" t="s">
        <v>165</v>
      </c>
      <c r="D586" s="901"/>
      <c r="E586" s="902"/>
      <c r="F586" s="903"/>
      <c r="G586" s="904"/>
      <c r="H586" s="905">
        <v>0</v>
      </c>
      <c r="I586" s="876">
        <f t="shared" si="210"/>
        <v>0</v>
      </c>
      <c r="J586" s="877">
        <f t="shared" si="211"/>
        <v>0</v>
      </c>
      <c r="K586" s="903" t="s">
        <v>506</v>
      </c>
      <c r="L586" s="879">
        <f>ROUND(SUM(ORÇAMENTO!L586),2)</f>
        <v>0</v>
      </c>
      <c r="M586" s="879">
        <f t="shared" si="196"/>
        <v>0</v>
      </c>
      <c r="N586" s="868">
        <f t="shared" si="197"/>
        <v>0</v>
      </c>
      <c r="O586" s="880"/>
      <c r="Q586" s="317" t="str">
        <f t="shared" si="198"/>
        <v/>
      </c>
      <c r="R586" s="317" t="str">
        <f t="shared" si="199"/>
        <v/>
      </c>
      <c r="S586" s="317" t="str">
        <f t="shared" si="200"/>
        <v/>
      </c>
      <c r="U586" s="1247">
        <v>1</v>
      </c>
      <c r="V586" s="314">
        <f>SUM(ORÇAMENTO!N586)</f>
        <v>0</v>
      </c>
      <c r="W586" s="315">
        <f t="shared" si="202"/>
        <v>0</v>
      </c>
    </row>
    <row r="587" spans="1:23" ht="15" hidden="1" customHeight="1">
      <c r="A587" s="63" t="s">
        <v>165</v>
      </c>
      <c r="B587" s="899" t="s">
        <v>165</v>
      </c>
      <c r="C587" s="900" t="s">
        <v>165</v>
      </c>
      <c r="D587" s="901"/>
      <c r="E587" s="902"/>
      <c r="F587" s="903"/>
      <c r="G587" s="904"/>
      <c r="H587" s="905">
        <v>0</v>
      </c>
      <c r="I587" s="876">
        <f t="shared" si="210"/>
        <v>0</v>
      </c>
      <c r="J587" s="877">
        <f t="shared" si="211"/>
        <v>0</v>
      </c>
      <c r="K587" s="903" t="s">
        <v>506</v>
      </c>
      <c r="L587" s="879">
        <f>ROUND(SUM(ORÇAMENTO!L587),2)</f>
        <v>0</v>
      </c>
      <c r="M587" s="879">
        <f t="shared" si="196"/>
        <v>0</v>
      </c>
      <c r="N587" s="868">
        <f t="shared" si="197"/>
        <v>0</v>
      </c>
      <c r="O587" s="880"/>
      <c r="Q587" s="317" t="str">
        <f t="shared" si="198"/>
        <v/>
      </c>
      <c r="R587" s="317" t="str">
        <f t="shared" si="199"/>
        <v/>
      </c>
      <c r="S587" s="317" t="str">
        <f t="shared" si="200"/>
        <v/>
      </c>
      <c r="U587" s="1247">
        <v>1</v>
      </c>
      <c r="V587" s="314">
        <f>SUM(ORÇAMENTO!N587)</f>
        <v>0</v>
      </c>
      <c r="W587" s="315">
        <f t="shared" si="202"/>
        <v>0</v>
      </c>
    </row>
    <row r="588" spans="1:23" ht="15" hidden="1" customHeight="1" thickBot="1">
      <c r="A588" s="63" t="s">
        <v>165</v>
      </c>
      <c r="B588" s="899" t="s">
        <v>165</v>
      </c>
      <c r="C588" s="900" t="s">
        <v>165</v>
      </c>
      <c r="D588" s="901"/>
      <c r="E588" s="902"/>
      <c r="F588" s="903"/>
      <c r="G588" s="904"/>
      <c r="H588" s="905">
        <v>0</v>
      </c>
      <c r="I588" s="876">
        <f t="shared" si="210"/>
        <v>0</v>
      </c>
      <c r="J588" s="877">
        <f t="shared" si="211"/>
        <v>0</v>
      </c>
      <c r="K588" s="903" t="s">
        <v>506</v>
      </c>
      <c r="L588" s="879">
        <f>ROUND(SUM(ORÇAMENTO!L588),2)</f>
        <v>0</v>
      </c>
      <c r="M588" s="879">
        <f t="shared" si="196"/>
        <v>0</v>
      </c>
      <c r="N588" s="916">
        <f t="shared" si="197"/>
        <v>0</v>
      </c>
      <c r="O588" s="880"/>
      <c r="Q588" s="317" t="str">
        <f t="shared" si="198"/>
        <v/>
      </c>
      <c r="R588" s="317" t="str">
        <f t="shared" si="199"/>
        <v/>
      </c>
      <c r="S588" s="317" t="str">
        <f t="shared" si="200"/>
        <v/>
      </c>
      <c r="U588" s="1247">
        <v>1</v>
      </c>
      <c r="V588" s="314">
        <f>SUM(ORÇAMENTO!N588)</f>
        <v>0</v>
      </c>
      <c r="W588" s="315">
        <f t="shared" si="202"/>
        <v>0</v>
      </c>
    </row>
    <row r="589" spans="1:23" ht="15" hidden="1" customHeight="1" thickBot="1">
      <c r="A589" s="63" t="s">
        <v>166</v>
      </c>
      <c r="B589" s="924" t="s">
        <v>166</v>
      </c>
      <c r="C589" s="925"/>
      <c r="D589" s="926" t="s">
        <v>430</v>
      </c>
      <c r="E589" s="917"/>
      <c r="F589" s="851"/>
      <c r="G589" s="918"/>
      <c r="H589" s="919">
        <v>0</v>
      </c>
      <c r="I589" s="919"/>
      <c r="J589" s="919"/>
      <c r="K589" s="853" t="s">
        <v>506</v>
      </c>
      <c r="L589" s="854">
        <f>ROUND(SUM(ORÇAMENTO!L589),2)</f>
        <v>0</v>
      </c>
      <c r="M589" s="855">
        <f t="shared" si="196"/>
        <v>0</v>
      </c>
      <c r="N589" s="856">
        <f t="shared" si="197"/>
        <v>0</v>
      </c>
      <c r="O589" s="857">
        <f>SUM(N590:N643)</f>
        <v>0</v>
      </c>
      <c r="P589" s="58" t="str">
        <f>IF(OR(O589&gt;0,O589&gt;0),"X","")</f>
        <v/>
      </c>
      <c r="Q589" s="317" t="str">
        <f t="shared" si="198"/>
        <v/>
      </c>
      <c r="R589" s="317" t="str">
        <f t="shared" si="199"/>
        <v/>
      </c>
      <c r="S589" s="317" t="str">
        <f t="shared" si="200"/>
        <v/>
      </c>
      <c r="V589" s="314">
        <f>SUM(ORÇAMENTO!N589)</f>
        <v>0</v>
      </c>
      <c r="W589" s="315">
        <f t="shared" si="202"/>
        <v>0</v>
      </c>
    </row>
    <row r="590" spans="1:23" ht="15" hidden="1" customHeight="1">
      <c r="A590" s="63" t="s">
        <v>817</v>
      </c>
      <c r="B590" s="938" t="s">
        <v>817</v>
      </c>
      <c r="C590" s="871" t="s">
        <v>2217</v>
      </c>
      <c r="D590" s="881" t="s">
        <v>820</v>
      </c>
      <c r="E590" s="882"/>
      <c r="F590" s="883"/>
      <c r="G590" s="887"/>
      <c r="H590" s="876">
        <v>22.14</v>
      </c>
      <c r="I590" s="876">
        <f>IF(ISBLANK(H590),"",SUM(G590:H590))</f>
        <v>22.14</v>
      </c>
      <c r="J590" s="877">
        <f>IF(ISBLANK(H590),0,ROUND(I590*(1+$E$10),2))</f>
        <v>27.06</v>
      </c>
      <c r="K590" s="878" t="s">
        <v>13</v>
      </c>
      <c r="L590" s="879">
        <f>ROUND(SUM(ORÇAMENTO!L590),2)</f>
        <v>0</v>
      </c>
      <c r="M590" s="879">
        <f t="shared" si="196"/>
        <v>0</v>
      </c>
      <c r="N590" s="868">
        <f t="shared" si="197"/>
        <v>0</v>
      </c>
      <c r="O590" s="880"/>
      <c r="Q590" s="317" t="str">
        <f t="shared" si="198"/>
        <v/>
      </c>
      <c r="R590" s="317" t="str">
        <f t="shared" si="199"/>
        <v/>
      </c>
      <c r="S590" s="317" t="str">
        <f t="shared" si="200"/>
        <v/>
      </c>
      <c r="V590" s="314">
        <f>SUM(ORÇAMENTO!N590)</f>
        <v>0</v>
      </c>
      <c r="W590" s="315">
        <f t="shared" si="202"/>
        <v>0</v>
      </c>
    </row>
    <row r="591" spans="1:23" ht="15" hidden="1" customHeight="1">
      <c r="A591" s="63" t="s">
        <v>818</v>
      </c>
      <c r="B591" s="938" t="s">
        <v>818</v>
      </c>
      <c r="C591" s="871" t="s">
        <v>2217</v>
      </c>
      <c r="D591" s="872" t="s">
        <v>819</v>
      </c>
      <c r="E591" s="873"/>
      <c r="F591" s="874"/>
      <c r="G591" s="875"/>
      <c r="H591" s="876">
        <v>6.56</v>
      </c>
      <c r="I591" s="876">
        <f>IF(ISBLANK(H591),"",SUM(G591:H591))</f>
        <v>6.56</v>
      </c>
      <c r="J591" s="877">
        <f t="shared" ref="J591:J643" si="212">IF(ISBLANK(H591),0,ROUND(I591*(1+$E$10),2))</f>
        <v>8.02</v>
      </c>
      <c r="K591" s="878" t="s">
        <v>13</v>
      </c>
      <c r="L591" s="885">
        <f>ROUND(SUM(ORÇAMENTO!L591),2)</f>
        <v>0</v>
      </c>
      <c r="M591" s="886">
        <f t="shared" si="196"/>
        <v>0</v>
      </c>
      <c r="N591" s="868">
        <f t="shared" si="197"/>
        <v>0</v>
      </c>
      <c r="O591" s="880"/>
      <c r="Q591" s="317" t="str">
        <f t="shared" si="198"/>
        <v/>
      </c>
      <c r="R591" s="317" t="str">
        <f t="shared" si="199"/>
        <v/>
      </c>
      <c r="S591" s="317" t="str">
        <f t="shared" si="200"/>
        <v/>
      </c>
      <c r="V591" s="314">
        <f>SUM(ORÇAMENTO!N591)</f>
        <v>0</v>
      </c>
      <c r="W591" s="315">
        <f t="shared" si="202"/>
        <v>0</v>
      </c>
    </row>
    <row r="592" spans="1:23" ht="15" hidden="1" customHeight="1">
      <c r="A592" s="63">
        <v>535200</v>
      </c>
      <c r="B592" s="870" t="s">
        <v>1592</v>
      </c>
      <c r="C592" s="871" t="s">
        <v>184</v>
      </c>
      <c r="D592" s="881" t="s">
        <v>220</v>
      </c>
      <c r="E592" s="882">
        <f>DMT!$F$15</f>
        <v>43.1</v>
      </c>
      <c r="F592" s="874">
        <v>7.6999999999999999E-2</v>
      </c>
      <c r="G592" s="923">
        <f t="shared" ref="G592" si="213">IF(E592&lt;=30,(1.07*E592+2.68)*F592,((1.07*30+2.68)+1.07*(E592-30))*F592)</f>
        <v>3.7573690000000002</v>
      </c>
      <c r="H592" s="876">
        <v>11.65</v>
      </c>
      <c r="I592" s="876">
        <f>IF(ISBLANK(H592),"",SUM(G592:H592))</f>
        <v>15.407369000000001</v>
      </c>
      <c r="J592" s="877">
        <f t="shared" si="212"/>
        <v>18.829999999999998</v>
      </c>
      <c r="K592" s="878" t="s">
        <v>13</v>
      </c>
      <c r="L592" s="879">
        <f>ROUND(SUM(ORÇAMENTO!L592),2)</f>
        <v>0</v>
      </c>
      <c r="M592" s="879">
        <f t="shared" ref="M592:M655" si="214">IF(L592=0,0,ROUND(J592,2))</f>
        <v>0</v>
      </c>
      <c r="N592" s="868">
        <f t="shared" ref="N592:N655" si="215">IF(ISBLANK(L592),0,ROUND(L592*M592,2))</f>
        <v>0</v>
      </c>
      <c r="O592" s="880"/>
      <c r="Q592" s="317" t="str">
        <f t="shared" ref="Q592:Q655" si="216">IF(P592="X","x",IF(P592="xx","x",IF(P592="xy","x",IF(P592="y","x",IF(OR(N592&gt;0,N592&gt;0),"x","")))))</f>
        <v/>
      </c>
      <c r="R592" s="317" t="str">
        <f t="shared" ref="R592:R655" si="217">IF(P592="X","x",IF(P592="y","x",IF(P592="xx","x",IF(N592&gt;0,"x",""))))</f>
        <v/>
      </c>
      <c r="S592" s="317" t="str">
        <f t="shared" ref="S592:S655" si="218">IF(P592="X","x",IF(N592&gt;0,"x",""))</f>
        <v/>
      </c>
      <c r="V592" s="314">
        <f>SUM(ORÇAMENTO!N592)</f>
        <v>0</v>
      </c>
      <c r="W592" s="315">
        <f t="shared" si="202"/>
        <v>0</v>
      </c>
    </row>
    <row r="593" spans="1:23" ht="15" hidden="1" customHeight="1">
      <c r="A593" s="63">
        <v>810100</v>
      </c>
      <c r="B593" s="870">
        <v>810100</v>
      </c>
      <c r="C593" s="871" t="s">
        <v>184</v>
      </c>
      <c r="D593" s="881" t="s">
        <v>248</v>
      </c>
      <c r="E593" s="882"/>
      <c r="F593" s="883"/>
      <c r="G593" s="887">
        <f>SUM(G594:G596)</f>
        <v>41.151282199999997</v>
      </c>
      <c r="H593" s="876">
        <v>66.03</v>
      </c>
      <c r="I593" s="876">
        <f>IF(ISBLANK(H593),"",SUM(G593:H593))</f>
        <v>107.1812822</v>
      </c>
      <c r="J593" s="877">
        <f t="shared" si="212"/>
        <v>131</v>
      </c>
      <c r="K593" s="878" t="s">
        <v>13</v>
      </c>
      <c r="L593" s="879">
        <f>ROUND(SUM(ORÇAMENTO!L593),2)</f>
        <v>0</v>
      </c>
      <c r="M593" s="879">
        <f t="shared" si="214"/>
        <v>0</v>
      </c>
      <c r="N593" s="868">
        <f t="shared" si="215"/>
        <v>0</v>
      </c>
      <c r="O593" s="880"/>
      <c r="Q593" s="317" t="str">
        <f t="shared" si="216"/>
        <v/>
      </c>
      <c r="R593" s="317" t="str">
        <f t="shared" si="217"/>
        <v/>
      </c>
      <c r="S593" s="317" t="str">
        <f t="shared" si="218"/>
        <v/>
      </c>
      <c r="V593" s="314">
        <f>SUM(ORÇAMENTO!N593)</f>
        <v>0</v>
      </c>
      <c r="W593" s="315">
        <f t="shared" si="202"/>
        <v>0</v>
      </c>
    </row>
    <row r="594" spans="1:23" ht="15" hidden="1" customHeight="1">
      <c r="A594" s="63" t="s">
        <v>147</v>
      </c>
      <c r="B594" s="870" t="s">
        <v>147</v>
      </c>
      <c r="C594" s="871"/>
      <c r="D594" s="931" t="s">
        <v>190</v>
      </c>
      <c r="E594" s="882">
        <f>DMT!$D$20</f>
        <v>445</v>
      </c>
      <c r="F594" s="883">
        <f>ROUND(0.103*0.27,4)</f>
        <v>2.7799999999999998E-2</v>
      </c>
      <c r="G594" s="884">
        <f>IF(E594&lt;=30,(0.78*E594+7.82)*F594,((0.78*30+7.82)+0.78*(E594-30))*F594)</f>
        <v>9.8667759999999998</v>
      </c>
      <c r="H594" s="876">
        <v>0</v>
      </c>
      <c r="I594" s="876"/>
      <c r="J594" s="877">
        <v>0</v>
      </c>
      <c r="K594" s="932" t="s">
        <v>506</v>
      </c>
      <c r="L594" s="933">
        <f>ROUND(SUM(ORÇAMENTO!L594),2)</f>
        <v>0</v>
      </c>
      <c r="M594" s="934">
        <f t="shared" si="214"/>
        <v>0</v>
      </c>
      <c r="N594" s="868">
        <f t="shared" si="215"/>
        <v>0</v>
      </c>
      <c r="O594" s="880"/>
      <c r="P594" s="58" t="str">
        <f>IF(N593&gt;0,"xx",IF(N593&gt;0,"xy",""))</f>
        <v/>
      </c>
      <c r="Q594" s="317" t="str">
        <f t="shared" si="216"/>
        <v/>
      </c>
      <c r="R594" s="317" t="str">
        <f t="shared" si="217"/>
        <v/>
      </c>
      <c r="S594" s="317" t="str">
        <f t="shared" si="218"/>
        <v/>
      </c>
      <c r="V594" s="314">
        <f>SUM(ORÇAMENTO!N594)</f>
        <v>0</v>
      </c>
      <c r="W594" s="315">
        <f t="shared" si="202"/>
        <v>0</v>
      </c>
    </row>
    <row r="595" spans="1:23" ht="15" hidden="1" customHeight="1">
      <c r="A595" s="63" t="s">
        <v>147</v>
      </c>
      <c r="B595" s="870" t="s">
        <v>147</v>
      </c>
      <c r="C595" s="871"/>
      <c r="D595" s="931" t="s">
        <v>229</v>
      </c>
      <c r="E595" s="882">
        <f>DMT!$F$39</f>
        <v>290</v>
      </c>
      <c r="F595" s="883">
        <f>ROUND(0.103*0.96,4)</f>
        <v>9.8900000000000002E-2</v>
      </c>
      <c r="G595" s="923">
        <f t="shared" ref="G595:G597" si="219">IF(E595&lt;=30,(1.07*E595+2.68)*F595,((1.07*30+2.68)+1.07*(E595-30))*F595)</f>
        <v>30.953722000000003</v>
      </c>
      <c r="H595" s="876">
        <v>0</v>
      </c>
      <c r="I595" s="876"/>
      <c r="J595" s="877">
        <v>0</v>
      </c>
      <c r="K595" s="932" t="s">
        <v>506</v>
      </c>
      <c r="L595" s="933">
        <f>ROUND(SUM(ORÇAMENTO!L595),2)</f>
        <v>0</v>
      </c>
      <c r="M595" s="934">
        <f t="shared" si="214"/>
        <v>0</v>
      </c>
      <c r="N595" s="868">
        <f t="shared" si="215"/>
        <v>0</v>
      </c>
      <c r="O595" s="880"/>
      <c r="P595" s="58" t="str">
        <f>IF(N593&gt;0,"xx",IF(N593&gt;0,"xy",""))</f>
        <v/>
      </c>
      <c r="Q595" s="317" t="str">
        <f t="shared" si="216"/>
        <v/>
      </c>
      <c r="R595" s="317" t="str">
        <f t="shared" si="217"/>
        <v/>
      </c>
      <c r="S595" s="317" t="str">
        <f t="shared" si="218"/>
        <v/>
      </c>
      <c r="V595" s="314">
        <f>SUM(ORÇAMENTO!N595)</f>
        <v>0</v>
      </c>
      <c r="W595" s="315">
        <f t="shared" si="202"/>
        <v>0</v>
      </c>
    </row>
    <row r="596" spans="1:23" ht="15" hidden="1" customHeight="1">
      <c r="A596" s="63" t="s">
        <v>147</v>
      </c>
      <c r="B596" s="870" t="s">
        <v>147</v>
      </c>
      <c r="C596" s="871"/>
      <c r="D596" s="931" t="s">
        <v>233</v>
      </c>
      <c r="E596" s="882">
        <f>DMT!$F$40</f>
        <v>0.2</v>
      </c>
      <c r="F596" s="883">
        <f>ROUND(0.103*1.11,4)</f>
        <v>0.1143</v>
      </c>
      <c r="G596" s="923">
        <f t="shared" si="219"/>
        <v>0.33078420000000003</v>
      </c>
      <c r="H596" s="876">
        <v>0</v>
      </c>
      <c r="I596" s="876"/>
      <c r="J596" s="877">
        <v>0</v>
      </c>
      <c r="K596" s="932" t="s">
        <v>506</v>
      </c>
      <c r="L596" s="933">
        <f>ROUND(SUM(ORÇAMENTO!L596),2)</f>
        <v>0</v>
      </c>
      <c r="M596" s="934">
        <f t="shared" si="214"/>
        <v>0</v>
      </c>
      <c r="N596" s="868">
        <f t="shared" si="215"/>
        <v>0</v>
      </c>
      <c r="O596" s="880"/>
      <c r="P596" s="58" t="str">
        <f>IF(N593&gt;0,"xx",IF(N593&gt;0,"xy",""))</f>
        <v/>
      </c>
      <c r="Q596" s="317" t="str">
        <f t="shared" si="216"/>
        <v/>
      </c>
      <c r="R596" s="317" t="str">
        <f t="shared" si="217"/>
        <v/>
      </c>
      <c r="S596" s="317" t="str">
        <f t="shared" si="218"/>
        <v/>
      </c>
      <c r="V596" s="314">
        <f>SUM(ORÇAMENTO!N596)</f>
        <v>0</v>
      </c>
      <c r="W596" s="315">
        <f t="shared" si="202"/>
        <v>0</v>
      </c>
    </row>
    <row r="597" spans="1:23" ht="15" hidden="1" customHeight="1">
      <c r="A597" s="63">
        <v>810050</v>
      </c>
      <c r="B597" s="870">
        <v>810050</v>
      </c>
      <c r="C597" s="871" t="s">
        <v>184</v>
      </c>
      <c r="D597" s="881" t="s">
        <v>249</v>
      </c>
      <c r="E597" s="882">
        <f>DMT!$F$36</f>
        <v>28</v>
      </c>
      <c r="F597" s="883">
        <f>0.0278+0.0988+0.1143</f>
        <v>0.2409</v>
      </c>
      <c r="G597" s="923">
        <f t="shared" si="219"/>
        <v>7.8629760000000006</v>
      </c>
      <c r="H597" s="876">
        <v>104.81</v>
      </c>
      <c r="I597" s="876">
        <f>IF(ISBLANK(H597),"",SUM(G597:H597))</f>
        <v>112.67297600000001</v>
      </c>
      <c r="J597" s="877">
        <f t="shared" si="212"/>
        <v>137.71</v>
      </c>
      <c r="K597" s="878" t="s">
        <v>13</v>
      </c>
      <c r="L597" s="879">
        <f>ROUND(SUM(ORÇAMENTO!L597),2)</f>
        <v>0</v>
      </c>
      <c r="M597" s="879">
        <f t="shared" si="214"/>
        <v>0</v>
      </c>
      <c r="N597" s="868">
        <f t="shared" si="215"/>
        <v>0</v>
      </c>
      <c r="O597" s="880"/>
      <c r="P597" s="58"/>
      <c r="Q597" s="317" t="str">
        <f t="shared" si="216"/>
        <v/>
      </c>
      <c r="R597" s="317" t="str">
        <f t="shared" si="217"/>
        <v/>
      </c>
      <c r="S597" s="317" t="str">
        <f t="shared" si="218"/>
        <v/>
      </c>
      <c r="V597" s="314">
        <f>SUM(ORÇAMENTO!N597)</f>
        <v>0</v>
      </c>
      <c r="W597" s="315">
        <f t="shared" ref="W597:W660" si="220">N597-V597</f>
        <v>0</v>
      </c>
    </row>
    <row r="598" spans="1:23" ht="15" hidden="1" customHeight="1">
      <c r="A598" s="63">
        <v>810200</v>
      </c>
      <c r="B598" s="870">
        <v>810200</v>
      </c>
      <c r="C598" s="871" t="s">
        <v>184</v>
      </c>
      <c r="D598" s="881" t="s">
        <v>250</v>
      </c>
      <c r="E598" s="882"/>
      <c r="F598" s="883"/>
      <c r="G598" s="887">
        <f>SUM(G599:G601)</f>
        <v>16.758550400000004</v>
      </c>
      <c r="H598" s="876">
        <v>28.65</v>
      </c>
      <c r="I598" s="876">
        <f>IF(ISBLANK(H598),"",SUM(G598:H598))</f>
        <v>45.408550400000003</v>
      </c>
      <c r="J598" s="877">
        <f t="shared" si="212"/>
        <v>55.5</v>
      </c>
      <c r="K598" s="878" t="s">
        <v>13</v>
      </c>
      <c r="L598" s="879">
        <f>ROUND(SUM(ORÇAMENTO!L598),2)</f>
        <v>0</v>
      </c>
      <c r="M598" s="879">
        <f t="shared" si="214"/>
        <v>0</v>
      </c>
      <c r="N598" s="868">
        <f t="shared" si="215"/>
        <v>0</v>
      </c>
      <c r="O598" s="880"/>
      <c r="P598" s="58"/>
      <c r="Q598" s="317" t="str">
        <f t="shared" si="216"/>
        <v/>
      </c>
      <c r="R598" s="317" t="str">
        <f t="shared" si="217"/>
        <v/>
      </c>
      <c r="S598" s="317" t="str">
        <f t="shared" si="218"/>
        <v/>
      </c>
      <c r="V598" s="314">
        <f>SUM(ORÇAMENTO!N598)</f>
        <v>0</v>
      </c>
      <c r="W598" s="315">
        <f t="shared" si="220"/>
        <v>0</v>
      </c>
    </row>
    <row r="599" spans="1:23" ht="15" hidden="1" customHeight="1">
      <c r="A599" s="63" t="s">
        <v>147</v>
      </c>
      <c r="B599" s="870" t="s">
        <v>147</v>
      </c>
      <c r="C599" s="871"/>
      <c r="D599" s="931" t="s">
        <v>190</v>
      </c>
      <c r="E599" s="882">
        <f>DMT!$D$20</f>
        <v>445</v>
      </c>
      <c r="F599" s="883">
        <f>ROUND(0.042*0.27,4)</f>
        <v>1.1299999999999999E-2</v>
      </c>
      <c r="G599" s="884">
        <f>IF(E599&lt;=30,(0.78*E599+7.82)*F599,((0.78*30+7.82)+0.78*(E599-30))*F599)</f>
        <v>4.0105959999999996</v>
      </c>
      <c r="H599" s="876">
        <v>0</v>
      </c>
      <c r="I599" s="876"/>
      <c r="J599" s="877">
        <v>0</v>
      </c>
      <c r="K599" s="932" t="s">
        <v>506</v>
      </c>
      <c r="L599" s="933">
        <f>ROUND(SUM(ORÇAMENTO!L599),2)</f>
        <v>0</v>
      </c>
      <c r="M599" s="934">
        <f t="shared" si="214"/>
        <v>0</v>
      </c>
      <c r="N599" s="868">
        <f t="shared" si="215"/>
        <v>0</v>
      </c>
      <c r="O599" s="880"/>
      <c r="P599" s="58" t="str">
        <f>IF(N598&gt;0,"xx",IF(N598&gt;0,"xy",""))</f>
        <v/>
      </c>
      <c r="Q599" s="317" t="str">
        <f t="shared" si="216"/>
        <v/>
      </c>
      <c r="R599" s="317" t="str">
        <f t="shared" si="217"/>
        <v/>
      </c>
      <c r="S599" s="317" t="str">
        <f t="shared" si="218"/>
        <v/>
      </c>
      <c r="V599" s="314">
        <f>SUM(ORÇAMENTO!N599)</f>
        <v>0</v>
      </c>
      <c r="W599" s="315">
        <f t="shared" si="220"/>
        <v>0</v>
      </c>
    </row>
    <row r="600" spans="1:23" ht="15" hidden="1" customHeight="1">
      <c r="A600" s="63" t="s">
        <v>147</v>
      </c>
      <c r="B600" s="870" t="s">
        <v>147</v>
      </c>
      <c r="C600" s="871"/>
      <c r="D600" s="931" t="s">
        <v>229</v>
      </c>
      <c r="E600" s="882">
        <f>DMT!$F$39</f>
        <v>290</v>
      </c>
      <c r="F600" s="883">
        <f>ROUND(0.042*0.96,4)</f>
        <v>4.0300000000000002E-2</v>
      </c>
      <c r="G600" s="923">
        <f t="shared" ref="G600:G602" si="221">IF(E600&lt;=30,(1.07*E600+2.68)*F600,((1.07*30+2.68)+1.07*(E600-30))*F600)</f>
        <v>12.613094000000002</v>
      </c>
      <c r="H600" s="876">
        <v>0</v>
      </c>
      <c r="I600" s="876"/>
      <c r="J600" s="877">
        <v>0</v>
      </c>
      <c r="K600" s="932" t="s">
        <v>506</v>
      </c>
      <c r="L600" s="933">
        <f>ROUND(SUM(ORÇAMENTO!L600),2)</f>
        <v>0</v>
      </c>
      <c r="M600" s="934">
        <f t="shared" si="214"/>
        <v>0</v>
      </c>
      <c r="N600" s="868">
        <f t="shared" si="215"/>
        <v>0</v>
      </c>
      <c r="O600" s="880"/>
      <c r="P600" s="58" t="str">
        <f>IF(N598&gt;0,"xx",IF(N598&gt;0,"xy",""))</f>
        <v/>
      </c>
      <c r="Q600" s="317" t="str">
        <f t="shared" si="216"/>
        <v/>
      </c>
      <c r="R600" s="317" t="str">
        <f t="shared" si="217"/>
        <v/>
      </c>
      <c r="S600" s="317" t="str">
        <f t="shared" si="218"/>
        <v/>
      </c>
      <c r="V600" s="314">
        <f>SUM(ORÇAMENTO!N600)</f>
        <v>0</v>
      </c>
      <c r="W600" s="315">
        <f t="shared" si="220"/>
        <v>0</v>
      </c>
    </row>
    <row r="601" spans="1:23" ht="15" hidden="1" customHeight="1">
      <c r="A601" s="63" t="s">
        <v>147</v>
      </c>
      <c r="B601" s="870" t="s">
        <v>147</v>
      </c>
      <c r="C601" s="871"/>
      <c r="D601" s="931" t="s">
        <v>233</v>
      </c>
      <c r="E601" s="882">
        <f>DMT!$F$40</f>
        <v>0.2</v>
      </c>
      <c r="F601" s="883">
        <f>ROUND(0.042*1.11,4)</f>
        <v>4.6600000000000003E-2</v>
      </c>
      <c r="G601" s="923">
        <f t="shared" si="221"/>
        <v>0.13486040000000002</v>
      </c>
      <c r="H601" s="876">
        <v>0</v>
      </c>
      <c r="I601" s="876"/>
      <c r="J601" s="877">
        <v>0</v>
      </c>
      <c r="K601" s="932" t="s">
        <v>506</v>
      </c>
      <c r="L601" s="933">
        <f>ROUND(SUM(ORÇAMENTO!L601),2)</f>
        <v>0</v>
      </c>
      <c r="M601" s="934">
        <f t="shared" si="214"/>
        <v>0</v>
      </c>
      <c r="N601" s="868">
        <f t="shared" si="215"/>
        <v>0</v>
      </c>
      <c r="O601" s="880"/>
      <c r="P601" s="58" t="str">
        <f>IF(N598&gt;0,"xx",IF(N598&gt;0,"xy",""))</f>
        <v/>
      </c>
      <c r="Q601" s="317" t="str">
        <f t="shared" si="216"/>
        <v/>
      </c>
      <c r="R601" s="317" t="str">
        <f t="shared" si="217"/>
        <v/>
      </c>
      <c r="S601" s="317" t="str">
        <f t="shared" si="218"/>
        <v/>
      </c>
      <c r="V601" s="314">
        <f>SUM(ORÇAMENTO!N601)</f>
        <v>0</v>
      </c>
      <c r="W601" s="315">
        <f t="shared" si="220"/>
        <v>0</v>
      </c>
    </row>
    <row r="602" spans="1:23" ht="15" hidden="1" customHeight="1">
      <c r="A602" s="63">
        <v>810150</v>
      </c>
      <c r="B602" s="870">
        <v>810150</v>
      </c>
      <c r="C602" s="871" t="s">
        <v>184</v>
      </c>
      <c r="D602" s="881" t="s">
        <v>251</v>
      </c>
      <c r="E602" s="882">
        <f>DMT!$F$36</f>
        <v>28</v>
      </c>
      <c r="F602" s="883">
        <v>9.8199999999999996E-2</v>
      </c>
      <c r="G602" s="923">
        <f t="shared" si="221"/>
        <v>3.2052480000000001</v>
      </c>
      <c r="H602" s="876">
        <v>48.6</v>
      </c>
      <c r="I602" s="876">
        <f>IF(ISBLANK(H602),"",SUM(G602:H602))</f>
        <v>51.805247999999999</v>
      </c>
      <c r="J602" s="877">
        <f t="shared" si="212"/>
        <v>63.32</v>
      </c>
      <c r="K602" s="878" t="s">
        <v>13</v>
      </c>
      <c r="L602" s="879">
        <f>ROUND(SUM(ORÇAMENTO!L602),2)</f>
        <v>0</v>
      </c>
      <c r="M602" s="879">
        <f t="shared" si="214"/>
        <v>0</v>
      </c>
      <c r="N602" s="868">
        <f t="shared" si="215"/>
        <v>0</v>
      </c>
      <c r="O602" s="880"/>
      <c r="Q602" s="317" t="str">
        <f t="shared" si="216"/>
        <v/>
      </c>
      <c r="R602" s="317" t="str">
        <f t="shared" si="217"/>
        <v/>
      </c>
      <c r="S602" s="317" t="str">
        <f t="shared" si="218"/>
        <v/>
      </c>
      <c r="V602" s="314">
        <f>SUM(ORÇAMENTO!N602)</f>
        <v>0</v>
      </c>
      <c r="W602" s="315">
        <f t="shared" si="220"/>
        <v>0</v>
      </c>
    </row>
    <row r="603" spans="1:23" ht="15" hidden="1" customHeight="1">
      <c r="A603" s="63">
        <v>810700</v>
      </c>
      <c r="B603" s="870">
        <v>810700</v>
      </c>
      <c r="C603" s="871" t="s">
        <v>184</v>
      </c>
      <c r="D603" s="881" t="s">
        <v>252</v>
      </c>
      <c r="E603" s="882"/>
      <c r="F603" s="883"/>
      <c r="G603" s="887">
        <f>SUM(G604:G606)</f>
        <v>12.407685600000001</v>
      </c>
      <c r="H603" s="876">
        <v>23.47</v>
      </c>
      <c r="I603" s="876">
        <f>IF(ISBLANK(H603),"",SUM(G603:H603))</f>
        <v>35.8776856</v>
      </c>
      <c r="J603" s="877">
        <f t="shared" si="212"/>
        <v>43.85</v>
      </c>
      <c r="K603" s="878" t="s">
        <v>13</v>
      </c>
      <c r="L603" s="879">
        <f>ROUND(SUM(ORÇAMENTO!L603),2)</f>
        <v>0</v>
      </c>
      <c r="M603" s="879">
        <f t="shared" si="214"/>
        <v>0</v>
      </c>
      <c r="N603" s="868">
        <f t="shared" si="215"/>
        <v>0</v>
      </c>
      <c r="O603" s="880"/>
      <c r="Q603" s="317" t="str">
        <f t="shared" si="216"/>
        <v/>
      </c>
      <c r="R603" s="317" t="str">
        <f t="shared" si="217"/>
        <v/>
      </c>
      <c r="S603" s="317" t="str">
        <f t="shared" si="218"/>
        <v/>
      </c>
      <c r="V603" s="314">
        <f>SUM(ORÇAMENTO!N603)</f>
        <v>0</v>
      </c>
      <c r="W603" s="315">
        <f t="shared" si="220"/>
        <v>0</v>
      </c>
    </row>
    <row r="604" spans="1:23" ht="15" hidden="1" customHeight="1">
      <c r="A604" s="63" t="s">
        <v>147</v>
      </c>
      <c r="B604" s="870" t="s">
        <v>147</v>
      </c>
      <c r="C604" s="871"/>
      <c r="D604" s="931" t="s">
        <v>190</v>
      </c>
      <c r="E604" s="882">
        <f>DMT!$D$20</f>
        <v>445</v>
      </c>
      <c r="F604" s="883">
        <f>ROUND(0.031*0.27,4)</f>
        <v>8.3999999999999995E-3</v>
      </c>
      <c r="G604" s="884">
        <f>IF(E604&lt;=30,(0.78*E604+7.82)*F604,((0.78*30+7.82)+0.78*(E604-30))*F604)</f>
        <v>2.981328</v>
      </c>
      <c r="H604" s="876">
        <v>0</v>
      </c>
      <c r="I604" s="876"/>
      <c r="J604" s="877">
        <v>0</v>
      </c>
      <c r="K604" s="932" t="s">
        <v>506</v>
      </c>
      <c r="L604" s="933">
        <f>ROUND(SUM(ORÇAMENTO!L604),2)</f>
        <v>0</v>
      </c>
      <c r="M604" s="934">
        <f t="shared" si="214"/>
        <v>0</v>
      </c>
      <c r="N604" s="868">
        <f t="shared" si="215"/>
        <v>0</v>
      </c>
      <c r="O604" s="880"/>
      <c r="P604" s="58" t="str">
        <f>IF(N603&gt;0,"xx",IF(N603&gt;0,"xy",""))</f>
        <v/>
      </c>
      <c r="Q604" s="317" t="str">
        <f t="shared" si="216"/>
        <v/>
      </c>
      <c r="R604" s="317" t="str">
        <f t="shared" si="217"/>
        <v/>
      </c>
      <c r="S604" s="317" t="str">
        <f t="shared" si="218"/>
        <v/>
      </c>
      <c r="V604" s="314">
        <f>SUM(ORÇAMENTO!N604)</f>
        <v>0</v>
      </c>
      <c r="W604" s="315">
        <f t="shared" si="220"/>
        <v>0</v>
      </c>
    </row>
    <row r="605" spans="1:23" ht="15" hidden="1" customHeight="1">
      <c r="A605" s="63" t="s">
        <v>147</v>
      </c>
      <c r="B605" s="870" t="s">
        <v>147</v>
      </c>
      <c r="C605" s="871"/>
      <c r="D605" s="931" t="s">
        <v>229</v>
      </c>
      <c r="E605" s="882">
        <f>DMT!$F$39</f>
        <v>290</v>
      </c>
      <c r="F605" s="883">
        <f>ROUND(0.031*0.96,4)</f>
        <v>2.98E-2</v>
      </c>
      <c r="G605" s="923">
        <f t="shared" ref="G605:G607" si="222">IF(E605&lt;=30,(1.07*E605+2.68)*F605,((1.07*30+2.68)+1.07*(E605-30))*F605)</f>
        <v>9.326804000000001</v>
      </c>
      <c r="H605" s="876">
        <v>0</v>
      </c>
      <c r="I605" s="876"/>
      <c r="J605" s="877">
        <v>0</v>
      </c>
      <c r="K605" s="932" t="s">
        <v>506</v>
      </c>
      <c r="L605" s="933">
        <f>ROUND(SUM(ORÇAMENTO!L605),2)</f>
        <v>0</v>
      </c>
      <c r="M605" s="934">
        <f t="shared" si="214"/>
        <v>0</v>
      </c>
      <c r="N605" s="868">
        <f t="shared" si="215"/>
        <v>0</v>
      </c>
      <c r="O605" s="880"/>
      <c r="P605" s="58" t="str">
        <f>IF(N603&gt;0,"xx",IF(N603&gt;0,"xy",""))</f>
        <v/>
      </c>
      <c r="Q605" s="317" t="str">
        <f t="shared" si="216"/>
        <v/>
      </c>
      <c r="R605" s="317" t="str">
        <f t="shared" si="217"/>
        <v/>
      </c>
      <c r="S605" s="317" t="str">
        <f t="shared" si="218"/>
        <v/>
      </c>
      <c r="V605" s="314">
        <f>SUM(ORÇAMENTO!N605)</f>
        <v>0</v>
      </c>
      <c r="W605" s="315">
        <f t="shared" si="220"/>
        <v>0</v>
      </c>
    </row>
    <row r="606" spans="1:23" ht="15" hidden="1" customHeight="1">
      <c r="A606" s="63" t="s">
        <v>147</v>
      </c>
      <c r="B606" s="870" t="s">
        <v>147</v>
      </c>
      <c r="C606" s="871"/>
      <c r="D606" s="931" t="s">
        <v>233</v>
      </c>
      <c r="E606" s="882">
        <f>DMT!$F$40</f>
        <v>0.2</v>
      </c>
      <c r="F606" s="883">
        <f>ROUND(0.031*1.11,4)</f>
        <v>3.44E-2</v>
      </c>
      <c r="G606" s="923">
        <f t="shared" si="222"/>
        <v>9.9553600000000006E-2</v>
      </c>
      <c r="H606" s="876">
        <v>0</v>
      </c>
      <c r="I606" s="876"/>
      <c r="J606" s="877">
        <v>0</v>
      </c>
      <c r="K606" s="932" t="s">
        <v>506</v>
      </c>
      <c r="L606" s="933">
        <f>ROUND(SUM(ORÇAMENTO!L606),2)</f>
        <v>0</v>
      </c>
      <c r="M606" s="934">
        <f t="shared" si="214"/>
        <v>0</v>
      </c>
      <c r="N606" s="868">
        <f t="shared" si="215"/>
        <v>0</v>
      </c>
      <c r="O606" s="880"/>
      <c r="P606" s="58" t="str">
        <f>IF(N603&gt;0,"xx",IF(N603&gt;0,"xy",""))</f>
        <v/>
      </c>
      <c r="Q606" s="317" t="str">
        <f t="shared" si="216"/>
        <v/>
      </c>
      <c r="R606" s="317" t="str">
        <f t="shared" si="217"/>
        <v/>
      </c>
      <c r="S606" s="317" t="str">
        <f t="shared" si="218"/>
        <v/>
      </c>
      <c r="V606" s="314">
        <f>SUM(ORÇAMENTO!N606)</f>
        <v>0</v>
      </c>
      <c r="W606" s="315">
        <f t="shared" si="220"/>
        <v>0</v>
      </c>
    </row>
    <row r="607" spans="1:23" ht="15" hidden="1" customHeight="1">
      <c r="A607" s="63">
        <v>810650</v>
      </c>
      <c r="B607" s="870">
        <v>810650</v>
      </c>
      <c r="C607" s="871" t="s">
        <v>184</v>
      </c>
      <c r="D607" s="881" t="s">
        <v>253</v>
      </c>
      <c r="E607" s="882">
        <f>DMT!$F$36</f>
        <v>28</v>
      </c>
      <c r="F607" s="883">
        <v>7.2599999999999998E-2</v>
      </c>
      <c r="G607" s="923">
        <f t="shared" si="222"/>
        <v>2.3696639999999998</v>
      </c>
      <c r="H607" s="876">
        <v>40.98</v>
      </c>
      <c r="I607" s="876">
        <f>IF(ISBLANK(H607),"",SUM(G607:H607))</f>
        <v>43.349663999999997</v>
      </c>
      <c r="J607" s="877">
        <f t="shared" si="212"/>
        <v>52.98</v>
      </c>
      <c r="K607" s="878" t="s">
        <v>13</v>
      </c>
      <c r="L607" s="879">
        <f>ROUND(SUM(ORÇAMENTO!L607),2)</f>
        <v>0</v>
      </c>
      <c r="M607" s="879">
        <f t="shared" si="214"/>
        <v>0</v>
      </c>
      <c r="N607" s="868">
        <f t="shared" si="215"/>
        <v>0</v>
      </c>
      <c r="O607" s="880"/>
      <c r="Q607" s="317" t="str">
        <f t="shared" si="216"/>
        <v/>
      </c>
      <c r="R607" s="317" t="str">
        <f t="shared" si="217"/>
        <v/>
      </c>
      <c r="S607" s="317" t="str">
        <f t="shared" si="218"/>
        <v/>
      </c>
      <c r="V607" s="314">
        <f>SUM(ORÇAMENTO!N607)</f>
        <v>0</v>
      </c>
      <c r="W607" s="315">
        <f t="shared" si="220"/>
        <v>0</v>
      </c>
    </row>
    <row r="608" spans="1:23" ht="15" hidden="1" customHeight="1">
      <c r="A608" s="63">
        <v>810300</v>
      </c>
      <c r="B608" s="870">
        <v>810300</v>
      </c>
      <c r="C608" s="871" t="s">
        <v>184</v>
      </c>
      <c r="D608" s="881" t="s">
        <v>254</v>
      </c>
      <c r="E608" s="882"/>
      <c r="F608" s="883"/>
      <c r="G608" s="887">
        <f>SUM(G609:G611)</f>
        <v>13.5775158</v>
      </c>
      <c r="H608" s="876">
        <v>22.58</v>
      </c>
      <c r="I608" s="876">
        <f>IF(ISBLANK(H608),"",SUM(G608:H608))</f>
        <v>36.157515799999999</v>
      </c>
      <c r="J608" s="877">
        <f t="shared" si="212"/>
        <v>44.19</v>
      </c>
      <c r="K608" s="878" t="s">
        <v>13</v>
      </c>
      <c r="L608" s="879">
        <f>ROUND(SUM(ORÇAMENTO!L608),2)</f>
        <v>0</v>
      </c>
      <c r="M608" s="879">
        <f t="shared" si="214"/>
        <v>0</v>
      </c>
      <c r="N608" s="868">
        <f t="shared" si="215"/>
        <v>0</v>
      </c>
      <c r="O608" s="880"/>
      <c r="Q608" s="317" t="str">
        <f t="shared" si="216"/>
        <v/>
      </c>
      <c r="R608" s="317" t="str">
        <f t="shared" si="217"/>
        <v/>
      </c>
      <c r="S608" s="317" t="str">
        <f t="shared" si="218"/>
        <v/>
      </c>
      <c r="V608" s="314">
        <f>SUM(ORÇAMENTO!N608)</f>
        <v>0</v>
      </c>
      <c r="W608" s="315">
        <f t="shared" si="220"/>
        <v>0</v>
      </c>
    </row>
    <row r="609" spans="1:23" ht="15" hidden="1" customHeight="1">
      <c r="A609" s="63" t="s">
        <v>147</v>
      </c>
      <c r="B609" s="870" t="s">
        <v>147</v>
      </c>
      <c r="C609" s="871"/>
      <c r="D609" s="931" t="s">
        <v>190</v>
      </c>
      <c r="E609" s="882">
        <f>DMT!$D$20</f>
        <v>445</v>
      </c>
      <c r="F609" s="883">
        <f>ROUND(0.034*0.27,4)</f>
        <v>9.1999999999999998E-3</v>
      </c>
      <c r="G609" s="884">
        <f>IF(E609&lt;=30,(0.78*E609+7.82)*F609,((0.78*30+7.82)+0.78*(E609-30))*F609)</f>
        <v>3.2652640000000002</v>
      </c>
      <c r="H609" s="876">
        <v>0</v>
      </c>
      <c r="I609" s="876"/>
      <c r="J609" s="877">
        <v>0</v>
      </c>
      <c r="K609" s="932" t="s">
        <v>506</v>
      </c>
      <c r="L609" s="933">
        <f>ROUND(SUM(ORÇAMENTO!L609),2)</f>
        <v>0</v>
      </c>
      <c r="M609" s="934">
        <f t="shared" si="214"/>
        <v>0</v>
      </c>
      <c r="N609" s="868">
        <f t="shared" si="215"/>
        <v>0</v>
      </c>
      <c r="O609" s="880"/>
      <c r="P609" s="58" t="str">
        <f>IF(N608&gt;0,"xx",IF(N608&gt;0,"xy",""))</f>
        <v/>
      </c>
      <c r="Q609" s="317" t="str">
        <f t="shared" si="216"/>
        <v/>
      </c>
      <c r="R609" s="317" t="str">
        <f t="shared" si="217"/>
        <v/>
      </c>
      <c r="S609" s="317" t="str">
        <f t="shared" si="218"/>
        <v/>
      </c>
      <c r="V609" s="314">
        <f>SUM(ORÇAMENTO!N609)</f>
        <v>0</v>
      </c>
      <c r="W609" s="315">
        <f t="shared" si="220"/>
        <v>0</v>
      </c>
    </row>
    <row r="610" spans="1:23" ht="15" hidden="1" customHeight="1">
      <c r="A610" s="63" t="s">
        <v>147</v>
      </c>
      <c r="B610" s="870" t="s">
        <v>147</v>
      </c>
      <c r="C610" s="871"/>
      <c r="D610" s="931" t="s">
        <v>229</v>
      </c>
      <c r="E610" s="882">
        <f>DMT!$F$39</f>
        <v>290</v>
      </c>
      <c r="F610" s="883">
        <f>ROUND(0.034*0.96,4)</f>
        <v>3.2599999999999997E-2</v>
      </c>
      <c r="G610" s="923">
        <f t="shared" ref="G610:G612" si="223">IF(E610&lt;=30,(1.07*E610+2.68)*F610,((1.07*30+2.68)+1.07*(E610-30))*F610)</f>
        <v>10.203148000000001</v>
      </c>
      <c r="H610" s="876">
        <v>0</v>
      </c>
      <c r="I610" s="876"/>
      <c r="J610" s="877">
        <v>0</v>
      </c>
      <c r="K610" s="932" t="s">
        <v>506</v>
      </c>
      <c r="L610" s="933">
        <f>ROUND(SUM(ORÇAMENTO!L610),2)</f>
        <v>0</v>
      </c>
      <c r="M610" s="934">
        <f t="shared" si="214"/>
        <v>0</v>
      </c>
      <c r="N610" s="868">
        <f t="shared" si="215"/>
        <v>0</v>
      </c>
      <c r="O610" s="880"/>
      <c r="P610" s="58" t="str">
        <f>IF(N608&gt;0,"xx",IF(N608&gt;0,"xy",""))</f>
        <v/>
      </c>
      <c r="Q610" s="317" t="str">
        <f t="shared" si="216"/>
        <v/>
      </c>
      <c r="R610" s="317" t="str">
        <f t="shared" si="217"/>
        <v/>
      </c>
      <c r="S610" s="317" t="str">
        <f t="shared" si="218"/>
        <v/>
      </c>
      <c r="V610" s="314">
        <f>SUM(ORÇAMENTO!N610)</f>
        <v>0</v>
      </c>
      <c r="W610" s="315">
        <f t="shared" si="220"/>
        <v>0</v>
      </c>
    </row>
    <row r="611" spans="1:23" ht="15" hidden="1" customHeight="1">
      <c r="A611" s="63" t="s">
        <v>147</v>
      </c>
      <c r="B611" s="870" t="s">
        <v>147</v>
      </c>
      <c r="C611" s="871"/>
      <c r="D611" s="931" t="s">
        <v>233</v>
      </c>
      <c r="E611" s="882">
        <f>DMT!$F$40</f>
        <v>0.2</v>
      </c>
      <c r="F611" s="883">
        <f>ROUND(0.034*1.11,4)</f>
        <v>3.7699999999999997E-2</v>
      </c>
      <c r="G611" s="923">
        <f t="shared" si="223"/>
        <v>0.1091038</v>
      </c>
      <c r="H611" s="876">
        <v>0</v>
      </c>
      <c r="I611" s="876"/>
      <c r="J611" s="877">
        <v>0</v>
      </c>
      <c r="K611" s="932" t="s">
        <v>506</v>
      </c>
      <c r="L611" s="933">
        <f>ROUND(SUM(ORÇAMENTO!L611),2)</f>
        <v>0</v>
      </c>
      <c r="M611" s="934">
        <f t="shared" si="214"/>
        <v>0</v>
      </c>
      <c r="N611" s="868">
        <f t="shared" si="215"/>
        <v>0</v>
      </c>
      <c r="O611" s="880"/>
      <c r="P611" s="58" t="str">
        <f>IF(N608&gt;0,"xx",IF(N608&gt;0,"xy",""))</f>
        <v/>
      </c>
      <c r="Q611" s="317" t="str">
        <f t="shared" si="216"/>
        <v/>
      </c>
      <c r="R611" s="317" t="str">
        <f t="shared" si="217"/>
        <v/>
      </c>
      <c r="S611" s="317" t="str">
        <f t="shared" si="218"/>
        <v/>
      </c>
      <c r="V611" s="314">
        <f>SUM(ORÇAMENTO!N611)</f>
        <v>0</v>
      </c>
      <c r="W611" s="315">
        <f t="shared" si="220"/>
        <v>0</v>
      </c>
    </row>
    <row r="612" spans="1:23" ht="15" hidden="1" customHeight="1">
      <c r="A612" s="63">
        <v>810250</v>
      </c>
      <c r="B612" s="870" t="s">
        <v>1694</v>
      </c>
      <c r="C612" s="871" t="s">
        <v>184</v>
      </c>
      <c r="D612" s="881" t="s">
        <v>255</v>
      </c>
      <c r="E612" s="882">
        <f>DMT!$F$36</f>
        <v>28</v>
      </c>
      <c r="F612" s="883">
        <v>7.9500000000000001E-2</v>
      </c>
      <c r="G612" s="923">
        <f t="shared" si="223"/>
        <v>2.5948800000000003</v>
      </c>
      <c r="H612" s="876">
        <v>40.090000000000003</v>
      </c>
      <c r="I612" s="876">
        <f>IF(ISBLANK(H612),"",SUM(G612:H612))</f>
        <v>42.684880000000007</v>
      </c>
      <c r="J612" s="877">
        <f t="shared" si="212"/>
        <v>52.17</v>
      </c>
      <c r="K612" s="878" t="s">
        <v>13</v>
      </c>
      <c r="L612" s="879">
        <f>ROUND(SUM(ORÇAMENTO!L612),2)</f>
        <v>0</v>
      </c>
      <c r="M612" s="879">
        <f t="shared" si="214"/>
        <v>0</v>
      </c>
      <c r="N612" s="868">
        <f t="shared" si="215"/>
        <v>0</v>
      </c>
      <c r="O612" s="880"/>
      <c r="Q612" s="317" t="str">
        <f t="shared" si="216"/>
        <v/>
      </c>
      <c r="R612" s="317" t="str">
        <f t="shared" si="217"/>
        <v/>
      </c>
      <c r="S612" s="317" t="str">
        <f t="shared" si="218"/>
        <v/>
      </c>
      <c r="V612" s="314">
        <f>SUM(ORÇAMENTO!N612)</f>
        <v>0</v>
      </c>
      <c r="W612" s="315">
        <f t="shared" si="220"/>
        <v>0</v>
      </c>
    </row>
    <row r="613" spans="1:23" ht="15" hidden="1" customHeight="1">
      <c r="A613" s="63">
        <v>810400</v>
      </c>
      <c r="B613" s="870">
        <v>810400</v>
      </c>
      <c r="C613" s="871" t="s">
        <v>184</v>
      </c>
      <c r="D613" s="881" t="s">
        <v>256</v>
      </c>
      <c r="E613" s="882"/>
      <c r="F613" s="883"/>
      <c r="G613" s="887">
        <f>SUM(G614:G616)</f>
        <v>28.7435966</v>
      </c>
      <c r="H613" s="876">
        <v>41.97</v>
      </c>
      <c r="I613" s="876">
        <f>IF(ISBLANK(H613),"",SUM(G613:H613))</f>
        <v>70.713596600000002</v>
      </c>
      <c r="J613" s="877">
        <f t="shared" si="212"/>
        <v>86.43</v>
      </c>
      <c r="K613" s="878" t="s">
        <v>13</v>
      </c>
      <c r="L613" s="879">
        <f>ROUND(SUM(ORÇAMENTO!L613),2)</f>
        <v>0</v>
      </c>
      <c r="M613" s="879">
        <f t="shared" si="214"/>
        <v>0</v>
      </c>
      <c r="N613" s="868">
        <f t="shared" si="215"/>
        <v>0</v>
      </c>
      <c r="O613" s="880"/>
      <c r="Q613" s="317" t="str">
        <f t="shared" si="216"/>
        <v/>
      </c>
      <c r="R613" s="317" t="str">
        <f t="shared" si="217"/>
        <v/>
      </c>
      <c r="S613" s="317" t="str">
        <f t="shared" si="218"/>
        <v/>
      </c>
      <c r="V613" s="314">
        <f>SUM(ORÇAMENTO!N613)</f>
        <v>0</v>
      </c>
      <c r="W613" s="315">
        <f t="shared" si="220"/>
        <v>0</v>
      </c>
    </row>
    <row r="614" spans="1:23" ht="15" hidden="1" customHeight="1">
      <c r="A614" s="63" t="s">
        <v>147</v>
      </c>
      <c r="B614" s="870" t="s">
        <v>147</v>
      </c>
      <c r="C614" s="871"/>
      <c r="D614" s="931" t="s">
        <v>190</v>
      </c>
      <c r="E614" s="882">
        <f>DMT!$D$20</f>
        <v>445</v>
      </c>
      <c r="F614" s="883">
        <f>ROUND(0.072*0.27,4)</f>
        <v>1.9400000000000001E-2</v>
      </c>
      <c r="G614" s="884">
        <f>IF(E614&lt;=30,(0.78*E614+7.82)*F614,((0.78*30+7.82)+0.78*(E614-30))*F614)</f>
        <v>6.8854480000000002</v>
      </c>
      <c r="H614" s="876">
        <v>0</v>
      </c>
      <c r="I614" s="876"/>
      <c r="J614" s="877">
        <v>0</v>
      </c>
      <c r="K614" s="932" t="s">
        <v>506</v>
      </c>
      <c r="L614" s="933">
        <f>ROUND(SUM(ORÇAMENTO!L614),2)</f>
        <v>0</v>
      </c>
      <c r="M614" s="934">
        <f t="shared" si="214"/>
        <v>0</v>
      </c>
      <c r="N614" s="868">
        <f t="shared" si="215"/>
        <v>0</v>
      </c>
      <c r="O614" s="880"/>
      <c r="P614" s="58" t="str">
        <f>IF(N613&gt;0,"xx",IF(N613&gt;0,"xy",""))</f>
        <v/>
      </c>
      <c r="Q614" s="317" t="str">
        <f t="shared" si="216"/>
        <v/>
      </c>
      <c r="R614" s="317" t="str">
        <f t="shared" si="217"/>
        <v/>
      </c>
      <c r="S614" s="317" t="str">
        <f t="shared" si="218"/>
        <v/>
      </c>
      <c r="V614" s="314">
        <f>SUM(ORÇAMENTO!N614)</f>
        <v>0</v>
      </c>
      <c r="W614" s="315">
        <f t="shared" si="220"/>
        <v>0</v>
      </c>
    </row>
    <row r="615" spans="1:23" ht="15" hidden="1" customHeight="1">
      <c r="A615" s="63" t="s">
        <v>147</v>
      </c>
      <c r="B615" s="870" t="s">
        <v>147</v>
      </c>
      <c r="C615" s="871"/>
      <c r="D615" s="931" t="s">
        <v>229</v>
      </c>
      <c r="E615" s="882">
        <f>DMT!$F$39</f>
        <v>290</v>
      </c>
      <c r="F615" s="883">
        <f>ROUND(0.072*0.96,4)</f>
        <v>6.9099999999999995E-2</v>
      </c>
      <c r="G615" s="923">
        <f t="shared" ref="G615:G617" si="224">IF(E615&lt;=30,(1.07*E615+2.68)*F615,((1.07*30+2.68)+1.07*(E615-30))*F615)</f>
        <v>21.626918</v>
      </c>
      <c r="H615" s="876">
        <v>0</v>
      </c>
      <c r="I615" s="876"/>
      <c r="J615" s="877">
        <v>0</v>
      </c>
      <c r="K615" s="932" t="s">
        <v>506</v>
      </c>
      <c r="L615" s="933">
        <f>ROUND(SUM(ORÇAMENTO!L615),2)</f>
        <v>0</v>
      </c>
      <c r="M615" s="934">
        <f t="shared" si="214"/>
        <v>0</v>
      </c>
      <c r="N615" s="868">
        <f t="shared" si="215"/>
        <v>0</v>
      </c>
      <c r="O615" s="880"/>
      <c r="P615" s="58" t="str">
        <f>IF(N613&gt;0,"xx",IF(N613&gt;0,"xy",""))</f>
        <v/>
      </c>
      <c r="Q615" s="317" t="str">
        <f t="shared" si="216"/>
        <v/>
      </c>
      <c r="R615" s="317" t="str">
        <f t="shared" si="217"/>
        <v/>
      </c>
      <c r="S615" s="317" t="str">
        <f t="shared" si="218"/>
        <v/>
      </c>
      <c r="V615" s="314">
        <f>SUM(ORÇAMENTO!N615)</f>
        <v>0</v>
      </c>
      <c r="W615" s="315">
        <f t="shared" si="220"/>
        <v>0</v>
      </c>
    </row>
    <row r="616" spans="1:23" ht="15" hidden="1" customHeight="1">
      <c r="A616" s="63" t="s">
        <v>147</v>
      </c>
      <c r="B616" s="870" t="s">
        <v>147</v>
      </c>
      <c r="C616" s="871"/>
      <c r="D616" s="931" t="s">
        <v>233</v>
      </c>
      <c r="E616" s="882">
        <f>DMT!$F$40</f>
        <v>0.2</v>
      </c>
      <c r="F616" s="883">
        <f>ROUND(0.072*1.11,4)</f>
        <v>7.9899999999999999E-2</v>
      </c>
      <c r="G616" s="923">
        <f t="shared" si="224"/>
        <v>0.23123060000000001</v>
      </c>
      <c r="H616" s="876">
        <v>0</v>
      </c>
      <c r="I616" s="876"/>
      <c r="J616" s="877">
        <v>0</v>
      </c>
      <c r="K616" s="932" t="s">
        <v>506</v>
      </c>
      <c r="L616" s="933">
        <f>ROUND(SUM(ORÇAMENTO!L616),2)</f>
        <v>0</v>
      </c>
      <c r="M616" s="934">
        <f t="shared" si="214"/>
        <v>0</v>
      </c>
      <c r="N616" s="868">
        <f t="shared" si="215"/>
        <v>0</v>
      </c>
      <c r="O616" s="880"/>
      <c r="P616" s="58" t="str">
        <f>IF(N613&gt;0,"xx",IF(N613&gt;0,"xy",""))</f>
        <v/>
      </c>
      <c r="Q616" s="317" t="str">
        <f t="shared" si="216"/>
        <v/>
      </c>
      <c r="R616" s="317" t="str">
        <f t="shared" si="217"/>
        <v/>
      </c>
      <c r="S616" s="317" t="str">
        <f t="shared" si="218"/>
        <v/>
      </c>
      <c r="V616" s="314">
        <f>SUM(ORÇAMENTO!N616)</f>
        <v>0</v>
      </c>
      <c r="W616" s="315">
        <f t="shared" si="220"/>
        <v>0</v>
      </c>
    </row>
    <row r="617" spans="1:23" ht="15" hidden="1" customHeight="1">
      <c r="A617" s="63">
        <v>810350</v>
      </c>
      <c r="B617" s="870">
        <v>810350</v>
      </c>
      <c r="C617" s="871" t="s">
        <v>184</v>
      </c>
      <c r="D617" s="881" t="s">
        <v>257</v>
      </c>
      <c r="E617" s="882">
        <f>DMT!$F$36</f>
        <v>28</v>
      </c>
      <c r="F617" s="883">
        <v>0.16839999999999999</v>
      </c>
      <c r="G617" s="923">
        <f t="shared" si="224"/>
        <v>5.4965760000000001</v>
      </c>
      <c r="H617" s="876">
        <v>64.56</v>
      </c>
      <c r="I617" s="876">
        <f>IF(ISBLANK(H617),"",SUM(G617:H617))</f>
        <v>70.056576000000007</v>
      </c>
      <c r="J617" s="877">
        <f t="shared" si="212"/>
        <v>85.62</v>
      </c>
      <c r="K617" s="878" t="s">
        <v>13</v>
      </c>
      <c r="L617" s="885">
        <f>ROUND(SUM(ORÇAMENTO!L617),2)</f>
        <v>0</v>
      </c>
      <c r="M617" s="886">
        <f t="shared" si="214"/>
        <v>0</v>
      </c>
      <c r="N617" s="868">
        <f t="shared" si="215"/>
        <v>0</v>
      </c>
      <c r="O617" s="880"/>
      <c r="Q617" s="317" t="str">
        <f t="shared" si="216"/>
        <v/>
      </c>
      <c r="R617" s="317" t="str">
        <f t="shared" si="217"/>
        <v/>
      </c>
      <c r="S617" s="317" t="str">
        <f t="shared" si="218"/>
        <v/>
      </c>
      <c r="V617" s="314">
        <f>SUM(ORÇAMENTO!N617)</f>
        <v>0</v>
      </c>
      <c r="W617" s="315">
        <f t="shared" si="220"/>
        <v>0</v>
      </c>
    </row>
    <row r="618" spans="1:23" ht="15" hidden="1" customHeight="1">
      <c r="A618" s="560" t="s">
        <v>165</v>
      </c>
      <c r="B618" s="888" t="s">
        <v>165</v>
      </c>
      <c r="C618" s="889"/>
      <c r="D618" s="890" t="s">
        <v>214</v>
      </c>
      <c r="E618" s="891"/>
      <c r="F618" s="892"/>
      <c r="G618" s="893"/>
      <c r="H618" s="894">
        <v>0</v>
      </c>
      <c r="I618" s="894"/>
      <c r="J618" s="894">
        <v>0</v>
      </c>
      <c r="K618" s="895" t="s">
        <v>506</v>
      </c>
      <c r="L618" s="896">
        <f>ROUND(SUM(ORÇAMENTO!L618),2)</f>
        <v>0</v>
      </c>
      <c r="M618" s="897">
        <f t="shared" si="214"/>
        <v>0</v>
      </c>
      <c r="N618" s="898">
        <f t="shared" si="215"/>
        <v>0</v>
      </c>
      <c r="O618" s="880"/>
      <c r="P618" s="58" t="str">
        <f>IF(OR(SUM(N619:N643)&gt;0,SUM(N619:N643)&gt;0),"y","")</f>
        <v/>
      </c>
      <c r="Q618" s="317" t="str">
        <f t="shared" si="216"/>
        <v/>
      </c>
      <c r="R618" s="317" t="str">
        <f t="shared" si="217"/>
        <v/>
      </c>
      <c r="S618" s="317" t="str">
        <f t="shared" si="218"/>
        <v/>
      </c>
      <c r="V618" s="314">
        <f>SUM(ORÇAMENTO!N618)</f>
        <v>0</v>
      </c>
      <c r="W618" s="315">
        <f t="shared" si="220"/>
        <v>0</v>
      </c>
    </row>
    <row r="619" spans="1:23" ht="15" hidden="1" customHeight="1">
      <c r="A619" s="560" t="s">
        <v>165</v>
      </c>
      <c r="B619" s="899" t="s">
        <v>165</v>
      </c>
      <c r="C619" s="900" t="s">
        <v>165</v>
      </c>
      <c r="D619" s="901"/>
      <c r="E619" s="902"/>
      <c r="F619" s="903"/>
      <c r="G619" s="904"/>
      <c r="H619" s="905">
        <v>0</v>
      </c>
      <c r="I619" s="876">
        <f t="shared" ref="I619:I643" si="225">IF(ISBLANK(H619),"",SUM(G619:H619))</f>
        <v>0</v>
      </c>
      <c r="J619" s="877">
        <f t="shared" si="212"/>
        <v>0</v>
      </c>
      <c r="K619" s="903" t="s">
        <v>506</v>
      </c>
      <c r="L619" s="885">
        <f>ROUND(SUM(ORÇAMENTO!L619),2)</f>
        <v>0</v>
      </c>
      <c r="M619" s="886">
        <f t="shared" si="214"/>
        <v>0</v>
      </c>
      <c r="N619" s="868">
        <f t="shared" si="215"/>
        <v>0</v>
      </c>
      <c r="O619" s="880"/>
      <c r="Q619" s="317" t="str">
        <f t="shared" si="216"/>
        <v/>
      </c>
      <c r="R619" s="317" t="str">
        <f t="shared" si="217"/>
        <v/>
      </c>
      <c r="S619" s="317" t="str">
        <f t="shared" si="218"/>
        <v/>
      </c>
      <c r="V619" s="314">
        <f>SUM(ORÇAMENTO!N619)</f>
        <v>0</v>
      </c>
      <c r="W619" s="315">
        <f t="shared" si="220"/>
        <v>0</v>
      </c>
    </row>
    <row r="620" spans="1:23" ht="15" hidden="1" customHeight="1">
      <c r="A620" s="560" t="s">
        <v>165</v>
      </c>
      <c r="B620" s="899" t="s">
        <v>165</v>
      </c>
      <c r="C620" s="900" t="s">
        <v>165</v>
      </c>
      <c r="D620" s="901"/>
      <c r="E620" s="902"/>
      <c r="F620" s="903"/>
      <c r="G620" s="904"/>
      <c r="H620" s="905">
        <v>0</v>
      </c>
      <c r="I620" s="876">
        <f t="shared" si="225"/>
        <v>0</v>
      </c>
      <c r="J620" s="877">
        <f t="shared" si="212"/>
        <v>0</v>
      </c>
      <c r="K620" s="903" t="s">
        <v>506</v>
      </c>
      <c r="L620" s="879">
        <f>ROUND(SUM(ORÇAMENTO!L620),2)</f>
        <v>0</v>
      </c>
      <c r="M620" s="879">
        <f t="shared" si="214"/>
        <v>0</v>
      </c>
      <c r="N620" s="907">
        <f t="shared" si="215"/>
        <v>0</v>
      </c>
      <c r="O620" s="880"/>
      <c r="Q620" s="317" t="str">
        <f t="shared" si="216"/>
        <v/>
      </c>
      <c r="R620" s="317" t="str">
        <f t="shared" si="217"/>
        <v/>
      </c>
      <c r="S620" s="317" t="str">
        <f t="shared" si="218"/>
        <v/>
      </c>
      <c r="V620" s="314">
        <f>SUM(ORÇAMENTO!N620)</f>
        <v>0</v>
      </c>
      <c r="W620" s="315">
        <f t="shared" si="220"/>
        <v>0</v>
      </c>
    </row>
    <row r="621" spans="1:23" ht="15" hidden="1" customHeight="1">
      <c r="A621" s="560" t="s">
        <v>165</v>
      </c>
      <c r="B621" s="899" t="s">
        <v>165</v>
      </c>
      <c r="C621" s="900" t="s">
        <v>165</v>
      </c>
      <c r="D621" s="901"/>
      <c r="E621" s="902"/>
      <c r="F621" s="903"/>
      <c r="G621" s="904"/>
      <c r="H621" s="905">
        <v>0</v>
      </c>
      <c r="I621" s="876">
        <f t="shared" si="225"/>
        <v>0</v>
      </c>
      <c r="J621" s="877">
        <f t="shared" si="212"/>
        <v>0</v>
      </c>
      <c r="K621" s="903" t="s">
        <v>506</v>
      </c>
      <c r="L621" s="879">
        <f>ROUND(SUM(ORÇAMENTO!L621),2)</f>
        <v>0</v>
      </c>
      <c r="M621" s="879">
        <f t="shared" si="214"/>
        <v>0</v>
      </c>
      <c r="N621" s="868">
        <f t="shared" si="215"/>
        <v>0</v>
      </c>
      <c r="O621" s="880"/>
      <c r="Q621" s="317" t="str">
        <f t="shared" si="216"/>
        <v/>
      </c>
      <c r="R621" s="317" t="str">
        <f t="shared" si="217"/>
        <v/>
      </c>
      <c r="S621" s="317" t="str">
        <f t="shared" si="218"/>
        <v/>
      </c>
      <c r="V621" s="314">
        <f>SUM(ORÇAMENTO!N621)</f>
        <v>0</v>
      </c>
      <c r="W621" s="315">
        <f t="shared" si="220"/>
        <v>0</v>
      </c>
    </row>
    <row r="622" spans="1:23" ht="15" hidden="1" customHeight="1">
      <c r="A622" s="560" t="s">
        <v>165</v>
      </c>
      <c r="B622" s="899" t="s">
        <v>165</v>
      </c>
      <c r="C622" s="900" t="s">
        <v>165</v>
      </c>
      <c r="D622" s="901"/>
      <c r="E622" s="902"/>
      <c r="F622" s="903"/>
      <c r="G622" s="904"/>
      <c r="H622" s="905">
        <v>0</v>
      </c>
      <c r="I622" s="876">
        <f t="shared" si="225"/>
        <v>0</v>
      </c>
      <c r="J622" s="877">
        <f t="shared" si="212"/>
        <v>0</v>
      </c>
      <c r="K622" s="903" t="s">
        <v>506</v>
      </c>
      <c r="L622" s="879">
        <f>ROUND(SUM(ORÇAMENTO!L622),2)</f>
        <v>0</v>
      </c>
      <c r="M622" s="879">
        <f t="shared" si="214"/>
        <v>0</v>
      </c>
      <c r="N622" s="868">
        <f t="shared" si="215"/>
        <v>0</v>
      </c>
      <c r="O622" s="880"/>
      <c r="Q622" s="317" t="str">
        <f t="shared" si="216"/>
        <v/>
      </c>
      <c r="R622" s="317" t="str">
        <f t="shared" si="217"/>
        <v/>
      </c>
      <c r="S622" s="317" t="str">
        <f t="shared" si="218"/>
        <v/>
      </c>
      <c r="V622" s="314">
        <f>SUM(ORÇAMENTO!N622)</f>
        <v>0</v>
      </c>
      <c r="W622" s="315">
        <f t="shared" si="220"/>
        <v>0</v>
      </c>
    </row>
    <row r="623" spans="1:23" ht="15" hidden="1" customHeight="1">
      <c r="A623" s="560" t="s">
        <v>165</v>
      </c>
      <c r="B623" s="899" t="s">
        <v>165</v>
      </c>
      <c r="C623" s="900" t="s">
        <v>165</v>
      </c>
      <c r="D623" s="901"/>
      <c r="E623" s="902"/>
      <c r="F623" s="903"/>
      <c r="G623" s="904"/>
      <c r="H623" s="905">
        <v>0</v>
      </c>
      <c r="I623" s="876">
        <f t="shared" si="225"/>
        <v>0</v>
      </c>
      <c r="J623" s="877">
        <f t="shared" si="212"/>
        <v>0</v>
      </c>
      <c r="K623" s="903" t="s">
        <v>506</v>
      </c>
      <c r="L623" s="879">
        <f>ROUND(SUM(ORÇAMENTO!L623),2)</f>
        <v>0</v>
      </c>
      <c r="M623" s="879">
        <f t="shared" si="214"/>
        <v>0</v>
      </c>
      <c r="N623" s="868">
        <f t="shared" si="215"/>
        <v>0</v>
      </c>
      <c r="O623" s="880"/>
      <c r="Q623" s="317" t="str">
        <f t="shared" si="216"/>
        <v/>
      </c>
      <c r="R623" s="317" t="str">
        <f t="shared" si="217"/>
        <v/>
      </c>
      <c r="S623" s="317" t="str">
        <f t="shared" si="218"/>
        <v/>
      </c>
      <c r="V623" s="314">
        <f>SUM(ORÇAMENTO!N623)</f>
        <v>0</v>
      </c>
      <c r="W623" s="315">
        <f t="shared" si="220"/>
        <v>0</v>
      </c>
    </row>
    <row r="624" spans="1:23" ht="15" hidden="1" customHeight="1">
      <c r="A624" s="560" t="s">
        <v>165</v>
      </c>
      <c r="B624" s="899" t="s">
        <v>165</v>
      </c>
      <c r="C624" s="900" t="s">
        <v>165</v>
      </c>
      <c r="D624" s="901"/>
      <c r="E624" s="902"/>
      <c r="F624" s="903"/>
      <c r="G624" s="904"/>
      <c r="H624" s="905">
        <v>0</v>
      </c>
      <c r="I624" s="876">
        <f t="shared" si="225"/>
        <v>0</v>
      </c>
      <c r="J624" s="877">
        <f t="shared" si="212"/>
        <v>0</v>
      </c>
      <c r="K624" s="903" t="s">
        <v>506</v>
      </c>
      <c r="L624" s="879">
        <f>ROUND(SUM(ORÇAMENTO!L624),2)</f>
        <v>0</v>
      </c>
      <c r="M624" s="879">
        <f t="shared" si="214"/>
        <v>0</v>
      </c>
      <c r="N624" s="868">
        <f t="shared" si="215"/>
        <v>0</v>
      </c>
      <c r="O624" s="880"/>
      <c r="Q624" s="317" t="str">
        <f t="shared" si="216"/>
        <v/>
      </c>
      <c r="R624" s="317" t="str">
        <f t="shared" si="217"/>
        <v/>
      </c>
      <c r="S624" s="317" t="str">
        <f t="shared" si="218"/>
        <v/>
      </c>
      <c r="V624" s="314">
        <f>SUM(ORÇAMENTO!N624)</f>
        <v>0</v>
      </c>
      <c r="W624" s="315">
        <f t="shared" si="220"/>
        <v>0</v>
      </c>
    </row>
    <row r="625" spans="1:23" ht="15" hidden="1" customHeight="1">
      <c r="A625" s="560" t="s">
        <v>165</v>
      </c>
      <c r="B625" s="899" t="s">
        <v>165</v>
      </c>
      <c r="C625" s="900" t="s">
        <v>165</v>
      </c>
      <c r="D625" s="901"/>
      <c r="E625" s="902"/>
      <c r="F625" s="903"/>
      <c r="G625" s="904"/>
      <c r="H625" s="905">
        <v>0</v>
      </c>
      <c r="I625" s="876">
        <f t="shared" si="225"/>
        <v>0</v>
      </c>
      <c r="J625" s="877">
        <f t="shared" si="212"/>
        <v>0</v>
      </c>
      <c r="K625" s="903" t="s">
        <v>506</v>
      </c>
      <c r="L625" s="879">
        <f>ROUND(SUM(ORÇAMENTO!L625),2)</f>
        <v>0</v>
      </c>
      <c r="M625" s="879">
        <f t="shared" si="214"/>
        <v>0</v>
      </c>
      <c r="N625" s="868">
        <f t="shared" si="215"/>
        <v>0</v>
      </c>
      <c r="O625" s="880"/>
      <c r="Q625" s="317" t="str">
        <f t="shared" si="216"/>
        <v/>
      </c>
      <c r="R625" s="317" t="str">
        <f t="shared" si="217"/>
        <v/>
      </c>
      <c r="S625" s="317" t="str">
        <f t="shared" si="218"/>
        <v/>
      </c>
      <c r="V625" s="314">
        <f>SUM(ORÇAMENTO!N625)</f>
        <v>0</v>
      </c>
      <c r="W625" s="315">
        <f t="shared" si="220"/>
        <v>0</v>
      </c>
    </row>
    <row r="626" spans="1:23" ht="15" hidden="1" customHeight="1">
      <c r="A626" s="560" t="s">
        <v>165</v>
      </c>
      <c r="B626" s="899" t="s">
        <v>165</v>
      </c>
      <c r="C626" s="900" t="s">
        <v>165</v>
      </c>
      <c r="D626" s="901"/>
      <c r="E626" s="902"/>
      <c r="F626" s="903"/>
      <c r="G626" s="904"/>
      <c r="H626" s="905">
        <v>0</v>
      </c>
      <c r="I626" s="876">
        <f t="shared" si="225"/>
        <v>0</v>
      </c>
      <c r="J626" s="877">
        <f t="shared" si="212"/>
        <v>0</v>
      </c>
      <c r="K626" s="903" t="s">
        <v>506</v>
      </c>
      <c r="L626" s="879">
        <f>ROUND(SUM(ORÇAMENTO!L626),2)</f>
        <v>0</v>
      </c>
      <c r="M626" s="879">
        <f t="shared" si="214"/>
        <v>0</v>
      </c>
      <c r="N626" s="868">
        <f t="shared" si="215"/>
        <v>0</v>
      </c>
      <c r="O626" s="880"/>
      <c r="Q626" s="317" t="str">
        <f t="shared" si="216"/>
        <v/>
      </c>
      <c r="R626" s="317" t="str">
        <f t="shared" si="217"/>
        <v/>
      </c>
      <c r="S626" s="317" t="str">
        <f t="shared" si="218"/>
        <v/>
      </c>
      <c r="V626" s="314">
        <f>SUM(ORÇAMENTO!N626)</f>
        <v>0</v>
      </c>
      <c r="W626" s="315">
        <f t="shared" si="220"/>
        <v>0</v>
      </c>
    </row>
    <row r="627" spans="1:23" ht="15" hidden="1" customHeight="1">
      <c r="A627" s="560" t="s">
        <v>165</v>
      </c>
      <c r="B627" s="899" t="s">
        <v>165</v>
      </c>
      <c r="C627" s="900" t="s">
        <v>165</v>
      </c>
      <c r="D627" s="901"/>
      <c r="E627" s="902"/>
      <c r="F627" s="903"/>
      <c r="G627" s="904"/>
      <c r="H627" s="905">
        <v>0</v>
      </c>
      <c r="I627" s="876">
        <f t="shared" si="225"/>
        <v>0</v>
      </c>
      <c r="J627" s="877">
        <f t="shared" si="212"/>
        <v>0</v>
      </c>
      <c r="K627" s="903" t="s">
        <v>506</v>
      </c>
      <c r="L627" s="879">
        <f>ROUND(SUM(ORÇAMENTO!L627),2)</f>
        <v>0</v>
      </c>
      <c r="M627" s="879">
        <f t="shared" si="214"/>
        <v>0</v>
      </c>
      <c r="N627" s="868">
        <f t="shared" si="215"/>
        <v>0</v>
      </c>
      <c r="O627" s="880"/>
      <c r="Q627" s="317" t="str">
        <f t="shared" si="216"/>
        <v/>
      </c>
      <c r="R627" s="317" t="str">
        <f t="shared" si="217"/>
        <v/>
      </c>
      <c r="S627" s="317" t="str">
        <f t="shared" si="218"/>
        <v/>
      </c>
      <c r="V627" s="314">
        <f>SUM(ORÇAMENTO!N627)</f>
        <v>0</v>
      </c>
      <c r="W627" s="315">
        <f t="shared" si="220"/>
        <v>0</v>
      </c>
    </row>
    <row r="628" spans="1:23" ht="15" hidden="1" customHeight="1">
      <c r="A628" s="560" t="s">
        <v>165</v>
      </c>
      <c r="B628" s="899" t="s">
        <v>165</v>
      </c>
      <c r="C628" s="900" t="s">
        <v>165</v>
      </c>
      <c r="D628" s="901"/>
      <c r="E628" s="902"/>
      <c r="F628" s="903"/>
      <c r="G628" s="904"/>
      <c r="H628" s="905">
        <v>0</v>
      </c>
      <c r="I628" s="876">
        <f t="shared" si="225"/>
        <v>0</v>
      </c>
      <c r="J628" s="877">
        <f t="shared" si="212"/>
        <v>0</v>
      </c>
      <c r="K628" s="903" t="s">
        <v>506</v>
      </c>
      <c r="L628" s="879">
        <f>ROUND(SUM(ORÇAMENTO!L628),2)</f>
        <v>0</v>
      </c>
      <c r="M628" s="879">
        <f t="shared" si="214"/>
        <v>0</v>
      </c>
      <c r="N628" s="868">
        <f t="shared" si="215"/>
        <v>0</v>
      </c>
      <c r="O628" s="880"/>
      <c r="Q628" s="317" t="str">
        <f t="shared" si="216"/>
        <v/>
      </c>
      <c r="R628" s="317" t="str">
        <f t="shared" si="217"/>
        <v/>
      </c>
      <c r="S628" s="317" t="str">
        <f t="shared" si="218"/>
        <v/>
      </c>
      <c r="V628" s="314">
        <f>SUM(ORÇAMENTO!N628)</f>
        <v>0</v>
      </c>
      <c r="W628" s="315">
        <f t="shared" si="220"/>
        <v>0</v>
      </c>
    </row>
    <row r="629" spans="1:23" ht="15" hidden="1" customHeight="1">
      <c r="A629" s="560" t="s">
        <v>165</v>
      </c>
      <c r="B629" s="899" t="s">
        <v>165</v>
      </c>
      <c r="C629" s="900" t="s">
        <v>165</v>
      </c>
      <c r="D629" s="901"/>
      <c r="E629" s="902"/>
      <c r="F629" s="903"/>
      <c r="G629" s="904"/>
      <c r="H629" s="905">
        <v>0</v>
      </c>
      <c r="I629" s="876">
        <f t="shared" si="225"/>
        <v>0</v>
      </c>
      <c r="J629" s="877">
        <f t="shared" si="212"/>
        <v>0</v>
      </c>
      <c r="K629" s="903" t="s">
        <v>506</v>
      </c>
      <c r="L629" s="879">
        <f>ROUND(SUM(ORÇAMENTO!L629),2)</f>
        <v>0</v>
      </c>
      <c r="M629" s="879">
        <f t="shared" si="214"/>
        <v>0</v>
      </c>
      <c r="N629" s="868">
        <f t="shared" si="215"/>
        <v>0</v>
      </c>
      <c r="O629" s="880"/>
      <c r="Q629" s="317" t="str">
        <f t="shared" si="216"/>
        <v/>
      </c>
      <c r="R629" s="317" t="str">
        <f t="shared" si="217"/>
        <v/>
      </c>
      <c r="S629" s="317" t="str">
        <f t="shared" si="218"/>
        <v/>
      </c>
      <c r="V629" s="314">
        <f>SUM(ORÇAMENTO!N629)</f>
        <v>0</v>
      </c>
      <c r="W629" s="315">
        <f t="shared" si="220"/>
        <v>0</v>
      </c>
    </row>
    <row r="630" spans="1:23" ht="15" hidden="1" customHeight="1">
      <c r="A630" s="560" t="s">
        <v>165</v>
      </c>
      <c r="B630" s="899" t="s">
        <v>165</v>
      </c>
      <c r="C630" s="900" t="s">
        <v>165</v>
      </c>
      <c r="D630" s="901"/>
      <c r="E630" s="902"/>
      <c r="F630" s="903"/>
      <c r="G630" s="904"/>
      <c r="H630" s="905">
        <v>0</v>
      </c>
      <c r="I630" s="876">
        <f t="shared" si="225"/>
        <v>0</v>
      </c>
      <c r="J630" s="877">
        <f t="shared" si="212"/>
        <v>0</v>
      </c>
      <c r="K630" s="903" t="s">
        <v>506</v>
      </c>
      <c r="L630" s="879">
        <f>ROUND(SUM(ORÇAMENTO!L630),2)</f>
        <v>0</v>
      </c>
      <c r="M630" s="879">
        <f t="shared" si="214"/>
        <v>0</v>
      </c>
      <c r="N630" s="868">
        <f t="shared" si="215"/>
        <v>0</v>
      </c>
      <c r="O630" s="880"/>
      <c r="Q630" s="317" t="str">
        <f t="shared" si="216"/>
        <v/>
      </c>
      <c r="R630" s="317" t="str">
        <f t="shared" si="217"/>
        <v/>
      </c>
      <c r="S630" s="317" t="str">
        <f t="shared" si="218"/>
        <v/>
      </c>
      <c r="V630" s="314">
        <f>SUM(ORÇAMENTO!N630)</f>
        <v>0</v>
      </c>
      <c r="W630" s="315">
        <f t="shared" si="220"/>
        <v>0</v>
      </c>
    </row>
    <row r="631" spans="1:23" ht="15" hidden="1" customHeight="1">
      <c r="A631" s="560" t="s">
        <v>165</v>
      </c>
      <c r="B631" s="899" t="s">
        <v>165</v>
      </c>
      <c r="C631" s="900" t="s">
        <v>165</v>
      </c>
      <c r="D631" s="901"/>
      <c r="E631" s="902"/>
      <c r="F631" s="903"/>
      <c r="G631" s="904"/>
      <c r="H631" s="905">
        <v>0</v>
      </c>
      <c r="I631" s="876">
        <f t="shared" si="225"/>
        <v>0</v>
      </c>
      <c r="J631" s="877">
        <f t="shared" si="212"/>
        <v>0</v>
      </c>
      <c r="K631" s="903" t="s">
        <v>506</v>
      </c>
      <c r="L631" s="879">
        <f>ROUND(SUM(ORÇAMENTO!L631),2)</f>
        <v>0</v>
      </c>
      <c r="M631" s="879">
        <f t="shared" si="214"/>
        <v>0</v>
      </c>
      <c r="N631" s="868">
        <f t="shared" si="215"/>
        <v>0</v>
      </c>
      <c r="O631" s="880"/>
      <c r="Q631" s="317" t="str">
        <f t="shared" si="216"/>
        <v/>
      </c>
      <c r="R631" s="317" t="str">
        <f t="shared" si="217"/>
        <v/>
      </c>
      <c r="S631" s="317" t="str">
        <f t="shared" si="218"/>
        <v/>
      </c>
      <c r="V631" s="314">
        <f>SUM(ORÇAMENTO!N631)</f>
        <v>0</v>
      </c>
      <c r="W631" s="315">
        <f t="shared" si="220"/>
        <v>0</v>
      </c>
    </row>
    <row r="632" spans="1:23" ht="15" hidden="1" customHeight="1">
      <c r="A632" s="560" t="s">
        <v>165</v>
      </c>
      <c r="B632" s="899" t="s">
        <v>165</v>
      </c>
      <c r="C632" s="900" t="s">
        <v>165</v>
      </c>
      <c r="D632" s="901"/>
      <c r="E632" s="902"/>
      <c r="F632" s="903"/>
      <c r="G632" s="904"/>
      <c r="H632" s="905">
        <v>0</v>
      </c>
      <c r="I632" s="876">
        <f t="shared" si="225"/>
        <v>0</v>
      </c>
      <c r="J632" s="877">
        <f t="shared" si="212"/>
        <v>0</v>
      </c>
      <c r="K632" s="903" t="s">
        <v>506</v>
      </c>
      <c r="L632" s="879">
        <f>ROUND(SUM(ORÇAMENTO!L632),2)</f>
        <v>0</v>
      </c>
      <c r="M632" s="879">
        <f t="shared" si="214"/>
        <v>0</v>
      </c>
      <c r="N632" s="868">
        <f t="shared" si="215"/>
        <v>0</v>
      </c>
      <c r="O632" s="880"/>
      <c r="Q632" s="317" t="str">
        <f t="shared" si="216"/>
        <v/>
      </c>
      <c r="R632" s="317" t="str">
        <f t="shared" si="217"/>
        <v/>
      </c>
      <c r="S632" s="317" t="str">
        <f t="shared" si="218"/>
        <v/>
      </c>
      <c r="V632" s="314">
        <f>SUM(ORÇAMENTO!N632)</f>
        <v>0</v>
      </c>
      <c r="W632" s="315">
        <f t="shared" si="220"/>
        <v>0</v>
      </c>
    </row>
    <row r="633" spans="1:23" ht="15" hidden="1" customHeight="1">
      <c r="A633" s="560" t="s">
        <v>165</v>
      </c>
      <c r="B633" s="899" t="s">
        <v>165</v>
      </c>
      <c r="C633" s="900" t="s">
        <v>165</v>
      </c>
      <c r="D633" s="901"/>
      <c r="E633" s="902"/>
      <c r="F633" s="903"/>
      <c r="G633" s="904"/>
      <c r="H633" s="905">
        <v>0</v>
      </c>
      <c r="I633" s="876">
        <f t="shared" si="225"/>
        <v>0</v>
      </c>
      <c r="J633" s="877">
        <f t="shared" si="212"/>
        <v>0</v>
      </c>
      <c r="K633" s="903" t="s">
        <v>506</v>
      </c>
      <c r="L633" s="879">
        <f>ROUND(SUM(ORÇAMENTO!L633),2)</f>
        <v>0</v>
      </c>
      <c r="M633" s="879">
        <f t="shared" si="214"/>
        <v>0</v>
      </c>
      <c r="N633" s="868">
        <f t="shared" si="215"/>
        <v>0</v>
      </c>
      <c r="O633" s="880"/>
      <c r="Q633" s="317" t="str">
        <f t="shared" si="216"/>
        <v/>
      </c>
      <c r="R633" s="317" t="str">
        <f t="shared" si="217"/>
        <v/>
      </c>
      <c r="S633" s="317" t="str">
        <f t="shared" si="218"/>
        <v/>
      </c>
      <c r="V633" s="314">
        <f>SUM(ORÇAMENTO!N633)</f>
        <v>0</v>
      </c>
      <c r="W633" s="315">
        <f t="shared" si="220"/>
        <v>0</v>
      </c>
    </row>
    <row r="634" spans="1:23" ht="15" hidden="1" customHeight="1">
      <c r="A634" s="560" t="s">
        <v>165</v>
      </c>
      <c r="B634" s="899" t="s">
        <v>165</v>
      </c>
      <c r="C634" s="900" t="s">
        <v>165</v>
      </c>
      <c r="D634" s="901"/>
      <c r="E634" s="902"/>
      <c r="F634" s="903"/>
      <c r="G634" s="904"/>
      <c r="H634" s="905">
        <v>0</v>
      </c>
      <c r="I634" s="876">
        <f t="shared" si="225"/>
        <v>0</v>
      </c>
      <c r="J634" s="877">
        <f t="shared" si="212"/>
        <v>0</v>
      </c>
      <c r="K634" s="903" t="s">
        <v>506</v>
      </c>
      <c r="L634" s="879">
        <f>ROUND(SUM(ORÇAMENTO!L634),2)</f>
        <v>0</v>
      </c>
      <c r="M634" s="879">
        <f t="shared" si="214"/>
        <v>0</v>
      </c>
      <c r="N634" s="868">
        <f t="shared" si="215"/>
        <v>0</v>
      </c>
      <c r="O634" s="880"/>
      <c r="Q634" s="317" t="str">
        <f t="shared" si="216"/>
        <v/>
      </c>
      <c r="R634" s="317" t="str">
        <f t="shared" si="217"/>
        <v/>
      </c>
      <c r="S634" s="317" t="str">
        <f t="shared" si="218"/>
        <v/>
      </c>
      <c r="V634" s="314">
        <f>SUM(ORÇAMENTO!N634)</f>
        <v>0</v>
      </c>
      <c r="W634" s="315">
        <f t="shared" si="220"/>
        <v>0</v>
      </c>
    </row>
    <row r="635" spans="1:23" ht="15" hidden="1" customHeight="1">
      <c r="A635" s="560" t="s">
        <v>165</v>
      </c>
      <c r="B635" s="899" t="s">
        <v>165</v>
      </c>
      <c r="C635" s="900" t="s">
        <v>165</v>
      </c>
      <c r="D635" s="901"/>
      <c r="E635" s="902"/>
      <c r="F635" s="903"/>
      <c r="G635" s="904"/>
      <c r="H635" s="905">
        <v>0</v>
      </c>
      <c r="I635" s="876">
        <f t="shared" si="225"/>
        <v>0</v>
      </c>
      <c r="J635" s="877">
        <f t="shared" si="212"/>
        <v>0</v>
      </c>
      <c r="K635" s="903" t="s">
        <v>506</v>
      </c>
      <c r="L635" s="879">
        <f>ROUND(SUM(ORÇAMENTO!L635),2)</f>
        <v>0</v>
      </c>
      <c r="M635" s="879">
        <f t="shared" si="214"/>
        <v>0</v>
      </c>
      <c r="N635" s="868">
        <f t="shared" si="215"/>
        <v>0</v>
      </c>
      <c r="O635" s="880"/>
      <c r="Q635" s="317" t="str">
        <f t="shared" si="216"/>
        <v/>
      </c>
      <c r="R635" s="317" t="str">
        <f t="shared" si="217"/>
        <v/>
      </c>
      <c r="S635" s="317" t="str">
        <f t="shared" si="218"/>
        <v/>
      </c>
      <c r="V635" s="314">
        <f>SUM(ORÇAMENTO!N635)</f>
        <v>0</v>
      </c>
      <c r="W635" s="315">
        <f t="shared" si="220"/>
        <v>0</v>
      </c>
    </row>
    <row r="636" spans="1:23" ht="15" hidden="1" customHeight="1">
      <c r="A636" s="560" t="s">
        <v>165</v>
      </c>
      <c r="B636" s="899" t="s">
        <v>165</v>
      </c>
      <c r="C636" s="900" t="s">
        <v>165</v>
      </c>
      <c r="D636" s="901"/>
      <c r="E636" s="902"/>
      <c r="F636" s="903"/>
      <c r="G636" s="904"/>
      <c r="H636" s="905">
        <v>0</v>
      </c>
      <c r="I636" s="876">
        <f t="shared" si="225"/>
        <v>0</v>
      </c>
      <c r="J636" s="877">
        <f t="shared" si="212"/>
        <v>0</v>
      </c>
      <c r="K636" s="903" t="s">
        <v>506</v>
      </c>
      <c r="L636" s="879">
        <f>ROUND(SUM(ORÇAMENTO!L636),2)</f>
        <v>0</v>
      </c>
      <c r="M636" s="879">
        <f t="shared" si="214"/>
        <v>0</v>
      </c>
      <c r="N636" s="868">
        <f t="shared" si="215"/>
        <v>0</v>
      </c>
      <c r="O636" s="880"/>
      <c r="Q636" s="317" t="str">
        <f t="shared" si="216"/>
        <v/>
      </c>
      <c r="R636" s="317" t="str">
        <f t="shared" si="217"/>
        <v/>
      </c>
      <c r="S636" s="317" t="str">
        <f t="shared" si="218"/>
        <v/>
      </c>
      <c r="V636" s="314">
        <f>SUM(ORÇAMENTO!N636)</f>
        <v>0</v>
      </c>
      <c r="W636" s="315">
        <f t="shared" si="220"/>
        <v>0</v>
      </c>
    </row>
    <row r="637" spans="1:23" ht="15" hidden="1" customHeight="1">
      <c r="A637" s="560" t="s">
        <v>165</v>
      </c>
      <c r="B637" s="899" t="s">
        <v>165</v>
      </c>
      <c r="C637" s="900" t="s">
        <v>165</v>
      </c>
      <c r="D637" s="901"/>
      <c r="E637" s="902"/>
      <c r="F637" s="903"/>
      <c r="G637" s="904"/>
      <c r="H637" s="905">
        <v>0</v>
      </c>
      <c r="I637" s="876">
        <f t="shared" si="225"/>
        <v>0</v>
      </c>
      <c r="J637" s="877">
        <f t="shared" si="212"/>
        <v>0</v>
      </c>
      <c r="K637" s="903" t="s">
        <v>506</v>
      </c>
      <c r="L637" s="879">
        <f>ROUND(SUM(ORÇAMENTO!L637),2)</f>
        <v>0</v>
      </c>
      <c r="M637" s="879">
        <f t="shared" si="214"/>
        <v>0</v>
      </c>
      <c r="N637" s="868">
        <f t="shared" si="215"/>
        <v>0</v>
      </c>
      <c r="O637" s="880"/>
      <c r="Q637" s="317" t="str">
        <f t="shared" si="216"/>
        <v/>
      </c>
      <c r="R637" s="317" t="str">
        <f t="shared" si="217"/>
        <v/>
      </c>
      <c r="S637" s="317" t="str">
        <f t="shared" si="218"/>
        <v/>
      </c>
      <c r="V637" s="314">
        <f>SUM(ORÇAMENTO!N637)</f>
        <v>0</v>
      </c>
      <c r="W637" s="315">
        <f t="shared" si="220"/>
        <v>0</v>
      </c>
    </row>
    <row r="638" spans="1:23" ht="15" hidden="1" customHeight="1">
      <c r="A638" s="560" t="s">
        <v>165</v>
      </c>
      <c r="B638" s="899" t="s">
        <v>165</v>
      </c>
      <c r="C638" s="900" t="s">
        <v>165</v>
      </c>
      <c r="D638" s="901"/>
      <c r="E638" s="902"/>
      <c r="F638" s="903"/>
      <c r="G638" s="904"/>
      <c r="H638" s="905">
        <v>0</v>
      </c>
      <c r="I638" s="876">
        <f t="shared" si="225"/>
        <v>0</v>
      </c>
      <c r="J638" s="877">
        <f t="shared" si="212"/>
        <v>0</v>
      </c>
      <c r="K638" s="903" t="s">
        <v>506</v>
      </c>
      <c r="L638" s="879">
        <f>ROUND(SUM(ORÇAMENTO!L638),2)</f>
        <v>0</v>
      </c>
      <c r="M638" s="879">
        <f t="shared" si="214"/>
        <v>0</v>
      </c>
      <c r="N638" s="868">
        <f t="shared" si="215"/>
        <v>0</v>
      </c>
      <c r="O638" s="880"/>
      <c r="Q638" s="317" t="str">
        <f t="shared" si="216"/>
        <v/>
      </c>
      <c r="R638" s="317" t="str">
        <f t="shared" si="217"/>
        <v/>
      </c>
      <c r="S638" s="317" t="str">
        <f t="shared" si="218"/>
        <v/>
      </c>
      <c r="V638" s="314">
        <f>SUM(ORÇAMENTO!N638)</f>
        <v>0</v>
      </c>
      <c r="W638" s="315">
        <f t="shared" si="220"/>
        <v>0</v>
      </c>
    </row>
    <row r="639" spans="1:23" ht="15" hidden="1" customHeight="1">
      <c r="A639" s="560" t="s">
        <v>165</v>
      </c>
      <c r="B639" s="899" t="s">
        <v>165</v>
      </c>
      <c r="C639" s="900" t="s">
        <v>165</v>
      </c>
      <c r="D639" s="901"/>
      <c r="E639" s="902"/>
      <c r="F639" s="903"/>
      <c r="G639" s="904"/>
      <c r="H639" s="905">
        <v>0</v>
      </c>
      <c r="I639" s="876">
        <f t="shared" si="225"/>
        <v>0</v>
      </c>
      <c r="J639" s="877">
        <f t="shared" si="212"/>
        <v>0</v>
      </c>
      <c r="K639" s="903" t="s">
        <v>506</v>
      </c>
      <c r="L639" s="879">
        <f>ROUND(SUM(ORÇAMENTO!L639),2)</f>
        <v>0</v>
      </c>
      <c r="M639" s="879">
        <f t="shared" si="214"/>
        <v>0</v>
      </c>
      <c r="N639" s="868">
        <f t="shared" si="215"/>
        <v>0</v>
      </c>
      <c r="O639" s="880"/>
      <c r="Q639" s="317" t="str">
        <f t="shared" si="216"/>
        <v/>
      </c>
      <c r="R639" s="317" t="str">
        <f t="shared" si="217"/>
        <v/>
      </c>
      <c r="S639" s="317" t="str">
        <f t="shared" si="218"/>
        <v/>
      </c>
      <c r="V639" s="314">
        <f>SUM(ORÇAMENTO!N639)</f>
        <v>0</v>
      </c>
      <c r="W639" s="315">
        <f t="shared" si="220"/>
        <v>0</v>
      </c>
    </row>
    <row r="640" spans="1:23" ht="15" hidden="1" customHeight="1">
      <c r="A640" s="560" t="s">
        <v>165</v>
      </c>
      <c r="B640" s="899" t="s">
        <v>165</v>
      </c>
      <c r="C640" s="900" t="s">
        <v>165</v>
      </c>
      <c r="D640" s="901"/>
      <c r="E640" s="902"/>
      <c r="F640" s="903"/>
      <c r="G640" s="904"/>
      <c r="H640" s="905">
        <v>0</v>
      </c>
      <c r="I640" s="876">
        <f t="shared" si="225"/>
        <v>0</v>
      </c>
      <c r="J640" s="877">
        <f t="shared" si="212"/>
        <v>0</v>
      </c>
      <c r="K640" s="903" t="s">
        <v>506</v>
      </c>
      <c r="L640" s="879">
        <f>ROUND(SUM(ORÇAMENTO!L640),2)</f>
        <v>0</v>
      </c>
      <c r="M640" s="879">
        <f t="shared" si="214"/>
        <v>0</v>
      </c>
      <c r="N640" s="868">
        <f t="shared" si="215"/>
        <v>0</v>
      </c>
      <c r="O640" s="880"/>
      <c r="Q640" s="317" t="str">
        <f t="shared" si="216"/>
        <v/>
      </c>
      <c r="R640" s="317" t="str">
        <f t="shared" si="217"/>
        <v/>
      </c>
      <c r="S640" s="317" t="str">
        <f t="shared" si="218"/>
        <v/>
      </c>
      <c r="V640" s="314">
        <f>SUM(ORÇAMENTO!N640)</f>
        <v>0</v>
      </c>
      <c r="W640" s="315">
        <f t="shared" si="220"/>
        <v>0</v>
      </c>
    </row>
    <row r="641" spans="1:29" ht="15" hidden="1" customHeight="1">
      <c r="A641" s="560" t="s">
        <v>165</v>
      </c>
      <c r="B641" s="899" t="s">
        <v>165</v>
      </c>
      <c r="C641" s="900" t="s">
        <v>165</v>
      </c>
      <c r="D641" s="901"/>
      <c r="E641" s="902"/>
      <c r="F641" s="903"/>
      <c r="G641" s="904"/>
      <c r="H641" s="905">
        <v>0</v>
      </c>
      <c r="I641" s="876">
        <f t="shared" si="225"/>
        <v>0</v>
      </c>
      <c r="J641" s="877">
        <f t="shared" si="212"/>
        <v>0</v>
      </c>
      <c r="K641" s="903" t="s">
        <v>506</v>
      </c>
      <c r="L641" s="879">
        <f>ROUND(SUM(ORÇAMENTO!L641),2)</f>
        <v>0</v>
      </c>
      <c r="M641" s="879">
        <f t="shared" si="214"/>
        <v>0</v>
      </c>
      <c r="N641" s="868">
        <f t="shared" si="215"/>
        <v>0</v>
      </c>
      <c r="O641" s="880"/>
      <c r="Q641" s="317" t="str">
        <f t="shared" si="216"/>
        <v/>
      </c>
      <c r="R641" s="317" t="str">
        <f t="shared" si="217"/>
        <v/>
      </c>
      <c r="S641" s="317" t="str">
        <f t="shared" si="218"/>
        <v/>
      </c>
      <c r="V641" s="314">
        <f>SUM(ORÇAMENTO!N641)</f>
        <v>0</v>
      </c>
      <c r="W641" s="315">
        <f t="shared" si="220"/>
        <v>0</v>
      </c>
    </row>
    <row r="642" spans="1:29" ht="15" hidden="1" customHeight="1">
      <c r="A642" s="560" t="s">
        <v>165</v>
      </c>
      <c r="B642" s="899" t="s">
        <v>165</v>
      </c>
      <c r="C642" s="900" t="s">
        <v>165</v>
      </c>
      <c r="D642" s="901"/>
      <c r="E642" s="902"/>
      <c r="F642" s="903"/>
      <c r="G642" s="904"/>
      <c r="H642" s="905">
        <v>0</v>
      </c>
      <c r="I642" s="876">
        <f t="shared" si="225"/>
        <v>0</v>
      </c>
      <c r="J642" s="877">
        <f t="shared" si="212"/>
        <v>0</v>
      </c>
      <c r="K642" s="903" t="s">
        <v>506</v>
      </c>
      <c r="L642" s="879">
        <f>ROUND(SUM(ORÇAMENTO!L642),2)</f>
        <v>0</v>
      </c>
      <c r="M642" s="879">
        <f t="shared" si="214"/>
        <v>0</v>
      </c>
      <c r="N642" s="868">
        <f t="shared" si="215"/>
        <v>0</v>
      </c>
      <c r="O642" s="880"/>
      <c r="Q642" s="317" t="str">
        <f t="shared" si="216"/>
        <v/>
      </c>
      <c r="R642" s="317" t="str">
        <f t="shared" si="217"/>
        <v/>
      </c>
      <c r="S642" s="317" t="str">
        <f t="shared" si="218"/>
        <v/>
      </c>
      <c r="V642" s="314">
        <f>SUM(ORÇAMENTO!N642)</f>
        <v>0</v>
      </c>
      <c r="W642" s="315">
        <f t="shared" si="220"/>
        <v>0</v>
      </c>
    </row>
    <row r="643" spans="1:29" ht="15" hidden="1" customHeight="1" thickBot="1">
      <c r="A643" s="560" t="s">
        <v>165</v>
      </c>
      <c r="B643" s="899" t="s">
        <v>165</v>
      </c>
      <c r="C643" s="900" t="s">
        <v>165</v>
      </c>
      <c r="D643" s="901"/>
      <c r="E643" s="902"/>
      <c r="F643" s="903"/>
      <c r="G643" s="904"/>
      <c r="H643" s="905">
        <v>0</v>
      </c>
      <c r="I643" s="876">
        <f t="shared" si="225"/>
        <v>0</v>
      </c>
      <c r="J643" s="877">
        <f t="shared" si="212"/>
        <v>0</v>
      </c>
      <c r="K643" s="903" t="s">
        <v>506</v>
      </c>
      <c r="L643" s="879">
        <f>ROUND(SUM(ORÇAMENTO!L643),2)</f>
        <v>0</v>
      </c>
      <c r="M643" s="879">
        <f t="shared" si="214"/>
        <v>0</v>
      </c>
      <c r="N643" s="916">
        <f t="shared" si="215"/>
        <v>0</v>
      </c>
      <c r="O643" s="880"/>
      <c r="Q643" s="317" t="str">
        <f t="shared" si="216"/>
        <v/>
      </c>
      <c r="R643" s="317" t="str">
        <f t="shared" si="217"/>
        <v/>
      </c>
      <c r="S643" s="317" t="str">
        <f t="shared" si="218"/>
        <v/>
      </c>
      <c r="V643" s="314">
        <f>SUM(ORÇAMENTO!N643)</f>
        <v>0</v>
      </c>
      <c r="W643" s="315">
        <f t="shared" si="220"/>
        <v>0</v>
      </c>
    </row>
    <row r="644" spans="1:29" ht="15" hidden="1" customHeight="1" thickBot="1">
      <c r="A644" s="63" t="s">
        <v>205</v>
      </c>
      <c r="B644" s="924" t="s">
        <v>205</v>
      </c>
      <c r="C644" s="925"/>
      <c r="D644" s="926" t="s">
        <v>569</v>
      </c>
      <c r="E644" s="917"/>
      <c r="F644" s="851"/>
      <c r="G644" s="918"/>
      <c r="H644" s="919">
        <v>0</v>
      </c>
      <c r="I644" s="919"/>
      <c r="J644" s="919"/>
      <c r="K644" s="853" t="s">
        <v>506</v>
      </c>
      <c r="L644" s="854">
        <f>ROUND(SUM(ORÇAMENTO!L644),2)</f>
        <v>0</v>
      </c>
      <c r="M644" s="855">
        <f t="shared" si="214"/>
        <v>0</v>
      </c>
      <c r="N644" s="856">
        <f t="shared" si="215"/>
        <v>0</v>
      </c>
      <c r="O644" s="857">
        <f>SUM(N645:N852)</f>
        <v>0</v>
      </c>
      <c r="P644" s="58" t="str">
        <f>IF(OR(O644&gt;0,O644&gt;0),"X","")</f>
        <v/>
      </c>
      <c r="Q644" s="317" t="str">
        <f t="shared" si="216"/>
        <v/>
      </c>
      <c r="R644" s="317" t="str">
        <f t="shared" si="217"/>
        <v/>
      </c>
      <c r="S644" s="317" t="str">
        <f t="shared" si="218"/>
        <v/>
      </c>
      <c r="V644" s="314">
        <f>SUM(ORÇAMENTO!N644)</f>
        <v>0</v>
      </c>
      <c r="W644" s="315">
        <f t="shared" si="220"/>
        <v>0</v>
      </c>
    </row>
    <row r="645" spans="1:29" ht="15" hidden="1" customHeight="1">
      <c r="A645" s="63">
        <v>810250</v>
      </c>
      <c r="B645" s="870" t="s">
        <v>1691</v>
      </c>
      <c r="C645" s="871" t="s">
        <v>184</v>
      </c>
      <c r="D645" s="881" t="s">
        <v>455</v>
      </c>
      <c r="E645" s="882">
        <f>DMT!$F$34</f>
        <v>10</v>
      </c>
      <c r="F645" s="883">
        <f>ROUND(0.017*2.34,4)</f>
        <v>3.9800000000000002E-2</v>
      </c>
      <c r="G645" s="923">
        <f t="shared" ref="G645:G648" si="226">IF(E645&lt;=30,(1.07*E645+2.68)*F645,((1.07*30+2.68)+1.07*(E645-30))*F645)</f>
        <v>0.53252400000000011</v>
      </c>
      <c r="H645" s="876">
        <v>20.16</v>
      </c>
      <c r="I645" s="876">
        <f t="shared" ref="I645:I654" si="227">IF(ISBLANK(H645),"",SUM(G645:H645))</f>
        <v>20.692523999999999</v>
      </c>
      <c r="J645" s="877">
        <f>IF(ISBLANK(H645),0,ROUND(I645*(1+$E$10),2))</f>
        <v>25.29</v>
      </c>
      <c r="K645" s="878" t="s">
        <v>13</v>
      </c>
      <c r="L645" s="879">
        <f>ROUND(SUM(ORÇAMENTO!L645),2)</f>
        <v>0</v>
      </c>
      <c r="M645" s="879">
        <f t="shared" si="214"/>
        <v>0</v>
      </c>
      <c r="N645" s="868">
        <f t="shared" si="215"/>
        <v>0</v>
      </c>
      <c r="O645" s="880"/>
      <c r="Q645" s="317" t="str">
        <f t="shared" si="216"/>
        <v/>
      </c>
      <c r="R645" s="317" t="str">
        <f t="shared" si="217"/>
        <v/>
      </c>
      <c r="S645" s="317" t="str">
        <f t="shared" si="218"/>
        <v/>
      </c>
      <c r="V645" s="314">
        <f>SUM(ORÇAMENTO!N645)</f>
        <v>0</v>
      </c>
      <c r="W645" s="315">
        <f t="shared" si="220"/>
        <v>0</v>
      </c>
    </row>
    <row r="646" spans="1:29" ht="15" hidden="1" customHeight="1">
      <c r="A646" s="63">
        <v>810250</v>
      </c>
      <c r="B646" s="870" t="s">
        <v>1692</v>
      </c>
      <c r="C646" s="871" t="s">
        <v>184</v>
      </c>
      <c r="D646" s="881" t="s">
        <v>510</v>
      </c>
      <c r="E646" s="882">
        <f>DMT!$F$34</f>
        <v>10</v>
      </c>
      <c r="F646" s="883">
        <f>ROUND(0.01125*2.34,4)</f>
        <v>2.63E-2</v>
      </c>
      <c r="G646" s="923">
        <f t="shared" si="226"/>
        <v>0.35189400000000004</v>
      </c>
      <c r="H646" s="876">
        <v>13.27</v>
      </c>
      <c r="I646" s="876">
        <f t="shared" si="227"/>
        <v>13.621893999999999</v>
      </c>
      <c r="J646" s="877">
        <f t="shared" ref="J646:J705" si="228">IF(ISBLANK(H646),0,ROUND(I646*(1+$E$10),2))</f>
        <v>16.649999999999999</v>
      </c>
      <c r="K646" s="878" t="s">
        <v>13</v>
      </c>
      <c r="L646" s="879">
        <f>ROUND(SUM(ORÇAMENTO!L646),2)</f>
        <v>0</v>
      </c>
      <c r="M646" s="879">
        <f t="shared" si="214"/>
        <v>0</v>
      </c>
      <c r="N646" s="868">
        <f t="shared" si="215"/>
        <v>0</v>
      </c>
      <c r="O646" s="880"/>
      <c r="Q646" s="317" t="str">
        <f t="shared" si="216"/>
        <v/>
      </c>
      <c r="R646" s="317" t="str">
        <f t="shared" si="217"/>
        <v/>
      </c>
      <c r="S646" s="317" t="str">
        <f t="shared" si="218"/>
        <v/>
      </c>
      <c r="V646" s="314">
        <f>SUM(ORÇAMENTO!N646)</f>
        <v>0</v>
      </c>
      <c r="W646" s="315">
        <f t="shared" si="220"/>
        <v>0</v>
      </c>
    </row>
    <row r="647" spans="1:29" ht="15" hidden="1" customHeight="1">
      <c r="A647" s="63">
        <v>810250</v>
      </c>
      <c r="B647" s="870" t="s">
        <v>1693</v>
      </c>
      <c r="C647" s="871" t="s">
        <v>184</v>
      </c>
      <c r="D647" s="881" t="s">
        <v>456</v>
      </c>
      <c r="E647" s="882">
        <f>DMT!$F$34</f>
        <v>10</v>
      </c>
      <c r="F647" s="883">
        <f>ROUND(0.014*2.34,4)</f>
        <v>3.2800000000000003E-2</v>
      </c>
      <c r="G647" s="923">
        <f t="shared" si="226"/>
        <v>0.43886400000000009</v>
      </c>
      <c r="H647" s="876">
        <v>16.510000000000002</v>
      </c>
      <c r="I647" s="876">
        <f t="shared" si="227"/>
        <v>16.948864</v>
      </c>
      <c r="J647" s="877">
        <f t="shared" si="228"/>
        <v>20.71</v>
      </c>
      <c r="K647" s="878" t="s">
        <v>13</v>
      </c>
      <c r="L647" s="879">
        <f>ROUND(SUM(ORÇAMENTO!L647),2)</f>
        <v>0</v>
      </c>
      <c r="M647" s="879">
        <f t="shared" si="214"/>
        <v>0</v>
      </c>
      <c r="N647" s="868">
        <f t="shared" si="215"/>
        <v>0</v>
      </c>
      <c r="O647" s="880"/>
      <c r="Q647" s="317" t="str">
        <f t="shared" si="216"/>
        <v/>
      </c>
      <c r="R647" s="317" t="str">
        <f t="shared" si="217"/>
        <v/>
      </c>
      <c r="S647" s="317" t="str">
        <f t="shared" si="218"/>
        <v/>
      </c>
      <c r="V647" s="314">
        <f>SUM(ORÇAMENTO!N647)</f>
        <v>0</v>
      </c>
      <c r="W647" s="315">
        <f t="shared" si="220"/>
        <v>0</v>
      </c>
    </row>
    <row r="648" spans="1:29" ht="15" hidden="1" customHeight="1">
      <c r="A648" s="63" t="s">
        <v>451</v>
      </c>
      <c r="B648" s="870" t="s">
        <v>2215</v>
      </c>
      <c r="C648" s="871" t="s">
        <v>2217</v>
      </c>
      <c r="D648" s="881" t="s">
        <v>2206</v>
      </c>
      <c r="E648" s="882">
        <f>DMT!$F$16</f>
        <v>43.1</v>
      </c>
      <c r="F648" s="883">
        <f>ROUND(0.012*1.8,4)</f>
        <v>2.1600000000000001E-2</v>
      </c>
      <c r="G648" s="923">
        <f t="shared" si="226"/>
        <v>1.0540152</v>
      </c>
      <c r="H648" s="876">
        <v>64.709999999999994</v>
      </c>
      <c r="I648" s="876">
        <f t="shared" si="227"/>
        <v>65.764015199999989</v>
      </c>
      <c r="J648" s="877">
        <f t="shared" si="228"/>
        <v>80.38</v>
      </c>
      <c r="K648" s="878" t="s">
        <v>13</v>
      </c>
      <c r="L648" s="879">
        <f>ROUND(SUM(ORÇAMENTO!L648),2)</f>
        <v>0</v>
      </c>
      <c r="M648" s="879">
        <f t="shared" si="214"/>
        <v>0</v>
      </c>
      <c r="N648" s="868">
        <f t="shared" si="215"/>
        <v>0</v>
      </c>
      <c r="O648" s="880"/>
      <c r="Q648" s="317" t="str">
        <f t="shared" si="216"/>
        <v/>
      </c>
      <c r="R648" s="317" t="str">
        <f t="shared" si="217"/>
        <v/>
      </c>
      <c r="S648" s="317" t="str">
        <f t="shared" si="218"/>
        <v/>
      </c>
      <c r="V648" s="314">
        <f>SUM(ORÇAMENTO!N648)</f>
        <v>0</v>
      </c>
      <c r="W648" s="315">
        <f t="shared" si="220"/>
        <v>0</v>
      </c>
    </row>
    <row r="649" spans="1:29" ht="15" hidden="1" customHeight="1">
      <c r="A649" s="63">
        <v>606700</v>
      </c>
      <c r="B649" s="870" t="s">
        <v>1688</v>
      </c>
      <c r="C649" s="871" t="s">
        <v>184</v>
      </c>
      <c r="D649" s="881" t="s">
        <v>258</v>
      </c>
      <c r="E649" s="882"/>
      <c r="F649" s="883"/>
      <c r="G649" s="887">
        <f t="shared" ref="G649:G650" si="229">IF(E649&lt;=30,(0.87*E649+2.18)*F649,((0.87*30+2.18)+0.87*(E649-30))*F649)</f>
        <v>0</v>
      </c>
      <c r="H649" s="876">
        <v>148.04</v>
      </c>
      <c r="I649" s="876">
        <f t="shared" si="227"/>
        <v>148.04</v>
      </c>
      <c r="J649" s="877">
        <f t="shared" si="228"/>
        <v>180.93</v>
      </c>
      <c r="K649" s="878" t="s">
        <v>10</v>
      </c>
      <c r="L649" s="879">
        <f>ROUND(SUM(ORÇAMENTO!L649),2)</f>
        <v>0</v>
      </c>
      <c r="M649" s="879">
        <f t="shared" si="214"/>
        <v>0</v>
      </c>
      <c r="N649" s="868">
        <f t="shared" si="215"/>
        <v>0</v>
      </c>
      <c r="O649" s="880"/>
      <c r="Q649" s="317" t="str">
        <f t="shared" si="216"/>
        <v/>
      </c>
      <c r="R649" s="317" t="str">
        <f t="shared" si="217"/>
        <v/>
      </c>
      <c r="S649" s="317" t="str">
        <f t="shared" si="218"/>
        <v/>
      </c>
      <c r="V649" s="314">
        <f>SUM(ORÇAMENTO!N649)</f>
        <v>0</v>
      </c>
      <c r="W649" s="315">
        <f t="shared" si="220"/>
        <v>0</v>
      </c>
    </row>
    <row r="650" spans="1:29" ht="15" hidden="1" customHeight="1">
      <c r="A650" s="63">
        <v>606600</v>
      </c>
      <c r="B650" s="870" t="s">
        <v>1685</v>
      </c>
      <c r="C650" s="871" t="s">
        <v>184</v>
      </c>
      <c r="D650" s="881" t="s">
        <v>793</v>
      </c>
      <c r="E650" s="882"/>
      <c r="F650" s="883"/>
      <c r="G650" s="887">
        <f t="shared" si="229"/>
        <v>0</v>
      </c>
      <c r="H650" s="876">
        <v>309.52999999999997</v>
      </c>
      <c r="I650" s="876">
        <f t="shared" si="227"/>
        <v>309.52999999999997</v>
      </c>
      <c r="J650" s="877">
        <f t="shared" si="228"/>
        <v>378.31</v>
      </c>
      <c r="K650" s="878" t="s">
        <v>10</v>
      </c>
      <c r="L650" s="879">
        <f>ROUND(SUM(ORÇAMENTO!L650),2)</f>
        <v>0</v>
      </c>
      <c r="M650" s="879">
        <f t="shared" si="214"/>
        <v>0</v>
      </c>
      <c r="N650" s="868">
        <f t="shared" si="215"/>
        <v>0</v>
      </c>
      <c r="O650" s="880"/>
      <c r="Q650" s="317" t="str">
        <f t="shared" si="216"/>
        <v/>
      </c>
      <c r="R650" s="317" t="str">
        <f t="shared" si="217"/>
        <v/>
      </c>
      <c r="S650" s="317" t="str">
        <f t="shared" si="218"/>
        <v/>
      </c>
      <c r="V650" s="314">
        <f>SUM(ORÇAMENTO!N650)</f>
        <v>0</v>
      </c>
      <c r="W650" s="315">
        <f t="shared" si="220"/>
        <v>0</v>
      </c>
    </row>
    <row r="651" spans="1:29" ht="15" hidden="1" customHeight="1">
      <c r="A651" s="63">
        <v>100576</v>
      </c>
      <c r="B651" s="870" t="s">
        <v>1729</v>
      </c>
      <c r="C651" s="871" t="s">
        <v>590</v>
      </c>
      <c r="D651" s="881" t="s">
        <v>183</v>
      </c>
      <c r="E651" s="873"/>
      <c r="F651" s="883"/>
      <c r="G651" s="887">
        <f>IF(E651&lt;=30,(0.62*E651+6.29)*F651,((0.62*30+6.29)+0.62*(E651-30))*F651)</f>
        <v>0</v>
      </c>
      <c r="H651" s="876">
        <v>2.6</v>
      </c>
      <c r="I651" s="876">
        <f t="shared" si="227"/>
        <v>2.6</v>
      </c>
      <c r="J651" s="877">
        <f t="shared" si="228"/>
        <v>3.18</v>
      </c>
      <c r="K651" s="878" t="s">
        <v>12</v>
      </c>
      <c r="L651" s="879">
        <f>ROUND(SUM(ORÇAMENTO!L651),2)</f>
        <v>0</v>
      </c>
      <c r="M651" s="879">
        <f t="shared" si="214"/>
        <v>0</v>
      </c>
      <c r="N651" s="868">
        <f t="shared" si="215"/>
        <v>0</v>
      </c>
      <c r="O651" s="880"/>
      <c r="Q651" s="317" t="str">
        <f t="shared" si="216"/>
        <v/>
      </c>
      <c r="R651" s="317" t="str">
        <f t="shared" si="217"/>
        <v/>
      </c>
      <c r="S651" s="317" t="str">
        <f t="shared" si="218"/>
        <v/>
      </c>
      <c r="V651" s="314">
        <f>SUM(ORÇAMENTO!N651)</f>
        <v>0</v>
      </c>
      <c r="W651" s="315">
        <f t="shared" si="220"/>
        <v>0</v>
      </c>
    </row>
    <row r="652" spans="1:29" ht="15" hidden="1" customHeight="1">
      <c r="A652" s="63">
        <v>532500</v>
      </c>
      <c r="B652" s="870" t="s">
        <v>1516</v>
      </c>
      <c r="C652" s="871" t="s">
        <v>184</v>
      </c>
      <c r="D652" s="931" t="s">
        <v>329</v>
      </c>
      <c r="E652" s="882">
        <f>DMT!F8</f>
        <v>290</v>
      </c>
      <c r="F652" s="883">
        <v>1.7250000000000001</v>
      </c>
      <c r="G652" s="923">
        <f t="shared" ref="G652:G653" si="230">IF(E652&lt;=30,(1.07*E652+2.68)*F652,((1.07*30+2.68)+1.07*(E652-30))*F652)</f>
        <v>539.89050000000009</v>
      </c>
      <c r="H652" s="876">
        <v>102.38</v>
      </c>
      <c r="I652" s="876">
        <f t="shared" si="227"/>
        <v>642.27050000000008</v>
      </c>
      <c r="J652" s="877">
        <f t="shared" si="228"/>
        <v>784.98</v>
      </c>
      <c r="K652" s="878" t="s">
        <v>10</v>
      </c>
      <c r="L652" s="879">
        <f>ROUND(SUM(ORÇAMENTO!L652),2)</f>
        <v>0</v>
      </c>
      <c r="M652" s="879">
        <f t="shared" si="214"/>
        <v>0</v>
      </c>
      <c r="N652" s="868">
        <f t="shared" si="215"/>
        <v>0</v>
      </c>
      <c r="O652" s="880"/>
      <c r="Q652" s="317" t="str">
        <f t="shared" si="216"/>
        <v/>
      </c>
      <c r="R652" s="317" t="str">
        <f t="shared" si="217"/>
        <v/>
      </c>
      <c r="S652" s="317" t="str">
        <f t="shared" si="218"/>
        <v/>
      </c>
      <c r="V652" s="314">
        <f>SUM(ORÇAMENTO!N652)</f>
        <v>0</v>
      </c>
      <c r="W652" s="315">
        <f t="shared" si="220"/>
        <v>0</v>
      </c>
    </row>
    <row r="653" spans="1:29" ht="15" hidden="1" customHeight="1">
      <c r="A653" s="63">
        <v>603900</v>
      </c>
      <c r="B653" s="870" t="s">
        <v>1715</v>
      </c>
      <c r="C653" s="871" t="s">
        <v>184</v>
      </c>
      <c r="D653" s="931" t="s">
        <v>330</v>
      </c>
      <c r="E653" s="882">
        <f>DMT!$F$10</f>
        <v>43.1</v>
      </c>
      <c r="F653" s="883">
        <v>1.5</v>
      </c>
      <c r="G653" s="923">
        <f t="shared" si="230"/>
        <v>73.19550000000001</v>
      </c>
      <c r="H653" s="876">
        <v>131.84</v>
      </c>
      <c r="I653" s="876">
        <f t="shared" si="227"/>
        <v>205.03550000000001</v>
      </c>
      <c r="J653" s="877">
        <f t="shared" si="228"/>
        <v>250.59</v>
      </c>
      <c r="K653" s="878" t="s">
        <v>10</v>
      </c>
      <c r="L653" s="879">
        <f>ROUND(SUM(ORÇAMENTO!L653),2)</f>
        <v>0</v>
      </c>
      <c r="M653" s="879">
        <f t="shared" si="214"/>
        <v>0</v>
      </c>
      <c r="N653" s="868">
        <f t="shared" si="215"/>
        <v>0</v>
      </c>
      <c r="O653" s="880"/>
      <c r="Q653" s="317" t="str">
        <f t="shared" si="216"/>
        <v/>
      </c>
      <c r="R653" s="317" t="str">
        <f t="shared" si="217"/>
        <v/>
      </c>
      <c r="S653" s="317" t="str">
        <f t="shared" si="218"/>
        <v/>
      </c>
      <c r="V653" s="314">
        <f>SUM(ORÇAMENTO!N653)</f>
        <v>0</v>
      </c>
      <c r="W653" s="315">
        <f t="shared" si="220"/>
        <v>0</v>
      </c>
    </row>
    <row r="654" spans="1:29" ht="15" hidden="1" customHeight="1">
      <c r="A654" s="63">
        <v>605000</v>
      </c>
      <c r="B654" s="870" t="s">
        <v>216</v>
      </c>
      <c r="C654" s="871" t="s">
        <v>184</v>
      </c>
      <c r="D654" s="881" t="s">
        <v>259</v>
      </c>
      <c r="E654" s="882"/>
      <c r="F654" s="883"/>
      <c r="G654" s="887">
        <f>SUM(G655:G657)</f>
        <v>449.80907000000002</v>
      </c>
      <c r="H654" s="876">
        <v>425.25</v>
      </c>
      <c r="I654" s="876">
        <f t="shared" si="227"/>
        <v>875.05907000000002</v>
      </c>
      <c r="J654" s="877">
        <f t="shared" si="228"/>
        <v>1069.5</v>
      </c>
      <c r="K654" s="878" t="s">
        <v>10</v>
      </c>
      <c r="L654" s="879">
        <f>ROUND(SUM(ORÇAMENTO!L654),2)</f>
        <v>0</v>
      </c>
      <c r="M654" s="879">
        <f t="shared" si="214"/>
        <v>0</v>
      </c>
      <c r="N654" s="868">
        <f t="shared" si="215"/>
        <v>0</v>
      </c>
      <c r="O654" s="880"/>
      <c r="Q654" s="317" t="str">
        <f t="shared" si="216"/>
        <v/>
      </c>
      <c r="R654" s="317" t="str">
        <f t="shared" si="217"/>
        <v/>
      </c>
      <c r="S654" s="317" t="str">
        <f t="shared" si="218"/>
        <v/>
      </c>
      <c r="V654" s="314">
        <f>SUM(ORÇAMENTO!N654)</f>
        <v>0</v>
      </c>
      <c r="W654" s="315">
        <f t="shared" si="220"/>
        <v>0</v>
      </c>
    </row>
    <row r="655" spans="1:29" ht="15" hidden="1" customHeight="1">
      <c r="A655" s="63" t="s">
        <v>147</v>
      </c>
      <c r="B655" s="870" t="s">
        <v>147</v>
      </c>
      <c r="C655" s="871"/>
      <c r="D655" s="931" t="s">
        <v>190</v>
      </c>
      <c r="E655" s="882">
        <f>DMT!$D$20</f>
        <v>445</v>
      </c>
      <c r="F655" s="883">
        <v>0.18</v>
      </c>
      <c r="G655" s="884">
        <f>IF(E655&lt;=30,(0.78*E655+7.82)*F655,((0.78*30+7.82)+0.78*(E655-30))*F655)</f>
        <v>63.885600000000004</v>
      </c>
      <c r="H655" s="876">
        <v>0</v>
      </c>
      <c r="I655" s="876"/>
      <c r="J655" s="877">
        <v>0</v>
      </c>
      <c r="K655" s="932" t="s">
        <v>506</v>
      </c>
      <c r="L655" s="933">
        <f>ROUND(SUM(ORÇAMENTO!L655),2)</f>
        <v>0</v>
      </c>
      <c r="M655" s="934">
        <f t="shared" si="214"/>
        <v>0</v>
      </c>
      <c r="N655" s="868">
        <f t="shared" si="215"/>
        <v>0</v>
      </c>
      <c r="O655" s="880"/>
      <c r="P655" s="58" t="str">
        <f>IF(N654&gt;0,"xx",IF(N654&gt;0,"xy",""))</f>
        <v/>
      </c>
      <c r="Q655" s="317" t="str">
        <f t="shared" si="216"/>
        <v/>
      </c>
      <c r="R655" s="317" t="str">
        <f t="shared" si="217"/>
        <v/>
      </c>
      <c r="S655" s="317" t="str">
        <f t="shared" si="218"/>
        <v/>
      </c>
      <c r="V655" s="314">
        <f>SUM(ORÇAMENTO!N655)</f>
        <v>0</v>
      </c>
      <c r="W655" s="315">
        <f t="shared" si="220"/>
        <v>0</v>
      </c>
    </row>
    <row r="656" spans="1:29" ht="15" hidden="1" customHeight="1">
      <c r="A656" s="63" t="s">
        <v>147</v>
      </c>
      <c r="B656" s="870" t="s">
        <v>147</v>
      </c>
      <c r="C656" s="871"/>
      <c r="D656" s="931" t="s">
        <v>229</v>
      </c>
      <c r="E656" s="882">
        <f>DMT!$F$8</f>
        <v>290</v>
      </c>
      <c r="F656" s="883">
        <v>1.06</v>
      </c>
      <c r="G656" s="923">
        <f t="shared" ref="G656:G661" si="231">IF(E656&lt;=30,(1.07*E656+2.68)*F656,((1.07*30+2.68)+1.07*(E656-30))*F656)</f>
        <v>331.75880000000001</v>
      </c>
      <c r="H656" s="876">
        <v>0</v>
      </c>
      <c r="I656" s="876"/>
      <c r="J656" s="877">
        <v>0</v>
      </c>
      <c r="K656" s="932" t="s">
        <v>506</v>
      </c>
      <c r="L656" s="933">
        <f>ROUND(SUM(ORÇAMENTO!L656),2)</f>
        <v>0</v>
      </c>
      <c r="M656" s="934">
        <f t="shared" ref="M656:M719" si="232">IF(L656=0,0,ROUND(J656,2))</f>
        <v>0</v>
      </c>
      <c r="N656" s="868">
        <f t="shared" ref="N656:N719" si="233">IF(ISBLANK(L656),0,ROUND(L656*M656,2))</f>
        <v>0</v>
      </c>
      <c r="O656" s="880"/>
      <c r="P656" s="58" t="str">
        <f>IF(N654&gt;0,"xx",IF(N654&gt;0,"xy",""))</f>
        <v/>
      </c>
      <c r="Q656" s="317" t="str">
        <f t="shared" ref="Q656:Q719" si="234">IF(P656="X","x",IF(P656="xx","x",IF(P656="xy","x",IF(P656="y","x",IF(OR(N656&gt;0,N656&gt;0),"x","")))))</f>
        <v/>
      </c>
      <c r="R656" s="317" t="str">
        <f t="shared" ref="R656:R719" si="235">IF(P656="X","x",IF(P656="y","x",IF(P656="xx","x",IF(N656&gt;0,"x",""))))</f>
        <v/>
      </c>
      <c r="S656" s="317" t="str">
        <f t="shared" ref="S656:S719" si="236">IF(P656="X","x",IF(N656&gt;0,"x",""))</f>
        <v/>
      </c>
      <c r="V656" s="314">
        <f>SUM(ORÇAMENTO!N656)</f>
        <v>0</v>
      </c>
      <c r="W656" s="315">
        <f t="shared" si="220"/>
        <v>0</v>
      </c>
    </row>
    <row r="657" spans="1:29" ht="15" hidden="1" customHeight="1">
      <c r="A657" s="63" t="s">
        <v>147</v>
      </c>
      <c r="B657" s="870" t="s">
        <v>147</v>
      </c>
      <c r="C657" s="871"/>
      <c r="D657" s="931" t="s">
        <v>233</v>
      </c>
      <c r="E657" s="882">
        <f>DMT!$F$9</f>
        <v>43.1</v>
      </c>
      <c r="F657" s="883">
        <v>1.1100000000000001</v>
      </c>
      <c r="G657" s="923">
        <f t="shared" si="231"/>
        <v>54.164670000000008</v>
      </c>
      <c r="H657" s="876">
        <v>0</v>
      </c>
      <c r="I657" s="876"/>
      <c r="J657" s="877">
        <v>0</v>
      </c>
      <c r="K657" s="932" t="s">
        <v>506</v>
      </c>
      <c r="L657" s="933">
        <f>ROUND(SUM(ORÇAMENTO!L657),2)</f>
        <v>0</v>
      </c>
      <c r="M657" s="934">
        <f t="shared" si="232"/>
        <v>0</v>
      </c>
      <c r="N657" s="868">
        <f t="shared" si="233"/>
        <v>0</v>
      </c>
      <c r="O657" s="880"/>
      <c r="P657" s="58" t="str">
        <f>IF(N654&gt;0,"xx",IF(N654&gt;0,"xy",""))</f>
        <v/>
      </c>
      <c r="Q657" s="317" t="str">
        <f t="shared" si="234"/>
        <v/>
      </c>
      <c r="R657" s="317" t="str">
        <f t="shared" si="235"/>
        <v/>
      </c>
      <c r="S657" s="317" t="str">
        <f t="shared" si="236"/>
        <v/>
      </c>
      <c r="V657" s="314">
        <f>SUM(ORÇAMENTO!N657)</f>
        <v>0</v>
      </c>
      <c r="W657" s="315">
        <f t="shared" si="220"/>
        <v>0</v>
      </c>
    </row>
    <row r="658" spans="1:29" ht="15" hidden="1" customHeight="1">
      <c r="A658" s="63">
        <v>400500</v>
      </c>
      <c r="B658" s="870" t="s">
        <v>1549</v>
      </c>
      <c r="C658" s="871" t="s">
        <v>184</v>
      </c>
      <c r="D658" s="881" t="s">
        <v>1716</v>
      </c>
      <c r="E658" s="882">
        <f>DMT!$F$8</f>
        <v>290</v>
      </c>
      <c r="F658" s="883">
        <v>1.73</v>
      </c>
      <c r="G658" s="923">
        <f t="shared" si="231"/>
        <v>541.45540000000005</v>
      </c>
      <c r="H658" s="876">
        <v>83.83</v>
      </c>
      <c r="I658" s="876">
        <f t="shared" ref="I658:I678" si="237">IF(ISBLANK(H658),"",SUM(G658:H658))</f>
        <v>625.2854000000001</v>
      </c>
      <c r="J658" s="877">
        <f t="shared" si="228"/>
        <v>764.22</v>
      </c>
      <c r="K658" s="878" t="s">
        <v>10</v>
      </c>
      <c r="L658" s="879">
        <f>ROUND(SUM(ORÇAMENTO!L658),2)</f>
        <v>0</v>
      </c>
      <c r="M658" s="879">
        <f t="shared" si="232"/>
        <v>0</v>
      </c>
      <c r="N658" s="868">
        <f t="shared" si="233"/>
        <v>0</v>
      </c>
      <c r="O658" s="880"/>
      <c r="Q658" s="317" t="str">
        <f t="shared" si="234"/>
        <v/>
      </c>
      <c r="R658" s="317" t="str">
        <f t="shared" si="235"/>
        <v/>
      </c>
      <c r="S658" s="317" t="str">
        <f t="shared" si="236"/>
        <v/>
      </c>
      <c r="V658" s="314">
        <f>SUM(ORÇAMENTO!N658)</f>
        <v>0</v>
      </c>
      <c r="W658" s="315">
        <f t="shared" si="220"/>
        <v>0</v>
      </c>
    </row>
    <row r="659" spans="1:29" ht="15" hidden="1" customHeight="1">
      <c r="A659" s="63">
        <v>532500</v>
      </c>
      <c r="B659" s="870" t="s">
        <v>1517</v>
      </c>
      <c r="C659" s="871" t="s">
        <v>184</v>
      </c>
      <c r="D659" s="881" t="s">
        <v>1719</v>
      </c>
      <c r="E659" s="882">
        <f>DMT!$F$8</f>
        <v>290</v>
      </c>
      <c r="F659" s="883">
        <v>1.7250000000000001</v>
      </c>
      <c r="G659" s="923">
        <f t="shared" si="231"/>
        <v>539.89050000000009</v>
      </c>
      <c r="H659" s="876">
        <v>102.38</v>
      </c>
      <c r="I659" s="876">
        <f t="shared" si="237"/>
        <v>642.27050000000008</v>
      </c>
      <c r="J659" s="877">
        <f t="shared" si="228"/>
        <v>784.98</v>
      </c>
      <c r="K659" s="878" t="s">
        <v>10</v>
      </c>
      <c r="L659" s="879">
        <f>ROUND(SUM(ORÇAMENTO!L659),2)</f>
        <v>0</v>
      </c>
      <c r="M659" s="879">
        <f t="shared" si="232"/>
        <v>0</v>
      </c>
      <c r="N659" s="868">
        <f t="shared" si="233"/>
        <v>0</v>
      </c>
      <c r="O659" s="880"/>
      <c r="Q659" s="317" t="str">
        <f t="shared" si="234"/>
        <v/>
      </c>
      <c r="R659" s="317" t="str">
        <f t="shared" si="235"/>
        <v/>
      </c>
      <c r="S659" s="317" t="str">
        <f t="shared" si="236"/>
        <v/>
      </c>
      <c r="V659" s="314">
        <f>SUM(ORÇAMENTO!N659)</f>
        <v>0</v>
      </c>
      <c r="W659" s="315">
        <f t="shared" si="220"/>
        <v>0</v>
      </c>
    </row>
    <row r="660" spans="1:29" ht="15" hidden="1" customHeight="1">
      <c r="A660" s="557">
        <v>532600</v>
      </c>
      <c r="B660" s="870" t="s">
        <v>1550</v>
      </c>
      <c r="C660" s="871" t="s">
        <v>184</v>
      </c>
      <c r="D660" s="881" t="s">
        <v>1717</v>
      </c>
      <c r="E660" s="873">
        <f>DMT!$F$12</f>
        <v>43.1</v>
      </c>
      <c r="F660" s="883">
        <f>ROUND(1.5*1.5,4)</f>
        <v>2.25</v>
      </c>
      <c r="G660" s="923">
        <f t="shared" si="231"/>
        <v>109.79325000000001</v>
      </c>
      <c r="H660" s="876">
        <v>16.07</v>
      </c>
      <c r="I660" s="876">
        <f t="shared" si="237"/>
        <v>125.86325000000002</v>
      </c>
      <c r="J660" s="877">
        <f t="shared" si="228"/>
        <v>153.83000000000001</v>
      </c>
      <c r="K660" s="878" t="s">
        <v>10</v>
      </c>
      <c r="L660" s="879">
        <f>ROUND(SUM(ORÇAMENTO!L660),2)</f>
        <v>0</v>
      </c>
      <c r="M660" s="879">
        <f t="shared" si="232"/>
        <v>0</v>
      </c>
      <c r="N660" s="868">
        <f t="shared" si="233"/>
        <v>0</v>
      </c>
      <c r="O660" s="880"/>
      <c r="Q660" s="317" t="str">
        <f t="shared" si="234"/>
        <v/>
      </c>
      <c r="R660" s="317" t="str">
        <f t="shared" si="235"/>
        <v/>
      </c>
      <c r="S660" s="317" t="str">
        <f t="shared" si="236"/>
        <v/>
      </c>
      <c r="V660" s="314">
        <f>SUM(ORÇAMENTO!N660)</f>
        <v>0</v>
      </c>
      <c r="W660" s="315">
        <f t="shared" si="220"/>
        <v>0</v>
      </c>
    </row>
    <row r="661" spans="1:29" ht="15" hidden="1" customHeight="1">
      <c r="A661" s="63">
        <v>603900</v>
      </c>
      <c r="B661" s="870" t="s">
        <v>1725</v>
      </c>
      <c r="C661" s="871" t="s">
        <v>184</v>
      </c>
      <c r="D661" s="881" t="s">
        <v>1718</v>
      </c>
      <c r="E661" s="882">
        <f>DMT!$F$11</f>
        <v>10</v>
      </c>
      <c r="F661" s="883">
        <v>1.5</v>
      </c>
      <c r="G661" s="923">
        <f t="shared" si="231"/>
        <v>20.07</v>
      </c>
      <c r="H661" s="876">
        <v>131.84</v>
      </c>
      <c r="I661" s="876">
        <f t="shared" si="237"/>
        <v>151.91</v>
      </c>
      <c r="J661" s="877">
        <f t="shared" si="228"/>
        <v>185.66</v>
      </c>
      <c r="K661" s="878" t="s">
        <v>10</v>
      </c>
      <c r="L661" s="879">
        <f>ROUND(SUM(ORÇAMENTO!L661),2)</f>
        <v>0</v>
      </c>
      <c r="M661" s="879">
        <f t="shared" si="232"/>
        <v>0</v>
      </c>
      <c r="N661" s="868">
        <f t="shared" si="233"/>
        <v>0</v>
      </c>
      <c r="O661" s="880"/>
      <c r="Q661" s="317" t="str">
        <f t="shared" si="234"/>
        <v/>
      </c>
      <c r="R661" s="317" t="str">
        <f t="shared" si="235"/>
        <v/>
      </c>
      <c r="S661" s="317" t="str">
        <f t="shared" si="236"/>
        <v/>
      </c>
      <c r="V661" s="314">
        <f>SUM(ORÇAMENTO!N661)</f>
        <v>0</v>
      </c>
      <c r="W661" s="315">
        <f t="shared" ref="W661:W724" si="238">N661-V661</f>
        <v>0</v>
      </c>
    </row>
    <row r="662" spans="1:29" ht="15" hidden="1" customHeight="1">
      <c r="A662" s="63">
        <v>601100</v>
      </c>
      <c r="B662" s="870" t="s">
        <v>1750</v>
      </c>
      <c r="C662" s="871" t="s">
        <v>184</v>
      </c>
      <c r="D662" s="881" t="s">
        <v>260</v>
      </c>
      <c r="E662" s="882"/>
      <c r="F662" s="883"/>
      <c r="G662" s="887">
        <f>IF(E662&lt;=30,(0.62*E662+6.29)*F662,((0.62*30+6.29)+0.62*(E662-30))*F662)</f>
        <v>0</v>
      </c>
      <c r="H662" s="876">
        <v>54.05</v>
      </c>
      <c r="I662" s="876">
        <f t="shared" si="237"/>
        <v>54.05</v>
      </c>
      <c r="J662" s="877">
        <f t="shared" si="228"/>
        <v>66.06</v>
      </c>
      <c r="K662" s="878" t="s">
        <v>10</v>
      </c>
      <c r="L662" s="879">
        <f>ROUND(SUM(ORÇAMENTO!L662),2)</f>
        <v>0</v>
      </c>
      <c r="M662" s="879">
        <f t="shared" si="232"/>
        <v>0</v>
      </c>
      <c r="N662" s="868">
        <f t="shared" si="233"/>
        <v>0</v>
      </c>
      <c r="O662" s="880"/>
      <c r="Q662" s="317" t="str">
        <f t="shared" si="234"/>
        <v/>
      </c>
      <c r="R662" s="317" t="str">
        <f t="shared" si="235"/>
        <v/>
      </c>
      <c r="S662" s="317" t="str">
        <f t="shared" si="236"/>
        <v/>
      </c>
      <c r="V662" s="314">
        <f>SUM(ORÇAMENTO!N662)</f>
        <v>0</v>
      </c>
      <c r="W662" s="315">
        <f t="shared" si="238"/>
        <v>0</v>
      </c>
    </row>
    <row r="663" spans="1:29" ht="15" hidden="1" customHeight="1">
      <c r="A663" s="63">
        <v>602000</v>
      </c>
      <c r="B663" s="870" t="s">
        <v>1980</v>
      </c>
      <c r="C663" s="871" t="s">
        <v>184</v>
      </c>
      <c r="D663" s="881" t="s">
        <v>1978</v>
      </c>
      <c r="E663" s="882"/>
      <c r="F663" s="883"/>
      <c r="G663" s="887">
        <f>IF(E663&lt;=30,(0.62*E663+6.29)*F663,((0.62*30+6.29)+0.62*(E663-30))*F663)</f>
        <v>0</v>
      </c>
      <c r="H663" s="876">
        <v>62.53</v>
      </c>
      <c r="I663" s="876">
        <f t="shared" si="237"/>
        <v>62.53</v>
      </c>
      <c r="J663" s="877">
        <f t="shared" si="228"/>
        <v>76.42</v>
      </c>
      <c r="K663" s="878" t="s">
        <v>12</v>
      </c>
      <c r="L663" s="879">
        <f>ROUND(SUM(ORÇAMENTO!L663),2)</f>
        <v>0</v>
      </c>
      <c r="M663" s="879">
        <f t="shared" si="232"/>
        <v>0</v>
      </c>
      <c r="N663" s="868">
        <f t="shared" si="233"/>
        <v>0</v>
      </c>
      <c r="O663" s="880"/>
      <c r="Q663" s="317" t="str">
        <f t="shared" si="234"/>
        <v/>
      </c>
      <c r="R663" s="317" t="str">
        <f t="shared" si="235"/>
        <v/>
      </c>
      <c r="S663" s="317" t="str">
        <f t="shared" si="236"/>
        <v/>
      </c>
      <c r="V663" s="314">
        <f>SUM(ORÇAMENTO!N663)</f>
        <v>0</v>
      </c>
      <c r="W663" s="315">
        <f t="shared" si="238"/>
        <v>0</v>
      </c>
    </row>
    <row r="664" spans="1:29" ht="15" hidden="1" customHeight="1">
      <c r="A664" s="63">
        <v>603000</v>
      </c>
      <c r="B664" s="870" t="s">
        <v>1752</v>
      </c>
      <c r="C664" s="871" t="s">
        <v>184</v>
      </c>
      <c r="D664" s="881" t="s">
        <v>261</v>
      </c>
      <c r="E664" s="882"/>
      <c r="F664" s="883"/>
      <c r="G664" s="887">
        <f>IF(E664&lt;=30,(0.62*E664+6.29)*F664,((0.62*30+6.29)+0.62*(E664-30))*F664)</f>
        <v>0</v>
      </c>
      <c r="H664" s="876">
        <v>18.34</v>
      </c>
      <c r="I664" s="876">
        <f t="shared" si="237"/>
        <v>18.34</v>
      </c>
      <c r="J664" s="877">
        <f t="shared" si="228"/>
        <v>22.42</v>
      </c>
      <c r="K664" s="878" t="s">
        <v>16</v>
      </c>
      <c r="L664" s="879">
        <f>ROUND(SUM(ORÇAMENTO!L664),2)</f>
        <v>0</v>
      </c>
      <c r="M664" s="879">
        <f t="shared" si="232"/>
        <v>0</v>
      </c>
      <c r="N664" s="868">
        <f t="shared" si="233"/>
        <v>0</v>
      </c>
      <c r="O664" s="880"/>
      <c r="Q664" s="317" t="str">
        <f t="shared" si="234"/>
        <v/>
      </c>
      <c r="R664" s="317" t="str">
        <f t="shared" si="235"/>
        <v/>
      </c>
      <c r="S664" s="317" t="str">
        <f t="shared" si="236"/>
        <v/>
      </c>
      <c r="V664" s="314">
        <f>SUM(ORÇAMENTO!N664)</f>
        <v>0</v>
      </c>
      <c r="W664" s="315">
        <f t="shared" si="238"/>
        <v>0</v>
      </c>
    </row>
    <row r="665" spans="1:29" ht="15" hidden="1" customHeight="1">
      <c r="A665" s="63">
        <v>603300</v>
      </c>
      <c r="B665" s="870" t="s">
        <v>1755</v>
      </c>
      <c r="C665" s="871" t="s">
        <v>184</v>
      </c>
      <c r="D665" s="881" t="s">
        <v>262</v>
      </c>
      <c r="E665" s="882"/>
      <c r="F665" s="883"/>
      <c r="G665" s="887">
        <f>IF(E665&lt;=30,(0.62*E665+6.29)*F665,((0.62*30+6.29)+0.62*(E665-30))*F665)</f>
        <v>0</v>
      </c>
      <c r="H665" s="876">
        <v>20.91</v>
      </c>
      <c r="I665" s="876">
        <f t="shared" si="237"/>
        <v>20.91</v>
      </c>
      <c r="J665" s="877">
        <f t="shared" si="228"/>
        <v>25.56</v>
      </c>
      <c r="K665" s="878" t="s">
        <v>16</v>
      </c>
      <c r="L665" s="879">
        <f>ROUND(SUM(ORÇAMENTO!L665),2)</f>
        <v>0</v>
      </c>
      <c r="M665" s="879">
        <f t="shared" si="232"/>
        <v>0</v>
      </c>
      <c r="N665" s="868">
        <f t="shared" si="233"/>
        <v>0</v>
      </c>
      <c r="O665" s="880"/>
      <c r="Q665" s="317" t="str">
        <f t="shared" si="234"/>
        <v/>
      </c>
      <c r="R665" s="317" t="str">
        <f t="shared" si="235"/>
        <v/>
      </c>
      <c r="S665" s="317" t="str">
        <f t="shared" si="236"/>
        <v/>
      </c>
      <c r="V665" s="314">
        <f>SUM(ORÇAMENTO!N665)</f>
        <v>0</v>
      </c>
      <c r="W665" s="315">
        <f t="shared" si="238"/>
        <v>0</v>
      </c>
    </row>
    <row r="666" spans="1:29" ht="15" hidden="1" customHeight="1">
      <c r="A666" s="63">
        <v>605000</v>
      </c>
      <c r="B666" s="870" t="s">
        <v>299</v>
      </c>
      <c r="C666" s="871" t="s">
        <v>184</v>
      </c>
      <c r="D666" s="881" t="s">
        <v>263</v>
      </c>
      <c r="E666" s="882"/>
      <c r="F666" s="883"/>
      <c r="G666" s="887">
        <f>SUM(G667:G669)*0.05</f>
        <v>1.1261346750000001</v>
      </c>
      <c r="H666" s="876">
        <v>26.85</v>
      </c>
      <c r="I666" s="876">
        <f t="shared" si="237"/>
        <v>27.976134675000001</v>
      </c>
      <c r="J666" s="877">
        <f t="shared" si="228"/>
        <v>34.19</v>
      </c>
      <c r="K666" s="878" t="s">
        <v>12</v>
      </c>
      <c r="L666" s="879">
        <f>ROUND(SUM(ORÇAMENTO!L666),2)</f>
        <v>0</v>
      </c>
      <c r="M666" s="879">
        <f t="shared" si="232"/>
        <v>0</v>
      </c>
      <c r="N666" s="868">
        <f t="shared" si="233"/>
        <v>0</v>
      </c>
      <c r="O666" s="880"/>
      <c r="Q666" s="317" t="str">
        <f t="shared" si="234"/>
        <v/>
      </c>
      <c r="R666" s="317" t="str">
        <f t="shared" si="235"/>
        <v/>
      </c>
      <c r="S666" s="317" t="str">
        <f t="shared" si="236"/>
        <v/>
      </c>
      <c r="V666" s="314">
        <f>SUM(ORÇAMENTO!N666)</f>
        <v>0</v>
      </c>
      <c r="W666" s="315">
        <f t="shared" si="238"/>
        <v>0</v>
      </c>
    </row>
    <row r="667" spans="1:29" ht="15" hidden="1" customHeight="1">
      <c r="A667" s="63" t="s">
        <v>147</v>
      </c>
      <c r="B667" s="870" t="s">
        <v>147</v>
      </c>
      <c r="C667" s="871"/>
      <c r="D667" s="931" t="s">
        <v>190</v>
      </c>
      <c r="E667" s="882">
        <f>DMT!$D$20</f>
        <v>445</v>
      </c>
      <c r="F667" s="883">
        <f>ROUND(0.27*0.05,4)</f>
        <v>1.35E-2</v>
      </c>
      <c r="G667" s="884">
        <f>IF(E667&lt;=30,(0.78*E667+7.82)*F667,((0.78*30+7.82)+0.78*(E667-30))*F667)</f>
        <v>4.7914200000000005</v>
      </c>
      <c r="H667" s="876">
        <v>0</v>
      </c>
      <c r="I667" s="876">
        <f t="shared" si="237"/>
        <v>4.7914200000000005</v>
      </c>
      <c r="J667" s="877">
        <v>0</v>
      </c>
      <c r="K667" s="932" t="s">
        <v>506</v>
      </c>
      <c r="L667" s="933">
        <f>ROUND(SUM(ORÇAMENTO!L667),2)</f>
        <v>0</v>
      </c>
      <c r="M667" s="934">
        <f t="shared" si="232"/>
        <v>0</v>
      </c>
      <c r="N667" s="868">
        <f t="shared" si="233"/>
        <v>0</v>
      </c>
      <c r="O667" s="880"/>
      <c r="P667" s="58" t="str">
        <f>IF(N666&gt;0,"xx",IF(N666&gt;0,"xy",""))</f>
        <v/>
      </c>
      <c r="Q667" s="317" t="str">
        <f t="shared" si="234"/>
        <v/>
      </c>
      <c r="R667" s="317" t="str">
        <f t="shared" si="235"/>
        <v/>
      </c>
      <c r="S667" s="317" t="str">
        <f t="shared" si="236"/>
        <v/>
      </c>
      <c r="V667" s="314">
        <f>SUM(ORÇAMENTO!N667)</f>
        <v>0</v>
      </c>
      <c r="W667" s="315">
        <f t="shared" si="238"/>
        <v>0</v>
      </c>
    </row>
    <row r="668" spans="1:29" ht="15" hidden="1" customHeight="1">
      <c r="A668" s="63" t="s">
        <v>147</v>
      </c>
      <c r="B668" s="870" t="s">
        <v>147</v>
      </c>
      <c r="C668" s="871"/>
      <c r="D668" s="931" t="s">
        <v>229</v>
      </c>
      <c r="E668" s="882">
        <f>DMT!$F$8</f>
        <v>290</v>
      </c>
      <c r="F668" s="883">
        <f>ROUND(0.96*0.05,4)</f>
        <v>4.8000000000000001E-2</v>
      </c>
      <c r="G668" s="923">
        <f t="shared" ref="G668:G669" si="239">IF(E668&lt;=30,(1.07*E668+2.68)*F668,((1.07*30+2.68)+1.07*(E668-30))*F668)</f>
        <v>15.023040000000002</v>
      </c>
      <c r="H668" s="876">
        <v>0</v>
      </c>
      <c r="I668" s="876">
        <f t="shared" si="237"/>
        <v>15.023040000000002</v>
      </c>
      <c r="J668" s="877">
        <v>0</v>
      </c>
      <c r="K668" s="932" t="s">
        <v>506</v>
      </c>
      <c r="L668" s="933">
        <f>ROUND(SUM(ORÇAMENTO!L668),2)</f>
        <v>0</v>
      </c>
      <c r="M668" s="934">
        <f t="shared" si="232"/>
        <v>0</v>
      </c>
      <c r="N668" s="868">
        <f t="shared" si="233"/>
        <v>0</v>
      </c>
      <c r="O668" s="880"/>
      <c r="P668" s="58" t="str">
        <f>IF(N666&gt;0,"xx",IF(N666&gt;0,"xy",""))</f>
        <v/>
      </c>
      <c r="Q668" s="317" t="str">
        <f t="shared" si="234"/>
        <v/>
      </c>
      <c r="R668" s="317" t="str">
        <f t="shared" si="235"/>
        <v/>
      </c>
      <c r="S668" s="317" t="str">
        <f t="shared" si="236"/>
        <v/>
      </c>
      <c r="V668" s="314">
        <f>SUM(ORÇAMENTO!N668)</f>
        <v>0</v>
      </c>
      <c r="W668" s="315">
        <f t="shared" si="238"/>
        <v>0</v>
      </c>
    </row>
    <row r="669" spans="1:29" ht="15" hidden="1" customHeight="1">
      <c r="A669" s="63" t="s">
        <v>147</v>
      </c>
      <c r="B669" s="870" t="s">
        <v>147</v>
      </c>
      <c r="C669" s="871"/>
      <c r="D669" s="931" t="s">
        <v>233</v>
      </c>
      <c r="E669" s="882">
        <f>DMT!$F$10</f>
        <v>43.1</v>
      </c>
      <c r="F669" s="883">
        <f>ROUND(1.11*0.05,4)</f>
        <v>5.5500000000000001E-2</v>
      </c>
      <c r="G669" s="923">
        <f t="shared" si="239"/>
        <v>2.7082335000000004</v>
      </c>
      <c r="H669" s="876">
        <v>0</v>
      </c>
      <c r="I669" s="876">
        <f t="shared" si="237"/>
        <v>2.7082335000000004</v>
      </c>
      <c r="J669" s="877">
        <v>0</v>
      </c>
      <c r="K669" s="932" t="s">
        <v>506</v>
      </c>
      <c r="L669" s="933">
        <f>ROUND(SUM(ORÇAMENTO!L669),2)</f>
        <v>0</v>
      </c>
      <c r="M669" s="934">
        <f t="shared" si="232"/>
        <v>0</v>
      </c>
      <c r="N669" s="868">
        <f t="shared" si="233"/>
        <v>0</v>
      </c>
      <c r="O669" s="880"/>
      <c r="P669" s="58" t="str">
        <f>IF(N666&gt;0,"xx",IF(N666&gt;0,"xy",""))</f>
        <v/>
      </c>
      <c r="Q669" s="317" t="str">
        <f t="shared" si="234"/>
        <v/>
      </c>
      <c r="R669" s="317" t="str">
        <f t="shared" si="235"/>
        <v/>
      </c>
      <c r="S669" s="317" t="str">
        <f t="shared" si="236"/>
        <v/>
      </c>
      <c r="V669" s="314">
        <f>SUM(ORÇAMENTO!N669)</f>
        <v>0</v>
      </c>
      <c r="W669" s="315">
        <f t="shared" si="238"/>
        <v>0</v>
      </c>
    </row>
    <row r="670" spans="1:29" ht="15" hidden="1" customHeight="1">
      <c r="A670" s="63">
        <v>605000</v>
      </c>
      <c r="B670" s="870" t="s">
        <v>300</v>
      </c>
      <c r="C670" s="871" t="s">
        <v>184</v>
      </c>
      <c r="D670" s="881" t="s">
        <v>515</v>
      </c>
      <c r="E670" s="882"/>
      <c r="F670" s="883"/>
      <c r="G670" s="887">
        <f>SUM(G671:G673)*0.05</f>
        <v>1.3513616100000001</v>
      </c>
      <c r="H670" s="876">
        <v>31.71</v>
      </c>
      <c r="I670" s="876">
        <f t="shared" si="237"/>
        <v>33.061361609999999</v>
      </c>
      <c r="J670" s="877">
        <f t="shared" si="228"/>
        <v>40.409999999999997</v>
      </c>
      <c r="K670" s="878" t="s">
        <v>12</v>
      </c>
      <c r="L670" s="879">
        <f>ROUND(SUM(ORÇAMENTO!L670),2)</f>
        <v>0</v>
      </c>
      <c r="M670" s="879">
        <f t="shared" si="232"/>
        <v>0</v>
      </c>
      <c r="N670" s="868">
        <f t="shared" si="233"/>
        <v>0</v>
      </c>
      <c r="O670" s="880"/>
      <c r="Q670" s="317" t="str">
        <f t="shared" si="234"/>
        <v/>
      </c>
      <c r="R670" s="317" t="str">
        <f t="shared" si="235"/>
        <v/>
      </c>
      <c r="S670" s="317" t="str">
        <f t="shared" si="236"/>
        <v/>
      </c>
      <c r="V670" s="314">
        <f>SUM(ORÇAMENTO!N670)</f>
        <v>0</v>
      </c>
      <c r="W670" s="315">
        <f t="shared" si="238"/>
        <v>0</v>
      </c>
    </row>
    <row r="671" spans="1:29" ht="15" hidden="1" customHeight="1">
      <c r="A671" s="63" t="s">
        <v>147</v>
      </c>
      <c r="B671" s="870" t="s">
        <v>147</v>
      </c>
      <c r="C671" s="871"/>
      <c r="D671" s="931" t="s">
        <v>190</v>
      </c>
      <c r="E671" s="882">
        <f>DMT!$D$20</f>
        <v>445</v>
      </c>
      <c r="F671" s="883">
        <f>ROUND(0.27*0.06,4)</f>
        <v>1.6199999999999999E-2</v>
      </c>
      <c r="G671" s="884">
        <f>IF(E671&lt;=30,(0.78*E671+7.82)*F671,((0.78*30+7.82)+0.78*(E671-30))*F671)</f>
        <v>5.7497040000000004</v>
      </c>
      <c r="H671" s="876">
        <v>0</v>
      </c>
      <c r="I671" s="876">
        <f t="shared" si="237"/>
        <v>5.7497040000000004</v>
      </c>
      <c r="J671" s="877">
        <v>0</v>
      </c>
      <c r="K671" s="932" t="s">
        <v>506</v>
      </c>
      <c r="L671" s="933">
        <f>ROUND(SUM(ORÇAMENTO!L671),2)</f>
        <v>0</v>
      </c>
      <c r="M671" s="934">
        <f t="shared" si="232"/>
        <v>0</v>
      </c>
      <c r="N671" s="868">
        <f t="shared" si="233"/>
        <v>0</v>
      </c>
      <c r="O671" s="880"/>
      <c r="P671" s="58" t="str">
        <f>IF(N670&gt;0,"xx",IF(N670&gt;0,"xy",""))</f>
        <v/>
      </c>
      <c r="Q671" s="317" t="str">
        <f t="shared" si="234"/>
        <v/>
      </c>
      <c r="R671" s="317" t="str">
        <f t="shared" si="235"/>
        <v/>
      </c>
      <c r="S671" s="317" t="str">
        <f t="shared" si="236"/>
        <v/>
      </c>
      <c r="V671" s="314">
        <f>SUM(ORÇAMENTO!N671)</f>
        <v>0</v>
      </c>
      <c r="W671" s="315">
        <f t="shared" si="238"/>
        <v>0</v>
      </c>
    </row>
    <row r="672" spans="1:29" ht="15" hidden="1" customHeight="1">
      <c r="A672" s="63" t="s">
        <v>147</v>
      </c>
      <c r="B672" s="870" t="s">
        <v>147</v>
      </c>
      <c r="C672" s="871"/>
      <c r="D672" s="931" t="s">
        <v>229</v>
      </c>
      <c r="E672" s="882">
        <f>DMT!$F$8</f>
        <v>290</v>
      </c>
      <c r="F672" s="883">
        <f>ROUND(0.96*0.06,4)</f>
        <v>5.7599999999999998E-2</v>
      </c>
      <c r="G672" s="923">
        <f t="shared" ref="G672:G673" si="240">IF(E672&lt;=30,(1.07*E672+2.68)*F672,((1.07*30+2.68)+1.07*(E672-30))*F672)</f>
        <v>18.027647999999999</v>
      </c>
      <c r="H672" s="876">
        <v>0</v>
      </c>
      <c r="I672" s="876">
        <f t="shared" si="237"/>
        <v>18.027647999999999</v>
      </c>
      <c r="J672" s="877">
        <v>0</v>
      </c>
      <c r="K672" s="932" t="s">
        <v>506</v>
      </c>
      <c r="L672" s="933">
        <f>ROUND(SUM(ORÇAMENTO!L672),2)</f>
        <v>0</v>
      </c>
      <c r="M672" s="934">
        <f t="shared" si="232"/>
        <v>0</v>
      </c>
      <c r="N672" s="868">
        <f t="shared" si="233"/>
        <v>0</v>
      </c>
      <c r="O672" s="880"/>
      <c r="P672" s="58" t="str">
        <f>IF(N670&gt;0,"xx",IF(N670&gt;0,"xy",""))</f>
        <v/>
      </c>
      <c r="Q672" s="317" t="str">
        <f t="shared" si="234"/>
        <v/>
      </c>
      <c r="R672" s="317" t="str">
        <f t="shared" si="235"/>
        <v/>
      </c>
      <c r="S672" s="317" t="str">
        <f t="shared" si="236"/>
        <v/>
      </c>
      <c r="V672" s="314">
        <f>SUM(ORÇAMENTO!N672)</f>
        <v>0</v>
      </c>
      <c r="W672" s="315">
        <f t="shared" si="238"/>
        <v>0</v>
      </c>
    </row>
    <row r="673" spans="1:29" ht="15" hidden="1" customHeight="1">
      <c r="A673" s="63" t="s">
        <v>147</v>
      </c>
      <c r="B673" s="870" t="s">
        <v>147</v>
      </c>
      <c r="C673" s="871"/>
      <c r="D673" s="931" t="s">
        <v>233</v>
      </c>
      <c r="E673" s="882">
        <f>DMT!$F$10</f>
        <v>43.1</v>
      </c>
      <c r="F673" s="883">
        <f>ROUND(1.11*0.06,4)</f>
        <v>6.6600000000000006E-2</v>
      </c>
      <c r="G673" s="923">
        <f t="shared" si="240"/>
        <v>3.2498802000000007</v>
      </c>
      <c r="H673" s="876">
        <v>0</v>
      </c>
      <c r="I673" s="876">
        <f t="shared" si="237"/>
        <v>3.2498802000000007</v>
      </c>
      <c r="J673" s="877">
        <v>0</v>
      </c>
      <c r="K673" s="932" t="s">
        <v>506</v>
      </c>
      <c r="L673" s="933">
        <f>ROUND(SUM(ORÇAMENTO!L673),2)</f>
        <v>0</v>
      </c>
      <c r="M673" s="934">
        <f t="shared" si="232"/>
        <v>0</v>
      </c>
      <c r="N673" s="868">
        <f t="shared" si="233"/>
        <v>0</v>
      </c>
      <c r="O673" s="880"/>
      <c r="P673" s="58" t="str">
        <f>IF(N670&gt;0,"xx",IF(N670&gt;0,"xy",""))</f>
        <v/>
      </c>
      <c r="Q673" s="317" t="str">
        <f t="shared" si="234"/>
        <v/>
      </c>
      <c r="R673" s="317" t="str">
        <f t="shared" si="235"/>
        <v/>
      </c>
      <c r="S673" s="317" t="str">
        <f t="shared" si="236"/>
        <v/>
      </c>
      <c r="V673" s="314">
        <f>SUM(ORÇAMENTO!N673)</f>
        <v>0</v>
      </c>
      <c r="W673" s="315">
        <f t="shared" si="238"/>
        <v>0</v>
      </c>
    </row>
    <row r="674" spans="1:29" ht="15" hidden="1" customHeight="1">
      <c r="A674" s="63">
        <v>605000</v>
      </c>
      <c r="B674" s="870" t="s">
        <v>301</v>
      </c>
      <c r="C674" s="871" t="s">
        <v>184</v>
      </c>
      <c r="D674" s="881" t="s">
        <v>516</v>
      </c>
      <c r="E674" s="882"/>
      <c r="F674" s="883"/>
      <c r="G674" s="887">
        <f>SUM(G675:G677)*0.05</f>
        <v>1.5765885450000001</v>
      </c>
      <c r="H674" s="876">
        <v>36.58</v>
      </c>
      <c r="I674" s="876">
        <f t="shared" si="237"/>
        <v>38.156588544999998</v>
      </c>
      <c r="J674" s="877">
        <f t="shared" si="228"/>
        <v>46.63</v>
      </c>
      <c r="K674" s="878" t="s">
        <v>12</v>
      </c>
      <c r="L674" s="879">
        <f>ROUND(SUM(ORÇAMENTO!L674),2)</f>
        <v>0</v>
      </c>
      <c r="M674" s="879">
        <f t="shared" si="232"/>
        <v>0</v>
      </c>
      <c r="N674" s="868">
        <f t="shared" si="233"/>
        <v>0</v>
      </c>
      <c r="O674" s="880"/>
      <c r="Q674" s="317" t="str">
        <f t="shared" si="234"/>
        <v/>
      </c>
      <c r="R674" s="317" t="str">
        <f t="shared" si="235"/>
        <v/>
      </c>
      <c r="S674" s="317" t="str">
        <f t="shared" si="236"/>
        <v/>
      </c>
      <c r="V674" s="314">
        <f>SUM(ORÇAMENTO!N674)</f>
        <v>0</v>
      </c>
      <c r="W674" s="315">
        <f t="shared" si="238"/>
        <v>0</v>
      </c>
    </row>
    <row r="675" spans="1:29" ht="15" hidden="1" customHeight="1">
      <c r="A675" s="63" t="s">
        <v>147</v>
      </c>
      <c r="B675" s="870" t="s">
        <v>147</v>
      </c>
      <c r="C675" s="871"/>
      <c r="D675" s="931" t="s">
        <v>190</v>
      </c>
      <c r="E675" s="882">
        <f>DMT!$D$20</f>
        <v>445</v>
      </c>
      <c r="F675" s="883">
        <f>ROUND(0.27*0.07,4)</f>
        <v>1.89E-2</v>
      </c>
      <c r="G675" s="884">
        <f>IF(E675&lt;=30,(0.78*E675+7.82)*F675,((0.78*30+7.82)+0.78*(E675-30))*F675)</f>
        <v>6.7079880000000003</v>
      </c>
      <c r="H675" s="876">
        <v>0</v>
      </c>
      <c r="I675" s="876">
        <f t="shared" si="237"/>
        <v>6.7079880000000003</v>
      </c>
      <c r="J675" s="877">
        <v>0</v>
      </c>
      <c r="K675" s="932" t="s">
        <v>506</v>
      </c>
      <c r="L675" s="933">
        <f>ROUND(SUM(ORÇAMENTO!L675),2)</f>
        <v>0</v>
      </c>
      <c r="M675" s="934">
        <f t="shared" si="232"/>
        <v>0</v>
      </c>
      <c r="N675" s="868">
        <f t="shared" si="233"/>
        <v>0</v>
      </c>
      <c r="O675" s="880"/>
      <c r="P675" s="58" t="str">
        <f>IF(N674&gt;0,"xx",IF(N674&gt;0,"xy",""))</f>
        <v/>
      </c>
      <c r="Q675" s="317" t="str">
        <f t="shared" si="234"/>
        <v/>
      </c>
      <c r="R675" s="317" t="str">
        <f t="shared" si="235"/>
        <v/>
      </c>
      <c r="S675" s="317" t="str">
        <f t="shared" si="236"/>
        <v/>
      </c>
      <c r="V675" s="314">
        <f>SUM(ORÇAMENTO!N675)</f>
        <v>0</v>
      </c>
      <c r="W675" s="315">
        <f t="shared" si="238"/>
        <v>0</v>
      </c>
    </row>
    <row r="676" spans="1:29" ht="15" hidden="1" customHeight="1">
      <c r="A676" s="63" t="s">
        <v>147</v>
      </c>
      <c r="B676" s="870" t="s">
        <v>147</v>
      </c>
      <c r="C676" s="871"/>
      <c r="D676" s="931" t="s">
        <v>229</v>
      </c>
      <c r="E676" s="882">
        <f>DMT!$F$8</f>
        <v>290</v>
      </c>
      <c r="F676" s="883">
        <f>ROUND(0.96*0.07,4)</f>
        <v>6.7199999999999996E-2</v>
      </c>
      <c r="G676" s="923">
        <f t="shared" ref="G676:G677" si="241">IF(E676&lt;=30,(1.07*E676+2.68)*F676,((1.07*30+2.68)+1.07*(E676-30))*F676)</f>
        <v>21.032256</v>
      </c>
      <c r="H676" s="876">
        <v>0</v>
      </c>
      <c r="I676" s="876">
        <f t="shared" si="237"/>
        <v>21.032256</v>
      </c>
      <c r="J676" s="877">
        <v>0</v>
      </c>
      <c r="K676" s="932" t="s">
        <v>506</v>
      </c>
      <c r="L676" s="933">
        <f>ROUND(SUM(ORÇAMENTO!L676),2)</f>
        <v>0</v>
      </c>
      <c r="M676" s="934">
        <f t="shared" si="232"/>
        <v>0</v>
      </c>
      <c r="N676" s="868">
        <f t="shared" si="233"/>
        <v>0</v>
      </c>
      <c r="O676" s="880"/>
      <c r="P676" s="58" t="str">
        <f>IF(N674&gt;0,"xx",IF(N674&gt;0,"xy",""))</f>
        <v/>
      </c>
      <c r="Q676" s="317" t="str">
        <f t="shared" si="234"/>
        <v/>
      </c>
      <c r="R676" s="317" t="str">
        <f t="shared" si="235"/>
        <v/>
      </c>
      <c r="S676" s="317" t="str">
        <f t="shared" si="236"/>
        <v/>
      </c>
      <c r="V676" s="314">
        <f>SUM(ORÇAMENTO!N676)</f>
        <v>0</v>
      </c>
      <c r="W676" s="315">
        <f t="shared" si="238"/>
        <v>0</v>
      </c>
    </row>
    <row r="677" spans="1:29" ht="15" hidden="1" customHeight="1">
      <c r="A677" s="63" t="s">
        <v>147</v>
      </c>
      <c r="B677" s="870" t="s">
        <v>147</v>
      </c>
      <c r="C677" s="871"/>
      <c r="D677" s="931" t="s">
        <v>233</v>
      </c>
      <c r="E677" s="882">
        <f>DMT!$F$10</f>
        <v>43.1</v>
      </c>
      <c r="F677" s="883">
        <f>ROUND(1.11*0.07,4)</f>
        <v>7.7700000000000005E-2</v>
      </c>
      <c r="G677" s="923">
        <f t="shared" si="241"/>
        <v>3.7915269000000005</v>
      </c>
      <c r="H677" s="876">
        <v>0</v>
      </c>
      <c r="I677" s="876">
        <f t="shared" si="237"/>
        <v>3.7915269000000005</v>
      </c>
      <c r="J677" s="877">
        <v>0</v>
      </c>
      <c r="K677" s="932" t="s">
        <v>506</v>
      </c>
      <c r="L677" s="933">
        <f>ROUND(SUM(ORÇAMENTO!L677),2)</f>
        <v>0</v>
      </c>
      <c r="M677" s="934">
        <f t="shared" si="232"/>
        <v>0</v>
      </c>
      <c r="N677" s="868">
        <f t="shared" si="233"/>
        <v>0</v>
      </c>
      <c r="O677" s="880"/>
      <c r="P677" s="58" t="str">
        <f>IF(N674&gt;0,"xx",IF(N674&gt;0,"xy",""))</f>
        <v/>
      </c>
      <c r="Q677" s="317" t="str">
        <f t="shared" si="234"/>
        <v/>
      </c>
      <c r="R677" s="317" t="str">
        <f t="shared" si="235"/>
        <v/>
      </c>
      <c r="S677" s="317" t="str">
        <f t="shared" si="236"/>
        <v/>
      </c>
      <c r="V677" s="314">
        <f>SUM(ORÇAMENTO!N677)</f>
        <v>0</v>
      </c>
      <c r="W677" s="315">
        <f t="shared" si="238"/>
        <v>0</v>
      </c>
    </row>
    <row r="678" spans="1:29" ht="15" hidden="1" customHeight="1">
      <c r="A678" s="63">
        <v>605000</v>
      </c>
      <c r="B678" s="870" t="s">
        <v>1759</v>
      </c>
      <c r="C678" s="871" t="s">
        <v>184</v>
      </c>
      <c r="D678" s="881" t="s">
        <v>525</v>
      </c>
      <c r="E678" s="882"/>
      <c r="F678" s="883"/>
      <c r="G678" s="887">
        <f>SUM(G679:G681)*0.05</f>
        <v>1.8018154800000001</v>
      </c>
      <c r="H678" s="876">
        <v>41.44</v>
      </c>
      <c r="I678" s="876">
        <f t="shared" si="237"/>
        <v>43.24181548</v>
      </c>
      <c r="J678" s="877">
        <f t="shared" si="228"/>
        <v>52.85</v>
      </c>
      <c r="K678" s="878" t="s">
        <v>12</v>
      </c>
      <c r="L678" s="879">
        <f>ROUND(SUM(ORÇAMENTO!L678),2)</f>
        <v>0</v>
      </c>
      <c r="M678" s="879">
        <f t="shared" si="232"/>
        <v>0</v>
      </c>
      <c r="N678" s="868">
        <f t="shared" si="233"/>
        <v>0</v>
      </c>
      <c r="O678" s="880"/>
      <c r="Q678" s="317" t="str">
        <f t="shared" si="234"/>
        <v/>
      </c>
      <c r="R678" s="317" t="str">
        <f t="shared" si="235"/>
        <v/>
      </c>
      <c r="S678" s="317" t="str">
        <f t="shared" si="236"/>
        <v/>
      </c>
      <c r="V678" s="314">
        <f>SUM(ORÇAMENTO!N678)</f>
        <v>0</v>
      </c>
      <c r="W678" s="315">
        <f t="shared" si="238"/>
        <v>0</v>
      </c>
    </row>
    <row r="679" spans="1:29" ht="15" hidden="1" customHeight="1">
      <c r="A679" s="63" t="s">
        <v>147</v>
      </c>
      <c r="B679" s="870" t="s">
        <v>147</v>
      </c>
      <c r="C679" s="871"/>
      <c r="D679" s="931" t="s">
        <v>190</v>
      </c>
      <c r="E679" s="882">
        <f>DMT!$D$20</f>
        <v>445</v>
      </c>
      <c r="F679" s="883">
        <f>ROUND(0.27*0.08,4)</f>
        <v>2.1600000000000001E-2</v>
      </c>
      <c r="G679" s="884">
        <f>IF(E679&lt;=30,(0.78*E679+7.82)*F679,((0.78*30+7.82)+0.78*(E679-30))*F679)</f>
        <v>7.6662720000000011</v>
      </c>
      <c r="H679" s="876">
        <v>0</v>
      </c>
      <c r="I679" s="876"/>
      <c r="J679" s="877">
        <v>0</v>
      </c>
      <c r="K679" s="932" t="s">
        <v>506</v>
      </c>
      <c r="L679" s="933">
        <f>ROUND(SUM(ORÇAMENTO!L679),2)</f>
        <v>0</v>
      </c>
      <c r="M679" s="934">
        <f t="shared" si="232"/>
        <v>0</v>
      </c>
      <c r="N679" s="868">
        <f t="shared" si="233"/>
        <v>0</v>
      </c>
      <c r="O679" s="880"/>
      <c r="P679" s="58" t="str">
        <f>IF(N678&gt;0,"xx",IF(N678&gt;0,"xy",""))</f>
        <v/>
      </c>
      <c r="Q679" s="317" t="str">
        <f t="shared" si="234"/>
        <v/>
      </c>
      <c r="R679" s="317" t="str">
        <f t="shared" si="235"/>
        <v/>
      </c>
      <c r="S679" s="317" t="str">
        <f t="shared" si="236"/>
        <v/>
      </c>
      <c r="V679" s="314">
        <f>SUM(ORÇAMENTO!N679)</f>
        <v>0</v>
      </c>
      <c r="W679" s="315">
        <f t="shared" si="238"/>
        <v>0</v>
      </c>
    </row>
    <row r="680" spans="1:29" ht="15" hidden="1" customHeight="1">
      <c r="A680" s="63" t="s">
        <v>147</v>
      </c>
      <c r="B680" s="870" t="s">
        <v>147</v>
      </c>
      <c r="C680" s="871"/>
      <c r="D680" s="931" t="s">
        <v>229</v>
      </c>
      <c r="E680" s="882">
        <f>DMT!$F$8</f>
        <v>290</v>
      </c>
      <c r="F680" s="883">
        <f>ROUND(0.96*0.08,4)</f>
        <v>7.6799999999999993E-2</v>
      </c>
      <c r="G680" s="923">
        <f t="shared" ref="G680:G681" si="242">IF(E680&lt;=30,(1.07*E680+2.68)*F680,((1.07*30+2.68)+1.07*(E680-30))*F680)</f>
        <v>24.036863999999998</v>
      </c>
      <c r="H680" s="876">
        <v>0</v>
      </c>
      <c r="I680" s="876"/>
      <c r="J680" s="877">
        <v>0</v>
      </c>
      <c r="K680" s="932" t="s">
        <v>506</v>
      </c>
      <c r="L680" s="933">
        <f>ROUND(SUM(ORÇAMENTO!L680),2)</f>
        <v>0</v>
      </c>
      <c r="M680" s="934">
        <f t="shared" si="232"/>
        <v>0</v>
      </c>
      <c r="N680" s="868">
        <f t="shared" si="233"/>
        <v>0</v>
      </c>
      <c r="O680" s="880"/>
      <c r="P680" s="58" t="str">
        <f>IF(N678&gt;0,"xx",IF(N678&gt;0,"xy",""))</f>
        <v/>
      </c>
      <c r="Q680" s="317" t="str">
        <f t="shared" si="234"/>
        <v/>
      </c>
      <c r="R680" s="317" t="str">
        <f t="shared" si="235"/>
        <v/>
      </c>
      <c r="S680" s="317" t="str">
        <f t="shared" si="236"/>
        <v/>
      </c>
      <c r="V680" s="314">
        <f>SUM(ORÇAMENTO!N680)</f>
        <v>0</v>
      </c>
      <c r="W680" s="315">
        <f t="shared" si="238"/>
        <v>0</v>
      </c>
    </row>
    <row r="681" spans="1:29" ht="15" hidden="1" customHeight="1">
      <c r="A681" s="63" t="s">
        <v>147</v>
      </c>
      <c r="B681" s="870" t="s">
        <v>147</v>
      </c>
      <c r="C681" s="871"/>
      <c r="D681" s="931" t="s">
        <v>233</v>
      </c>
      <c r="E681" s="882">
        <f>DMT!$F$10</f>
        <v>43.1</v>
      </c>
      <c r="F681" s="883">
        <f>ROUND(1.11*0.08,4)</f>
        <v>8.8800000000000004E-2</v>
      </c>
      <c r="G681" s="923">
        <f t="shared" si="242"/>
        <v>4.3331736000000003</v>
      </c>
      <c r="H681" s="876">
        <v>0</v>
      </c>
      <c r="I681" s="876"/>
      <c r="J681" s="877">
        <v>0</v>
      </c>
      <c r="K681" s="932" t="s">
        <v>506</v>
      </c>
      <c r="L681" s="933">
        <f>ROUND(SUM(ORÇAMENTO!L681),2)</f>
        <v>0</v>
      </c>
      <c r="M681" s="934">
        <f t="shared" si="232"/>
        <v>0</v>
      </c>
      <c r="N681" s="868">
        <f t="shared" si="233"/>
        <v>0</v>
      </c>
      <c r="O681" s="880"/>
      <c r="P681" s="58" t="str">
        <f>IF(N678&gt;0,"xx",IF(N678&gt;0,"xy",""))</f>
        <v/>
      </c>
      <c r="Q681" s="317" t="str">
        <f t="shared" si="234"/>
        <v/>
      </c>
      <c r="R681" s="317" t="str">
        <f t="shared" si="235"/>
        <v/>
      </c>
      <c r="S681" s="317" t="str">
        <f t="shared" si="236"/>
        <v/>
      </c>
      <c r="V681" s="314">
        <f>SUM(ORÇAMENTO!N681)</f>
        <v>0</v>
      </c>
      <c r="W681" s="315">
        <f t="shared" si="238"/>
        <v>0</v>
      </c>
    </row>
    <row r="682" spans="1:29" ht="15" hidden="1" customHeight="1">
      <c r="A682" s="63">
        <v>511000</v>
      </c>
      <c r="B682" s="870" t="s">
        <v>1541</v>
      </c>
      <c r="C682" s="871" t="s">
        <v>184</v>
      </c>
      <c r="D682" s="881" t="s">
        <v>268</v>
      </c>
      <c r="E682" s="882"/>
      <c r="F682" s="883"/>
      <c r="G682" s="887"/>
      <c r="H682" s="876">
        <v>4.91</v>
      </c>
      <c r="I682" s="876">
        <f t="shared" ref="I682:I687" si="243">IF(ISBLANK(H682),"",SUM(G682:H682))</f>
        <v>4.91</v>
      </c>
      <c r="J682" s="877">
        <f t="shared" si="228"/>
        <v>6</v>
      </c>
      <c r="K682" s="878" t="s">
        <v>12</v>
      </c>
      <c r="L682" s="879">
        <f>ROUND(SUM(ORÇAMENTO!L682),2)</f>
        <v>0</v>
      </c>
      <c r="M682" s="879">
        <f t="shared" si="232"/>
        <v>0</v>
      </c>
      <c r="N682" s="868">
        <f t="shared" si="233"/>
        <v>0</v>
      </c>
      <c r="O682" s="880"/>
      <c r="Q682" s="317" t="str">
        <f t="shared" si="234"/>
        <v/>
      </c>
      <c r="R682" s="317" t="str">
        <f t="shared" si="235"/>
        <v/>
      </c>
      <c r="S682" s="317" t="str">
        <f t="shared" si="236"/>
        <v/>
      </c>
      <c r="V682" s="314">
        <f>SUM(ORÇAMENTO!N682)</f>
        <v>0</v>
      </c>
      <c r="W682" s="315">
        <f t="shared" si="238"/>
        <v>0</v>
      </c>
    </row>
    <row r="683" spans="1:29" ht="15" hidden="1" customHeight="1">
      <c r="A683" s="63">
        <v>511100</v>
      </c>
      <c r="B683" s="870" t="s">
        <v>1553</v>
      </c>
      <c r="C683" s="871" t="s">
        <v>184</v>
      </c>
      <c r="D683" s="881" t="s">
        <v>269</v>
      </c>
      <c r="E683" s="882"/>
      <c r="F683" s="883"/>
      <c r="G683" s="887"/>
      <c r="H683" s="876">
        <v>4.25</v>
      </c>
      <c r="I683" s="876">
        <f t="shared" si="243"/>
        <v>4.25</v>
      </c>
      <c r="J683" s="877">
        <f t="shared" si="228"/>
        <v>5.19</v>
      </c>
      <c r="K683" s="878" t="s">
        <v>12</v>
      </c>
      <c r="L683" s="879">
        <f>ROUND(SUM(ORÇAMENTO!L683),2)</f>
        <v>0</v>
      </c>
      <c r="M683" s="879">
        <f t="shared" si="232"/>
        <v>0</v>
      </c>
      <c r="N683" s="868">
        <f t="shared" si="233"/>
        <v>0</v>
      </c>
      <c r="O683" s="880"/>
      <c r="Q683" s="317" t="str">
        <f t="shared" si="234"/>
        <v/>
      </c>
      <c r="R683" s="317" t="str">
        <f t="shared" si="235"/>
        <v/>
      </c>
      <c r="S683" s="317" t="str">
        <f t="shared" si="236"/>
        <v/>
      </c>
      <c r="V683" s="314">
        <f>SUM(ORÇAMENTO!N683)</f>
        <v>0</v>
      </c>
      <c r="W683" s="315">
        <f t="shared" si="238"/>
        <v>0</v>
      </c>
    </row>
    <row r="684" spans="1:29" ht="15" hidden="1" customHeight="1">
      <c r="A684" s="63">
        <v>520100</v>
      </c>
      <c r="B684" s="870" t="s">
        <v>1544</v>
      </c>
      <c r="C684" s="871" t="s">
        <v>184</v>
      </c>
      <c r="D684" s="881" t="s">
        <v>270</v>
      </c>
      <c r="E684" s="935">
        <v>1</v>
      </c>
      <c r="F684" s="874">
        <f>1.5*1.4</f>
        <v>2.0999999999999996</v>
      </c>
      <c r="G684" s="923">
        <f t="shared" ref="G684:G693" si="244">IF(E684&lt;=30,(1.07*E684+2.68)*F684,((1.07*30+2.68)+1.07*(E684-30))*F684)</f>
        <v>7.8749999999999982</v>
      </c>
      <c r="H684" s="928">
        <v>5.45</v>
      </c>
      <c r="I684" s="876">
        <f t="shared" si="243"/>
        <v>13.324999999999999</v>
      </c>
      <c r="J684" s="877">
        <f t="shared" si="228"/>
        <v>16.29</v>
      </c>
      <c r="K684" s="878" t="s">
        <v>10</v>
      </c>
      <c r="L684" s="879">
        <f>ROUND(SUM(ORÇAMENTO!L684),2)</f>
        <v>0</v>
      </c>
      <c r="M684" s="879">
        <f t="shared" si="232"/>
        <v>0</v>
      </c>
      <c r="N684" s="868">
        <f t="shared" si="233"/>
        <v>0</v>
      </c>
      <c r="O684" s="880"/>
      <c r="Q684" s="317" t="str">
        <f t="shared" si="234"/>
        <v/>
      </c>
      <c r="R684" s="317" t="str">
        <f t="shared" si="235"/>
        <v/>
      </c>
      <c r="S684" s="317" t="str">
        <f t="shared" si="236"/>
        <v/>
      </c>
      <c r="V684" s="314">
        <f>SUM(ORÇAMENTO!N684)</f>
        <v>0</v>
      </c>
      <c r="W684" s="315">
        <f t="shared" si="238"/>
        <v>0</v>
      </c>
    </row>
    <row r="685" spans="1:29" ht="15" hidden="1" customHeight="1">
      <c r="A685" s="63">
        <v>520100</v>
      </c>
      <c r="B685" s="870" t="s">
        <v>1545</v>
      </c>
      <c r="C685" s="871" t="s">
        <v>184</v>
      </c>
      <c r="D685" s="881" t="s">
        <v>271</v>
      </c>
      <c r="E685" s="935">
        <v>10</v>
      </c>
      <c r="F685" s="874">
        <f>1.5*1.4</f>
        <v>2.0999999999999996</v>
      </c>
      <c r="G685" s="923">
        <f t="shared" si="244"/>
        <v>28.097999999999995</v>
      </c>
      <c r="H685" s="928">
        <v>5.45</v>
      </c>
      <c r="I685" s="876">
        <f t="shared" si="243"/>
        <v>33.547999999999995</v>
      </c>
      <c r="J685" s="877">
        <f t="shared" si="228"/>
        <v>41</v>
      </c>
      <c r="K685" s="878" t="s">
        <v>10</v>
      </c>
      <c r="L685" s="879">
        <f>ROUND(SUM(ORÇAMENTO!L685),2)</f>
        <v>0</v>
      </c>
      <c r="M685" s="879">
        <f t="shared" si="232"/>
        <v>0</v>
      </c>
      <c r="N685" s="868">
        <f t="shared" si="233"/>
        <v>0</v>
      </c>
      <c r="O685" s="880"/>
      <c r="Q685" s="317" t="str">
        <f t="shared" si="234"/>
        <v/>
      </c>
      <c r="R685" s="317" t="str">
        <f t="shared" si="235"/>
        <v/>
      </c>
      <c r="S685" s="317" t="str">
        <f t="shared" si="236"/>
        <v/>
      </c>
      <c r="V685" s="314">
        <f>SUM(ORÇAMENTO!N685)</f>
        <v>0</v>
      </c>
      <c r="W685" s="315">
        <f t="shared" si="238"/>
        <v>0</v>
      </c>
    </row>
    <row r="686" spans="1:29" ht="15" hidden="1" customHeight="1">
      <c r="A686" s="63">
        <v>533500</v>
      </c>
      <c r="B686" s="870" t="s">
        <v>1535</v>
      </c>
      <c r="C686" s="871" t="s">
        <v>184</v>
      </c>
      <c r="D686" s="881" t="s">
        <v>449</v>
      </c>
      <c r="E686" s="873">
        <f>DMT!$F$31</f>
        <v>17</v>
      </c>
      <c r="F686" s="874">
        <v>1.95</v>
      </c>
      <c r="G686" s="923">
        <f t="shared" si="244"/>
        <v>40.6965</v>
      </c>
      <c r="H686" s="876">
        <v>25.79</v>
      </c>
      <c r="I686" s="876">
        <f t="shared" si="243"/>
        <v>66.486500000000007</v>
      </c>
      <c r="J686" s="877">
        <f t="shared" si="228"/>
        <v>81.260000000000005</v>
      </c>
      <c r="K686" s="878" t="s">
        <v>10</v>
      </c>
      <c r="L686" s="879">
        <f>ROUND(SUM(ORÇAMENTO!L686),2)</f>
        <v>0</v>
      </c>
      <c r="M686" s="879">
        <f t="shared" si="232"/>
        <v>0</v>
      </c>
      <c r="N686" s="868">
        <f t="shared" si="233"/>
        <v>0</v>
      </c>
      <c r="O686" s="880"/>
      <c r="Q686" s="317" t="str">
        <f t="shared" si="234"/>
        <v/>
      </c>
      <c r="R686" s="317" t="str">
        <f t="shared" si="235"/>
        <v/>
      </c>
      <c r="S686" s="317" t="str">
        <f t="shared" si="236"/>
        <v/>
      </c>
      <c r="V686" s="314">
        <f>SUM(ORÇAMENTO!N686)</f>
        <v>0</v>
      </c>
      <c r="W686" s="315">
        <f t="shared" si="238"/>
        <v>0</v>
      </c>
    </row>
    <row r="687" spans="1:29" ht="15" hidden="1" customHeight="1">
      <c r="A687" s="63">
        <v>533100</v>
      </c>
      <c r="B687" s="870" t="s">
        <v>1538</v>
      </c>
      <c r="C687" s="871" t="s">
        <v>184</v>
      </c>
      <c r="D687" s="881" t="s">
        <v>457</v>
      </c>
      <c r="E687" s="873">
        <f>DMT!$F$12</f>
        <v>43.1</v>
      </c>
      <c r="F687" s="874">
        <v>1.98</v>
      </c>
      <c r="G687" s="923">
        <f t="shared" si="244"/>
        <v>96.618060000000014</v>
      </c>
      <c r="H687" s="876">
        <v>30.58</v>
      </c>
      <c r="I687" s="876">
        <f t="shared" si="243"/>
        <v>127.19806000000001</v>
      </c>
      <c r="J687" s="877">
        <f t="shared" si="228"/>
        <v>155.46</v>
      </c>
      <c r="K687" s="878" t="s">
        <v>10</v>
      </c>
      <c r="L687" s="879">
        <f>ROUND(SUM(ORÇAMENTO!L687),2)</f>
        <v>0</v>
      </c>
      <c r="M687" s="879">
        <f t="shared" si="232"/>
        <v>0</v>
      </c>
      <c r="N687" s="868">
        <f t="shared" si="233"/>
        <v>0</v>
      </c>
      <c r="O687" s="880"/>
      <c r="Q687" s="317" t="str">
        <f t="shared" si="234"/>
        <v/>
      </c>
      <c r="R687" s="317" t="str">
        <f t="shared" si="235"/>
        <v/>
      </c>
      <c r="S687" s="317" t="str">
        <f t="shared" si="236"/>
        <v/>
      </c>
      <c r="V687" s="314">
        <f>SUM(ORÇAMENTO!N687)</f>
        <v>0</v>
      </c>
      <c r="W687" s="315">
        <f t="shared" si="238"/>
        <v>0</v>
      </c>
    </row>
    <row r="688" spans="1:29" ht="15" hidden="1" customHeight="1">
      <c r="A688" s="63">
        <v>533100</v>
      </c>
      <c r="B688" s="870" t="s">
        <v>1539</v>
      </c>
      <c r="C688" s="871" t="s">
        <v>184</v>
      </c>
      <c r="D688" s="881" t="s">
        <v>272</v>
      </c>
      <c r="E688" s="935">
        <v>10</v>
      </c>
      <c r="F688" s="874">
        <v>2.1</v>
      </c>
      <c r="G688" s="923">
        <f t="shared" si="244"/>
        <v>28.098000000000003</v>
      </c>
      <c r="H688" s="876">
        <v>30.58</v>
      </c>
      <c r="I688" s="876">
        <f t="shared" ref="I688:I693" si="245">IF(ISBLANK(H688),"",SUM(G688:H688))</f>
        <v>58.677999999999997</v>
      </c>
      <c r="J688" s="877">
        <f t="shared" si="228"/>
        <v>71.72</v>
      </c>
      <c r="K688" s="878" t="s">
        <v>10</v>
      </c>
      <c r="L688" s="879">
        <f>ROUND(SUM(ORÇAMENTO!L688),2)</f>
        <v>0</v>
      </c>
      <c r="M688" s="879">
        <f t="shared" si="232"/>
        <v>0</v>
      </c>
      <c r="N688" s="868">
        <f t="shared" si="233"/>
        <v>0</v>
      </c>
      <c r="O688" s="880"/>
      <c r="Q688" s="317" t="str">
        <f t="shared" si="234"/>
        <v/>
      </c>
      <c r="R688" s="317" t="str">
        <f t="shared" si="235"/>
        <v/>
      </c>
      <c r="S688" s="317" t="str">
        <f t="shared" si="236"/>
        <v/>
      </c>
      <c r="V688" s="314">
        <f>SUM(ORÇAMENTO!N688)</f>
        <v>0</v>
      </c>
      <c r="W688" s="315">
        <f t="shared" si="238"/>
        <v>0</v>
      </c>
    </row>
    <row r="689" spans="1:23" ht="15" hidden="1" customHeight="1">
      <c r="A689" s="63">
        <v>530200</v>
      </c>
      <c r="B689" s="870" t="s">
        <v>1731</v>
      </c>
      <c r="C689" s="871" t="s">
        <v>184</v>
      </c>
      <c r="D689" s="881" t="s">
        <v>217</v>
      </c>
      <c r="E689" s="873">
        <f>DMT!$F$9</f>
        <v>43.1</v>
      </c>
      <c r="F689" s="874">
        <v>2.2000000000000002</v>
      </c>
      <c r="G689" s="923">
        <f t="shared" si="244"/>
        <v>107.35340000000002</v>
      </c>
      <c r="H689" s="876">
        <v>98.29</v>
      </c>
      <c r="I689" s="876">
        <f t="shared" si="245"/>
        <v>205.64340000000004</v>
      </c>
      <c r="J689" s="877">
        <f t="shared" si="228"/>
        <v>251.34</v>
      </c>
      <c r="K689" s="878" t="s">
        <v>10</v>
      </c>
      <c r="L689" s="879">
        <f>ROUND(SUM(ORÇAMENTO!L689),2)</f>
        <v>0</v>
      </c>
      <c r="M689" s="879">
        <f t="shared" si="232"/>
        <v>0</v>
      </c>
      <c r="N689" s="868">
        <f t="shared" si="233"/>
        <v>0</v>
      </c>
      <c r="O689" s="880"/>
      <c r="Q689" s="317" t="str">
        <f t="shared" si="234"/>
        <v/>
      </c>
      <c r="R689" s="317" t="str">
        <f t="shared" si="235"/>
        <v/>
      </c>
      <c r="S689" s="317" t="str">
        <f t="shared" si="236"/>
        <v/>
      </c>
      <c r="V689" s="314">
        <f>SUM(ORÇAMENTO!N689)</f>
        <v>0</v>
      </c>
      <c r="W689" s="315">
        <f t="shared" si="238"/>
        <v>0</v>
      </c>
    </row>
    <row r="690" spans="1:23" ht="15" hidden="1" customHeight="1">
      <c r="A690" s="63" t="s">
        <v>814</v>
      </c>
      <c r="B690" s="870" t="s">
        <v>1644</v>
      </c>
      <c r="C690" s="871" t="s">
        <v>2217</v>
      </c>
      <c r="D690" s="881" t="s">
        <v>527</v>
      </c>
      <c r="E690" s="873">
        <f>DMT!$F$12</f>
        <v>43.1</v>
      </c>
      <c r="F690" s="874">
        <v>1.95</v>
      </c>
      <c r="G690" s="923">
        <f t="shared" si="244"/>
        <v>95.154150000000001</v>
      </c>
      <c r="H690" s="876">
        <v>81.2</v>
      </c>
      <c r="I690" s="876">
        <f t="shared" si="245"/>
        <v>176.35415</v>
      </c>
      <c r="J690" s="877">
        <f t="shared" si="228"/>
        <v>215.54</v>
      </c>
      <c r="K690" s="878" t="s">
        <v>10</v>
      </c>
      <c r="L690" s="879">
        <f>ROUND(SUM(ORÇAMENTO!L690),2)</f>
        <v>0</v>
      </c>
      <c r="M690" s="879">
        <f t="shared" si="232"/>
        <v>0</v>
      </c>
      <c r="N690" s="868">
        <f t="shared" si="233"/>
        <v>0</v>
      </c>
      <c r="O690" s="880"/>
      <c r="Q690" s="317" t="str">
        <f t="shared" si="234"/>
        <v/>
      </c>
      <c r="R690" s="317" t="str">
        <f t="shared" si="235"/>
        <v/>
      </c>
      <c r="S690" s="317" t="str">
        <f t="shared" si="236"/>
        <v/>
      </c>
      <c r="V690" s="314">
        <f>SUM(ORÇAMENTO!N690)</f>
        <v>0</v>
      </c>
      <c r="W690" s="315">
        <f t="shared" si="238"/>
        <v>0</v>
      </c>
    </row>
    <row r="691" spans="1:23" ht="15" hidden="1" customHeight="1">
      <c r="A691" s="63" t="s">
        <v>815</v>
      </c>
      <c r="B691" s="870" t="s">
        <v>1645</v>
      </c>
      <c r="C691" s="871" t="s">
        <v>2217</v>
      </c>
      <c r="D691" s="881" t="s">
        <v>2216</v>
      </c>
      <c r="E691" s="873">
        <f>DMT!$F$12</f>
        <v>43.1</v>
      </c>
      <c r="F691" s="874">
        <v>2.1</v>
      </c>
      <c r="G691" s="923">
        <f t="shared" si="244"/>
        <v>102.47370000000001</v>
      </c>
      <c r="H691" s="876">
        <v>44.92</v>
      </c>
      <c r="I691" s="876">
        <f t="shared" si="245"/>
        <v>147.39370000000002</v>
      </c>
      <c r="J691" s="877">
        <f t="shared" si="228"/>
        <v>180.14</v>
      </c>
      <c r="K691" s="878" t="s">
        <v>10</v>
      </c>
      <c r="L691" s="879">
        <f>ROUND(SUM(ORÇAMENTO!L691),2)</f>
        <v>0</v>
      </c>
      <c r="M691" s="879">
        <f t="shared" si="232"/>
        <v>0</v>
      </c>
      <c r="N691" s="868">
        <f t="shared" si="233"/>
        <v>0</v>
      </c>
      <c r="O691" s="880"/>
      <c r="Q691" s="317" t="str">
        <f t="shared" si="234"/>
        <v/>
      </c>
      <c r="R691" s="317" t="str">
        <f t="shared" si="235"/>
        <v/>
      </c>
      <c r="S691" s="317" t="str">
        <f t="shared" si="236"/>
        <v/>
      </c>
      <c r="V691" s="314">
        <f>SUM(ORÇAMENTO!N691)</f>
        <v>0</v>
      </c>
      <c r="W691" s="315">
        <f t="shared" si="238"/>
        <v>0</v>
      </c>
    </row>
    <row r="692" spans="1:23" ht="15" hidden="1" customHeight="1">
      <c r="A692" s="63">
        <v>530200</v>
      </c>
      <c r="B692" s="870" t="s">
        <v>1732</v>
      </c>
      <c r="C692" s="871" t="s">
        <v>184</v>
      </c>
      <c r="D692" s="881" t="s">
        <v>458</v>
      </c>
      <c r="E692" s="873">
        <f>DMT!$F$9</f>
        <v>43.1</v>
      </c>
      <c r="F692" s="874">
        <v>2.2000000000000002</v>
      </c>
      <c r="G692" s="923">
        <f t="shared" si="244"/>
        <v>107.35340000000002</v>
      </c>
      <c r="H692" s="876">
        <v>98.29</v>
      </c>
      <c r="I692" s="876">
        <f t="shared" si="245"/>
        <v>205.64340000000004</v>
      </c>
      <c r="J692" s="877">
        <f t="shared" si="228"/>
        <v>251.34</v>
      </c>
      <c r="K692" s="878" t="s">
        <v>10</v>
      </c>
      <c r="L692" s="879">
        <f>ROUND(SUM(ORÇAMENTO!L692),2)</f>
        <v>0</v>
      </c>
      <c r="M692" s="879">
        <f t="shared" si="232"/>
        <v>0</v>
      </c>
      <c r="N692" s="868">
        <f t="shared" si="233"/>
        <v>0</v>
      </c>
      <c r="O692" s="880"/>
      <c r="Q692" s="317" t="str">
        <f t="shared" si="234"/>
        <v/>
      </c>
      <c r="R692" s="317" t="str">
        <f t="shared" si="235"/>
        <v/>
      </c>
      <c r="S692" s="317" t="str">
        <f t="shared" si="236"/>
        <v/>
      </c>
      <c r="V692" s="314">
        <f>SUM(ORÇAMENTO!N692)</f>
        <v>0</v>
      </c>
      <c r="W692" s="315">
        <f t="shared" si="238"/>
        <v>0</v>
      </c>
    </row>
    <row r="693" spans="1:23" ht="15" hidden="1" customHeight="1" thickBot="1">
      <c r="A693" s="63">
        <v>531000</v>
      </c>
      <c r="B693" s="870" t="s">
        <v>1771</v>
      </c>
      <c r="C693" s="871" t="s">
        <v>184</v>
      </c>
      <c r="D693" s="881" t="s">
        <v>273</v>
      </c>
      <c r="E693" s="882">
        <f>DMT!$F$10</f>
        <v>43.1</v>
      </c>
      <c r="F693" s="883">
        <v>2.4</v>
      </c>
      <c r="G693" s="887">
        <f t="shared" si="244"/>
        <v>117.11280000000001</v>
      </c>
      <c r="H693" s="876">
        <v>132.22999999999999</v>
      </c>
      <c r="I693" s="876">
        <f t="shared" si="245"/>
        <v>249.34280000000001</v>
      </c>
      <c r="J693" s="877">
        <f t="shared" si="228"/>
        <v>304.75</v>
      </c>
      <c r="K693" s="878" t="s">
        <v>10</v>
      </c>
      <c r="L693" s="879">
        <f>ROUND(SUM(ORÇAMENTO!L693),2)</f>
        <v>0</v>
      </c>
      <c r="M693" s="879">
        <f t="shared" si="232"/>
        <v>0</v>
      </c>
      <c r="N693" s="868">
        <f t="shared" si="233"/>
        <v>0</v>
      </c>
      <c r="O693" s="880"/>
      <c r="Q693" s="317" t="str">
        <f t="shared" si="234"/>
        <v/>
      </c>
      <c r="R693" s="317" t="str">
        <f t="shared" si="235"/>
        <v/>
      </c>
      <c r="S693" s="317" t="str">
        <f t="shared" si="236"/>
        <v/>
      </c>
      <c r="V693" s="314">
        <f>SUM(ORÇAMENTO!N693)</f>
        <v>0</v>
      </c>
      <c r="W693" s="315">
        <f t="shared" si="238"/>
        <v>0</v>
      </c>
    </row>
    <row r="694" spans="1:23" ht="15" hidden="1" customHeight="1">
      <c r="A694" s="63">
        <v>560100</v>
      </c>
      <c r="B694" s="945" t="s">
        <v>686</v>
      </c>
      <c r="C694" s="946" t="s">
        <v>184</v>
      </c>
      <c r="D694" s="947" t="s">
        <v>1505</v>
      </c>
      <c r="E694" s="948" t="s">
        <v>568</v>
      </c>
      <c r="F694" s="949">
        <v>1.1999999999999999E-3</v>
      </c>
      <c r="G694" s="950"/>
      <c r="H694" s="951">
        <v>0.49</v>
      </c>
      <c r="I694" s="951">
        <f>H694</f>
        <v>0.49</v>
      </c>
      <c r="J694" s="952">
        <f t="shared" si="228"/>
        <v>0.6</v>
      </c>
      <c r="K694" s="953" t="s">
        <v>12</v>
      </c>
      <c r="L694" s="954">
        <f>ROUND(SUM(ORÇAMENTO!L694),2)</f>
        <v>0</v>
      </c>
      <c r="M694" s="955">
        <f t="shared" si="232"/>
        <v>0</v>
      </c>
      <c r="N694" s="956">
        <f t="shared" si="233"/>
        <v>0</v>
      </c>
      <c r="O694" s="880"/>
      <c r="Q694" s="317" t="str">
        <f t="shared" si="234"/>
        <v/>
      </c>
      <c r="R694" s="317" t="str">
        <f t="shared" si="235"/>
        <v/>
      </c>
      <c r="S694" s="317" t="str">
        <f t="shared" si="236"/>
        <v/>
      </c>
      <c r="V694" s="314">
        <f>SUM(ORÇAMENTO!N694)</f>
        <v>0</v>
      </c>
      <c r="W694" s="315">
        <f t="shared" si="238"/>
        <v>0</v>
      </c>
    </row>
    <row r="695" spans="1:23" ht="15" hidden="1" customHeight="1" thickBot="1">
      <c r="A695" s="63">
        <v>589420</v>
      </c>
      <c r="B695" s="957" t="s">
        <v>692</v>
      </c>
      <c r="C695" s="1007" t="s">
        <v>213</v>
      </c>
      <c r="D695" s="959" t="s">
        <v>547</v>
      </c>
      <c r="E695" s="960">
        <f>DMT!D$24</f>
        <v>468</v>
      </c>
      <c r="F695" s="961">
        <v>1</v>
      </c>
      <c r="G695" s="923">
        <f>(0.84*E695+41.45)*F695</f>
        <v>434.57</v>
      </c>
      <c r="H695" s="962">
        <v>3861.37</v>
      </c>
      <c r="I695" s="962">
        <f>IF(ISBLANK(H695),"",H695*(1+$E$9)/(1+$E$10))+G695</f>
        <v>4174.6205694648997</v>
      </c>
      <c r="J695" s="963">
        <f t="shared" si="228"/>
        <v>5102.22</v>
      </c>
      <c r="K695" s="964" t="s">
        <v>14</v>
      </c>
      <c r="L695" s="965">
        <f>ROUND(SUM(ORÇAMENTO!L695),2)</f>
        <v>0</v>
      </c>
      <c r="M695" s="966">
        <f t="shared" si="232"/>
        <v>0</v>
      </c>
      <c r="N695" s="967">
        <f t="shared" si="233"/>
        <v>0</v>
      </c>
      <c r="O695" s="880"/>
      <c r="Q695" s="317" t="str">
        <f t="shared" si="234"/>
        <v/>
      </c>
      <c r="R695" s="317" t="str">
        <f t="shared" si="235"/>
        <v/>
      </c>
      <c r="S695" s="317" t="str">
        <f t="shared" si="236"/>
        <v/>
      </c>
      <c r="V695" s="314">
        <f>SUM(ORÇAMENTO!N695)</f>
        <v>0</v>
      </c>
      <c r="W695" s="315">
        <f t="shared" si="238"/>
        <v>0</v>
      </c>
    </row>
    <row r="696" spans="1:23" ht="15" hidden="1" customHeight="1">
      <c r="A696" s="63">
        <v>560100</v>
      </c>
      <c r="B696" s="945" t="s">
        <v>1588</v>
      </c>
      <c r="C696" s="946" t="s">
        <v>184</v>
      </c>
      <c r="D696" s="947" t="s">
        <v>534</v>
      </c>
      <c r="E696" s="948" t="s">
        <v>568</v>
      </c>
      <c r="F696" s="949">
        <v>1.1000000000000001E-3</v>
      </c>
      <c r="G696" s="950"/>
      <c r="H696" s="951">
        <v>0.49</v>
      </c>
      <c r="I696" s="951">
        <f>IF(ISBLANK(H696),"",SUM(G696:H696))</f>
        <v>0.49</v>
      </c>
      <c r="J696" s="952">
        <f t="shared" si="228"/>
        <v>0.6</v>
      </c>
      <c r="K696" s="953" t="s">
        <v>12</v>
      </c>
      <c r="L696" s="954">
        <f>ROUND(SUM(ORÇAMENTO!L696),2)</f>
        <v>0</v>
      </c>
      <c r="M696" s="955">
        <f t="shared" si="232"/>
        <v>0</v>
      </c>
      <c r="N696" s="956">
        <f t="shared" si="233"/>
        <v>0</v>
      </c>
      <c r="O696" s="880"/>
      <c r="Q696" s="317" t="str">
        <f t="shared" si="234"/>
        <v/>
      </c>
      <c r="R696" s="317" t="str">
        <f t="shared" si="235"/>
        <v/>
      </c>
      <c r="S696" s="317" t="str">
        <f t="shared" si="236"/>
        <v/>
      </c>
      <c r="V696" s="314">
        <f>SUM(ORÇAMENTO!N696)</f>
        <v>0</v>
      </c>
      <c r="W696" s="315">
        <f t="shared" si="238"/>
        <v>0</v>
      </c>
    </row>
    <row r="697" spans="1:23" ht="15" hidden="1" customHeight="1" thickBot="1">
      <c r="A697" s="63">
        <v>589190</v>
      </c>
      <c r="B697" s="957" t="s">
        <v>1682</v>
      </c>
      <c r="C697" s="1007" t="s">
        <v>213</v>
      </c>
      <c r="D697" s="959" t="s">
        <v>548</v>
      </c>
      <c r="E697" s="960">
        <f>DMT!$D$23</f>
        <v>468</v>
      </c>
      <c r="F697" s="961">
        <v>1</v>
      </c>
      <c r="G697" s="923">
        <f>(0.84*E697+41.45)*F697</f>
        <v>434.57</v>
      </c>
      <c r="H697" s="962">
        <v>4730.97</v>
      </c>
      <c r="I697" s="962">
        <f>IF(ISBLANK(H697),"",H697*(1+$E$9)/(1+$E$10))+G697</f>
        <v>5016.8988217967599</v>
      </c>
      <c r="J697" s="963">
        <f t="shared" si="228"/>
        <v>6131.65</v>
      </c>
      <c r="K697" s="964" t="s">
        <v>14</v>
      </c>
      <c r="L697" s="965">
        <f>ROUND(SUM(ORÇAMENTO!L697),2)</f>
        <v>0</v>
      </c>
      <c r="M697" s="966">
        <f t="shared" si="232"/>
        <v>0</v>
      </c>
      <c r="N697" s="967">
        <f t="shared" si="233"/>
        <v>0</v>
      </c>
      <c r="O697" s="880"/>
      <c r="Q697" s="317" t="str">
        <f t="shared" si="234"/>
        <v/>
      </c>
      <c r="R697" s="317" t="str">
        <f t="shared" si="235"/>
        <v/>
      </c>
      <c r="S697" s="317" t="str">
        <f t="shared" si="236"/>
        <v/>
      </c>
      <c r="V697" s="314">
        <f>SUM(ORÇAMENTO!N697)</f>
        <v>0</v>
      </c>
      <c r="W697" s="315">
        <f t="shared" si="238"/>
        <v>0</v>
      </c>
    </row>
    <row r="698" spans="1:23" ht="15" hidden="1" customHeight="1">
      <c r="A698" s="63">
        <v>560400</v>
      </c>
      <c r="B698" s="945" t="s">
        <v>1733</v>
      </c>
      <c r="C698" s="946" t="s">
        <v>184</v>
      </c>
      <c r="D698" s="947" t="s">
        <v>535</v>
      </c>
      <c r="E698" s="948" t="s">
        <v>568</v>
      </c>
      <c r="F698" s="949">
        <v>1.1999999999999999E-3</v>
      </c>
      <c r="G698" s="950"/>
      <c r="H698" s="951">
        <v>0.49</v>
      </c>
      <c r="I698" s="951">
        <f>IF(ISBLANK(H698),"",SUM(G698:H698))</f>
        <v>0.49</v>
      </c>
      <c r="J698" s="952">
        <f t="shared" si="228"/>
        <v>0.6</v>
      </c>
      <c r="K698" s="953" t="s">
        <v>12</v>
      </c>
      <c r="L698" s="954">
        <f>ROUND(SUM(ORÇAMENTO!L698),2)</f>
        <v>0</v>
      </c>
      <c r="M698" s="955">
        <f t="shared" si="232"/>
        <v>0</v>
      </c>
      <c r="N698" s="956">
        <f t="shared" si="233"/>
        <v>0</v>
      </c>
      <c r="O698" s="880"/>
      <c r="Q698" s="317" t="str">
        <f t="shared" si="234"/>
        <v/>
      </c>
      <c r="R698" s="317" t="str">
        <f t="shared" si="235"/>
        <v/>
      </c>
      <c r="S698" s="317" t="str">
        <f t="shared" si="236"/>
        <v/>
      </c>
      <c r="V698" s="314">
        <f>SUM(ORÇAMENTO!N698)</f>
        <v>0</v>
      </c>
      <c r="W698" s="315">
        <f t="shared" si="238"/>
        <v>0</v>
      </c>
    </row>
    <row r="699" spans="1:23" ht="15" hidden="1" customHeight="1" thickBot="1">
      <c r="A699" s="63">
        <v>589100</v>
      </c>
      <c r="B699" s="957" t="s">
        <v>1734</v>
      </c>
      <c r="C699" s="1007" t="s">
        <v>213</v>
      </c>
      <c r="D699" s="959" t="s">
        <v>549</v>
      </c>
      <c r="E699" s="960">
        <f>DMT!$D$23</f>
        <v>468</v>
      </c>
      <c r="F699" s="961">
        <v>1</v>
      </c>
      <c r="G699" s="923">
        <f>(0.84*E699+41.45)*F699</f>
        <v>434.57</v>
      </c>
      <c r="H699" s="962">
        <v>5937.37</v>
      </c>
      <c r="I699" s="962">
        <f>IF(ISBLANK(H699),"",H699*(1+$E$9)/(1+$E$10))+G699</f>
        <v>6185.3952380952378</v>
      </c>
      <c r="J699" s="963">
        <f t="shared" si="228"/>
        <v>7559.79</v>
      </c>
      <c r="K699" s="964" t="s">
        <v>14</v>
      </c>
      <c r="L699" s="965">
        <f>ROUND(SUM(ORÇAMENTO!L699),2)</f>
        <v>0</v>
      </c>
      <c r="M699" s="966">
        <f t="shared" si="232"/>
        <v>0</v>
      </c>
      <c r="N699" s="967">
        <f t="shared" si="233"/>
        <v>0</v>
      </c>
      <c r="O699" s="880"/>
      <c r="Q699" s="317" t="str">
        <f t="shared" si="234"/>
        <v/>
      </c>
      <c r="R699" s="317" t="str">
        <f t="shared" si="235"/>
        <v/>
      </c>
      <c r="S699" s="317" t="str">
        <f t="shared" si="236"/>
        <v/>
      </c>
      <c r="V699" s="314">
        <f>SUM(ORÇAMENTO!N699)</f>
        <v>0</v>
      </c>
      <c r="W699" s="315">
        <f t="shared" si="238"/>
        <v>0</v>
      </c>
    </row>
    <row r="700" spans="1:23" ht="15" hidden="1" customHeight="1">
      <c r="A700" s="63">
        <v>561100</v>
      </c>
      <c r="B700" s="945" t="s">
        <v>1735</v>
      </c>
      <c r="C700" s="946" t="s">
        <v>184</v>
      </c>
      <c r="D700" s="947" t="s">
        <v>536</v>
      </c>
      <c r="E700" s="948" t="s">
        <v>568</v>
      </c>
      <c r="F700" s="949">
        <v>5.0000000000000001E-4</v>
      </c>
      <c r="G700" s="950"/>
      <c r="H700" s="951">
        <v>0.34</v>
      </c>
      <c r="I700" s="951">
        <f>IF(ISBLANK(H700),"",SUM(G700:H700))</f>
        <v>0.34</v>
      </c>
      <c r="J700" s="952">
        <f t="shared" si="228"/>
        <v>0.42</v>
      </c>
      <c r="K700" s="953" t="s">
        <v>12</v>
      </c>
      <c r="L700" s="954">
        <f>ROUND(SUM(ORÇAMENTO!L700),2)</f>
        <v>0</v>
      </c>
      <c r="M700" s="955">
        <f t="shared" si="232"/>
        <v>0</v>
      </c>
      <c r="N700" s="956">
        <f t="shared" si="233"/>
        <v>0</v>
      </c>
      <c r="O700" s="880"/>
      <c r="Q700" s="317" t="str">
        <f t="shared" si="234"/>
        <v/>
      </c>
      <c r="R700" s="317" t="str">
        <f t="shared" si="235"/>
        <v/>
      </c>
      <c r="S700" s="317" t="str">
        <f t="shared" si="236"/>
        <v/>
      </c>
      <c r="V700" s="314">
        <f>SUM(ORÇAMENTO!N700)</f>
        <v>0</v>
      </c>
      <c r="W700" s="315">
        <f t="shared" si="238"/>
        <v>0</v>
      </c>
    </row>
    <row r="701" spans="1:23" ht="15" hidden="1" customHeight="1" thickBot="1">
      <c r="A701" s="63">
        <v>589420</v>
      </c>
      <c r="B701" s="957" t="s">
        <v>1590</v>
      </c>
      <c r="C701" s="1007" t="s">
        <v>213</v>
      </c>
      <c r="D701" s="959" t="s">
        <v>689</v>
      </c>
      <c r="E701" s="960">
        <f>DMT!D$24</f>
        <v>468</v>
      </c>
      <c r="F701" s="968">
        <v>1</v>
      </c>
      <c r="G701" s="923">
        <f>(0.84*E701+41.45)*F701</f>
        <v>434.57</v>
      </c>
      <c r="H701" s="962">
        <v>3861.37</v>
      </c>
      <c r="I701" s="962">
        <f>IF(ISBLANK(H701),"",H701*(1+$E$9)/(1+$E$10))+G701</f>
        <v>4174.6205694648997</v>
      </c>
      <c r="J701" s="963">
        <f t="shared" si="228"/>
        <v>5102.22</v>
      </c>
      <c r="K701" s="964" t="s">
        <v>14</v>
      </c>
      <c r="L701" s="965">
        <f>ROUND(SUM(ORÇAMENTO!L701),2)</f>
        <v>0</v>
      </c>
      <c r="M701" s="966">
        <f t="shared" si="232"/>
        <v>0</v>
      </c>
      <c r="N701" s="967">
        <f t="shared" si="233"/>
        <v>0</v>
      </c>
      <c r="O701" s="880"/>
      <c r="Q701" s="317" t="str">
        <f t="shared" si="234"/>
        <v/>
      </c>
      <c r="R701" s="317" t="str">
        <f t="shared" si="235"/>
        <v/>
      </c>
      <c r="S701" s="317" t="str">
        <f t="shared" si="236"/>
        <v/>
      </c>
      <c r="V701" s="314">
        <f>SUM(ORÇAMENTO!N701)</f>
        <v>0</v>
      </c>
      <c r="W701" s="315">
        <f t="shared" si="238"/>
        <v>0</v>
      </c>
    </row>
    <row r="702" spans="1:23" ht="15" hidden="1" customHeight="1">
      <c r="A702" s="63">
        <v>563100</v>
      </c>
      <c r="B702" s="973" t="s">
        <v>1738</v>
      </c>
      <c r="C702" s="974" t="s">
        <v>184</v>
      </c>
      <c r="D702" s="947" t="s">
        <v>242</v>
      </c>
      <c r="E702" s="948" t="s">
        <v>562</v>
      </c>
      <c r="F702" s="949">
        <v>5.0000000000000001E-4</v>
      </c>
      <c r="G702" s="950">
        <f>SUM(G703)</f>
        <v>0.27773900000000007</v>
      </c>
      <c r="H702" s="951">
        <v>1.27</v>
      </c>
      <c r="I702" s="951">
        <f>IF(ISBLANK(H702),"",SUM(G702:H702))</f>
        <v>1.547739</v>
      </c>
      <c r="J702" s="952">
        <f t="shared" si="228"/>
        <v>1.89</v>
      </c>
      <c r="K702" s="953" t="s">
        <v>12</v>
      </c>
      <c r="L702" s="954">
        <f>ROUND(SUM(ORÇAMENTO!L702),2)</f>
        <v>0</v>
      </c>
      <c r="M702" s="955">
        <f t="shared" si="232"/>
        <v>0</v>
      </c>
      <c r="N702" s="956">
        <f t="shared" si="233"/>
        <v>0</v>
      </c>
      <c r="O702" s="880"/>
      <c r="Q702" s="317" t="str">
        <f t="shared" si="234"/>
        <v/>
      </c>
      <c r="R702" s="317" t="str">
        <f t="shared" si="235"/>
        <v/>
      </c>
      <c r="S702" s="317" t="str">
        <f t="shared" si="236"/>
        <v/>
      </c>
      <c r="V702" s="314">
        <f>SUM(ORÇAMENTO!N702)</f>
        <v>0</v>
      </c>
      <c r="W702" s="315">
        <f t="shared" si="238"/>
        <v>0</v>
      </c>
    </row>
    <row r="703" spans="1:23" ht="15" hidden="1" customHeight="1">
      <c r="A703" s="63" t="s">
        <v>147</v>
      </c>
      <c r="B703" s="870" t="s">
        <v>147</v>
      </c>
      <c r="C703" s="871"/>
      <c r="D703" s="931" t="s">
        <v>233</v>
      </c>
      <c r="E703" s="873">
        <f>DMT!$F$10</f>
        <v>43.1</v>
      </c>
      <c r="F703" s="883">
        <v>7.0000000000000001E-3</v>
      </c>
      <c r="G703" s="923">
        <f>IF(E703&lt;=30,(0.87*E703+2.18)*F703,((0.87*30+2.18)+0.87*(E703-30))*F703)</f>
        <v>0.27773900000000007</v>
      </c>
      <c r="H703" s="876">
        <v>0</v>
      </c>
      <c r="I703" s="876"/>
      <c r="J703" s="877">
        <v>0</v>
      </c>
      <c r="K703" s="932" t="s">
        <v>506</v>
      </c>
      <c r="L703" s="977">
        <f>ROUND(SUM(ORÇAMENTO!L703),2)</f>
        <v>0</v>
      </c>
      <c r="M703" s="934">
        <f t="shared" si="232"/>
        <v>0</v>
      </c>
      <c r="N703" s="868">
        <f t="shared" si="233"/>
        <v>0</v>
      </c>
      <c r="O703" s="880"/>
      <c r="P703" s="58" t="str">
        <f>IF(N702&gt;0,"xx",IF(N702&gt;0,"xy",""))</f>
        <v/>
      </c>
      <c r="Q703" s="317" t="str">
        <f t="shared" si="234"/>
        <v/>
      </c>
      <c r="R703" s="317" t="str">
        <f t="shared" si="235"/>
        <v/>
      </c>
      <c r="S703" s="317" t="str">
        <f t="shared" si="236"/>
        <v/>
      </c>
      <c r="V703" s="314">
        <f>SUM(ORÇAMENTO!N703)</f>
        <v>0</v>
      </c>
      <c r="W703" s="315">
        <f t="shared" si="238"/>
        <v>0</v>
      </c>
    </row>
    <row r="704" spans="1:23" ht="15" hidden="1" customHeight="1" thickBot="1">
      <c r="A704" s="63">
        <v>589520</v>
      </c>
      <c r="B704" s="978" t="s">
        <v>1660</v>
      </c>
      <c r="C704" s="958" t="s">
        <v>213</v>
      </c>
      <c r="D704" s="986" t="s">
        <v>558</v>
      </c>
      <c r="E704" s="979">
        <f>DMT!$D$24</f>
        <v>468</v>
      </c>
      <c r="F704" s="980">
        <v>1</v>
      </c>
      <c r="G704" s="923">
        <f>(0.84*E704+41.45)*F704</f>
        <v>434.57</v>
      </c>
      <c r="H704" s="962">
        <v>4164.04</v>
      </c>
      <c r="I704" s="962">
        <f>IF(ISBLANK(H704),"",H704*(1+$E$9)/(1+$E$10))+G704</f>
        <v>4467.7810554737362</v>
      </c>
      <c r="J704" s="963">
        <f t="shared" si="228"/>
        <v>5460.52</v>
      </c>
      <c r="K704" s="964" t="s">
        <v>14</v>
      </c>
      <c r="L704" s="965">
        <f>ROUND(SUM(ORÇAMENTO!L704),2)</f>
        <v>0</v>
      </c>
      <c r="M704" s="1008">
        <f t="shared" si="232"/>
        <v>0</v>
      </c>
      <c r="N704" s="967">
        <f t="shared" si="233"/>
        <v>0</v>
      </c>
      <c r="O704" s="880"/>
      <c r="P704" s="58" t="str">
        <f>IF(N702&gt;0,"xx",IF(N702&gt;0,"xy",""))</f>
        <v/>
      </c>
      <c r="Q704" s="317" t="str">
        <f t="shared" si="234"/>
        <v/>
      </c>
      <c r="R704" s="317" t="str">
        <f t="shared" si="235"/>
        <v/>
      </c>
      <c r="S704" s="317" t="str">
        <f t="shared" si="236"/>
        <v/>
      </c>
      <c r="V704" s="314">
        <f>SUM(ORÇAMENTO!N704)</f>
        <v>0</v>
      </c>
      <c r="W704" s="315">
        <f t="shared" si="238"/>
        <v>0</v>
      </c>
    </row>
    <row r="705" spans="1:23" ht="15" hidden="1" customHeight="1">
      <c r="A705" s="63">
        <v>534000</v>
      </c>
      <c r="B705" s="973" t="s">
        <v>1739</v>
      </c>
      <c r="C705" s="974" t="s">
        <v>184</v>
      </c>
      <c r="D705" s="947" t="s">
        <v>2181</v>
      </c>
      <c r="E705" s="948" t="s">
        <v>564</v>
      </c>
      <c r="F705" s="949">
        <v>0.08</v>
      </c>
      <c r="G705" s="950">
        <f>SUM(G706:G709)</f>
        <v>113.48868000000002</v>
      </c>
      <c r="H705" s="951">
        <v>141.84</v>
      </c>
      <c r="I705" s="951">
        <f>IF(ISBLANK(H705),"",SUM(G705:H705))</f>
        <v>255.32868000000002</v>
      </c>
      <c r="J705" s="952">
        <f t="shared" si="228"/>
        <v>312.06</v>
      </c>
      <c r="K705" s="953" t="s">
        <v>10</v>
      </c>
      <c r="L705" s="954">
        <f>ROUND(SUM(ORÇAMENTO!L705),2)</f>
        <v>0</v>
      </c>
      <c r="M705" s="955">
        <f t="shared" si="232"/>
        <v>0</v>
      </c>
      <c r="N705" s="956">
        <f t="shared" si="233"/>
        <v>0</v>
      </c>
      <c r="O705" s="880"/>
      <c r="Q705" s="317" t="str">
        <f t="shared" si="234"/>
        <v/>
      </c>
      <c r="R705" s="317" t="str">
        <f t="shared" si="235"/>
        <v/>
      </c>
      <c r="S705" s="317" t="str">
        <f t="shared" si="236"/>
        <v/>
      </c>
      <c r="V705" s="314">
        <f>SUM(ORÇAMENTO!N705)</f>
        <v>0</v>
      </c>
      <c r="W705" s="315">
        <f t="shared" si="238"/>
        <v>0</v>
      </c>
    </row>
    <row r="706" spans="1:23" ht="15" hidden="1" customHeight="1">
      <c r="A706" s="63" t="s">
        <v>147</v>
      </c>
      <c r="B706" s="870" t="s">
        <v>147</v>
      </c>
      <c r="C706" s="871"/>
      <c r="D706" s="931" t="s">
        <v>229</v>
      </c>
      <c r="E706" s="882">
        <f>DMT!$F$42</f>
        <v>290</v>
      </c>
      <c r="F706" s="883"/>
      <c r="G706" s="887"/>
      <c r="H706" s="876">
        <v>0</v>
      </c>
      <c r="I706" s="876"/>
      <c r="J706" s="877">
        <v>0</v>
      </c>
      <c r="K706" s="878" t="s">
        <v>506</v>
      </c>
      <c r="L706" s="977">
        <f>ROUND(SUM(ORÇAMENTO!L706),2)</f>
        <v>0</v>
      </c>
      <c r="M706" s="934">
        <f t="shared" si="232"/>
        <v>0</v>
      </c>
      <c r="N706" s="868">
        <f t="shared" si="233"/>
        <v>0</v>
      </c>
      <c r="O706" s="880"/>
      <c r="P706" s="58" t="str">
        <f>IF(N705&gt;0,"xx",IF(N705&gt;0,"xy",""))</f>
        <v/>
      </c>
      <c r="Q706" s="317" t="str">
        <f t="shared" si="234"/>
        <v/>
      </c>
      <c r="R706" s="317" t="str">
        <f t="shared" si="235"/>
        <v/>
      </c>
      <c r="S706" s="317" t="str">
        <f t="shared" si="236"/>
        <v/>
      </c>
      <c r="V706" s="314">
        <f>SUM(ORÇAMENTO!N706)</f>
        <v>0</v>
      </c>
      <c r="W706" s="315">
        <f t="shared" si="238"/>
        <v>0</v>
      </c>
    </row>
    <row r="707" spans="1:23" ht="15" hidden="1" customHeight="1">
      <c r="A707" s="63" t="s">
        <v>147</v>
      </c>
      <c r="B707" s="870" t="s">
        <v>147</v>
      </c>
      <c r="C707" s="871"/>
      <c r="D707" s="931" t="s">
        <v>230</v>
      </c>
      <c r="E707" s="882">
        <f>DMT!$D$46</f>
        <v>445</v>
      </c>
      <c r="F707" s="883"/>
      <c r="G707" s="884"/>
      <c r="H707" s="876">
        <v>0</v>
      </c>
      <c r="I707" s="876"/>
      <c r="J707" s="877">
        <v>0</v>
      </c>
      <c r="K707" s="878" t="s">
        <v>506</v>
      </c>
      <c r="L707" s="977">
        <f>ROUND(SUM(ORÇAMENTO!L707),2)</f>
        <v>0</v>
      </c>
      <c r="M707" s="934">
        <f t="shared" si="232"/>
        <v>0</v>
      </c>
      <c r="N707" s="868">
        <f t="shared" si="233"/>
        <v>0</v>
      </c>
      <c r="O707" s="880"/>
      <c r="P707" s="58" t="str">
        <f>IF(N705&gt;0,"xx",IF(N705&gt;0,"xy",""))</f>
        <v/>
      </c>
      <c r="Q707" s="317" t="str">
        <f t="shared" si="234"/>
        <v/>
      </c>
      <c r="R707" s="317" t="str">
        <f t="shared" si="235"/>
        <v/>
      </c>
      <c r="S707" s="317" t="str">
        <f t="shared" si="236"/>
        <v/>
      </c>
      <c r="V707" s="314">
        <f>SUM(ORÇAMENTO!N707)</f>
        <v>0</v>
      </c>
      <c r="W707" s="315">
        <f t="shared" si="238"/>
        <v>0</v>
      </c>
    </row>
    <row r="708" spans="1:23" ht="15" hidden="1" customHeight="1">
      <c r="A708" s="63" t="s">
        <v>147</v>
      </c>
      <c r="B708" s="870" t="s">
        <v>147</v>
      </c>
      <c r="C708" s="871"/>
      <c r="D708" s="931" t="s">
        <v>243</v>
      </c>
      <c r="E708" s="882">
        <f>DMT!$F$43</f>
        <v>0.2</v>
      </c>
      <c r="F708" s="883">
        <v>2.12</v>
      </c>
      <c r="G708" s="887">
        <f t="shared" ref="G708:G709" si="246">IF(E708&lt;=30,(1.07*E708+2.68)*F708,((1.07*30+2.68)+1.07*(E708-30))*F708)</f>
        <v>6.1352800000000007</v>
      </c>
      <c r="H708" s="876">
        <v>0</v>
      </c>
      <c r="I708" s="876"/>
      <c r="J708" s="877">
        <v>0</v>
      </c>
      <c r="K708" s="878" t="s">
        <v>506</v>
      </c>
      <c r="L708" s="977">
        <f>ROUND(SUM(ORÇAMENTO!L708),2)</f>
        <v>0</v>
      </c>
      <c r="M708" s="934">
        <f t="shared" si="232"/>
        <v>0</v>
      </c>
      <c r="N708" s="868">
        <f t="shared" si="233"/>
        <v>0</v>
      </c>
      <c r="O708" s="880"/>
      <c r="P708" s="58" t="str">
        <f>IF(N705&gt;0,"xx",IF(N705&gt;0,"xy",""))</f>
        <v/>
      </c>
      <c r="Q708" s="317" t="str">
        <f t="shared" si="234"/>
        <v/>
      </c>
      <c r="R708" s="317" t="str">
        <f t="shared" si="235"/>
        <v/>
      </c>
      <c r="S708" s="317" t="str">
        <f t="shared" si="236"/>
        <v/>
      </c>
      <c r="V708" s="314">
        <f>SUM(ORÇAMENTO!N708)</f>
        <v>0</v>
      </c>
      <c r="W708" s="315">
        <f t="shared" si="238"/>
        <v>0</v>
      </c>
    </row>
    <row r="709" spans="1:23" ht="15" hidden="1" customHeight="1">
      <c r="A709" s="63" t="s">
        <v>147</v>
      </c>
      <c r="B709" s="870" t="s">
        <v>147</v>
      </c>
      <c r="C709" s="871"/>
      <c r="D709" s="931" t="s">
        <v>244</v>
      </c>
      <c r="E709" s="882">
        <f>DMT!$F$28</f>
        <v>43.1</v>
      </c>
      <c r="F709" s="883">
        <f>SUM(F705:F708)</f>
        <v>2.2000000000000002</v>
      </c>
      <c r="G709" s="887">
        <f t="shared" si="246"/>
        <v>107.35340000000002</v>
      </c>
      <c r="H709" s="876">
        <v>0</v>
      </c>
      <c r="I709" s="876"/>
      <c r="J709" s="877">
        <v>0</v>
      </c>
      <c r="K709" s="878" t="s">
        <v>506</v>
      </c>
      <c r="L709" s="977">
        <f>ROUND(SUM(ORÇAMENTO!L709),2)</f>
        <v>0</v>
      </c>
      <c r="M709" s="934">
        <f t="shared" si="232"/>
        <v>0</v>
      </c>
      <c r="N709" s="868">
        <f t="shared" si="233"/>
        <v>0</v>
      </c>
      <c r="O709" s="880"/>
      <c r="P709" s="58" t="str">
        <f>IF(N705&gt;0,"xx",IF(N705&gt;0,"xy",""))</f>
        <v/>
      </c>
      <c r="Q709" s="317" t="str">
        <f t="shared" si="234"/>
        <v/>
      </c>
      <c r="R709" s="317" t="str">
        <f t="shared" si="235"/>
        <v/>
      </c>
      <c r="S709" s="317" t="str">
        <f t="shared" si="236"/>
        <v/>
      </c>
      <c r="V709" s="314">
        <f>SUM(ORÇAMENTO!N709)</f>
        <v>0</v>
      </c>
      <c r="W709" s="315">
        <f t="shared" si="238"/>
        <v>0</v>
      </c>
    </row>
    <row r="710" spans="1:23" ht="15" hidden="1" customHeight="1" thickBot="1">
      <c r="A710" s="63">
        <v>589320</v>
      </c>
      <c r="B710" s="978" t="s">
        <v>1673</v>
      </c>
      <c r="C710" s="958" t="s">
        <v>213</v>
      </c>
      <c r="D710" s="986" t="s">
        <v>684</v>
      </c>
      <c r="E710" s="979">
        <f>DMT!$D$47</f>
        <v>468</v>
      </c>
      <c r="F710" s="980">
        <v>1</v>
      </c>
      <c r="G710" s="923">
        <f>(0.84*E710+41.45)*F710</f>
        <v>434.57</v>
      </c>
      <c r="H710" s="962">
        <v>4012.83</v>
      </c>
      <c r="I710" s="962">
        <f>IF(ISBLANK(H710),"",H710*(1+$E$9)/(1+$E$10))+G710</f>
        <v>4321.3218851251841</v>
      </c>
      <c r="J710" s="963">
        <f t="shared" ref="J710:J771" si="247">IF(ISBLANK(H710),0,ROUND(I710*(1+$E$10),2))</f>
        <v>5281.52</v>
      </c>
      <c r="K710" s="964" t="s">
        <v>14</v>
      </c>
      <c r="L710" s="1009">
        <f>ROUND(SUM(ORÇAMENTO!L710),2)</f>
        <v>0</v>
      </c>
      <c r="M710" s="1008">
        <f t="shared" si="232"/>
        <v>0</v>
      </c>
      <c r="N710" s="967">
        <f t="shared" si="233"/>
        <v>0</v>
      </c>
      <c r="O710" s="880"/>
      <c r="P710" s="58" t="str">
        <f>IF(N705&gt;0,"xx",IF(N705&gt;0,"xy",""))</f>
        <v/>
      </c>
      <c r="Q710" s="317" t="str">
        <f t="shared" si="234"/>
        <v/>
      </c>
      <c r="R710" s="317" t="str">
        <f t="shared" si="235"/>
        <v/>
      </c>
      <c r="S710" s="317" t="str">
        <f t="shared" si="236"/>
        <v/>
      </c>
      <c r="V710" s="314">
        <f>SUM(ORÇAMENTO!N710)</f>
        <v>0</v>
      </c>
      <c r="W710" s="315">
        <f t="shared" si="238"/>
        <v>0</v>
      </c>
    </row>
    <row r="711" spans="1:23" ht="15" hidden="1" customHeight="1">
      <c r="A711" s="63">
        <v>534000</v>
      </c>
      <c r="B711" s="973" t="s">
        <v>1740</v>
      </c>
      <c r="C711" s="974" t="s">
        <v>184</v>
      </c>
      <c r="D711" s="947" t="s">
        <v>2182</v>
      </c>
      <c r="E711" s="948" t="s">
        <v>564</v>
      </c>
      <c r="F711" s="949">
        <v>0.08</v>
      </c>
      <c r="G711" s="950">
        <f>SUM(G712:G715)</f>
        <v>113.48868000000002</v>
      </c>
      <c r="H711" s="951">
        <v>141.84</v>
      </c>
      <c r="I711" s="951">
        <f>IF(ISBLANK(H711),"",SUM(G711:H711))</f>
        <v>255.32868000000002</v>
      </c>
      <c r="J711" s="952">
        <f t="shared" si="247"/>
        <v>312.06</v>
      </c>
      <c r="K711" s="953" t="s">
        <v>10</v>
      </c>
      <c r="L711" s="954">
        <f>ROUND(SUM(ORÇAMENTO!L711),2)</f>
        <v>0</v>
      </c>
      <c r="M711" s="955">
        <f t="shared" si="232"/>
        <v>0</v>
      </c>
      <c r="N711" s="956">
        <f t="shared" si="233"/>
        <v>0</v>
      </c>
      <c r="O711" s="880"/>
      <c r="Q711" s="317" t="str">
        <f t="shared" si="234"/>
        <v/>
      </c>
      <c r="R711" s="317" t="str">
        <f t="shared" si="235"/>
        <v/>
      </c>
      <c r="S711" s="317" t="str">
        <f t="shared" si="236"/>
        <v/>
      </c>
      <c r="V711" s="314">
        <f>SUM(ORÇAMENTO!N711)</f>
        <v>0</v>
      </c>
      <c r="W711" s="315">
        <f t="shared" si="238"/>
        <v>0</v>
      </c>
    </row>
    <row r="712" spans="1:23" ht="15" hidden="1" customHeight="1">
      <c r="A712" s="63" t="s">
        <v>147</v>
      </c>
      <c r="B712" s="870" t="s">
        <v>147</v>
      </c>
      <c r="C712" s="871"/>
      <c r="D712" s="931" t="s">
        <v>229</v>
      </c>
      <c r="E712" s="882">
        <f>DMT!$F$42</f>
        <v>290</v>
      </c>
      <c r="F712" s="883"/>
      <c r="G712" s="887"/>
      <c r="H712" s="876">
        <v>0</v>
      </c>
      <c r="I712" s="876"/>
      <c r="J712" s="877">
        <v>0</v>
      </c>
      <c r="K712" s="878" t="s">
        <v>506</v>
      </c>
      <c r="L712" s="977">
        <f>ROUND(SUM(ORÇAMENTO!L712),2)</f>
        <v>0</v>
      </c>
      <c r="M712" s="934">
        <f t="shared" si="232"/>
        <v>0</v>
      </c>
      <c r="N712" s="868">
        <f t="shared" si="233"/>
        <v>0</v>
      </c>
      <c r="O712" s="880"/>
      <c r="P712" s="58" t="str">
        <f>IF(N711&gt;0,"xx",IF(N711&gt;0,"xy",""))</f>
        <v/>
      </c>
      <c r="Q712" s="317" t="str">
        <f t="shared" si="234"/>
        <v/>
      </c>
      <c r="R712" s="317" t="str">
        <f t="shared" si="235"/>
        <v/>
      </c>
      <c r="S712" s="317" t="str">
        <f t="shared" si="236"/>
        <v/>
      </c>
      <c r="V712" s="314">
        <f>SUM(ORÇAMENTO!N712)</f>
        <v>0</v>
      </c>
      <c r="W712" s="315">
        <f t="shared" si="238"/>
        <v>0</v>
      </c>
    </row>
    <row r="713" spans="1:23" ht="15" hidden="1" customHeight="1">
      <c r="A713" s="63" t="s">
        <v>147</v>
      </c>
      <c r="B713" s="870" t="s">
        <v>147</v>
      </c>
      <c r="C713" s="871"/>
      <c r="D713" s="931" t="s">
        <v>230</v>
      </c>
      <c r="E713" s="882">
        <f>DMT!$D$46</f>
        <v>445</v>
      </c>
      <c r="F713" s="883"/>
      <c r="G713" s="884"/>
      <c r="H713" s="876">
        <v>0</v>
      </c>
      <c r="I713" s="876"/>
      <c r="J713" s="877">
        <v>0</v>
      </c>
      <c r="K713" s="878" t="s">
        <v>506</v>
      </c>
      <c r="L713" s="977">
        <f>ROUND(SUM(ORÇAMENTO!L713),2)</f>
        <v>0</v>
      </c>
      <c r="M713" s="934">
        <f t="shared" si="232"/>
        <v>0</v>
      </c>
      <c r="N713" s="868">
        <f t="shared" si="233"/>
        <v>0</v>
      </c>
      <c r="O713" s="880"/>
      <c r="P713" s="58" t="str">
        <f>IF(N711&gt;0,"xx",IF(N711&gt;0,"xy",""))</f>
        <v/>
      </c>
      <c r="Q713" s="317" t="str">
        <f t="shared" si="234"/>
        <v/>
      </c>
      <c r="R713" s="317" t="str">
        <f t="shared" si="235"/>
        <v/>
      </c>
      <c r="S713" s="317" t="str">
        <f t="shared" si="236"/>
        <v/>
      </c>
      <c r="V713" s="314">
        <f>SUM(ORÇAMENTO!N713)</f>
        <v>0</v>
      </c>
      <c r="W713" s="315">
        <f t="shared" si="238"/>
        <v>0</v>
      </c>
    </row>
    <row r="714" spans="1:23" ht="15" hidden="1" customHeight="1">
      <c r="A714" s="63" t="s">
        <v>147</v>
      </c>
      <c r="B714" s="870" t="s">
        <v>147</v>
      </c>
      <c r="C714" s="871"/>
      <c r="D714" s="931" t="s">
        <v>243</v>
      </c>
      <c r="E714" s="882">
        <f>DMT!$F$43</f>
        <v>0.2</v>
      </c>
      <c r="F714" s="883">
        <v>2.12</v>
      </c>
      <c r="G714" s="887">
        <f t="shared" ref="G714:G715" si="248">IF(E714&lt;=30,(1.07*E714+2.68)*F714,((1.07*30+2.68)+1.07*(E714-30))*F714)</f>
        <v>6.1352800000000007</v>
      </c>
      <c r="H714" s="876">
        <v>0</v>
      </c>
      <c r="I714" s="876"/>
      <c r="J714" s="877">
        <v>0</v>
      </c>
      <c r="K714" s="878" t="s">
        <v>506</v>
      </c>
      <c r="L714" s="977">
        <f>ROUND(SUM(ORÇAMENTO!L714),2)</f>
        <v>0</v>
      </c>
      <c r="M714" s="934">
        <f t="shared" si="232"/>
        <v>0</v>
      </c>
      <c r="N714" s="868">
        <f t="shared" si="233"/>
        <v>0</v>
      </c>
      <c r="O714" s="880"/>
      <c r="P714" s="58" t="str">
        <f>IF(N711&gt;0,"xx",IF(N711&gt;0,"xy",""))</f>
        <v/>
      </c>
      <c r="Q714" s="317" t="str">
        <f t="shared" si="234"/>
        <v/>
      </c>
      <c r="R714" s="317" t="str">
        <f t="shared" si="235"/>
        <v/>
      </c>
      <c r="S714" s="317" t="str">
        <f t="shared" si="236"/>
        <v/>
      </c>
      <c r="V714" s="314">
        <f>SUM(ORÇAMENTO!N714)</f>
        <v>0</v>
      </c>
      <c r="W714" s="315">
        <f t="shared" si="238"/>
        <v>0</v>
      </c>
    </row>
    <row r="715" spans="1:23" ht="15" hidden="1" customHeight="1">
      <c r="A715" s="63" t="s">
        <v>147</v>
      </c>
      <c r="B715" s="870" t="s">
        <v>147</v>
      </c>
      <c r="C715" s="871"/>
      <c r="D715" s="931" t="s">
        <v>244</v>
      </c>
      <c r="E715" s="882">
        <f>DMT!$F$28</f>
        <v>43.1</v>
      </c>
      <c r="F715" s="883">
        <f>SUM(F711:F714)</f>
        <v>2.2000000000000002</v>
      </c>
      <c r="G715" s="887">
        <f t="shared" si="248"/>
        <v>107.35340000000002</v>
      </c>
      <c r="H715" s="876">
        <v>0</v>
      </c>
      <c r="I715" s="876"/>
      <c r="J715" s="877">
        <v>0</v>
      </c>
      <c r="K715" s="878" t="s">
        <v>506</v>
      </c>
      <c r="L715" s="977">
        <f>ROUND(SUM(ORÇAMENTO!L715),2)</f>
        <v>0</v>
      </c>
      <c r="M715" s="934">
        <f t="shared" si="232"/>
        <v>0</v>
      </c>
      <c r="N715" s="868">
        <f t="shared" si="233"/>
        <v>0</v>
      </c>
      <c r="O715" s="880"/>
      <c r="P715" s="58" t="str">
        <f>IF(N711&gt;0,"xx",IF(N711&gt;0,"xy",""))</f>
        <v/>
      </c>
      <c r="Q715" s="317" t="str">
        <f t="shared" si="234"/>
        <v/>
      </c>
      <c r="R715" s="317" t="str">
        <f t="shared" si="235"/>
        <v/>
      </c>
      <c r="S715" s="317" t="str">
        <f t="shared" si="236"/>
        <v/>
      </c>
      <c r="V715" s="314">
        <f>SUM(ORÇAMENTO!N715)</f>
        <v>0</v>
      </c>
      <c r="W715" s="315">
        <f t="shared" si="238"/>
        <v>0</v>
      </c>
    </row>
    <row r="716" spans="1:23" ht="15" hidden="1" customHeight="1" thickBot="1">
      <c r="A716" s="63">
        <v>589320</v>
      </c>
      <c r="B716" s="978" t="s">
        <v>1674</v>
      </c>
      <c r="C716" s="958" t="s">
        <v>213</v>
      </c>
      <c r="D716" s="986" t="s">
        <v>684</v>
      </c>
      <c r="E716" s="979">
        <f>DMT!$D$47</f>
        <v>468</v>
      </c>
      <c r="F716" s="980">
        <v>1</v>
      </c>
      <c r="G716" s="923">
        <f>(0.84*E716+41.45)*F716</f>
        <v>434.57</v>
      </c>
      <c r="H716" s="962">
        <v>4012.83</v>
      </c>
      <c r="I716" s="962">
        <f>IF(ISBLANK(H716),"",H716*(1+$E$9)/(1+$E$10))+G716</f>
        <v>4321.3218851251841</v>
      </c>
      <c r="J716" s="963">
        <f t="shared" si="247"/>
        <v>5281.52</v>
      </c>
      <c r="K716" s="964" t="s">
        <v>14</v>
      </c>
      <c r="L716" s="1009">
        <f>ROUND(SUM(ORÇAMENTO!L716),2)</f>
        <v>0</v>
      </c>
      <c r="M716" s="1008">
        <f t="shared" si="232"/>
        <v>0</v>
      </c>
      <c r="N716" s="967">
        <f t="shared" si="233"/>
        <v>0</v>
      </c>
      <c r="O716" s="880"/>
      <c r="P716" s="58" t="str">
        <f>IF(N711&gt;0,"xx",IF(N711&gt;0,"xy",""))</f>
        <v/>
      </c>
      <c r="Q716" s="317" t="str">
        <f t="shared" si="234"/>
        <v/>
      </c>
      <c r="R716" s="317" t="str">
        <f t="shared" si="235"/>
        <v/>
      </c>
      <c r="S716" s="317" t="str">
        <f t="shared" si="236"/>
        <v/>
      </c>
      <c r="V716" s="314">
        <f>SUM(ORÇAMENTO!N716)</f>
        <v>0</v>
      </c>
      <c r="W716" s="315">
        <f t="shared" si="238"/>
        <v>0</v>
      </c>
    </row>
    <row r="717" spans="1:23" ht="15" hidden="1" customHeight="1">
      <c r="A717" s="63">
        <v>534000</v>
      </c>
      <c r="B717" s="973" t="s">
        <v>1741</v>
      </c>
      <c r="C717" s="974" t="s">
        <v>184</v>
      </c>
      <c r="D717" s="947" t="s">
        <v>2183</v>
      </c>
      <c r="E717" s="948" t="s">
        <v>564</v>
      </c>
      <c r="F717" s="949">
        <v>0.08</v>
      </c>
      <c r="G717" s="950">
        <f>SUM(G718:G721)</f>
        <v>113.48868000000002</v>
      </c>
      <c r="H717" s="951">
        <v>141.84</v>
      </c>
      <c r="I717" s="951">
        <f>IF(ISBLANK(H717),"",SUM(G717:H717))</f>
        <v>255.32868000000002</v>
      </c>
      <c r="J717" s="952">
        <f t="shared" si="247"/>
        <v>312.06</v>
      </c>
      <c r="K717" s="953" t="s">
        <v>10</v>
      </c>
      <c r="L717" s="954">
        <f>ROUND(SUM(ORÇAMENTO!L717),2)</f>
        <v>0</v>
      </c>
      <c r="M717" s="955">
        <f t="shared" si="232"/>
        <v>0</v>
      </c>
      <c r="N717" s="956">
        <f t="shared" si="233"/>
        <v>0</v>
      </c>
      <c r="O717" s="880"/>
      <c r="Q717" s="317" t="str">
        <f t="shared" si="234"/>
        <v/>
      </c>
      <c r="R717" s="317" t="str">
        <f t="shared" si="235"/>
        <v/>
      </c>
      <c r="S717" s="317" t="str">
        <f t="shared" si="236"/>
        <v/>
      </c>
      <c r="V717" s="314">
        <f>SUM(ORÇAMENTO!N717)</f>
        <v>0</v>
      </c>
      <c r="W717" s="315">
        <f t="shared" si="238"/>
        <v>0</v>
      </c>
    </row>
    <row r="718" spans="1:23" ht="15" hidden="1" customHeight="1">
      <c r="A718" s="63" t="s">
        <v>147</v>
      </c>
      <c r="B718" s="870" t="s">
        <v>147</v>
      </c>
      <c r="C718" s="871"/>
      <c r="D718" s="931" t="s">
        <v>229</v>
      </c>
      <c r="E718" s="882">
        <f>DMT!$F$42</f>
        <v>290</v>
      </c>
      <c r="F718" s="883"/>
      <c r="G718" s="887"/>
      <c r="H718" s="876">
        <v>0</v>
      </c>
      <c r="I718" s="876"/>
      <c r="J718" s="877">
        <v>0</v>
      </c>
      <c r="K718" s="878" t="s">
        <v>506</v>
      </c>
      <c r="L718" s="977">
        <f>ROUND(SUM(ORÇAMENTO!L718),2)</f>
        <v>0</v>
      </c>
      <c r="M718" s="934">
        <f t="shared" si="232"/>
        <v>0</v>
      </c>
      <c r="N718" s="868">
        <f t="shared" si="233"/>
        <v>0</v>
      </c>
      <c r="O718" s="880"/>
      <c r="P718" s="58" t="str">
        <f>IF(N717&gt;0,"xx",IF(N717&gt;0,"xy",""))</f>
        <v/>
      </c>
      <c r="Q718" s="317" t="str">
        <f t="shared" si="234"/>
        <v/>
      </c>
      <c r="R718" s="317" t="str">
        <f t="shared" si="235"/>
        <v/>
      </c>
      <c r="S718" s="317" t="str">
        <f t="shared" si="236"/>
        <v/>
      </c>
      <c r="V718" s="314">
        <f>SUM(ORÇAMENTO!N718)</f>
        <v>0</v>
      </c>
      <c r="W718" s="315">
        <f t="shared" si="238"/>
        <v>0</v>
      </c>
    </row>
    <row r="719" spans="1:23" ht="15" hidden="1" customHeight="1">
      <c r="A719" s="63" t="s">
        <v>147</v>
      </c>
      <c r="B719" s="870" t="s">
        <v>147</v>
      </c>
      <c r="C719" s="871"/>
      <c r="D719" s="931" t="s">
        <v>230</v>
      </c>
      <c r="E719" s="882">
        <f>DMT!$D$46</f>
        <v>445</v>
      </c>
      <c r="F719" s="883"/>
      <c r="G719" s="884"/>
      <c r="H719" s="876">
        <v>0</v>
      </c>
      <c r="I719" s="876"/>
      <c r="J719" s="877">
        <v>0</v>
      </c>
      <c r="K719" s="878" t="s">
        <v>506</v>
      </c>
      <c r="L719" s="977">
        <f>ROUND(SUM(ORÇAMENTO!L719),2)</f>
        <v>0</v>
      </c>
      <c r="M719" s="934">
        <f t="shared" si="232"/>
        <v>0</v>
      </c>
      <c r="N719" s="868">
        <f t="shared" si="233"/>
        <v>0</v>
      </c>
      <c r="O719" s="880"/>
      <c r="P719" s="58" t="str">
        <f>IF(N717&gt;0,"xx",IF(N717&gt;0,"xy",""))</f>
        <v/>
      </c>
      <c r="Q719" s="317" t="str">
        <f t="shared" si="234"/>
        <v/>
      </c>
      <c r="R719" s="317" t="str">
        <f t="shared" si="235"/>
        <v/>
      </c>
      <c r="S719" s="317" t="str">
        <f t="shared" si="236"/>
        <v/>
      </c>
      <c r="V719" s="314">
        <f>SUM(ORÇAMENTO!N719)</f>
        <v>0</v>
      </c>
      <c r="W719" s="315">
        <f t="shared" si="238"/>
        <v>0</v>
      </c>
    </row>
    <row r="720" spans="1:23" ht="15" hidden="1" customHeight="1">
      <c r="A720" s="63" t="s">
        <v>147</v>
      </c>
      <c r="B720" s="870" t="s">
        <v>147</v>
      </c>
      <c r="C720" s="871"/>
      <c r="D720" s="931" t="s">
        <v>243</v>
      </c>
      <c r="E720" s="882">
        <f>DMT!$F$43</f>
        <v>0.2</v>
      </c>
      <c r="F720" s="883">
        <v>2.12</v>
      </c>
      <c r="G720" s="887">
        <f t="shared" ref="G720:G721" si="249">IF(E720&lt;=30,(1.07*E720+2.68)*F720,((1.07*30+2.68)+1.07*(E720-30))*F720)</f>
        <v>6.1352800000000007</v>
      </c>
      <c r="H720" s="876">
        <v>0</v>
      </c>
      <c r="I720" s="876"/>
      <c r="J720" s="877">
        <v>0</v>
      </c>
      <c r="K720" s="878" t="s">
        <v>506</v>
      </c>
      <c r="L720" s="977">
        <f>ROUND(SUM(ORÇAMENTO!L720),2)</f>
        <v>0</v>
      </c>
      <c r="M720" s="934">
        <f t="shared" ref="M720:M795" si="250">IF(L720=0,0,ROUND(J720,2))</f>
        <v>0</v>
      </c>
      <c r="N720" s="868">
        <f t="shared" ref="N720:N795" si="251">IF(ISBLANK(L720),0,ROUND(L720*M720,2))</f>
        <v>0</v>
      </c>
      <c r="O720" s="880"/>
      <c r="P720" s="58" t="str">
        <f>IF(N717&gt;0,"xx",IF(N717&gt;0,"xy",""))</f>
        <v/>
      </c>
      <c r="Q720" s="317" t="str">
        <f t="shared" ref="Q720:Q795" si="252">IF(P720="X","x",IF(P720="xx","x",IF(P720="xy","x",IF(P720="y","x",IF(OR(N720&gt;0,N720&gt;0),"x","")))))</f>
        <v/>
      </c>
      <c r="R720" s="317" t="str">
        <f t="shared" ref="R720:R795" si="253">IF(P720="X","x",IF(P720="y","x",IF(P720="xx","x",IF(N720&gt;0,"x",""))))</f>
        <v/>
      </c>
      <c r="S720" s="317" t="str">
        <f t="shared" ref="S720:S795" si="254">IF(P720="X","x",IF(N720&gt;0,"x",""))</f>
        <v/>
      </c>
      <c r="V720" s="314">
        <f>SUM(ORÇAMENTO!N720)</f>
        <v>0</v>
      </c>
      <c r="W720" s="315">
        <f t="shared" si="238"/>
        <v>0</v>
      </c>
    </row>
    <row r="721" spans="1:23" ht="15" hidden="1" customHeight="1">
      <c r="A721" s="63" t="s">
        <v>147</v>
      </c>
      <c r="B721" s="870" t="s">
        <v>147</v>
      </c>
      <c r="C721" s="871"/>
      <c r="D721" s="931" t="s">
        <v>244</v>
      </c>
      <c r="E721" s="882">
        <f>DMT!$F$28</f>
        <v>43.1</v>
      </c>
      <c r="F721" s="883">
        <f>SUM(F717:F720)</f>
        <v>2.2000000000000002</v>
      </c>
      <c r="G721" s="887">
        <f t="shared" si="249"/>
        <v>107.35340000000002</v>
      </c>
      <c r="H721" s="876">
        <v>0</v>
      </c>
      <c r="I721" s="876"/>
      <c r="J721" s="877">
        <v>0</v>
      </c>
      <c r="K721" s="878" t="s">
        <v>506</v>
      </c>
      <c r="L721" s="977">
        <f>ROUND(SUM(ORÇAMENTO!L721),2)</f>
        <v>0</v>
      </c>
      <c r="M721" s="934">
        <f t="shared" si="250"/>
        <v>0</v>
      </c>
      <c r="N721" s="868">
        <f t="shared" si="251"/>
        <v>0</v>
      </c>
      <c r="O721" s="880"/>
      <c r="P721" s="58" t="str">
        <f>IF(N717&gt;0,"xx",IF(N717&gt;0,"xy",""))</f>
        <v/>
      </c>
      <c r="Q721" s="317" t="str">
        <f t="shared" si="252"/>
        <v/>
      </c>
      <c r="R721" s="317" t="str">
        <f t="shared" si="253"/>
        <v/>
      </c>
      <c r="S721" s="317" t="str">
        <f t="shared" si="254"/>
        <v/>
      </c>
      <c r="V721" s="314">
        <f>SUM(ORÇAMENTO!N721)</f>
        <v>0</v>
      </c>
      <c r="W721" s="315">
        <f t="shared" si="238"/>
        <v>0</v>
      </c>
    </row>
    <row r="722" spans="1:23" ht="15" hidden="1" customHeight="1" thickBot="1">
      <c r="A722" s="63">
        <v>589320</v>
      </c>
      <c r="B722" s="978" t="s">
        <v>1675</v>
      </c>
      <c r="C722" s="958" t="s">
        <v>213</v>
      </c>
      <c r="D722" s="986" t="s">
        <v>684</v>
      </c>
      <c r="E722" s="979">
        <f>DMT!$D$47</f>
        <v>468</v>
      </c>
      <c r="F722" s="980">
        <v>1</v>
      </c>
      <c r="G722" s="923">
        <f>(0.84*E722+41.45)*F722</f>
        <v>434.57</v>
      </c>
      <c r="H722" s="962">
        <v>4012.83</v>
      </c>
      <c r="I722" s="962">
        <f>IF(ISBLANK(H722),"",H722*(1+$E$9)/(1+$E$10))+G722</f>
        <v>4321.3218851251841</v>
      </c>
      <c r="J722" s="963">
        <f t="shared" si="247"/>
        <v>5281.52</v>
      </c>
      <c r="K722" s="964" t="s">
        <v>14</v>
      </c>
      <c r="L722" s="1009">
        <f>ROUND(SUM(ORÇAMENTO!L722),2)</f>
        <v>0</v>
      </c>
      <c r="M722" s="1008">
        <f t="shared" si="250"/>
        <v>0</v>
      </c>
      <c r="N722" s="967">
        <f t="shared" si="251"/>
        <v>0</v>
      </c>
      <c r="O722" s="880"/>
      <c r="P722" s="58" t="str">
        <f>IF(N717&gt;0,"xx",IF(N717&gt;0,"xy",""))</f>
        <v/>
      </c>
      <c r="Q722" s="317" t="str">
        <f t="shared" si="252"/>
        <v/>
      </c>
      <c r="R722" s="317" t="str">
        <f t="shared" si="253"/>
        <v/>
      </c>
      <c r="S722" s="317" t="str">
        <f t="shared" si="254"/>
        <v/>
      </c>
      <c r="V722" s="314">
        <f>SUM(ORÇAMENTO!N722)</f>
        <v>0</v>
      </c>
      <c r="W722" s="315">
        <f t="shared" si="238"/>
        <v>0</v>
      </c>
    </row>
    <row r="723" spans="1:23" ht="15" hidden="1" customHeight="1">
      <c r="A723" s="63">
        <v>534300</v>
      </c>
      <c r="B723" s="973" t="s">
        <v>1667</v>
      </c>
      <c r="C723" s="974" t="s">
        <v>184</v>
      </c>
      <c r="D723" s="947" t="s">
        <v>2185</v>
      </c>
      <c r="E723" s="948" t="s">
        <v>564</v>
      </c>
      <c r="F723" s="949">
        <v>0.11</v>
      </c>
      <c r="G723" s="950">
        <f>SUM(G724:G727)</f>
        <v>113.40186</v>
      </c>
      <c r="H723" s="951">
        <v>140.30000000000001</v>
      </c>
      <c r="I723" s="951">
        <f>IF(ISBLANK(H723),"",SUM(G723:H723))</f>
        <v>253.70186000000001</v>
      </c>
      <c r="J723" s="952">
        <f t="shared" si="247"/>
        <v>310.07</v>
      </c>
      <c r="K723" s="953" t="s">
        <v>10</v>
      </c>
      <c r="L723" s="954">
        <f>ROUND(SUM(ORÇAMENTO!L723),2)</f>
        <v>0</v>
      </c>
      <c r="M723" s="955">
        <f t="shared" si="250"/>
        <v>0</v>
      </c>
      <c r="N723" s="956">
        <f t="shared" si="251"/>
        <v>0</v>
      </c>
      <c r="O723" s="880"/>
      <c r="Q723" s="317" t="str">
        <f t="shared" si="252"/>
        <v/>
      </c>
      <c r="R723" s="317" t="str">
        <f t="shared" si="253"/>
        <v/>
      </c>
      <c r="S723" s="317" t="str">
        <f t="shared" si="254"/>
        <v/>
      </c>
      <c r="V723" s="314">
        <f>SUM(ORÇAMENTO!N723)</f>
        <v>0</v>
      </c>
      <c r="W723" s="315">
        <f t="shared" si="238"/>
        <v>0</v>
      </c>
    </row>
    <row r="724" spans="1:23" ht="15" hidden="1" customHeight="1">
      <c r="A724" s="63" t="s">
        <v>147</v>
      </c>
      <c r="B724" s="870" t="s">
        <v>147</v>
      </c>
      <c r="C724" s="871"/>
      <c r="D724" s="931" t="s">
        <v>229</v>
      </c>
      <c r="E724" s="882">
        <f>DMT!$F$42</f>
        <v>290</v>
      </c>
      <c r="F724" s="883"/>
      <c r="G724" s="887"/>
      <c r="H724" s="876">
        <v>0</v>
      </c>
      <c r="I724" s="876"/>
      <c r="J724" s="877">
        <v>0</v>
      </c>
      <c r="K724" s="878" t="s">
        <v>506</v>
      </c>
      <c r="L724" s="977">
        <f>ROUND(SUM(ORÇAMENTO!L724),2)</f>
        <v>0</v>
      </c>
      <c r="M724" s="934">
        <f t="shared" si="250"/>
        <v>0</v>
      </c>
      <c r="N724" s="868">
        <f t="shared" si="251"/>
        <v>0</v>
      </c>
      <c r="O724" s="880"/>
      <c r="P724" s="58" t="str">
        <f>IF(N723&gt;0,"xx",IF(N723&gt;0,"xy",""))</f>
        <v/>
      </c>
      <c r="Q724" s="317" t="str">
        <f t="shared" si="252"/>
        <v/>
      </c>
      <c r="R724" s="317" t="str">
        <f t="shared" si="253"/>
        <v/>
      </c>
      <c r="S724" s="317" t="str">
        <f t="shared" si="254"/>
        <v/>
      </c>
      <c r="V724" s="314">
        <f>SUM(ORÇAMENTO!N724)</f>
        <v>0</v>
      </c>
      <c r="W724" s="315">
        <f t="shared" si="238"/>
        <v>0</v>
      </c>
    </row>
    <row r="725" spans="1:23" ht="15" hidden="1" customHeight="1">
      <c r="A725" s="63" t="s">
        <v>147</v>
      </c>
      <c r="B725" s="870" t="s">
        <v>147</v>
      </c>
      <c r="C725" s="871"/>
      <c r="D725" s="931" t="s">
        <v>230</v>
      </c>
      <c r="E725" s="882">
        <f>DMT!$D$46</f>
        <v>445</v>
      </c>
      <c r="F725" s="883"/>
      <c r="G725" s="884"/>
      <c r="H725" s="876">
        <v>0</v>
      </c>
      <c r="I725" s="876"/>
      <c r="J725" s="877">
        <v>0</v>
      </c>
      <c r="K725" s="878" t="s">
        <v>506</v>
      </c>
      <c r="L725" s="977">
        <f>ROUND(SUM(ORÇAMENTO!L725),2)</f>
        <v>0</v>
      </c>
      <c r="M725" s="934">
        <f t="shared" si="250"/>
        <v>0</v>
      </c>
      <c r="N725" s="868">
        <f t="shared" si="251"/>
        <v>0</v>
      </c>
      <c r="O725" s="880"/>
      <c r="P725" s="58" t="str">
        <f>IF(N723&gt;0,"xx",IF(N723&gt;0,"xy",""))</f>
        <v/>
      </c>
      <c r="Q725" s="317" t="str">
        <f t="shared" si="252"/>
        <v/>
      </c>
      <c r="R725" s="317" t="str">
        <f t="shared" si="253"/>
        <v/>
      </c>
      <c r="S725" s="317" t="str">
        <f t="shared" si="254"/>
        <v/>
      </c>
      <c r="V725" s="314">
        <f>SUM(ORÇAMENTO!N725)</f>
        <v>0</v>
      </c>
      <c r="W725" s="315">
        <f t="shared" ref="W725:W788" si="255">N725-V725</f>
        <v>0</v>
      </c>
    </row>
    <row r="726" spans="1:23" ht="15" hidden="1" customHeight="1">
      <c r="A726" s="63" t="s">
        <v>147</v>
      </c>
      <c r="B726" s="870" t="s">
        <v>147</v>
      </c>
      <c r="C726" s="871"/>
      <c r="D726" s="931" t="s">
        <v>243</v>
      </c>
      <c r="E726" s="882">
        <f>DMT!$F$43</f>
        <v>0.2</v>
      </c>
      <c r="F726" s="883">
        <v>2.09</v>
      </c>
      <c r="G726" s="887">
        <f t="shared" ref="G726:G727" si="256">IF(E726&lt;=30,(1.07*E726+2.68)*F726,((1.07*30+2.68)+1.07*(E726-30))*F726)</f>
        <v>6.0484599999999995</v>
      </c>
      <c r="H726" s="876">
        <v>0</v>
      </c>
      <c r="I726" s="876"/>
      <c r="J726" s="877">
        <v>0</v>
      </c>
      <c r="K726" s="878" t="s">
        <v>506</v>
      </c>
      <c r="L726" s="977">
        <f>ROUND(SUM(ORÇAMENTO!L726),2)</f>
        <v>0</v>
      </c>
      <c r="M726" s="934">
        <f t="shared" si="250"/>
        <v>0</v>
      </c>
      <c r="N726" s="868">
        <f t="shared" si="251"/>
        <v>0</v>
      </c>
      <c r="O726" s="880"/>
      <c r="P726" s="58" t="str">
        <f>IF(N723&gt;0,"xx",IF(N723&gt;0,"xy",""))</f>
        <v/>
      </c>
      <c r="Q726" s="317" t="str">
        <f t="shared" si="252"/>
        <v/>
      </c>
      <c r="R726" s="317" t="str">
        <f t="shared" si="253"/>
        <v/>
      </c>
      <c r="S726" s="317" t="str">
        <f t="shared" si="254"/>
        <v/>
      </c>
      <c r="V726" s="314">
        <f>SUM(ORÇAMENTO!N726)</f>
        <v>0</v>
      </c>
      <c r="W726" s="315">
        <f t="shared" si="255"/>
        <v>0</v>
      </c>
    </row>
    <row r="727" spans="1:23" ht="15" hidden="1" customHeight="1">
      <c r="A727" s="63" t="s">
        <v>147</v>
      </c>
      <c r="B727" s="870" t="s">
        <v>147</v>
      </c>
      <c r="C727" s="871"/>
      <c r="D727" s="931" t="s">
        <v>244</v>
      </c>
      <c r="E727" s="882">
        <f>DMT!$F$28</f>
        <v>43.1</v>
      </c>
      <c r="F727" s="883">
        <f>SUM(F723:F726)</f>
        <v>2.1999999999999997</v>
      </c>
      <c r="G727" s="887">
        <f t="shared" si="256"/>
        <v>107.35339999999999</v>
      </c>
      <c r="H727" s="876">
        <v>0</v>
      </c>
      <c r="I727" s="876"/>
      <c r="J727" s="877">
        <v>0</v>
      </c>
      <c r="K727" s="878" t="s">
        <v>506</v>
      </c>
      <c r="L727" s="977">
        <f>ROUND(SUM(ORÇAMENTO!L727),2)</f>
        <v>0</v>
      </c>
      <c r="M727" s="934">
        <f t="shared" si="250"/>
        <v>0</v>
      </c>
      <c r="N727" s="868">
        <f t="shared" si="251"/>
        <v>0</v>
      </c>
      <c r="O727" s="880"/>
      <c r="P727" s="58" t="str">
        <f>IF(N723&gt;0,"xx",IF(N723&gt;0,"xy",""))</f>
        <v/>
      </c>
      <c r="Q727" s="317" t="str">
        <f t="shared" si="252"/>
        <v/>
      </c>
      <c r="R727" s="317" t="str">
        <f t="shared" si="253"/>
        <v/>
      </c>
      <c r="S727" s="317" t="str">
        <f t="shared" si="254"/>
        <v/>
      </c>
      <c r="V727" s="314">
        <f>SUM(ORÇAMENTO!N727)</f>
        <v>0</v>
      </c>
      <c r="W727" s="315">
        <f t="shared" si="255"/>
        <v>0</v>
      </c>
    </row>
    <row r="728" spans="1:23" ht="15" hidden="1" customHeight="1" thickBot="1">
      <c r="A728" s="63">
        <v>589320</v>
      </c>
      <c r="B728" s="978" t="s">
        <v>1676</v>
      </c>
      <c r="C728" s="958" t="s">
        <v>213</v>
      </c>
      <c r="D728" s="986" t="s">
        <v>685</v>
      </c>
      <c r="E728" s="979">
        <f>DMT!$D$47</f>
        <v>468</v>
      </c>
      <c r="F728" s="980">
        <v>1</v>
      </c>
      <c r="G728" s="923">
        <f>(0.84*E728+41.45)*F728</f>
        <v>434.57</v>
      </c>
      <c r="H728" s="962">
        <v>4012.83</v>
      </c>
      <c r="I728" s="962">
        <f>IF(ISBLANK(H728),"",H728*(1+$E$9)/(1+$E$10))+G728</f>
        <v>4321.3218851251841</v>
      </c>
      <c r="J728" s="963">
        <f t="shared" si="247"/>
        <v>5281.52</v>
      </c>
      <c r="K728" s="964" t="s">
        <v>14</v>
      </c>
      <c r="L728" s="1009">
        <f>ROUND(SUM(ORÇAMENTO!L728),2)</f>
        <v>0</v>
      </c>
      <c r="M728" s="1008">
        <f t="shared" si="250"/>
        <v>0</v>
      </c>
      <c r="N728" s="967">
        <f t="shared" si="251"/>
        <v>0</v>
      </c>
      <c r="O728" s="880"/>
      <c r="P728" s="58" t="str">
        <f>IF(N723&gt;0,"xx",IF(N723&gt;0,"xy",""))</f>
        <v/>
      </c>
      <c r="Q728" s="317" t="str">
        <f t="shared" si="252"/>
        <v/>
      </c>
      <c r="R728" s="317" t="str">
        <f t="shared" si="253"/>
        <v/>
      </c>
      <c r="S728" s="317" t="str">
        <f t="shared" si="254"/>
        <v/>
      </c>
      <c r="V728" s="314">
        <f>SUM(ORÇAMENTO!N728)</f>
        <v>0</v>
      </c>
      <c r="W728" s="315">
        <f t="shared" si="255"/>
        <v>0</v>
      </c>
    </row>
    <row r="729" spans="1:23" ht="15" hidden="1" customHeight="1">
      <c r="A729" s="63">
        <v>534300</v>
      </c>
      <c r="B729" s="973" t="s">
        <v>1668</v>
      </c>
      <c r="C729" s="974" t="s">
        <v>184</v>
      </c>
      <c r="D729" s="947" t="s">
        <v>2184</v>
      </c>
      <c r="E729" s="948" t="s">
        <v>564</v>
      </c>
      <c r="F729" s="949">
        <v>0.11</v>
      </c>
      <c r="G729" s="950">
        <f>SUM(G730:G733)</f>
        <v>113.40186</v>
      </c>
      <c r="H729" s="951">
        <v>140.30000000000001</v>
      </c>
      <c r="I729" s="951">
        <f>IF(ISBLANK(H729),"",SUM(G729:H729))</f>
        <v>253.70186000000001</v>
      </c>
      <c r="J729" s="952">
        <f t="shared" si="247"/>
        <v>310.07</v>
      </c>
      <c r="K729" s="953" t="s">
        <v>10</v>
      </c>
      <c r="L729" s="954">
        <f>ROUND(SUM(ORÇAMENTO!L729),2)</f>
        <v>0</v>
      </c>
      <c r="M729" s="955">
        <f t="shared" si="250"/>
        <v>0</v>
      </c>
      <c r="N729" s="956">
        <f t="shared" si="251"/>
        <v>0</v>
      </c>
      <c r="O729" s="880"/>
      <c r="Q729" s="317" t="str">
        <f t="shared" si="252"/>
        <v/>
      </c>
      <c r="R729" s="317" t="str">
        <f t="shared" si="253"/>
        <v/>
      </c>
      <c r="S729" s="317" t="str">
        <f t="shared" si="254"/>
        <v/>
      </c>
      <c r="V729" s="314">
        <f>SUM(ORÇAMENTO!N729)</f>
        <v>0</v>
      </c>
      <c r="W729" s="315">
        <f t="shared" si="255"/>
        <v>0</v>
      </c>
    </row>
    <row r="730" spans="1:23" ht="15" hidden="1" customHeight="1">
      <c r="A730" s="63" t="s">
        <v>147</v>
      </c>
      <c r="B730" s="870" t="s">
        <v>147</v>
      </c>
      <c r="C730" s="871"/>
      <c r="D730" s="931" t="s">
        <v>229</v>
      </c>
      <c r="E730" s="882">
        <f>DMT!$F$42</f>
        <v>290</v>
      </c>
      <c r="F730" s="883"/>
      <c r="G730" s="887"/>
      <c r="H730" s="876">
        <v>0</v>
      </c>
      <c r="I730" s="876"/>
      <c r="J730" s="877">
        <v>0</v>
      </c>
      <c r="K730" s="878" t="s">
        <v>506</v>
      </c>
      <c r="L730" s="977">
        <f>ROUND(SUM(ORÇAMENTO!L730),2)</f>
        <v>0</v>
      </c>
      <c r="M730" s="934">
        <f t="shared" si="250"/>
        <v>0</v>
      </c>
      <c r="N730" s="868">
        <f t="shared" si="251"/>
        <v>0</v>
      </c>
      <c r="O730" s="880"/>
      <c r="P730" s="58" t="str">
        <f>IF(N729&gt;0,"xx",IF(N729&gt;0,"xy",""))</f>
        <v/>
      </c>
      <c r="Q730" s="317" t="str">
        <f t="shared" si="252"/>
        <v/>
      </c>
      <c r="R730" s="317" t="str">
        <f t="shared" si="253"/>
        <v/>
      </c>
      <c r="S730" s="317" t="str">
        <f t="shared" si="254"/>
        <v/>
      </c>
      <c r="V730" s="314">
        <f>SUM(ORÇAMENTO!N730)</f>
        <v>0</v>
      </c>
      <c r="W730" s="315">
        <f t="shared" si="255"/>
        <v>0</v>
      </c>
    </row>
    <row r="731" spans="1:23" ht="15" hidden="1" customHeight="1">
      <c r="A731" s="63" t="s">
        <v>147</v>
      </c>
      <c r="B731" s="870" t="s">
        <v>147</v>
      </c>
      <c r="C731" s="871"/>
      <c r="D731" s="931" t="s">
        <v>230</v>
      </c>
      <c r="E731" s="882">
        <f>DMT!$D$46</f>
        <v>445</v>
      </c>
      <c r="F731" s="883"/>
      <c r="G731" s="884"/>
      <c r="H731" s="876">
        <v>0</v>
      </c>
      <c r="I731" s="876"/>
      <c r="J731" s="877">
        <v>0</v>
      </c>
      <c r="K731" s="878" t="s">
        <v>506</v>
      </c>
      <c r="L731" s="977">
        <f>ROUND(SUM(ORÇAMENTO!L731),2)</f>
        <v>0</v>
      </c>
      <c r="M731" s="934">
        <f t="shared" si="250"/>
        <v>0</v>
      </c>
      <c r="N731" s="868">
        <f t="shared" si="251"/>
        <v>0</v>
      </c>
      <c r="O731" s="880"/>
      <c r="P731" s="58" t="str">
        <f>IF(N729&gt;0,"xx",IF(N729&gt;0,"xy",""))</f>
        <v/>
      </c>
      <c r="Q731" s="317" t="str">
        <f t="shared" si="252"/>
        <v/>
      </c>
      <c r="R731" s="317" t="str">
        <f t="shared" si="253"/>
        <v/>
      </c>
      <c r="S731" s="317" t="str">
        <f t="shared" si="254"/>
        <v/>
      </c>
      <c r="V731" s="314">
        <f>SUM(ORÇAMENTO!N731)</f>
        <v>0</v>
      </c>
      <c r="W731" s="315">
        <f t="shared" si="255"/>
        <v>0</v>
      </c>
    </row>
    <row r="732" spans="1:23" ht="15" hidden="1" customHeight="1">
      <c r="A732" s="63" t="s">
        <v>147</v>
      </c>
      <c r="B732" s="870" t="s">
        <v>147</v>
      </c>
      <c r="C732" s="871"/>
      <c r="D732" s="931" t="s">
        <v>243</v>
      </c>
      <c r="E732" s="882">
        <f>DMT!$F$43</f>
        <v>0.2</v>
      </c>
      <c r="F732" s="883">
        <v>2.09</v>
      </c>
      <c r="G732" s="887">
        <f t="shared" ref="G732:G733" si="257">IF(E732&lt;=30,(1.07*E732+2.68)*F732,((1.07*30+2.68)+1.07*(E732-30))*F732)</f>
        <v>6.0484599999999995</v>
      </c>
      <c r="H732" s="876">
        <v>0</v>
      </c>
      <c r="I732" s="876"/>
      <c r="J732" s="877">
        <v>0</v>
      </c>
      <c r="K732" s="878" t="s">
        <v>506</v>
      </c>
      <c r="L732" s="977">
        <f>ROUND(SUM(ORÇAMENTO!L732),2)</f>
        <v>0</v>
      </c>
      <c r="M732" s="934">
        <f t="shared" si="250"/>
        <v>0</v>
      </c>
      <c r="N732" s="868">
        <f t="shared" si="251"/>
        <v>0</v>
      </c>
      <c r="O732" s="880"/>
      <c r="P732" s="58" t="str">
        <f>IF(N729&gt;0,"xx",IF(N729&gt;0,"xy",""))</f>
        <v/>
      </c>
      <c r="Q732" s="317" t="str">
        <f t="shared" si="252"/>
        <v/>
      </c>
      <c r="R732" s="317" t="str">
        <f t="shared" si="253"/>
        <v/>
      </c>
      <c r="S732" s="317" t="str">
        <f t="shared" si="254"/>
        <v/>
      </c>
      <c r="V732" s="314">
        <f>SUM(ORÇAMENTO!N732)</f>
        <v>0</v>
      </c>
      <c r="W732" s="315">
        <f t="shared" si="255"/>
        <v>0</v>
      </c>
    </row>
    <row r="733" spans="1:23" ht="15" hidden="1" customHeight="1">
      <c r="A733" s="63" t="s">
        <v>147</v>
      </c>
      <c r="B733" s="870" t="s">
        <v>147</v>
      </c>
      <c r="C733" s="871"/>
      <c r="D733" s="931" t="s">
        <v>244</v>
      </c>
      <c r="E733" s="882">
        <f>DMT!$F$28</f>
        <v>43.1</v>
      </c>
      <c r="F733" s="883">
        <f>SUM(F729:F732)</f>
        <v>2.1999999999999997</v>
      </c>
      <c r="G733" s="887">
        <f t="shared" si="257"/>
        <v>107.35339999999999</v>
      </c>
      <c r="H733" s="876">
        <v>0</v>
      </c>
      <c r="I733" s="876"/>
      <c r="J733" s="877">
        <v>0</v>
      </c>
      <c r="K733" s="878" t="s">
        <v>506</v>
      </c>
      <c r="L733" s="977">
        <f>ROUND(SUM(ORÇAMENTO!L733),2)</f>
        <v>0</v>
      </c>
      <c r="M733" s="934">
        <f t="shared" si="250"/>
        <v>0</v>
      </c>
      <c r="N733" s="868">
        <f t="shared" si="251"/>
        <v>0</v>
      </c>
      <c r="O733" s="880"/>
      <c r="P733" s="58" t="str">
        <f>IF(N729&gt;0,"xx",IF(N729&gt;0,"xy",""))</f>
        <v/>
      </c>
      <c r="Q733" s="317" t="str">
        <f t="shared" si="252"/>
        <v/>
      </c>
      <c r="R733" s="317" t="str">
        <f t="shared" si="253"/>
        <v/>
      </c>
      <c r="S733" s="317" t="str">
        <f t="shared" si="254"/>
        <v/>
      </c>
      <c r="V733" s="314">
        <f>SUM(ORÇAMENTO!N733)</f>
        <v>0</v>
      </c>
      <c r="W733" s="315">
        <f t="shared" si="255"/>
        <v>0</v>
      </c>
    </row>
    <row r="734" spans="1:23" ht="15" hidden="1" customHeight="1" thickBot="1">
      <c r="A734" s="63">
        <v>589320</v>
      </c>
      <c r="B734" s="978" t="s">
        <v>1677</v>
      </c>
      <c r="C734" s="958" t="s">
        <v>213</v>
      </c>
      <c r="D734" s="986" t="s">
        <v>685</v>
      </c>
      <c r="E734" s="979">
        <f>DMT!$D$47</f>
        <v>468</v>
      </c>
      <c r="F734" s="980">
        <v>1</v>
      </c>
      <c r="G734" s="923">
        <f>(0.84*E734+41.45)*F734</f>
        <v>434.57</v>
      </c>
      <c r="H734" s="962">
        <v>4012.83</v>
      </c>
      <c r="I734" s="962">
        <f>IF(ISBLANK(H734),"",H734*(1+$E$9)/(1+$E$10))+G734</f>
        <v>4321.3218851251841</v>
      </c>
      <c r="J734" s="963">
        <f t="shared" si="247"/>
        <v>5281.52</v>
      </c>
      <c r="K734" s="964" t="s">
        <v>14</v>
      </c>
      <c r="L734" s="1009">
        <f>ROUND(SUM(ORÇAMENTO!L734),2)</f>
        <v>0</v>
      </c>
      <c r="M734" s="1008">
        <f t="shared" si="250"/>
        <v>0</v>
      </c>
      <c r="N734" s="967">
        <f t="shared" si="251"/>
        <v>0</v>
      </c>
      <c r="O734" s="880"/>
      <c r="P734" s="58" t="str">
        <f>IF(N729&gt;0,"xx",IF(N729&gt;0,"xy",""))</f>
        <v/>
      </c>
      <c r="Q734" s="317" t="str">
        <f t="shared" si="252"/>
        <v/>
      </c>
      <c r="R734" s="317" t="str">
        <f t="shared" si="253"/>
        <v/>
      </c>
      <c r="S734" s="317" t="str">
        <f t="shared" si="254"/>
        <v/>
      </c>
      <c r="V734" s="314">
        <f>SUM(ORÇAMENTO!N734)</f>
        <v>0</v>
      </c>
      <c r="W734" s="315">
        <f t="shared" si="255"/>
        <v>0</v>
      </c>
    </row>
    <row r="735" spans="1:23" ht="15" hidden="1" customHeight="1">
      <c r="A735" s="63">
        <v>534300</v>
      </c>
      <c r="B735" s="973" t="s">
        <v>1669</v>
      </c>
      <c r="C735" s="974" t="s">
        <v>184</v>
      </c>
      <c r="D735" s="947" t="s">
        <v>2185</v>
      </c>
      <c r="E735" s="948" t="s">
        <v>564</v>
      </c>
      <c r="F735" s="949">
        <v>0.14000000000000001</v>
      </c>
      <c r="G735" s="950">
        <f>SUM(G736:G739)</f>
        <v>202.20736000000002</v>
      </c>
      <c r="H735" s="951">
        <v>140.30000000000001</v>
      </c>
      <c r="I735" s="951">
        <f>IF(ISBLANK(H735),"",SUM(G735:H735))</f>
        <v>342.50736000000006</v>
      </c>
      <c r="J735" s="952">
        <f t="shared" si="247"/>
        <v>418.61</v>
      </c>
      <c r="K735" s="953" t="s">
        <v>10</v>
      </c>
      <c r="L735" s="954">
        <f>ROUND(SUM(ORÇAMENTO!L735),2)</f>
        <v>0</v>
      </c>
      <c r="M735" s="955">
        <f t="shared" si="250"/>
        <v>0</v>
      </c>
      <c r="N735" s="956">
        <f t="shared" si="251"/>
        <v>0</v>
      </c>
      <c r="O735" s="880"/>
      <c r="Q735" s="317" t="str">
        <f t="shared" si="252"/>
        <v/>
      </c>
      <c r="R735" s="317" t="str">
        <f t="shared" si="253"/>
        <v/>
      </c>
      <c r="S735" s="317" t="str">
        <f t="shared" si="254"/>
        <v/>
      </c>
      <c r="V735" s="314">
        <f>SUM(ORÇAMENTO!N735)</f>
        <v>0</v>
      </c>
      <c r="W735" s="315">
        <f t="shared" si="255"/>
        <v>0</v>
      </c>
    </row>
    <row r="736" spans="1:23" ht="15" hidden="1" customHeight="1">
      <c r="A736" s="63" t="s">
        <v>147</v>
      </c>
      <c r="B736" s="870" t="s">
        <v>147</v>
      </c>
      <c r="C736" s="871"/>
      <c r="D736" s="931" t="s">
        <v>229</v>
      </c>
      <c r="E736" s="882">
        <f>DMT!$F$42</f>
        <v>290</v>
      </c>
      <c r="F736" s="883">
        <v>0.27</v>
      </c>
      <c r="G736" s="887">
        <f t="shared" ref="G736:G739" si="258">IF(E736&lt;=30,(1.07*E736+2.68)*F736,((1.07*30+2.68)+1.07*(E736-30))*F736)</f>
        <v>84.504600000000011</v>
      </c>
      <c r="H736" s="876">
        <v>0</v>
      </c>
      <c r="I736" s="876"/>
      <c r="J736" s="877">
        <v>0</v>
      </c>
      <c r="K736" s="878" t="s">
        <v>506</v>
      </c>
      <c r="L736" s="977">
        <f>ROUND(SUM(ORÇAMENTO!L736),2)</f>
        <v>0</v>
      </c>
      <c r="M736" s="934">
        <f t="shared" si="250"/>
        <v>0</v>
      </c>
      <c r="N736" s="868">
        <f t="shared" si="251"/>
        <v>0</v>
      </c>
      <c r="O736" s="880"/>
      <c r="P736" s="58" t="str">
        <f>IF(N735&gt;0,"xx",IF(N735&gt;0,"xy",""))</f>
        <v/>
      </c>
      <c r="Q736" s="317" t="str">
        <f t="shared" si="252"/>
        <v/>
      </c>
      <c r="R736" s="317" t="str">
        <f t="shared" si="253"/>
        <v/>
      </c>
      <c r="S736" s="317" t="str">
        <f t="shared" si="254"/>
        <v/>
      </c>
      <c r="V736" s="314">
        <f>SUM(ORÇAMENTO!N736)</f>
        <v>0</v>
      </c>
      <c r="W736" s="315">
        <f t="shared" si="255"/>
        <v>0</v>
      </c>
    </row>
    <row r="737" spans="1:23" ht="15" hidden="1" customHeight="1">
      <c r="A737" s="63" t="s">
        <v>147</v>
      </c>
      <c r="B737" s="870" t="s">
        <v>147</v>
      </c>
      <c r="C737" s="871"/>
      <c r="D737" s="931" t="s">
        <v>230</v>
      </c>
      <c r="E737" s="882">
        <f>DMT!$D$46</f>
        <v>445</v>
      </c>
      <c r="F737" s="883"/>
      <c r="G737" s="884"/>
      <c r="H737" s="876">
        <v>0</v>
      </c>
      <c r="I737" s="876"/>
      <c r="J737" s="877">
        <v>0</v>
      </c>
      <c r="K737" s="878" t="s">
        <v>506</v>
      </c>
      <c r="L737" s="977">
        <f>ROUND(SUM(ORÇAMENTO!L737),2)</f>
        <v>0</v>
      </c>
      <c r="M737" s="934">
        <f t="shared" si="250"/>
        <v>0</v>
      </c>
      <c r="N737" s="868">
        <f t="shared" si="251"/>
        <v>0</v>
      </c>
      <c r="O737" s="880"/>
      <c r="P737" s="58" t="str">
        <f>IF(N735&gt;0,"xx",IF(N735&gt;0,"xy",""))</f>
        <v/>
      </c>
      <c r="Q737" s="317" t="str">
        <f t="shared" si="252"/>
        <v/>
      </c>
      <c r="R737" s="317" t="str">
        <f t="shared" si="253"/>
        <v/>
      </c>
      <c r="S737" s="317" t="str">
        <f t="shared" si="254"/>
        <v/>
      </c>
      <c r="V737" s="314">
        <f>SUM(ORÇAMENTO!N737)</f>
        <v>0</v>
      </c>
      <c r="W737" s="315">
        <f t="shared" si="255"/>
        <v>0</v>
      </c>
    </row>
    <row r="738" spans="1:23" ht="15" hidden="1" customHeight="1">
      <c r="A738" s="63" t="s">
        <v>147</v>
      </c>
      <c r="B738" s="870" t="s">
        <v>147</v>
      </c>
      <c r="C738" s="871"/>
      <c r="D738" s="931" t="s">
        <v>243</v>
      </c>
      <c r="E738" s="882">
        <f>DMT!$F$43</f>
        <v>0.2</v>
      </c>
      <c r="F738" s="883">
        <v>1.89</v>
      </c>
      <c r="G738" s="887">
        <f t="shared" si="258"/>
        <v>5.4696600000000002</v>
      </c>
      <c r="H738" s="876">
        <v>0</v>
      </c>
      <c r="I738" s="876"/>
      <c r="J738" s="877">
        <v>0</v>
      </c>
      <c r="K738" s="878" t="s">
        <v>506</v>
      </c>
      <c r="L738" s="977">
        <f>ROUND(SUM(ORÇAMENTO!L738),2)</f>
        <v>0</v>
      </c>
      <c r="M738" s="934">
        <f t="shared" si="250"/>
        <v>0</v>
      </c>
      <c r="N738" s="868">
        <f t="shared" si="251"/>
        <v>0</v>
      </c>
      <c r="O738" s="880"/>
      <c r="P738" s="58" t="str">
        <f>IF(N735&gt;0,"xx",IF(N735&gt;0,"xy",""))</f>
        <v/>
      </c>
      <c r="Q738" s="317" t="str">
        <f t="shared" si="252"/>
        <v/>
      </c>
      <c r="R738" s="317" t="str">
        <f t="shared" si="253"/>
        <v/>
      </c>
      <c r="S738" s="317" t="str">
        <f t="shared" si="254"/>
        <v/>
      </c>
      <c r="V738" s="314">
        <f>SUM(ORÇAMENTO!N738)</f>
        <v>0</v>
      </c>
      <c r="W738" s="315">
        <f t="shared" si="255"/>
        <v>0</v>
      </c>
    </row>
    <row r="739" spans="1:23" ht="15" hidden="1" customHeight="1">
      <c r="A739" s="63" t="s">
        <v>147</v>
      </c>
      <c r="B739" s="870" t="s">
        <v>147</v>
      </c>
      <c r="C739" s="871"/>
      <c r="D739" s="931" t="s">
        <v>244</v>
      </c>
      <c r="E739" s="882">
        <f>DMT!$F$28</f>
        <v>43.1</v>
      </c>
      <c r="F739" s="883">
        <f>SUM(F735:F738)</f>
        <v>2.2999999999999998</v>
      </c>
      <c r="G739" s="887">
        <f t="shared" si="258"/>
        <v>112.23310000000001</v>
      </c>
      <c r="H739" s="876">
        <v>0</v>
      </c>
      <c r="I739" s="876"/>
      <c r="J739" s="877">
        <v>0</v>
      </c>
      <c r="K739" s="878" t="s">
        <v>506</v>
      </c>
      <c r="L739" s="977">
        <f>ROUND(SUM(ORÇAMENTO!L739),2)</f>
        <v>0</v>
      </c>
      <c r="M739" s="934">
        <f t="shared" si="250"/>
        <v>0</v>
      </c>
      <c r="N739" s="868">
        <f t="shared" si="251"/>
        <v>0</v>
      </c>
      <c r="O739" s="880"/>
      <c r="P739" s="58" t="str">
        <f>IF(N735&gt;0,"xx",IF(N735&gt;0,"xy",""))</f>
        <v/>
      </c>
      <c r="Q739" s="317" t="str">
        <f t="shared" si="252"/>
        <v/>
      </c>
      <c r="R739" s="317" t="str">
        <f t="shared" si="253"/>
        <v/>
      </c>
      <c r="S739" s="317" t="str">
        <f t="shared" si="254"/>
        <v/>
      </c>
      <c r="V739" s="314">
        <f>SUM(ORÇAMENTO!N739)</f>
        <v>0</v>
      </c>
      <c r="W739" s="315">
        <f t="shared" si="255"/>
        <v>0</v>
      </c>
    </row>
    <row r="740" spans="1:23" ht="15" hidden="1" customHeight="1" thickBot="1">
      <c r="A740" s="63">
        <v>589320</v>
      </c>
      <c r="B740" s="978" t="s">
        <v>1678</v>
      </c>
      <c r="C740" s="958" t="s">
        <v>213</v>
      </c>
      <c r="D740" s="986" t="s">
        <v>685</v>
      </c>
      <c r="E740" s="979">
        <f>DMT!$D$47</f>
        <v>468</v>
      </c>
      <c r="F740" s="980">
        <v>1</v>
      </c>
      <c r="G740" s="923">
        <f>(0.84*E740+41.45)*F740</f>
        <v>434.57</v>
      </c>
      <c r="H740" s="962">
        <v>4012.83</v>
      </c>
      <c r="I740" s="962">
        <f>IF(ISBLANK(H740),"",H740*(1+$E$9)/(1+$E$10))+G740</f>
        <v>4321.3218851251841</v>
      </c>
      <c r="J740" s="963">
        <f t="shared" si="247"/>
        <v>5281.52</v>
      </c>
      <c r="K740" s="964" t="s">
        <v>14</v>
      </c>
      <c r="L740" s="1009">
        <f>ROUND(SUM(ORÇAMENTO!L740),2)</f>
        <v>0</v>
      </c>
      <c r="M740" s="1008">
        <f t="shared" si="250"/>
        <v>0</v>
      </c>
      <c r="N740" s="967">
        <f t="shared" si="251"/>
        <v>0</v>
      </c>
      <c r="O740" s="880"/>
      <c r="P740" s="58" t="str">
        <f>IF(N735&gt;0,"xx",IF(N735&gt;0,"xy",""))</f>
        <v/>
      </c>
      <c r="Q740" s="317" t="str">
        <f t="shared" si="252"/>
        <v/>
      </c>
      <c r="R740" s="317" t="str">
        <f t="shared" si="253"/>
        <v/>
      </c>
      <c r="S740" s="317" t="str">
        <f t="shared" si="254"/>
        <v/>
      </c>
      <c r="V740" s="314">
        <f>SUM(ORÇAMENTO!N740)</f>
        <v>0</v>
      </c>
      <c r="W740" s="315">
        <f t="shared" si="255"/>
        <v>0</v>
      </c>
    </row>
    <row r="741" spans="1:23" ht="15" hidden="1" customHeight="1">
      <c r="A741" s="63">
        <v>534300</v>
      </c>
      <c r="B741" s="973" t="s">
        <v>1745</v>
      </c>
      <c r="C741" s="974" t="s">
        <v>184</v>
      </c>
      <c r="D741" s="947" t="s">
        <v>2184</v>
      </c>
      <c r="E741" s="948" t="s">
        <v>564</v>
      </c>
      <c r="F741" s="949">
        <v>0.14000000000000001</v>
      </c>
      <c r="G741" s="950">
        <f>SUM(G742:G745)</f>
        <v>202.20736000000002</v>
      </c>
      <c r="H741" s="951">
        <v>140.30000000000001</v>
      </c>
      <c r="I741" s="951">
        <f>IF(ISBLANK(H741),"",SUM(G741:H741))</f>
        <v>342.50736000000006</v>
      </c>
      <c r="J741" s="952">
        <f t="shared" si="247"/>
        <v>418.61</v>
      </c>
      <c r="K741" s="953" t="s">
        <v>10</v>
      </c>
      <c r="L741" s="954">
        <f>ROUND(SUM(ORÇAMENTO!L741),2)</f>
        <v>0</v>
      </c>
      <c r="M741" s="955">
        <f t="shared" si="250"/>
        <v>0</v>
      </c>
      <c r="N741" s="956">
        <f t="shared" si="251"/>
        <v>0</v>
      </c>
      <c r="O741" s="880"/>
      <c r="Q741" s="317" t="str">
        <f t="shared" si="252"/>
        <v/>
      </c>
      <c r="R741" s="317" t="str">
        <f t="shared" si="253"/>
        <v/>
      </c>
      <c r="S741" s="317" t="str">
        <f t="shared" si="254"/>
        <v/>
      </c>
      <c r="V741" s="314">
        <f>SUM(ORÇAMENTO!N741)</f>
        <v>0</v>
      </c>
      <c r="W741" s="315">
        <f t="shared" si="255"/>
        <v>0</v>
      </c>
    </row>
    <row r="742" spans="1:23" ht="15" hidden="1" customHeight="1">
      <c r="A742" s="63" t="s">
        <v>147</v>
      </c>
      <c r="B742" s="870" t="s">
        <v>147</v>
      </c>
      <c r="C742" s="871"/>
      <c r="D742" s="931" t="s">
        <v>229</v>
      </c>
      <c r="E742" s="882">
        <f>DMT!$F$42</f>
        <v>290</v>
      </c>
      <c r="F742" s="883">
        <v>0.27</v>
      </c>
      <c r="G742" s="887">
        <f t="shared" ref="G742:G745" si="259">IF(E742&lt;=30,(1.07*E742+2.68)*F742,((1.07*30+2.68)+1.07*(E742-30))*F742)</f>
        <v>84.504600000000011</v>
      </c>
      <c r="H742" s="876">
        <v>0</v>
      </c>
      <c r="I742" s="876"/>
      <c r="J742" s="877">
        <v>0</v>
      </c>
      <c r="K742" s="878" t="s">
        <v>506</v>
      </c>
      <c r="L742" s="977">
        <f>ROUND(SUM(ORÇAMENTO!L742),2)</f>
        <v>0</v>
      </c>
      <c r="M742" s="934">
        <f t="shared" si="250"/>
        <v>0</v>
      </c>
      <c r="N742" s="868">
        <f t="shared" si="251"/>
        <v>0</v>
      </c>
      <c r="O742" s="880"/>
      <c r="P742" s="58" t="str">
        <f>IF(N741&gt;0,"xx",IF(N741&gt;0,"xy",""))</f>
        <v/>
      </c>
      <c r="Q742" s="317" t="str">
        <f t="shared" si="252"/>
        <v/>
      </c>
      <c r="R742" s="317" t="str">
        <f t="shared" si="253"/>
        <v/>
      </c>
      <c r="S742" s="317" t="str">
        <f t="shared" si="254"/>
        <v/>
      </c>
      <c r="V742" s="314">
        <f>SUM(ORÇAMENTO!N742)</f>
        <v>0</v>
      </c>
      <c r="W742" s="315">
        <f t="shared" si="255"/>
        <v>0</v>
      </c>
    </row>
    <row r="743" spans="1:23" ht="15" hidden="1" customHeight="1">
      <c r="A743" s="63" t="s">
        <v>147</v>
      </c>
      <c r="B743" s="870" t="s">
        <v>147</v>
      </c>
      <c r="C743" s="871"/>
      <c r="D743" s="931" t="s">
        <v>230</v>
      </c>
      <c r="E743" s="882">
        <f>DMT!$D$46</f>
        <v>445</v>
      </c>
      <c r="F743" s="883"/>
      <c r="G743" s="884"/>
      <c r="H743" s="876">
        <v>0</v>
      </c>
      <c r="I743" s="876"/>
      <c r="J743" s="877">
        <v>0</v>
      </c>
      <c r="K743" s="878" t="s">
        <v>506</v>
      </c>
      <c r="L743" s="977">
        <f>ROUND(SUM(ORÇAMENTO!L743),2)</f>
        <v>0</v>
      </c>
      <c r="M743" s="934">
        <f t="shared" si="250"/>
        <v>0</v>
      </c>
      <c r="N743" s="868">
        <f t="shared" si="251"/>
        <v>0</v>
      </c>
      <c r="O743" s="880"/>
      <c r="P743" s="58" t="str">
        <f>IF(N741&gt;0,"xx",IF(N741&gt;0,"xy",""))</f>
        <v/>
      </c>
      <c r="Q743" s="317" t="str">
        <f t="shared" si="252"/>
        <v/>
      </c>
      <c r="R743" s="317" t="str">
        <f t="shared" si="253"/>
        <v/>
      </c>
      <c r="S743" s="317" t="str">
        <f t="shared" si="254"/>
        <v/>
      </c>
      <c r="V743" s="314">
        <f>SUM(ORÇAMENTO!N743)</f>
        <v>0</v>
      </c>
      <c r="W743" s="315">
        <f t="shared" si="255"/>
        <v>0</v>
      </c>
    </row>
    <row r="744" spans="1:23" ht="15" hidden="1" customHeight="1">
      <c r="A744" s="63" t="s">
        <v>147</v>
      </c>
      <c r="B744" s="870" t="s">
        <v>147</v>
      </c>
      <c r="C744" s="871"/>
      <c r="D744" s="931" t="s">
        <v>243</v>
      </c>
      <c r="E744" s="882">
        <f>DMT!$F$43</f>
        <v>0.2</v>
      </c>
      <c r="F744" s="883">
        <v>1.89</v>
      </c>
      <c r="G744" s="887">
        <f t="shared" si="259"/>
        <v>5.4696600000000002</v>
      </c>
      <c r="H744" s="876">
        <v>0</v>
      </c>
      <c r="I744" s="876"/>
      <c r="J744" s="877">
        <v>0</v>
      </c>
      <c r="K744" s="878" t="s">
        <v>506</v>
      </c>
      <c r="L744" s="977">
        <f>ROUND(SUM(ORÇAMENTO!L744),2)</f>
        <v>0</v>
      </c>
      <c r="M744" s="934">
        <f t="shared" si="250"/>
        <v>0</v>
      </c>
      <c r="N744" s="868">
        <f t="shared" si="251"/>
        <v>0</v>
      </c>
      <c r="O744" s="880"/>
      <c r="P744" s="58" t="str">
        <f>IF(N741&gt;0,"xx",IF(N741&gt;0,"xy",""))</f>
        <v/>
      </c>
      <c r="Q744" s="317" t="str">
        <f t="shared" si="252"/>
        <v/>
      </c>
      <c r="R744" s="317" t="str">
        <f t="shared" si="253"/>
        <v/>
      </c>
      <c r="S744" s="317" t="str">
        <f t="shared" si="254"/>
        <v/>
      </c>
      <c r="V744" s="314">
        <f>SUM(ORÇAMENTO!N744)</f>
        <v>0</v>
      </c>
      <c r="W744" s="315">
        <f t="shared" si="255"/>
        <v>0</v>
      </c>
    </row>
    <row r="745" spans="1:23" ht="15" hidden="1" customHeight="1">
      <c r="A745" s="63" t="s">
        <v>147</v>
      </c>
      <c r="B745" s="870" t="s">
        <v>147</v>
      </c>
      <c r="C745" s="871"/>
      <c r="D745" s="931" t="s">
        <v>244</v>
      </c>
      <c r="E745" s="882">
        <f>DMT!$F$28</f>
        <v>43.1</v>
      </c>
      <c r="F745" s="883">
        <f>SUM(F741:F744)</f>
        <v>2.2999999999999998</v>
      </c>
      <c r="G745" s="887">
        <f t="shared" si="259"/>
        <v>112.23310000000001</v>
      </c>
      <c r="H745" s="876">
        <v>0</v>
      </c>
      <c r="I745" s="876"/>
      <c r="J745" s="877">
        <v>0</v>
      </c>
      <c r="K745" s="878" t="s">
        <v>506</v>
      </c>
      <c r="L745" s="977">
        <f>ROUND(SUM(ORÇAMENTO!L745),2)</f>
        <v>0</v>
      </c>
      <c r="M745" s="934">
        <f t="shared" si="250"/>
        <v>0</v>
      </c>
      <c r="N745" s="868">
        <f t="shared" si="251"/>
        <v>0</v>
      </c>
      <c r="O745" s="880"/>
      <c r="P745" s="58" t="str">
        <f>IF(N741&gt;0,"xx",IF(N741&gt;0,"xy",""))</f>
        <v/>
      </c>
      <c r="Q745" s="317" t="str">
        <f t="shared" si="252"/>
        <v/>
      </c>
      <c r="R745" s="317" t="str">
        <f t="shared" si="253"/>
        <v/>
      </c>
      <c r="S745" s="317" t="str">
        <f t="shared" si="254"/>
        <v/>
      </c>
      <c r="V745" s="314">
        <f>SUM(ORÇAMENTO!N745)</f>
        <v>0</v>
      </c>
      <c r="W745" s="315">
        <f t="shared" si="255"/>
        <v>0</v>
      </c>
    </row>
    <row r="746" spans="1:23" ht="15" hidden="1" customHeight="1" thickBot="1">
      <c r="A746" s="63">
        <v>589320</v>
      </c>
      <c r="B746" s="978" t="s">
        <v>1679</v>
      </c>
      <c r="C746" s="958" t="s">
        <v>213</v>
      </c>
      <c r="D746" s="986" t="s">
        <v>685</v>
      </c>
      <c r="E746" s="979">
        <f>DMT!$D$47</f>
        <v>468</v>
      </c>
      <c r="F746" s="980">
        <v>1</v>
      </c>
      <c r="G746" s="923">
        <f>(0.84*E746+41.45)*F746</f>
        <v>434.57</v>
      </c>
      <c r="H746" s="962">
        <v>4012.83</v>
      </c>
      <c r="I746" s="962">
        <f>IF(ISBLANK(H746),"",H746*(1+$E$9)/(1+$E$10))+G746</f>
        <v>4321.3218851251841</v>
      </c>
      <c r="J746" s="963">
        <f t="shared" si="247"/>
        <v>5281.52</v>
      </c>
      <c r="K746" s="964" t="s">
        <v>14</v>
      </c>
      <c r="L746" s="1009">
        <f>ROUND(SUM(ORÇAMENTO!L746),2)</f>
        <v>0</v>
      </c>
      <c r="M746" s="1008">
        <f t="shared" si="250"/>
        <v>0</v>
      </c>
      <c r="N746" s="967">
        <f t="shared" si="251"/>
        <v>0</v>
      </c>
      <c r="O746" s="880"/>
      <c r="P746" s="58" t="str">
        <f>IF(N741&gt;0,"xx",IF(N741&gt;0,"xy",""))</f>
        <v/>
      </c>
      <c r="Q746" s="317" t="str">
        <f t="shared" si="252"/>
        <v/>
      </c>
      <c r="R746" s="317" t="str">
        <f t="shared" si="253"/>
        <v/>
      </c>
      <c r="S746" s="317" t="str">
        <f t="shared" si="254"/>
        <v/>
      </c>
      <c r="V746" s="314">
        <f>SUM(ORÇAMENTO!N746)</f>
        <v>0</v>
      </c>
      <c r="W746" s="315">
        <f t="shared" si="255"/>
        <v>0</v>
      </c>
    </row>
    <row r="747" spans="1:23" ht="15" hidden="1" customHeight="1">
      <c r="A747" s="63">
        <v>534300</v>
      </c>
      <c r="B747" s="973" t="s">
        <v>1746</v>
      </c>
      <c r="C747" s="974" t="s">
        <v>184</v>
      </c>
      <c r="D747" s="947" t="s">
        <v>2186</v>
      </c>
      <c r="E747" s="948" t="s">
        <v>564</v>
      </c>
      <c r="F747" s="949">
        <v>0.18240000000000001</v>
      </c>
      <c r="G747" s="950">
        <f>SUM(G748:G751)</f>
        <v>329.6283492</v>
      </c>
      <c r="H747" s="951">
        <v>140.30000000000001</v>
      </c>
      <c r="I747" s="951">
        <f>IF(ISBLANK(H747),"",SUM(G747:H747))</f>
        <v>469.92834920000001</v>
      </c>
      <c r="J747" s="952">
        <f t="shared" si="247"/>
        <v>574.35</v>
      </c>
      <c r="K747" s="953" t="s">
        <v>10</v>
      </c>
      <c r="L747" s="954">
        <f>ROUND(SUM(ORÇAMENTO!L747),2)</f>
        <v>0</v>
      </c>
      <c r="M747" s="955">
        <f t="shared" si="250"/>
        <v>0</v>
      </c>
      <c r="N747" s="956">
        <f t="shared" si="251"/>
        <v>0</v>
      </c>
      <c r="O747" s="880"/>
      <c r="Q747" s="317" t="str">
        <f t="shared" si="252"/>
        <v/>
      </c>
      <c r="R747" s="317" t="str">
        <f t="shared" si="253"/>
        <v/>
      </c>
      <c r="S747" s="317" t="str">
        <f t="shared" si="254"/>
        <v/>
      </c>
      <c r="V747" s="314">
        <f>SUM(ORÇAMENTO!N747)</f>
        <v>0</v>
      </c>
      <c r="W747" s="315">
        <f t="shared" si="255"/>
        <v>0</v>
      </c>
    </row>
    <row r="748" spans="1:23" ht="15" hidden="1" customHeight="1">
      <c r="A748" s="63" t="s">
        <v>147</v>
      </c>
      <c r="B748" s="870" t="s">
        <v>147</v>
      </c>
      <c r="C748" s="871"/>
      <c r="D748" s="931" t="s">
        <v>229</v>
      </c>
      <c r="E748" s="882">
        <f>DMT!$F$42</f>
        <v>290</v>
      </c>
      <c r="F748" s="883">
        <v>0.56969999999999998</v>
      </c>
      <c r="G748" s="887">
        <f t="shared" ref="G748:G751" si="260">IF(E748&lt;=30,(1.07*E748+2.68)*F748,((1.07*30+2.68)+1.07*(E748-30))*F748)</f>
        <v>178.30470600000001</v>
      </c>
      <c r="H748" s="876">
        <v>0</v>
      </c>
      <c r="I748" s="876"/>
      <c r="J748" s="877">
        <v>0</v>
      </c>
      <c r="K748" s="878" t="s">
        <v>506</v>
      </c>
      <c r="L748" s="977">
        <f>ROUND(SUM(ORÇAMENTO!L748),2)</f>
        <v>0</v>
      </c>
      <c r="M748" s="934">
        <f t="shared" si="250"/>
        <v>0</v>
      </c>
      <c r="N748" s="868">
        <f t="shared" si="251"/>
        <v>0</v>
      </c>
      <c r="O748" s="880"/>
      <c r="P748" s="58" t="str">
        <f>IF(N747&gt;0,"xx",IF(N747&gt;0,"xy",""))</f>
        <v/>
      </c>
      <c r="Q748" s="317" t="str">
        <f t="shared" si="252"/>
        <v/>
      </c>
      <c r="R748" s="317" t="str">
        <f t="shared" si="253"/>
        <v/>
      </c>
      <c r="S748" s="317" t="str">
        <f t="shared" si="254"/>
        <v/>
      </c>
      <c r="V748" s="314">
        <f>SUM(ORÇAMENTO!N748)</f>
        <v>0</v>
      </c>
      <c r="W748" s="315">
        <f t="shared" si="255"/>
        <v>0</v>
      </c>
    </row>
    <row r="749" spans="1:23" ht="15" hidden="1" customHeight="1">
      <c r="A749" s="63" t="s">
        <v>147</v>
      </c>
      <c r="B749" s="870" t="s">
        <v>147</v>
      </c>
      <c r="C749" s="871"/>
      <c r="D749" s="931" t="s">
        <v>230</v>
      </c>
      <c r="E749" s="882">
        <f>DMT!$D$46</f>
        <v>445</v>
      </c>
      <c r="F749" s="883">
        <v>8.7599999999999997E-2</v>
      </c>
      <c r="G749" s="884">
        <f>IF(E749&lt;=30,(0.78*E749+7.82)*F749,((0.78*30+7.82)+0.78*(E749-30))*F749)</f>
        <v>31.090992</v>
      </c>
      <c r="H749" s="876">
        <v>0</v>
      </c>
      <c r="I749" s="876"/>
      <c r="J749" s="877">
        <v>0</v>
      </c>
      <c r="K749" s="878" t="s">
        <v>506</v>
      </c>
      <c r="L749" s="977">
        <f>ROUND(SUM(ORÇAMENTO!L749),2)</f>
        <v>0</v>
      </c>
      <c r="M749" s="934">
        <f t="shared" si="250"/>
        <v>0</v>
      </c>
      <c r="N749" s="868">
        <f t="shared" si="251"/>
        <v>0</v>
      </c>
      <c r="O749" s="880"/>
      <c r="P749" s="58" t="str">
        <f>IF(N747&gt;0,"xx",IF(N747&gt;0,"xy",""))</f>
        <v/>
      </c>
      <c r="Q749" s="317" t="str">
        <f t="shared" si="252"/>
        <v/>
      </c>
      <c r="R749" s="317" t="str">
        <f t="shared" si="253"/>
        <v/>
      </c>
      <c r="S749" s="317" t="str">
        <f t="shared" si="254"/>
        <v/>
      </c>
      <c r="V749" s="314">
        <f>SUM(ORÇAMENTO!N749)</f>
        <v>0</v>
      </c>
      <c r="W749" s="315">
        <f t="shared" si="255"/>
        <v>0</v>
      </c>
    </row>
    <row r="750" spans="1:23" ht="15" hidden="1" customHeight="1">
      <c r="A750" s="63" t="s">
        <v>147</v>
      </c>
      <c r="B750" s="870" t="s">
        <v>147</v>
      </c>
      <c r="C750" s="871"/>
      <c r="D750" s="931" t="s">
        <v>243</v>
      </c>
      <c r="E750" s="882">
        <f>DMT!$F$43</f>
        <v>0.2</v>
      </c>
      <c r="F750" s="883">
        <v>1.5333000000000001</v>
      </c>
      <c r="G750" s="887">
        <f t="shared" si="260"/>
        <v>4.4373702000000002</v>
      </c>
      <c r="H750" s="876">
        <v>0</v>
      </c>
      <c r="I750" s="876"/>
      <c r="J750" s="877">
        <v>0</v>
      </c>
      <c r="K750" s="878" t="s">
        <v>506</v>
      </c>
      <c r="L750" s="977">
        <f>ROUND(SUM(ORÇAMENTO!L750),2)</f>
        <v>0</v>
      </c>
      <c r="M750" s="934">
        <f t="shared" si="250"/>
        <v>0</v>
      </c>
      <c r="N750" s="868">
        <f t="shared" si="251"/>
        <v>0</v>
      </c>
      <c r="O750" s="880"/>
      <c r="P750" s="58" t="str">
        <f>IF(N747&gt;0,"xx",IF(N747&gt;0,"xy",""))</f>
        <v/>
      </c>
      <c r="Q750" s="317" t="str">
        <f t="shared" si="252"/>
        <v/>
      </c>
      <c r="R750" s="317" t="str">
        <f t="shared" si="253"/>
        <v/>
      </c>
      <c r="S750" s="317" t="str">
        <f t="shared" si="254"/>
        <v/>
      </c>
      <c r="V750" s="314">
        <f>SUM(ORÇAMENTO!N750)</f>
        <v>0</v>
      </c>
      <c r="W750" s="315">
        <f t="shared" si="255"/>
        <v>0</v>
      </c>
    </row>
    <row r="751" spans="1:23" ht="15" hidden="1" customHeight="1">
      <c r="A751" s="63" t="s">
        <v>147</v>
      </c>
      <c r="B751" s="870" t="s">
        <v>147</v>
      </c>
      <c r="C751" s="871"/>
      <c r="D751" s="931" t="s">
        <v>244</v>
      </c>
      <c r="E751" s="882">
        <f>DMT!$F$28</f>
        <v>43.1</v>
      </c>
      <c r="F751" s="883">
        <f>SUM(F747:F750)</f>
        <v>2.3730000000000002</v>
      </c>
      <c r="G751" s="887">
        <f t="shared" si="260"/>
        <v>115.79528100000002</v>
      </c>
      <c r="H751" s="876">
        <v>0</v>
      </c>
      <c r="I751" s="876"/>
      <c r="J751" s="877">
        <v>0</v>
      </c>
      <c r="K751" s="878" t="s">
        <v>506</v>
      </c>
      <c r="L751" s="977">
        <f>ROUND(SUM(ORÇAMENTO!L751),2)</f>
        <v>0</v>
      </c>
      <c r="M751" s="934">
        <f t="shared" si="250"/>
        <v>0</v>
      </c>
      <c r="N751" s="868">
        <f t="shared" si="251"/>
        <v>0</v>
      </c>
      <c r="O751" s="880"/>
      <c r="P751" s="58" t="str">
        <f>IF(N747&gt;0,"xx",IF(N747&gt;0,"xy",""))</f>
        <v/>
      </c>
      <c r="Q751" s="317" t="str">
        <f t="shared" si="252"/>
        <v/>
      </c>
      <c r="R751" s="317" t="str">
        <f t="shared" si="253"/>
        <v/>
      </c>
      <c r="S751" s="317" t="str">
        <f t="shared" si="254"/>
        <v/>
      </c>
      <c r="V751" s="314">
        <f>SUM(ORÇAMENTO!N751)</f>
        <v>0</v>
      </c>
      <c r="W751" s="315">
        <f t="shared" si="255"/>
        <v>0</v>
      </c>
    </row>
    <row r="752" spans="1:23" ht="15" hidden="1" customHeight="1" thickBot="1">
      <c r="A752" s="63">
        <v>589320</v>
      </c>
      <c r="B752" s="978" t="s">
        <v>1680</v>
      </c>
      <c r="C752" s="958" t="s">
        <v>213</v>
      </c>
      <c r="D752" s="986" t="s">
        <v>1666</v>
      </c>
      <c r="E752" s="979">
        <f>DMT!$D$47</f>
        <v>468</v>
      </c>
      <c r="F752" s="980">
        <v>1</v>
      </c>
      <c r="G752" s="923">
        <f>(0.84*E752+41.45)*F752</f>
        <v>434.57</v>
      </c>
      <c r="H752" s="962">
        <v>4012.83</v>
      </c>
      <c r="I752" s="962">
        <f>IF(ISBLANK(H752),"",H752*(1+$E$9)/(1+$E$10))+G752</f>
        <v>4321.3218851251841</v>
      </c>
      <c r="J752" s="963">
        <f t="shared" si="247"/>
        <v>5281.52</v>
      </c>
      <c r="K752" s="964" t="s">
        <v>14</v>
      </c>
      <c r="L752" s="1009">
        <f>ROUND(SUM(ORÇAMENTO!L752),2)</f>
        <v>0</v>
      </c>
      <c r="M752" s="1008">
        <f t="shared" si="250"/>
        <v>0</v>
      </c>
      <c r="N752" s="967">
        <f t="shared" si="251"/>
        <v>0</v>
      </c>
      <c r="O752" s="880"/>
      <c r="P752" s="58" t="str">
        <f>IF(N747&gt;0,"xx",IF(N747&gt;0,"xy",""))</f>
        <v/>
      </c>
      <c r="Q752" s="317" t="str">
        <f t="shared" si="252"/>
        <v/>
      </c>
      <c r="R752" s="317" t="str">
        <f t="shared" si="253"/>
        <v/>
      </c>
      <c r="S752" s="317" t="str">
        <f t="shared" si="254"/>
        <v/>
      </c>
      <c r="V752" s="314">
        <f>SUM(ORÇAMENTO!N752)</f>
        <v>0</v>
      </c>
      <c r="W752" s="315">
        <f t="shared" si="255"/>
        <v>0</v>
      </c>
    </row>
    <row r="753" spans="1:23" ht="15" hidden="1" customHeight="1">
      <c r="A753" s="63">
        <v>570300</v>
      </c>
      <c r="B753" s="973" t="s">
        <v>1747</v>
      </c>
      <c r="C753" s="974" t="s">
        <v>184</v>
      </c>
      <c r="D753" s="993" t="s">
        <v>754</v>
      </c>
      <c r="E753" s="948" t="s">
        <v>563</v>
      </c>
      <c r="F753" s="949">
        <v>0.04</v>
      </c>
      <c r="G753" s="950">
        <f>SUM(G754:G757)</f>
        <v>60.625630000000008</v>
      </c>
      <c r="H753" s="951">
        <v>178.78</v>
      </c>
      <c r="I753" s="951">
        <f>IF(ISBLANK(H753),"",SUM(G753:H753))</f>
        <v>239.40563</v>
      </c>
      <c r="J753" s="952">
        <f t="shared" si="247"/>
        <v>292.60000000000002</v>
      </c>
      <c r="K753" s="953" t="s">
        <v>14</v>
      </c>
      <c r="L753" s="954">
        <f>ROUND(SUM(ORÇAMENTO!L753),2)</f>
        <v>0</v>
      </c>
      <c r="M753" s="955">
        <f t="shared" si="250"/>
        <v>0</v>
      </c>
      <c r="N753" s="956">
        <f t="shared" si="251"/>
        <v>0</v>
      </c>
      <c r="O753" s="880"/>
      <c r="Q753" s="317" t="str">
        <f t="shared" si="252"/>
        <v/>
      </c>
      <c r="R753" s="317" t="str">
        <f t="shared" si="253"/>
        <v/>
      </c>
      <c r="S753" s="317" t="str">
        <f t="shared" si="254"/>
        <v/>
      </c>
      <c r="V753" s="314">
        <f>SUM(ORÇAMENTO!N753)</f>
        <v>0</v>
      </c>
      <c r="W753" s="315">
        <f t="shared" si="255"/>
        <v>0</v>
      </c>
    </row>
    <row r="754" spans="1:23" ht="15" hidden="1" customHeight="1">
      <c r="A754" s="63" t="s">
        <v>147</v>
      </c>
      <c r="B754" s="870" t="s">
        <v>147</v>
      </c>
      <c r="C754" s="871"/>
      <c r="D754" s="931" t="s">
        <v>229</v>
      </c>
      <c r="E754" s="882">
        <f>DMT!$F$42</f>
        <v>290</v>
      </c>
      <c r="F754" s="883">
        <v>0</v>
      </c>
      <c r="G754" s="923"/>
      <c r="H754" s="876">
        <v>0</v>
      </c>
      <c r="I754" s="876"/>
      <c r="J754" s="877">
        <v>0</v>
      </c>
      <c r="K754" s="878" t="s">
        <v>506</v>
      </c>
      <c r="L754" s="977">
        <f>ROUND(SUM(ORÇAMENTO!L754),2)</f>
        <v>0</v>
      </c>
      <c r="M754" s="934">
        <f t="shared" si="250"/>
        <v>0</v>
      </c>
      <c r="N754" s="868">
        <f t="shared" si="251"/>
        <v>0</v>
      </c>
      <c r="O754" s="880"/>
      <c r="P754" s="58" t="str">
        <f>IF(N753&gt;0,"xx",IF(N753&gt;0,"xy",""))</f>
        <v/>
      </c>
      <c r="Q754" s="317" t="str">
        <f t="shared" si="252"/>
        <v/>
      </c>
      <c r="R754" s="317" t="str">
        <f t="shared" si="253"/>
        <v/>
      </c>
      <c r="S754" s="317" t="str">
        <f t="shared" si="254"/>
        <v/>
      </c>
      <c r="V754" s="314">
        <f>SUM(ORÇAMENTO!N754)</f>
        <v>0</v>
      </c>
      <c r="W754" s="315">
        <f t="shared" si="255"/>
        <v>0</v>
      </c>
    </row>
    <row r="755" spans="1:23" ht="15" hidden="1" customHeight="1">
      <c r="A755" s="63" t="s">
        <v>147</v>
      </c>
      <c r="B755" s="870" t="s">
        <v>147</v>
      </c>
      <c r="C755" s="871"/>
      <c r="D755" s="931" t="s">
        <v>230</v>
      </c>
      <c r="E755" s="882">
        <f>DMT!$D$46</f>
        <v>445</v>
      </c>
      <c r="F755" s="883">
        <v>1.4999999999999999E-2</v>
      </c>
      <c r="G755" s="884">
        <f>IF(E755&lt;=30,(0.78*E755+7.82)*F755,((0.78*30+7.82)+0.78*(E755-30))*F755)</f>
        <v>5.3238000000000003</v>
      </c>
      <c r="H755" s="876">
        <v>0</v>
      </c>
      <c r="I755" s="876"/>
      <c r="J755" s="877">
        <v>0</v>
      </c>
      <c r="K755" s="878" t="s">
        <v>506</v>
      </c>
      <c r="L755" s="977">
        <f>ROUND(SUM(ORÇAMENTO!L755),2)</f>
        <v>0</v>
      </c>
      <c r="M755" s="934">
        <f t="shared" si="250"/>
        <v>0</v>
      </c>
      <c r="N755" s="868">
        <f t="shared" si="251"/>
        <v>0</v>
      </c>
      <c r="O755" s="880"/>
      <c r="P755" s="58" t="str">
        <f>IF(N753&gt;0,"xx",IF(N753&gt;0,"xy",""))</f>
        <v/>
      </c>
      <c r="Q755" s="317" t="str">
        <f t="shared" si="252"/>
        <v/>
      </c>
      <c r="R755" s="317" t="str">
        <f t="shared" si="253"/>
        <v/>
      </c>
      <c r="S755" s="317" t="str">
        <f t="shared" si="254"/>
        <v/>
      </c>
      <c r="V755" s="314">
        <f>SUM(ORÇAMENTO!N755)</f>
        <v>0</v>
      </c>
      <c r="W755" s="315">
        <f t="shared" si="255"/>
        <v>0</v>
      </c>
    </row>
    <row r="756" spans="1:23" ht="15" hidden="1" customHeight="1">
      <c r="A756" s="63" t="s">
        <v>147</v>
      </c>
      <c r="B756" s="870" t="s">
        <v>147</v>
      </c>
      <c r="C756" s="871"/>
      <c r="D756" s="931" t="s">
        <v>243</v>
      </c>
      <c r="E756" s="882">
        <f>DMT!$F$43</f>
        <v>0.2</v>
      </c>
      <c r="F756" s="883">
        <v>0.94499999999999995</v>
      </c>
      <c r="G756" s="923">
        <f t="shared" ref="G756" si="261">IF(E756&lt;=30,(1.07*E756+2.68)*F756,((1.07*30+2.68)+1.07*(E756-30))*F756)</f>
        <v>2.7348300000000001</v>
      </c>
      <c r="H756" s="876">
        <v>0</v>
      </c>
      <c r="I756" s="876"/>
      <c r="J756" s="877">
        <v>0</v>
      </c>
      <c r="K756" s="878" t="s">
        <v>506</v>
      </c>
      <c r="L756" s="977">
        <f>ROUND(SUM(ORÇAMENTO!L756),2)</f>
        <v>0</v>
      </c>
      <c r="M756" s="934">
        <f t="shared" si="250"/>
        <v>0</v>
      </c>
      <c r="N756" s="868">
        <f t="shared" si="251"/>
        <v>0</v>
      </c>
      <c r="O756" s="880"/>
      <c r="P756" s="58" t="str">
        <f>IF(N753&gt;0,"xx",IF(N753&gt;0,"xy",""))</f>
        <v/>
      </c>
      <c r="Q756" s="317" t="str">
        <f t="shared" si="252"/>
        <v/>
      </c>
      <c r="R756" s="317" t="str">
        <f t="shared" si="253"/>
        <v/>
      </c>
      <c r="S756" s="317" t="str">
        <f t="shared" si="254"/>
        <v/>
      </c>
      <c r="V756" s="314">
        <f>SUM(ORÇAMENTO!N756)</f>
        <v>0</v>
      </c>
      <c r="W756" s="315">
        <f t="shared" si="255"/>
        <v>0</v>
      </c>
    </row>
    <row r="757" spans="1:23" ht="15" hidden="1" customHeight="1">
      <c r="A757" s="63" t="s">
        <v>147</v>
      </c>
      <c r="B757" s="870" t="s">
        <v>147</v>
      </c>
      <c r="C757" s="871"/>
      <c r="D757" s="931" t="s">
        <v>244</v>
      </c>
      <c r="E757" s="882">
        <f>DMT!$F$28</f>
        <v>43.1</v>
      </c>
      <c r="F757" s="883">
        <v>1</v>
      </c>
      <c r="G757" s="887">
        <f>IF(E757&lt;=30,(1.07*E757+6.45)*F757,((1.07*30+6.45)+1.07*(E757-30))*F757)</f>
        <v>52.567000000000007</v>
      </c>
      <c r="H757" s="876">
        <v>0</v>
      </c>
      <c r="I757" s="876"/>
      <c r="J757" s="877">
        <v>0</v>
      </c>
      <c r="K757" s="878" t="s">
        <v>506</v>
      </c>
      <c r="L757" s="977">
        <f>ROUND(SUM(ORÇAMENTO!L757),2)</f>
        <v>0</v>
      </c>
      <c r="M757" s="934">
        <f t="shared" si="250"/>
        <v>0</v>
      </c>
      <c r="N757" s="868">
        <f t="shared" si="251"/>
        <v>0</v>
      </c>
      <c r="O757" s="880"/>
      <c r="P757" s="58" t="str">
        <f>IF(N753&gt;0,"xx",IF(N753&gt;0,"xy",""))</f>
        <v/>
      </c>
      <c r="Q757" s="317" t="str">
        <f t="shared" si="252"/>
        <v/>
      </c>
      <c r="R757" s="317" t="str">
        <f t="shared" si="253"/>
        <v/>
      </c>
      <c r="S757" s="317" t="str">
        <f t="shared" si="254"/>
        <v/>
      </c>
      <c r="V757" s="314">
        <f>SUM(ORÇAMENTO!N757)</f>
        <v>0</v>
      </c>
      <c r="W757" s="315">
        <f t="shared" si="255"/>
        <v>0</v>
      </c>
    </row>
    <row r="758" spans="1:23" ht="15" hidden="1" customHeight="1" thickBot="1">
      <c r="A758" s="63">
        <v>589000</v>
      </c>
      <c r="B758" s="983" t="s">
        <v>711</v>
      </c>
      <c r="C758" s="835" t="s">
        <v>213</v>
      </c>
      <c r="D758" s="986" t="s">
        <v>559</v>
      </c>
      <c r="E758" s="994">
        <f>DMT!$D$45</f>
        <v>468</v>
      </c>
      <c r="F758" s="980">
        <v>1</v>
      </c>
      <c r="G758" s="923">
        <f>(0.94*E758+46.06)*F758</f>
        <v>485.97999999999996</v>
      </c>
      <c r="H758" s="962">
        <v>4828.8599999999997</v>
      </c>
      <c r="I758" s="962">
        <f>IF(ISBLANK(H758),"",H758*(1+$E$9)/(1+$E$10))+G758</f>
        <v>5163.1232400589097</v>
      </c>
      <c r="J758" s="985">
        <f t="shared" si="247"/>
        <v>6310.37</v>
      </c>
      <c r="K758" s="842" t="s">
        <v>14</v>
      </c>
      <c r="L758" s="1009">
        <f>ROUND(SUM(ORÇAMENTO!L758),2)</f>
        <v>0</v>
      </c>
      <c r="M758" s="1008">
        <f t="shared" si="250"/>
        <v>0</v>
      </c>
      <c r="N758" s="967">
        <f t="shared" si="251"/>
        <v>0</v>
      </c>
      <c r="O758" s="880"/>
      <c r="P758" s="58" t="str">
        <f>IF(N753&gt;0,"xx",IF(N753&gt;0,"xy",""))</f>
        <v/>
      </c>
      <c r="Q758" s="317" t="str">
        <f t="shared" si="252"/>
        <v/>
      </c>
      <c r="R758" s="317" t="str">
        <f t="shared" si="253"/>
        <v/>
      </c>
      <c r="S758" s="317" t="str">
        <f t="shared" si="254"/>
        <v/>
      </c>
      <c r="V758" s="314">
        <f>SUM(ORÇAMENTO!N758)</f>
        <v>0</v>
      </c>
      <c r="W758" s="315">
        <f t="shared" si="255"/>
        <v>0</v>
      </c>
    </row>
    <row r="759" spans="1:23" ht="15" hidden="1" customHeight="1">
      <c r="A759" s="63">
        <v>570310</v>
      </c>
      <c r="B759" s="973" t="s">
        <v>1634</v>
      </c>
      <c r="C759" s="974" t="s">
        <v>184</v>
      </c>
      <c r="D759" s="993" t="s">
        <v>755</v>
      </c>
      <c r="E759" s="948" t="s">
        <v>563</v>
      </c>
      <c r="F759" s="949">
        <v>0.04</v>
      </c>
      <c r="G759" s="950">
        <f>SUM(G760:G763)</f>
        <v>60.625630000000008</v>
      </c>
      <c r="H759" s="951">
        <v>158.85</v>
      </c>
      <c r="I759" s="951">
        <f>IF(ISBLANK(H759),"",SUM(G759:H759))</f>
        <v>219.47563</v>
      </c>
      <c r="J759" s="952">
        <f t="shared" si="247"/>
        <v>268.24</v>
      </c>
      <c r="K759" s="953" t="s">
        <v>14</v>
      </c>
      <c r="L759" s="954">
        <f>ROUND(SUM(ORÇAMENTO!L759),2)</f>
        <v>0</v>
      </c>
      <c r="M759" s="955">
        <f t="shared" si="250"/>
        <v>0</v>
      </c>
      <c r="N759" s="956">
        <f t="shared" si="251"/>
        <v>0</v>
      </c>
      <c r="O759" s="880"/>
      <c r="Q759" s="317" t="str">
        <f t="shared" si="252"/>
        <v/>
      </c>
      <c r="R759" s="317" t="str">
        <f t="shared" si="253"/>
        <v/>
      </c>
      <c r="S759" s="317" t="str">
        <f t="shared" si="254"/>
        <v/>
      </c>
      <c r="V759" s="314">
        <f>SUM(ORÇAMENTO!N759)</f>
        <v>0</v>
      </c>
      <c r="W759" s="315">
        <f t="shared" si="255"/>
        <v>0</v>
      </c>
    </row>
    <row r="760" spans="1:23" ht="15" hidden="1" customHeight="1">
      <c r="A760" s="63" t="s">
        <v>147</v>
      </c>
      <c r="B760" s="870" t="s">
        <v>147</v>
      </c>
      <c r="C760" s="871"/>
      <c r="D760" s="931" t="s">
        <v>229</v>
      </c>
      <c r="E760" s="882">
        <f>DMT!$F$42</f>
        <v>290</v>
      </c>
      <c r="F760" s="883">
        <v>0</v>
      </c>
      <c r="G760" s="923"/>
      <c r="H760" s="876">
        <v>0</v>
      </c>
      <c r="I760" s="876"/>
      <c r="J760" s="877">
        <v>0</v>
      </c>
      <c r="K760" s="878" t="s">
        <v>506</v>
      </c>
      <c r="L760" s="977">
        <f>ROUND(SUM(ORÇAMENTO!L760),2)</f>
        <v>0</v>
      </c>
      <c r="M760" s="934">
        <f t="shared" si="250"/>
        <v>0</v>
      </c>
      <c r="N760" s="868">
        <f t="shared" si="251"/>
        <v>0</v>
      </c>
      <c r="O760" s="880"/>
      <c r="P760" s="58" t="str">
        <f>IF(N759&gt;0,"xx",IF(N759&gt;0,"xy",""))</f>
        <v/>
      </c>
      <c r="Q760" s="317" t="str">
        <f t="shared" si="252"/>
        <v/>
      </c>
      <c r="R760" s="317" t="str">
        <f t="shared" si="253"/>
        <v/>
      </c>
      <c r="S760" s="317" t="str">
        <f t="shared" si="254"/>
        <v/>
      </c>
      <c r="V760" s="314">
        <f>SUM(ORÇAMENTO!N760)</f>
        <v>0</v>
      </c>
      <c r="W760" s="315">
        <f t="shared" si="255"/>
        <v>0</v>
      </c>
    </row>
    <row r="761" spans="1:23" ht="15" hidden="1" customHeight="1">
      <c r="A761" s="63" t="s">
        <v>147</v>
      </c>
      <c r="B761" s="870" t="s">
        <v>147</v>
      </c>
      <c r="C761" s="871"/>
      <c r="D761" s="931" t="s">
        <v>230</v>
      </c>
      <c r="E761" s="882">
        <f>DMT!$D$46</f>
        <v>445</v>
      </c>
      <c r="F761" s="883">
        <v>1.4999999999999999E-2</v>
      </c>
      <c r="G761" s="884">
        <f>IF(E761&lt;=30,(0.78*E761+7.82)*F761,((0.78*30+7.82)+0.78*(E761-30))*F761)</f>
        <v>5.3238000000000003</v>
      </c>
      <c r="H761" s="876">
        <v>0</v>
      </c>
      <c r="I761" s="876"/>
      <c r="J761" s="877">
        <v>0</v>
      </c>
      <c r="K761" s="878" t="s">
        <v>506</v>
      </c>
      <c r="L761" s="977">
        <f>ROUND(SUM(ORÇAMENTO!L761),2)</f>
        <v>0</v>
      </c>
      <c r="M761" s="934">
        <f t="shared" si="250"/>
        <v>0</v>
      </c>
      <c r="N761" s="868">
        <f t="shared" si="251"/>
        <v>0</v>
      </c>
      <c r="O761" s="880"/>
      <c r="P761" s="58" t="str">
        <f>IF(N759&gt;0,"xx",IF(N759&gt;0,"xy",""))</f>
        <v/>
      </c>
      <c r="Q761" s="317" t="str">
        <f t="shared" si="252"/>
        <v/>
      </c>
      <c r="R761" s="317" t="str">
        <f t="shared" si="253"/>
        <v/>
      </c>
      <c r="S761" s="317" t="str">
        <f t="shared" si="254"/>
        <v/>
      </c>
      <c r="V761" s="314">
        <f>SUM(ORÇAMENTO!N761)</f>
        <v>0</v>
      </c>
      <c r="W761" s="315">
        <f t="shared" si="255"/>
        <v>0</v>
      </c>
    </row>
    <row r="762" spans="1:23" ht="15" hidden="1" customHeight="1">
      <c r="A762" s="63" t="s">
        <v>147</v>
      </c>
      <c r="B762" s="870" t="s">
        <v>147</v>
      </c>
      <c r="C762" s="871"/>
      <c r="D762" s="931" t="s">
        <v>243</v>
      </c>
      <c r="E762" s="882">
        <f>DMT!$F$43</f>
        <v>0.2</v>
      </c>
      <c r="F762" s="883">
        <v>0.94499999999999995</v>
      </c>
      <c r="G762" s="923">
        <f t="shared" ref="G762" si="262">IF(E762&lt;=30,(1.07*E762+2.68)*F762,((1.07*30+2.68)+1.07*(E762-30))*F762)</f>
        <v>2.7348300000000001</v>
      </c>
      <c r="H762" s="876">
        <v>0</v>
      </c>
      <c r="I762" s="876"/>
      <c r="J762" s="877">
        <v>0</v>
      </c>
      <c r="K762" s="878" t="s">
        <v>506</v>
      </c>
      <c r="L762" s="977">
        <f>ROUND(SUM(ORÇAMENTO!L762),2)</f>
        <v>0</v>
      </c>
      <c r="M762" s="934">
        <f t="shared" si="250"/>
        <v>0</v>
      </c>
      <c r="N762" s="868">
        <f t="shared" si="251"/>
        <v>0</v>
      </c>
      <c r="O762" s="880"/>
      <c r="P762" s="58" t="str">
        <f>IF(N759&gt;0,"xx",IF(N759&gt;0,"xy",""))</f>
        <v/>
      </c>
      <c r="Q762" s="317" t="str">
        <f t="shared" si="252"/>
        <v/>
      </c>
      <c r="R762" s="317" t="str">
        <f t="shared" si="253"/>
        <v/>
      </c>
      <c r="S762" s="317" t="str">
        <f t="shared" si="254"/>
        <v/>
      </c>
      <c r="V762" s="314">
        <f>SUM(ORÇAMENTO!N762)</f>
        <v>0</v>
      </c>
      <c r="W762" s="315">
        <f t="shared" si="255"/>
        <v>0</v>
      </c>
    </row>
    <row r="763" spans="1:23" ht="15" hidden="1" customHeight="1">
      <c r="A763" s="63" t="s">
        <v>147</v>
      </c>
      <c r="B763" s="870" t="s">
        <v>147</v>
      </c>
      <c r="C763" s="871"/>
      <c r="D763" s="931" t="s">
        <v>244</v>
      </c>
      <c r="E763" s="882">
        <f>DMT!$F$28</f>
        <v>43.1</v>
      </c>
      <c r="F763" s="883">
        <f>SUM(F759:F762)</f>
        <v>1</v>
      </c>
      <c r="G763" s="887">
        <f>IF(E763&lt;=30,(1.07*E763+6.45)*F763,((1.07*30+6.45)+1.07*(E763-30))*F763)</f>
        <v>52.567000000000007</v>
      </c>
      <c r="H763" s="876">
        <v>0</v>
      </c>
      <c r="I763" s="876"/>
      <c r="J763" s="877">
        <v>0</v>
      </c>
      <c r="K763" s="878" t="s">
        <v>506</v>
      </c>
      <c r="L763" s="977">
        <f>ROUND(SUM(ORÇAMENTO!L763),2)</f>
        <v>0</v>
      </c>
      <c r="M763" s="934">
        <f t="shared" si="250"/>
        <v>0</v>
      </c>
      <c r="N763" s="868">
        <f t="shared" si="251"/>
        <v>0</v>
      </c>
      <c r="O763" s="880"/>
      <c r="P763" s="58" t="str">
        <f>IF(N759&gt;0,"xx",IF(N759&gt;0,"xy",""))</f>
        <v/>
      </c>
      <c r="Q763" s="317" t="str">
        <f t="shared" si="252"/>
        <v/>
      </c>
      <c r="R763" s="317" t="str">
        <f t="shared" si="253"/>
        <v/>
      </c>
      <c r="S763" s="317" t="str">
        <f t="shared" si="254"/>
        <v/>
      </c>
      <c r="V763" s="314">
        <f>SUM(ORÇAMENTO!N763)</f>
        <v>0</v>
      </c>
      <c r="W763" s="315">
        <f t="shared" si="255"/>
        <v>0</v>
      </c>
    </row>
    <row r="764" spans="1:23" ht="15" hidden="1" customHeight="1" thickBot="1">
      <c r="A764" s="63">
        <v>589000</v>
      </c>
      <c r="B764" s="978" t="s">
        <v>1663</v>
      </c>
      <c r="C764" s="958" t="s">
        <v>213</v>
      </c>
      <c r="D764" s="986" t="s">
        <v>560</v>
      </c>
      <c r="E764" s="994">
        <f>DMT!$D$45</f>
        <v>468</v>
      </c>
      <c r="F764" s="980">
        <v>1</v>
      </c>
      <c r="G764" s="923">
        <f>(0.94*E764+46.06)*F764</f>
        <v>485.97999999999996</v>
      </c>
      <c r="H764" s="962">
        <v>4828.8599999999997</v>
      </c>
      <c r="I764" s="962">
        <f>IF(ISBLANK(H764),"",H764*(1+$E$9)/(1+$E$10))+G764</f>
        <v>5163.1232400589097</v>
      </c>
      <c r="J764" s="963">
        <f t="shared" si="247"/>
        <v>6310.37</v>
      </c>
      <c r="K764" s="964" t="s">
        <v>14</v>
      </c>
      <c r="L764" s="1009">
        <f>ROUND(SUM(ORÇAMENTO!L764),2)</f>
        <v>0</v>
      </c>
      <c r="M764" s="1008">
        <f t="shared" si="250"/>
        <v>0</v>
      </c>
      <c r="N764" s="967">
        <f t="shared" si="251"/>
        <v>0</v>
      </c>
      <c r="O764" s="880"/>
      <c r="P764" s="58" t="str">
        <f>IF(N759&gt;0,"xx",IF(N759&gt;0,"xy",""))</f>
        <v/>
      </c>
      <c r="Q764" s="317" t="str">
        <f t="shared" si="252"/>
        <v/>
      </c>
      <c r="R764" s="317" t="str">
        <f t="shared" si="253"/>
        <v/>
      </c>
      <c r="S764" s="317" t="str">
        <f t="shared" si="254"/>
        <v/>
      </c>
      <c r="V764" s="314">
        <f>SUM(ORÇAMENTO!N764)</f>
        <v>0</v>
      </c>
      <c r="W764" s="315">
        <f t="shared" si="255"/>
        <v>0</v>
      </c>
    </row>
    <row r="765" spans="1:23" ht="15" hidden="1" customHeight="1">
      <c r="A765" s="63">
        <v>570000</v>
      </c>
      <c r="B765" s="973" t="s">
        <v>1749</v>
      </c>
      <c r="C765" s="974" t="s">
        <v>184</v>
      </c>
      <c r="D765" s="947" t="s">
        <v>2151</v>
      </c>
      <c r="E765" s="948" t="s">
        <v>563</v>
      </c>
      <c r="F765" s="949">
        <v>5.7000000000000002E-2</v>
      </c>
      <c r="G765" s="950">
        <f>SUM(G766:G769)</f>
        <v>91.585032000000012</v>
      </c>
      <c r="H765" s="951">
        <v>187.41</v>
      </c>
      <c r="I765" s="951">
        <f>IF(ISBLANK(H765),"",SUM(G765:H765))</f>
        <v>278.99503200000004</v>
      </c>
      <c r="J765" s="952">
        <f t="shared" si="247"/>
        <v>340.99</v>
      </c>
      <c r="K765" s="953" t="s">
        <v>14</v>
      </c>
      <c r="L765" s="954">
        <f>ROUND(SUM(ORÇAMENTO!L765),2)</f>
        <v>0</v>
      </c>
      <c r="M765" s="955">
        <f t="shared" si="250"/>
        <v>0</v>
      </c>
      <c r="N765" s="956">
        <f t="shared" si="251"/>
        <v>0</v>
      </c>
      <c r="O765" s="880"/>
      <c r="Q765" s="317" t="str">
        <f t="shared" si="252"/>
        <v/>
      </c>
      <c r="R765" s="317" t="str">
        <f t="shared" si="253"/>
        <v/>
      </c>
      <c r="S765" s="317" t="str">
        <f t="shared" si="254"/>
        <v/>
      </c>
      <c r="V765" s="314">
        <f>SUM(ORÇAMENTO!N765)</f>
        <v>0</v>
      </c>
      <c r="W765" s="315">
        <f t="shared" si="255"/>
        <v>0</v>
      </c>
    </row>
    <row r="766" spans="1:23" ht="15" hidden="1" customHeight="1">
      <c r="A766" s="63" t="s">
        <v>147</v>
      </c>
      <c r="B766" s="870" t="s">
        <v>147</v>
      </c>
      <c r="C766" s="871"/>
      <c r="D766" s="931" t="s">
        <v>229</v>
      </c>
      <c r="E766" s="882">
        <f>DMT!$F$42</f>
        <v>290</v>
      </c>
      <c r="F766" s="883">
        <v>0.1</v>
      </c>
      <c r="G766" s="923">
        <f t="shared" ref="G766:G768" si="263">IF(E766&lt;=30,(1.07*E766+2.68)*F766,((1.07*30+2.68)+1.07*(E766-30))*F766)</f>
        <v>31.298000000000002</v>
      </c>
      <c r="H766" s="876">
        <v>0</v>
      </c>
      <c r="I766" s="876"/>
      <c r="J766" s="877">
        <v>0</v>
      </c>
      <c r="K766" s="878" t="s">
        <v>506</v>
      </c>
      <c r="L766" s="977">
        <f>ROUND(SUM(ORÇAMENTO!L766),2)</f>
        <v>0</v>
      </c>
      <c r="M766" s="934">
        <f t="shared" si="250"/>
        <v>0</v>
      </c>
      <c r="N766" s="868">
        <f t="shared" si="251"/>
        <v>0</v>
      </c>
      <c r="O766" s="880"/>
      <c r="P766" s="58" t="str">
        <f>IF(N765&gt;0,"xx",IF(N765&gt;0,"xy",""))</f>
        <v/>
      </c>
      <c r="Q766" s="317" t="str">
        <f t="shared" si="252"/>
        <v/>
      </c>
      <c r="R766" s="317" t="str">
        <f t="shared" si="253"/>
        <v/>
      </c>
      <c r="S766" s="317" t="str">
        <f t="shared" si="254"/>
        <v/>
      </c>
      <c r="V766" s="314">
        <f>SUM(ORÇAMENTO!N766)</f>
        <v>0</v>
      </c>
      <c r="W766" s="315">
        <f t="shared" si="255"/>
        <v>0</v>
      </c>
    </row>
    <row r="767" spans="1:23" ht="15" hidden="1" customHeight="1">
      <c r="A767" s="63" t="s">
        <v>147</v>
      </c>
      <c r="B767" s="870" t="s">
        <v>147</v>
      </c>
      <c r="C767" s="871"/>
      <c r="D767" s="931" t="s">
        <v>230</v>
      </c>
      <c r="E767" s="882">
        <f>DMT!$D$46</f>
        <v>445</v>
      </c>
      <c r="F767" s="883">
        <v>1.4999999999999999E-2</v>
      </c>
      <c r="G767" s="884">
        <f>IF(E767&lt;=30,(0.78*E767+7.82)*F767,((0.78*30+7.82)+0.78*(E767-30))*F767)</f>
        <v>5.3238000000000003</v>
      </c>
      <c r="H767" s="876">
        <v>0</v>
      </c>
      <c r="I767" s="876"/>
      <c r="J767" s="877">
        <v>0</v>
      </c>
      <c r="K767" s="878" t="s">
        <v>506</v>
      </c>
      <c r="L767" s="977">
        <f>ROUND(SUM(ORÇAMENTO!L767),2)</f>
        <v>0</v>
      </c>
      <c r="M767" s="934">
        <f t="shared" si="250"/>
        <v>0</v>
      </c>
      <c r="N767" s="868">
        <f t="shared" si="251"/>
        <v>0</v>
      </c>
      <c r="O767" s="880"/>
      <c r="P767" s="58" t="str">
        <f>IF(N765&gt;0,"xx",IF(N765&gt;0,"xy",""))</f>
        <v/>
      </c>
      <c r="Q767" s="317" t="str">
        <f t="shared" si="252"/>
        <v/>
      </c>
      <c r="R767" s="317" t="str">
        <f t="shared" si="253"/>
        <v/>
      </c>
      <c r="S767" s="317" t="str">
        <f t="shared" si="254"/>
        <v/>
      </c>
      <c r="V767" s="314">
        <f>SUM(ORÇAMENTO!N767)</f>
        <v>0</v>
      </c>
      <c r="W767" s="315">
        <f t="shared" si="255"/>
        <v>0</v>
      </c>
    </row>
    <row r="768" spans="1:23" ht="15" hidden="1" customHeight="1">
      <c r="A768" s="63" t="s">
        <v>147</v>
      </c>
      <c r="B768" s="870" t="s">
        <v>147</v>
      </c>
      <c r="C768" s="871"/>
      <c r="D768" s="931" t="s">
        <v>243</v>
      </c>
      <c r="E768" s="882">
        <f>DMT!$F$43</f>
        <v>0.2</v>
      </c>
      <c r="F768" s="883">
        <v>0.82799999999999996</v>
      </c>
      <c r="G768" s="923">
        <f t="shared" si="263"/>
        <v>2.3962319999999999</v>
      </c>
      <c r="H768" s="876">
        <v>0</v>
      </c>
      <c r="I768" s="876"/>
      <c r="J768" s="877">
        <v>0</v>
      </c>
      <c r="K768" s="878" t="s">
        <v>506</v>
      </c>
      <c r="L768" s="977">
        <f>ROUND(SUM(ORÇAMENTO!L768),2)</f>
        <v>0</v>
      </c>
      <c r="M768" s="934">
        <f t="shared" si="250"/>
        <v>0</v>
      </c>
      <c r="N768" s="868">
        <f t="shared" si="251"/>
        <v>0</v>
      </c>
      <c r="O768" s="880"/>
      <c r="P768" s="58" t="str">
        <f>IF(N765&gt;0,"xx",IF(N765&gt;0,"xy",""))</f>
        <v/>
      </c>
      <c r="Q768" s="317" t="str">
        <f t="shared" si="252"/>
        <v/>
      </c>
      <c r="R768" s="317" t="str">
        <f t="shared" si="253"/>
        <v/>
      </c>
      <c r="S768" s="317" t="str">
        <f t="shared" si="254"/>
        <v/>
      </c>
      <c r="V768" s="314">
        <f>SUM(ORÇAMENTO!N768)</f>
        <v>0</v>
      </c>
      <c r="W768" s="315">
        <f t="shared" si="255"/>
        <v>0</v>
      </c>
    </row>
    <row r="769" spans="1:23" ht="15" hidden="1" customHeight="1">
      <c r="A769" s="63" t="s">
        <v>147</v>
      </c>
      <c r="B769" s="870" t="s">
        <v>147</v>
      </c>
      <c r="C769" s="871"/>
      <c r="D769" s="931" t="s">
        <v>244</v>
      </c>
      <c r="E769" s="882">
        <f>DMT!$F$28</f>
        <v>43.1</v>
      </c>
      <c r="F769" s="883">
        <f>SUM(F765:F768)</f>
        <v>1</v>
      </c>
      <c r="G769" s="887">
        <f>IF(E769&lt;=30,(1.07*E769+6.45)*F769,((1.07*30+6.45)+1.07*(E769-30))*F769)</f>
        <v>52.567000000000007</v>
      </c>
      <c r="H769" s="876">
        <v>0</v>
      </c>
      <c r="I769" s="876"/>
      <c r="J769" s="877">
        <v>0</v>
      </c>
      <c r="K769" s="878" t="s">
        <v>506</v>
      </c>
      <c r="L769" s="977">
        <f>ROUND(SUM(ORÇAMENTO!L769),2)</f>
        <v>0</v>
      </c>
      <c r="M769" s="934">
        <f t="shared" si="250"/>
        <v>0</v>
      </c>
      <c r="N769" s="868">
        <f t="shared" si="251"/>
        <v>0</v>
      </c>
      <c r="O769" s="880"/>
      <c r="P769" s="58" t="str">
        <f>IF(N765&gt;0,"xx",IF(N765&gt;0,"xy",""))</f>
        <v/>
      </c>
      <c r="Q769" s="317" t="str">
        <f t="shared" si="252"/>
        <v/>
      </c>
      <c r="R769" s="317" t="str">
        <f t="shared" si="253"/>
        <v/>
      </c>
      <c r="S769" s="317" t="str">
        <f t="shared" si="254"/>
        <v/>
      </c>
      <c r="V769" s="314">
        <f>SUM(ORÇAMENTO!N769)</f>
        <v>0</v>
      </c>
      <c r="W769" s="315">
        <f t="shared" si="255"/>
        <v>0</v>
      </c>
    </row>
    <row r="770" spans="1:23" ht="15" hidden="1" customHeight="1" thickBot="1">
      <c r="A770" s="63">
        <v>589000</v>
      </c>
      <c r="B770" s="978" t="s">
        <v>1664</v>
      </c>
      <c r="C770" s="958" t="s">
        <v>213</v>
      </c>
      <c r="D770" s="986" t="s">
        <v>2149</v>
      </c>
      <c r="E770" s="994">
        <f>DMT!$D$45</f>
        <v>468</v>
      </c>
      <c r="F770" s="980">
        <v>1</v>
      </c>
      <c r="G770" s="923">
        <f>(0.94*E770+46.06)*F770</f>
        <v>485.97999999999996</v>
      </c>
      <c r="H770" s="962">
        <v>4828.8599999999997</v>
      </c>
      <c r="I770" s="962">
        <f>IF(ISBLANK(H770),"",H770*(1+$E$9)/(1+$E$10))+G770</f>
        <v>5163.1232400589097</v>
      </c>
      <c r="J770" s="963">
        <f t="shared" si="247"/>
        <v>6310.37</v>
      </c>
      <c r="K770" s="964" t="s">
        <v>14</v>
      </c>
      <c r="L770" s="1009">
        <f>ROUND(SUM(ORÇAMENTO!L770),2)</f>
        <v>0</v>
      </c>
      <c r="M770" s="1008">
        <f t="shared" si="250"/>
        <v>0</v>
      </c>
      <c r="N770" s="967">
        <f t="shared" si="251"/>
        <v>0</v>
      </c>
      <c r="O770" s="880"/>
      <c r="P770" s="58" t="str">
        <f>IF(N765&gt;0,"xx",IF(N765&gt;0,"xy",""))</f>
        <v/>
      </c>
      <c r="Q770" s="317" t="str">
        <f t="shared" si="252"/>
        <v/>
      </c>
      <c r="R770" s="317" t="str">
        <f t="shared" si="253"/>
        <v/>
      </c>
      <c r="S770" s="317" t="str">
        <f t="shared" si="254"/>
        <v/>
      </c>
      <c r="V770" s="314">
        <f>SUM(ORÇAMENTO!N770)</f>
        <v>0</v>
      </c>
      <c r="W770" s="315">
        <f t="shared" si="255"/>
        <v>0</v>
      </c>
    </row>
    <row r="771" spans="1:23" ht="15" hidden="1" customHeight="1">
      <c r="A771" s="63">
        <v>570400</v>
      </c>
      <c r="B771" s="973" t="s">
        <v>1769</v>
      </c>
      <c r="C771" s="974" t="s">
        <v>184</v>
      </c>
      <c r="D771" s="947" t="s">
        <v>2152</v>
      </c>
      <c r="E771" s="948" t="s">
        <v>563</v>
      </c>
      <c r="F771" s="949">
        <v>5.7000000000000002E-2</v>
      </c>
      <c r="G771" s="950">
        <f>SUM(G772:G775)</f>
        <v>91.585032000000012</v>
      </c>
      <c r="H771" s="951">
        <v>169.12</v>
      </c>
      <c r="I771" s="951">
        <f>IF(ISBLANK(H771),"",SUM(G771:H771))</f>
        <v>260.70503200000002</v>
      </c>
      <c r="J771" s="952">
        <f t="shared" si="247"/>
        <v>318.63</v>
      </c>
      <c r="K771" s="953" t="s">
        <v>14</v>
      </c>
      <c r="L771" s="954">
        <f>ROUND(SUM(ORÇAMENTO!L771),2)</f>
        <v>0</v>
      </c>
      <c r="M771" s="955">
        <f t="shared" si="250"/>
        <v>0</v>
      </c>
      <c r="N771" s="956">
        <f t="shared" si="251"/>
        <v>0</v>
      </c>
      <c r="O771" s="880"/>
      <c r="Q771" s="317" t="str">
        <f t="shared" si="252"/>
        <v/>
      </c>
      <c r="R771" s="317" t="str">
        <f t="shared" si="253"/>
        <v/>
      </c>
      <c r="S771" s="317" t="str">
        <f t="shared" si="254"/>
        <v/>
      </c>
      <c r="V771" s="314">
        <f>SUM(ORÇAMENTO!N771)</f>
        <v>0</v>
      </c>
      <c r="W771" s="315">
        <f t="shared" si="255"/>
        <v>0</v>
      </c>
    </row>
    <row r="772" spans="1:23" ht="15" hidden="1" customHeight="1">
      <c r="A772" s="63" t="s">
        <v>147</v>
      </c>
      <c r="B772" s="870" t="s">
        <v>147</v>
      </c>
      <c r="C772" s="871"/>
      <c r="D772" s="931" t="s">
        <v>229</v>
      </c>
      <c r="E772" s="882">
        <f>DMT!$F$42</f>
        <v>290</v>
      </c>
      <c r="F772" s="883">
        <v>0.1</v>
      </c>
      <c r="G772" s="923">
        <f t="shared" ref="G772:G774" si="264">IF(E772&lt;=30,(1.07*E772+2.68)*F772,((1.07*30+2.68)+1.07*(E772-30))*F772)</f>
        <v>31.298000000000002</v>
      </c>
      <c r="H772" s="876">
        <v>0</v>
      </c>
      <c r="I772" s="876"/>
      <c r="J772" s="877">
        <v>0</v>
      </c>
      <c r="K772" s="878" t="s">
        <v>506</v>
      </c>
      <c r="L772" s="977">
        <f>ROUND(SUM(ORÇAMENTO!L772),2)</f>
        <v>0</v>
      </c>
      <c r="M772" s="934">
        <f t="shared" si="250"/>
        <v>0</v>
      </c>
      <c r="N772" s="868">
        <f t="shared" si="251"/>
        <v>0</v>
      </c>
      <c r="O772" s="880"/>
      <c r="P772" s="58" t="str">
        <f>IF(N771&gt;0,"xx",IF(N771&gt;0,"xy",""))</f>
        <v/>
      </c>
      <c r="Q772" s="317" t="str">
        <f t="shared" si="252"/>
        <v/>
      </c>
      <c r="R772" s="317" t="str">
        <f t="shared" si="253"/>
        <v/>
      </c>
      <c r="S772" s="317" t="str">
        <f t="shared" si="254"/>
        <v/>
      </c>
      <c r="V772" s="314">
        <f>SUM(ORÇAMENTO!N772)</f>
        <v>0</v>
      </c>
      <c r="W772" s="315">
        <f t="shared" si="255"/>
        <v>0</v>
      </c>
    </row>
    <row r="773" spans="1:23" ht="15" hidden="1" customHeight="1">
      <c r="A773" s="63" t="s">
        <v>147</v>
      </c>
      <c r="B773" s="870" t="s">
        <v>147</v>
      </c>
      <c r="C773" s="871"/>
      <c r="D773" s="931" t="s">
        <v>230</v>
      </c>
      <c r="E773" s="882">
        <f>DMT!$D$46</f>
        <v>445</v>
      </c>
      <c r="F773" s="883">
        <v>1.4999999999999999E-2</v>
      </c>
      <c r="G773" s="884">
        <f>IF(E773&lt;=30,(0.78*E773+7.82)*F773,((0.78*30+7.82)+0.78*(E773-30))*F773)</f>
        <v>5.3238000000000003</v>
      </c>
      <c r="H773" s="876">
        <v>0</v>
      </c>
      <c r="I773" s="876"/>
      <c r="J773" s="877">
        <v>0</v>
      </c>
      <c r="K773" s="878" t="s">
        <v>506</v>
      </c>
      <c r="L773" s="977">
        <f>ROUND(SUM(ORÇAMENTO!L773),2)</f>
        <v>0</v>
      </c>
      <c r="M773" s="934">
        <f t="shared" si="250"/>
        <v>0</v>
      </c>
      <c r="N773" s="868">
        <f t="shared" si="251"/>
        <v>0</v>
      </c>
      <c r="O773" s="880"/>
      <c r="P773" s="58" t="str">
        <f>IF(N771&gt;0,"xx",IF(N771&gt;0,"xy",""))</f>
        <v/>
      </c>
      <c r="Q773" s="317" t="str">
        <f t="shared" si="252"/>
        <v/>
      </c>
      <c r="R773" s="317" t="str">
        <f t="shared" si="253"/>
        <v/>
      </c>
      <c r="S773" s="317" t="str">
        <f t="shared" si="254"/>
        <v/>
      </c>
      <c r="V773" s="314">
        <f>SUM(ORÇAMENTO!N773)</f>
        <v>0</v>
      </c>
      <c r="W773" s="315">
        <f t="shared" si="255"/>
        <v>0</v>
      </c>
    </row>
    <row r="774" spans="1:23" ht="15" hidden="1" customHeight="1">
      <c r="A774" s="63" t="s">
        <v>147</v>
      </c>
      <c r="B774" s="870" t="s">
        <v>147</v>
      </c>
      <c r="C774" s="871"/>
      <c r="D774" s="931" t="s">
        <v>243</v>
      </c>
      <c r="E774" s="882">
        <f>DMT!$F$43</f>
        <v>0.2</v>
      </c>
      <c r="F774" s="883">
        <v>0.82799999999999996</v>
      </c>
      <c r="G774" s="923">
        <f t="shared" si="264"/>
        <v>2.3962319999999999</v>
      </c>
      <c r="H774" s="876">
        <v>0</v>
      </c>
      <c r="I774" s="876"/>
      <c r="J774" s="877">
        <v>0</v>
      </c>
      <c r="K774" s="878" t="s">
        <v>506</v>
      </c>
      <c r="L774" s="977">
        <f>ROUND(SUM(ORÇAMENTO!L774),2)</f>
        <v>0</v>
      </c>
      <c r="M774" s="934">
        <f t="shared" si="250"/>
        <v>0</v>
      </c>
      <c r="N774" s="868">
        <f t="shared" si="251"/>
        <v>0</v>
      </c>
      <c r="O774" s="880"/>
      <c r="P774" s="58" t="str">
        <f>IF(N771&gt;0,"xx",IF(N771&gt;0,"xy",""))</f>
        <v/>
      </c>
      <c r="Q774" s="317" t="str">
        <f t="shared" si="252"/>
        <v/>
      </c>
      <c r="R774" s="317" t="str">
        <f t="shared" si="253"/>
        <v/>
      </c>
      <c r="S774" s="317" t="str">
        <f t="shared" si="254"/>
        <v/>
      </c>
      <c r="V774" s="314">
        <f>SUM(ORÇAMENTO!N774)</f>
        <v>0</v>
      </c>
      <c r="W774" s="315">
        <f t="shared" si="255"/>
        <v>0</v>
      </c>
    </row>
    <row r="775" spans="1:23" ht="15" hidden="1" customHeight="1">
      <c r="A775" s="63" t="s">
        <v>147</v>
      </c>
      <c r="B775" s="870" t="s">
        <v>147</v>
      </c>
      <c r="C775" s="871"/>
      <c r="D775" s="931" t="s">
        <v>244</v>
      </c>
      <c r="E775" s="882">
        <f>DMT!$F$28</f>
        <v>43.1</v>
      </c>
      <c r="F775" s="883">
        <f>SUM(F771:F774)</f>
        <v>1</v>
      </c>
      <c r="G775" s="887">
        <f>IF(E775&lt;=30,(1.07*E775+6.45)*F775,((1.07*30+6.45)+1.07*(E775-30))*F775)</f>
        <v>52.567000000000007</v>
      </c>
      <c r="H775" s="876">
        <v>0</v>
      </c>
      <c r="I775" s="876"/>
      <c r="J775" s="877">
        <v>0</v>
      </c>
      <c r="K775" s="878" t="s">
        <v>506</v>
      </c>
      <c r="L775" s="977">
        <f>ROUND(SUM(ORÇAMENTO!L775),2)</f>
        <v>0</v>
      </c>
      <c r="M775" s="934">
        <f t="shared" si="250"/>
        <v>0</v>
      </c>
      <c r="N775" s="868">
        <f t="shared" si="251"/>
        <v>0</v>
      </c>
      <c r="O775" s="880"/>
      <c r="P775" s="58" t="str">
        <f>IF(N771&gt;0,"xx",IF(N771&gt;0,"xy",""))</f>
        <v/>
      </c>
      <c r="Q775" s="317" t="str">
        <f t="shared" si="252"/>
        <v/>
      </c>
      <c r="R775" s="317" t="str">
        <f t="shared" si="253"/>
        <v/>
      </c>
      <c r="S775" s="317" t="str">
        <f t="shared" si="254"/>
        <v/>
      </c>
      <c r="V775" s="314">
        <f>SUM(ORÇAMENTO!N775)</f>
        <v>0</v>
      </c>
      <c r="W775" s="315">
        <f t="shared" si="255"/>
        <v>0</v>
      </c>
    </row>
    <row r="776" spans="1:23" ht="15" hidden="1" customHeight="1" thickBot="1">
      <c r="A776" s="63">
        <v>589000</v>
      </c>
      <c r="B776" s="978" t="s">
        <v>1665</v>
      </c>
      <c r="C776" s="958" t="s">
        <v>213</v>
      </c>
      <c r="D776" s="986" t="s">
        <v>2150</v>
      </c>
      <c r="E776" s="994">
        <f>DMT!$D$45</f>
        <v>468</v>
      </c>
      <c r="F776" s="980">
        <v>1</v>
      </c>
      <c r="G776" s="1002">
        <f>(0.94*E776+46.06)*F776</f>
        <v>485.97999999999996</v>
      </c>
      <c r="H776" s="962">
        <v>4828.8599999999997</v>
      </c>
      <c r="I776" s="962">
        <f>IF(ISBLANK(H776),"",H776*(1+$E$9)/(1+$E$10))+G776</f>
        <v>5163.1232400589097</v>
      </c>
      <c r="J776" s="963">
        <f t="shared" ref="J776:J849" si="265">IF(ISBLANK(H776),0,ROUND(I776*(1+$E$10),2))</f>
        <v>6310.37</v>
      </c>
      <c r="K776" s="964" t="s">
        <v>14</v>
      </c>
      <c r="L776" s="1009">
        <f>ROUND(SUM(ORÇAMENTO!L776),2)</f>
        <v>0</v>
      </c>
      <c r="M776" s="1008">
        <f t="shared" si="250"/>
        <v>0</v>
      </c>
      <c r="N776" s="967">
        <f t="shared" si="251"/>
        <v>0</v>
      </c>
      <c r="O776" s="880"/>
      <c r="P776" s="58" t="str">
        <f>IF(N771&gt;0,"xx",IF(N771&gt;0,"xy",""))</f>
        <v/>
      </c>
      <c r="Q776" s="317" t="str">
        <f t="shared" si="252"/>
        <v/>
      </c>
      <c r="R776" s="317" t="str">
        <f t="shared" si="253"/>
        <v/>
      </c>
      <c r="S776" s="317" t="str">
        <f t="shared" si="254"/>
        <v/>
      </c>
      <c r="V776" s="314">
        <f>SUM(ORÇAMENTO!N776)</f>
        <v>0</v>
      </c>
      <c r="W776" s="315">
        <f t="shared" si="255"/>
        <v>0</v>
      </c>
    </row>
    <row r="777" spans="1:23" ht="15" hidden="1" customHeight="1">
      <c r="A777" s="63">
        <v>570000</v>
      </c>
      <c r="B777" s="973" t="s">
        <v>1749</v>
      </c>
      <c r="C777" s="974" t="s">
        <v>184</v>
      </c>
      <c r="D777" s="998" t="str">
        <f>CONCATENATE("CBUQ - PASSEIO - Novo Traço - ",Novos_Traços_CBUQ!C190," - (Quant. menor que 10.000 ton)")</f>
        <v>CBUQ - PASSEIO - Novo Traço - TRAÇO 4 - FAIXA "D" - (Quant. menor que 10.000 ton)</v>
      </c>
      <c r="E777" s="948" t="s">
        <v>563</v>
      </c>
      <c r="F777" s="996">
        <f>Novos_Traços_CBUQ!F216</f>
        <v>5.6000000000000001E-2</v>
      </c>
      <c r="G777" s="950">
        <f>SUM(G778:G781)</f>
        <v>89.569823600000007</v>
      </c>
      <c r="H777" s="951">
        <v>187.41</v>
      </c>
      <c r="I777" s="951">
        <f>IF(ISBLANK(H777),"",SUM(G777:H777))</f>
        <v>276.97982360000003</v>
      </c>
      <c r="J777" s="952">
        <f t="shared" si="265"/>
        <v>338.52</v>
      </c>
      <c r="K777" s="953" t="s">
        <v>14</v>
      </c>
      <c r="L777" s="954">
        <f>ROUND(SUM(ORÇAMENTO!L777),2)</f>
        <v>0</v>
      </c>
      <c r="M777" s="955">
        <f t="shared" ref="M777:M782" si="266">IF(L777=0,0,ROUND(J777,2))</f>
        <v>0</v>
      </c>
      <c r="N777" s="956">
        <f t="shared" ref="N777:N782" si="267">IF(ISBLANK(L777),0,ROUND(L777*M777,2))</f>
        <v>0</v>
      </c>
      <c r="O777" s="880"/>
      <c r="Q777" s="317" t="str">
        <f t="shared" ref="Q777:Q782" si="268">IF(P777="X","x",IF(P777="xx","x",IF(P777="xy","x",IF(P777="y","x",IF(OR(N777&gt;0,N777&gt;0),"x","")))))</f>
        <v/>
      </c>
      <c r="R777" s="317" t="str">
        <f t="shared" ref="R777:R782" si="269">IF(P777="X","x",IF(P777="y","x",IF(P777="xx","x",IF(N777&gt;0,"x",""))))</f>
        <v/>
      </c>
      <c r="S777" s="317" t="str">
        <f t="shared" ref="S777:S782" si="270">IF(P777="X","x",IF(N777&gt;0,"x",""))</f>
        <v/>
      </c>
      <c r="V777" s="314">
        <f>SUM(ORÇAMENTO!N777)</f>
        <v>0</v>
      </c>
      <c r="W777" s="315">
        <f t="shared" si="255"/>
        <v>0</v>
      </c>
    </row>
    <row r="778" spans="1:23" ht="15" hidden="1" customHeight="1">
      <c r="A778" s="63" t="s">
        <v>147</v>
      </c>
      <c r="B778" s="870" t="s">
        <v>147</v>
      </c>
      <c r="C778" s="871"/>
      <c r="D778" s="931" t="s">
        <v>229</v>
      </c>
      <c r="E778" s="882">
        <f>DMT!$F$42</f>
        <v>290</v>
      </c>
      <c r="F778" s="1242">
        <f>Novos_Traços_CBUQ!F214</f>
        <v>9.4399999999999998E-2</v>
      </c>
      <c r="G778" s="923">
        <f t="shared" ref="G778" si="271">IF(E778&lt;=30,(1.07*E778+2.68)*F778,((1.07*30+2.68)+1.07*(E778-30))*F778)</f>
        <v>29.545312000000003</v>
      </c>
      <c r="H778" s="876">
        <v>0</v>
      </c>
      <c r="I778" s="876"/>
      <c r="J778" s="877">
        <v>0</v>
      </c>
      <c r="K778" s="878" t="s">
        <v>506</v>
      </c>
      <c r="L778" s="977">
        <f>ROUND(SUM(ORÇAMENTO!L778),2)</f>
        <v>0</v>
      </c>
      <c r="M778" s="934">
        <f t="shared" si="266"/>
        <v>0</v>
      </c>
      <c r="N778" s="868">
        <f t="shared" si="267"/>
        <v>0</v>
      </c>
      <c r="O778" s="880"/>
      <c r="P778" s="58" t="str">
        <f>IF(N777&gt;0,"xx",IF(N777&gt;0,"xy",""))</f>
        <v/>
      </c>
      <c r="Q778" s="317" t="str">
        <f t="shared" si="268"/>
        <v/>
      </c>
      <c r="R778" s="317" t="str">
        <f t="shared" si="269"/>
        <v/>
      </c>
      <c r="S778" s="317" t="str">
        <f t="shared" si="270"/>
        <v/>
      </c>
      <c r="V778" s="314">
        <f>SUM(ORÇAMENTO!N778)</f>
        <v>0</v>
      </c>
      <c r="W778" s="315">
        <f t="shared" si="255"/>
        <v>0</v>
      </c>
    </row>
    <row r="779" spans="1:23" ht="15" hidden="1" customHeight="1">
      <c r="A779" s="63" t="s">
        <v>147</v>
      </c>
      <c r="B779" s="870" t="s">
        <v>147</v>
      </c>
      <c r="C779" s="871"/>
      <c r="D779" s="931" t="s">
        <v>230</v>
      </c>
      <c r="E779" s="882">
        <f>DMT!$D$46</f>
        <v>445</v>
      </c>
      <c r="F779" s="1242">
        <f>Novos_Traços_CBUQ!F215</f>
        <v>1.4200000000000001E-2</v>
      </c>
      <c r="G779" s="884">
        <f>IF(E779&lt;=30,(0.78*E779+7.82)*F779,((0.78*30+7.82)+0.78*(E779-30))*F779)</f>
        <v>5.0398640000000006</v>
      </c>
      <c r="H779" s="876">
        <v>0</v>
      </c>
      <c r="I779" s="876"/>
      <c r="J779" s="877">
        <v>0</v>
      </c>
      <c r="K779" s="878" t="s">
        <v>506</v>
      </c>
      <c r="L779" s="977">
        <f>ROUND(SUM(ORÇAMENTO!L779),2)</f>
        <v>0</v>
      </c>
      <c r="M779" s="934">
        <f t="shared" si="266"/>
        <v>0</v>
      </c>
      <c r="N779" s="868">
        <f t="shared" si="267"/>
        <v>0</v>
      </c>
      <c r="O779" s="880"/>
      <c r="P779" s="58" t="str">
        <f>IF(N777&gt;0,"xx",IF(N777&gt;0,"xy",""))</f>
        <v/>
      </c>
      <c r="Q779" s="317" t="str">
        <f t="shared" si="268"/>
        <v/>
      </c>
      <c r="R779" s="317" t="str">
        <f t="shared" si="269"/>
        <v/>
      </c>
      <c r="S779" s="317" t="str">
        <f t="shared" si="270"/>
        <v/>
      </c>
      <c r="V779" s="314">
        <f>SUM(ORÇAMENTO!N779)</f>
        <v>0</v>
      </c>
      <c r="W779" s="315">
        <f t="shared" si="255"/>
        <v>0</v>
      </c>
    </row>
    <row r="780" spans="1:23" ht="15" hidden="1" customHeight="1">
      <c r="A780" s="63" t="s">
        <v>147</v>
      </c>
      <c r="B780" s="870" t="s">
        <v>147</v>
      </c>
      <c r="C780" s="871"/>
      <c r="D780" s="931" t="s">
        <v>243</v>
      </c>
      <c r="E780" s="882">
        <f>DMT!$F$43</f>
        <v>0.2</v>
      </c>
      <c r="F780" s="1242">
        <f>Novos_Traços_CBUQ!F212</f>
        <v>0.83540000000000003</v>
      </c>
      <c r="G780" s="923">
        <f t="shared" ref="G780" si="272">IF(E780&lt;=30,(1.07*E780+2.68)*F780,((1.07*30+2.68)+1.07*(E780-30))*F780)</f>
        <v>2.4176476</v>
      </c>
      <c r="H780" s="876">
        <v>0</v>
      </c>
      <c r="I780" s="876"/>
      <c r="J780" s="877">
        <v>0</v>
      </c>
      <c r="K780" s="878" t="s">
        <v>506</v>
      </c>
      <c r="L780" s="977">
        <f>ROUND(SUM(ORÇAMENTO!L780),2)</f>
        <v>0</v>
      </c>
      <c r="M780" s="934">
        <f t="shared" si="266"/>
        <v>0</v>
      </c>
      <c r="N780" s="868">
        <f t="shared" si="267"/>
        <v>0</v>
      </c>
      <c r="O780" s="880"/>
      <c r="P780" s="58" t="str">
        <f>IF(N777&gt;0,"xx",IF(N777&gt;0,"xy",""))</f>
        <v/>
      </c>
      <c r="Q780" s="317" t="str">
        <f t="shared" si="268"/>
        <v/>
      </c>
      <c r="R780" s="317" t="str">
        <f t="shared" si="269"/>
        <v/>
      </c>
      <c r="S780" s="317" t="str">
        <f t="shared" si="270"/>
        <v/>
      </c>
      <c r="V780" s="314">
        <f>SUM(ORÇAMENTO!N780)</f>
        <v>0</v>
      </c>
      <c r="W780" s="315">
        <f t="shared" si="255"/>
        <v>0</v>
      </c>
    </row>
    <row r="781" spans="1:23" ht="15" hidden="1" customHeight="1">
      <c r="A781" s="63" t="s">
        <v>147</v>
      </c>
      <c r="B781" s="870" t="s">
        <v>147</v>
      </c>
      <c r="C781" s="871"/>
      <c r="D781" s="931" t="s">
        <v>244</v>
      </c>
      <c r="E781" s="882">
        <f>DMT!$F$28</f>
        <v>43.1</v>
      </c>
      <c r="F781" s="1242">
        <f>SUM(F777:F780)</f>
        <v>1</v>
      </c>
      <c r="G781" s="887">
        <f>IF(E781&lt;=30,(1.07*E781+6.45)*F781,((1.07*30+6.45)+1.07*(E781-30))*F781)</f>
        <v>52.567000000000007</v>
      </c>
      <c r="H781" s="876">
        <v>0</v>
      </c>
      <c r="I781" s="876"/>
      <c r="J781" s="877">
        <v>0</v>
      </c>
      <c r="K781" s="878" t="s">
        <v>506</v>
      </c>
      <c r="L781" s="977">
        <f>ROUND(SUM(ORÇAMENTO!L781),2)</f>
        <v>0</v>
      </c>
      <c r="M781" s="934">
        <f t="shared" si="266"/>
        <v>0</v>
      </c>
      <c r="N781" s="868">
        <f t="shared" si="267"/>
        <v>0</v>
      </c>
      <c r="O781" s="880"/>
      <c r="P781" s="58" t="str">
        <f>IF(N777&gt;0,"xx",IF(N777&gt;0,"xy",""))</f>
        <v/>
      </c>
      <c r="Q781" s="317" t="str">
        <f t="shared" si="268"/>
        <v/>
      </c>
      <c r="R781" s="317" t="str">
        <f t="shared" si="269"/>
        <v/>
      </c>
      <c r="S781" s="317" t="str">
        <f t="shared" si="270"/>
        <v/>
      </c>
      <c r="V781" s="314">
        <f>SUM(ORÇAMENTO!N781)</f>
        <v>0</v>
      </c>
      <c r="W781" s="315">
        <f t="shared" si="255"/>
        <v>0</v>
      </c>
    </row>
    <row r="782" spans="1:23" ht="15" hidden="1" customHeight="1" thickBot="1">
      <c r="A782" s="63">
        <v>589000</v>
      </c>
      <c r="B782" s="978" t="s">
        <v>1664</v>
      </c>
      <c r="C782" s="958" t="s">
        <v>213</v>
      </c>
      <c r="D782" s="986" t="s">
        <v>2149</v>
      </c>
      <c r="E782" s="994">
        <f>DMT!$D$45</f>
        <v>468</v>
      </c>
      <c r="F782" s="980">
        <v>1</v>
      </c>
      <c r="G782" s="1002">
        <f>(0.94*E782+46.06)*F782</f>
        <v>485.97999999999996</v>
      </c>
      <c r="H782" s="962">
        <v>4828.8599999999997</v>
      </c>
      <c r="I782" s="962">
        <f>IF(ISBLANK(H782),"",H782*(1+$E$9)/(1+$E$10))+G782</f>
        <v>5163.1232400589097</v>
      </c>
      <c r="J782" s="963">
        <f t="shared" ref="J782:J783" si="273">IF(ISBLANK(H782),0,ROUND(I782*(1+$E$10),2))</f>
        <v>6310.37</v>
      </c>
      <c r="K782" s="964" t="s">
        <v>14</v>
      </c>
      <c r="L782" s="1009">
        <f>ROUND(SUM(ORÇAMENTO!L782),2)</f>
        <v>0</v>
      </c>
      <c r="M782" s="1008">
        <f t="shared" si="266"/>
        <v>0</v>
      </c>
      <c r="N782" s="967">
        <f t="shared" si="267"/>
        <v>0</v>
      </c>
      <c r="O782" s="880"/>
      <c r="P782" s="58" t="str">
        <f>IF(N777&gt;0,"xx",IF(N777&gt;0,"xy",""))</f>
        <v/>
      </c>
      <c r="Q782" s="317" t="str">
        <f t="shared" si="268"/>
        <v/>
      </c>
      <c r="R782" s="317" t="str">
        <f t="shared" si="269"/>
        <v/>
      </c>
      <c r="S782" s="317" t="str">
        <f t="shared" si="270"/>
        <v/>
      </c>
      <c r="V782" s="314">
        <f>SUM(ORÇAMENTO!N782)</f>
        <v>0</v>
      </c>
      <c r="W782" s="315">
        <f t="shared" si="255"/>
        <v>0</v>
      </c>
    </row>
    <row r="783" spans="1:23" ht="15" hidden="1" customHeight="1">
      <c r="A783" s="63">
        <v>570000</v>
      </c>
      <c r="B783" s="973" t="s">
        <v>1749</v>
      </c>
      <c r="C783" s="974" t="s">
        <v>184</v>
      </c>
      <c r="D783" s="998" t="str">
        <f>CONCATENATE("CBUQ - PASSEIO - Novo Traço - ",Novos_Traços_CBUQ!J190," - (Quant. menor que 10.000 ton)")</f>
        <v>CBUQ - PASSEIO - Novo Traço - TRAÇO 5 - FAIXA "D" - (Quant. menor que 10.000 ton)</v>
      </c>
      <c r="E783" s="948" t="s">
        <v>563</v>
      </c>
      <c r="F783" s="996">
        <f>Novos_Traços_CBUQ!M216</f>
        <v>5.5E-2</v>
      </c>
      <c r="G783" s="950">
        <f>SUM(G784:G787)</f>
        <v>89.603726200000011</v>
      </c>
      <c r="H783" s="951">
        <v>187.41</v>
      </c>
      <c r="I783" s="951">
        <f>IF(ISBLANK(H783),"",SUM(G783:H783))</f>
        <v>277.01372620000001</v>
      </c>
      <c r="J783" s="952">
        <f t="shared" si="273"/>
        <v>338.57</v>
      </c>
      <c r="K783" s="953" t="s">
        <v>14</v>
      </c>
      <c r="L783" s="954">
        <f>ROUND(SUM(ORÇAMENTO!L783),2)</f>
        <v>0</v>
      </c>
      <c r="M783" s="955">
        <f t="shared" ref="M783:M788" si="274">IF(L783=0,0,ROUND(J783,2))</f>
        <v>0</v>
      </c>
      <c r="N783" s="956">
        <f t="shared" ref="N783:N788" si="275">IF(ISBLANK(L783),0,ROUND(L783*M783,2))</f>
        <v>0</v>
      </c>
      <c r="O783" s="880"/>
      <c r="Q783" s="317" t="str">
        <f t="shared" ref="Q783:Q788" si="276">IF(P783="X","x",IF(P783="xx","x",IF(P783="xy","x",IF(P783="y","x",IF(OR(N783&gt;0,N783&gt;0),"x","")))))</f>
        <v/>
      </c>
      <c r="R783" s="317" t="str">
        <f t="shared" ref="R783:R788" si="277">IF(P783="X","x",IF(P783="y","x",IF(P783="xx","x",IF(N783&gt;0,"x",""))))</f>
        <v/>
      </c>
      <c r="S783" s="317" t="str">
        <f t="shared" ref="S783:S788" si="278">IF(P783="X","x",IF(N783&gt;0,"x",""))</f>
        <v/>
      </c>
      <c r="V783" s="314">
        <f>SUM(ORÇAMENTO!N783)</f>
        <v>0</v>
      </c>
      <c r="W783" s="315">
        <f t="shared" si="255"/>
        <v>0</v>
      </c>
    </row>
    <row r="784" spans="1:23" ht="15" hidden="1" customHeight="1">
      <c r="A784" s="63" t="s">
        <v>147</v>
      </c>
      <c r="B784" s="870" t="s">
        <v>147</v>
      </c>
      <c r="C784" s="871"/>
      <c r="D784" s="931" t="s">
        <v>229</v>
      </c>
      <c r="E784" s="882">
        <f>DMT!$F$42</f>
        <v>290</v>
      </c>
      <c r="F784" s="1242">
        <f>Novos_Traços_CBUQ!M214</f>
        <v>9.4500000000000001E-2</v>
      </c>
      <c r="G784" s="923">
        <f t="shared" ref="G784" si="279">IF(E784&lt;=30,(1.07*E784+2.68)*F784,((1.07*30+2.68)+1.07*(E784-30))*F784)</f>
        <v>29.576610000000002</v>
      </c>
      <c r="H784" s="876">
        <v>0</v>
      </c>
      <c r="I784" s="876"/>
      <c r="J784" s="877">
        <v>0</v>
      </c>
      <c r="K784" s="878" t="s">
        <v>506</v>
      </c>
      <c r="L784" s="977">
        <f>ROUND(SUM(ORÇAMENTO!L784),2)</f>
        <v>0</v>
      </c>
      <c r="M784" s="934">
        <f t="shared" si="274"/>
        <v>0</v>
      </c>
      <c r="N784" s="868">
        <f t="shared" si="275"/>
        <v>0</v>
      </c>
      <c r="O784" s="880"/>
      <c r="P784" s="58" t="str">
        <f>IF(N783&gt;0,"xx",IF(N783&gt;0,"xy",""))</f>
        <v/>
      </c>
      <c r="Q784" s="317" t="str">
        <f t="shared" si="276"/>
        <v/>
      </c>
      <c r="R784" s="317" t="str">
        <f t="shared" si="277"/>
        <v/>
      </c>
      <c r="S784" s="317" t="str">
        <f t="shared" si="278"/>
        <v/>
      </c>
      <c r="V784" s="314">
        <f>SUM(ORÇAMENTO!N784)</f>
        <v>0</v>
      </c>
      <c r="W784" s="315">
        <f t="shared" si="255"/>
        <v>0</v>
      </c>
    </row>
    <row r="785" spans="1:23" ht="15" hidden="1" customHeight="1">
      <c r="A785" s="63" t="s">
        <v>147</v>
      </c>
      <c r="B785" s="870" t="s">
        <v>147</v>
      </c>
      <c r="C785" s="871"/>
      <c r="D785" s="931" t="s">
        <v>230</v>
      </c>
      <c r="E785" s="882">
        <f>DMT!$D$46</f>
        <v>445</v>
      </c>
      <c r="F785" s="1242">
        <f>Novos_Traços_CBUQ!M215</f>
        <v>1.4200000000000001E-2</v>
      </c>
      <c r="G785" s="884">
        <f>IF(E785&lt;=30,(0.78*E785+7.82)*F785,((0.78*30+7.82)+0.78*(E785-30))*F785)</f>
        <v>5.0398640000000006</v>
      </c>
      <c r="H785" s="876">
        <v>0</v>
      </c>
      <c r="I785" s="876"/>
      <c r="J785" s="877">
        <v>0</v>
      </c>
      <c r="K785" s="878" t="s">
        <v>506</v>
      </c>
      <c r="L785" s="977">
        <f>ROUND(SUM(ORÇAMENTO!L785),2)</f>
        <v>0</v>
      </c>
      <c r="M785" s="934">
        <f t="shared" si="274"/>
        <v>0</v>
      </c>
      <c r="N785" s="868">
        <f t="shared" si="275"/>
        <v>0</v>
      </c>
      <c r="O785" s="880"/>
      <c r="P785" s="58" t="str">
        <f>IF(N783&gt;0,"xx",IF(N783&gt;0,"xy",""))</f>
        <v/>
      </c>
      <c r="Q785" s="317" t="str">
        <f t="shared" si="276"/>
        <v/>
      </c>
      <c r="R785" s="317" t="str">
        <f t="shared" si="277"/>
        <v/>
      </c>
      <c r="S785" s="317" t="str">
        <f t="shared" si="278"/>
        <v/>
      </c>
      <c r="V785" s="314">
        <f>SUM(ORÇAMENTO!N785)</f>
        <v>0</v>
      </c>
      <c r="W785" s="315">
        <f t="shared" si="255"/>
        <v>0</v>
      </c>
    </row>
    <row r="786" spans="1:23" ht="15" hidden="1" customHeight="1">
      <c r="A786" s="63" t="s">
        <v>147</v>
      </c>
      <c r="B786" s="870" t="s">
        <v>147</v>
      </c>
      <c r="C786" s="871"/>
      <c r="D786" s="931" t="s">
        <v>243</v>
      </c>
      <c r="E786" s="882">
        <f>DMT!$F$43</f>
        <v>0.2</v>
      </c>
      <c r="F786" s="1242">
        <f>Novos_Traços_CBUQ!M212</f>
        <v>0.83630000000000004</v>
      </c>
      <c r="G786" s="923">
        <f t="shared" ref="G786" si="280">IF(E786&lt;=30,(1.07*E786+2.68)*F786,((1.07*30+2.68)+1.07*(E786-30))*F786)</f>
        <v>2.4202522000000002</v>
      </c>
      <c r="H786" s="876">
        <v>0</v>
      </c>
      <c r="I786" s="876"/>
      <c r="J786" s="877">
        <v>0</v>
      </c>
      <c r="K786" s="878" t="s">
        <v>506</v>
      </c>
      <c r="L786" s="977">
        <f>ROUND(SUM(ORÇAMENTO!L786),2)</f>
        <v>0</v>
      </c>
      <c r="M786" s="934">
        <f t="shared" si="274"/>
        <v>0</v>
      </c>
      <c r="N786" s="868">
        <f t="shared" si="275"/>
        <v>0</v>
      </c>
      <c r="O786" s="880"/>
      <c r="P786" s="58" t="str">
        <f>IF(N783&gt;0,"xx",IF(N783&gt;0,"xy",""))</f>
        <v/>
      </c>
      <c r="Q786" s="317" t="str">
        <f t="shared" si="276"/>
        <v/>
      </c>
      <c r="R786" s="317" t="str">
        <f t="shared" si="277"/>
        <v/>
      </c>
      <c r="S786" s="317" t="str">
        <f t="shared" si="278"/>
        <v/>
      </c>
      <c r="V786" s="314">
        <f>SUM(ORÇAMENTO!N786)</f>
        <v>0</v>
      </c>
      <c r="W786" s="315">
        <f t="shared" si="255"/>
        <v>0</v>
      </c>
    </row>
    <row r="787" spans="1:23" ht="15" hidden="1" customHeight="1">
      <c r="A787" s="63" t="s">
        <v>147</v>
      </c>
      <c r="B787" s="870" t="s">
        <v>147</v>
      </c>
      <c r="C787" s="871"/>
      <c r="D787" s="931" t="s">
        <v>244</v>
      </c>
      <c r="E787" s="882">
        <f>DMT!$F$28</f>
        <v>43.1</v>
      </c>
      <c r="F787" s="883">
        <f>SUM(F783:F786)</f>
        <v>1</v>
      </c>
      <c r="G787" s="887">
        <f>IF(E787&lt;=30,(1.07*E787+6.45)*F787,((1.07*30+6.45)+1.07*(E787-30))*F787)</f>
        <v>52.567000000000007</v>
      </c>
      <c r="H787" s="876">
        <v>0</v>
      </c>
      <c r="I787" s="876"/>
      <c r="J787" s="877">
        <v>0</v>
      </c>
      <c r="K787" s="878" t="s">
        <v>506</v>
      </c>
      <c r="L787" s="977">
        <f>ROUND(SUM(ORÇAMENTO!L787),2)</f>
        <v>0</v>
      </c>
      <c r="M787" s="934">
        <f t="shared" si="274"/>
        <v>0</v>
      </c>
      <c r="N787" s="868">
        <f t="shared" si="275"/>
        <v>0</v>
      </c>
      <c r="O787" s="880"/>
      <c r="P787" s="58" t="str">
        <f>IF(N783&gt;0,"xx",IF(N783&gt;0,"xy",""))</f>
        <v/>
      </c>
      <c r="Q787" s="317" t="str">
        <f t="shared" si="276"/>
        <v/>
      </c>
      <c r="R787" s="317" t="str">
        <f t="shared" si="277"/>
        <v/>
      </c>
      <c r="S787" s="317" t="str">
        <f t="shared" si="278"/>
        <v/>
      </c>
      <c r="V787" s="314">
        <f>SUM(ORÇAMENTO!N787)</f>
        <v>0</v>
      </c>
      <c r="W787" s="315">
        <f t="shared" si="255"/>
        <v>0</v>
      </c>
    </row>
    <row r="788" spans="1:23" ht="15" hidden="1" customHeight="1" thickBot="1">
      <c r="A788" s="63">
        <v>589000</v>
      </c>
      <c r="B788" s="978" t="s">
        <v>1664</v>
      </c>
      <c r="C788" s="958" t="s">
        <v>213</v>
      </c>
      <c r="D788" s="986" t="s">
        <v>2149</v>
      </c>
      <c r="E788" s="994">
        <f>DMT!$D$45</f>
        <v>468</v>
      </c>
      <c r="F788" s="980">
        <v>1</v>
      </c>
      <c r="G788" s="1002">
        <f>(0.94*E788+46.06)*F788</f>
        <v>485.97999999999996</v>
      </c>
      <c r="H788" s="962">
        <v>4828.8599999999997</v>
      </c>
      <c r="I788" s="962">
        <f>IF(ISBLANK(H788),"",H788*(1+$E$9)/(1+$E$10))+G788</f>
        <v>5163.1232400589097</v>
      </c>
      <c r="J788" s="963">
        <f t="shared" ref="J788" si="281">IF(ISBLANK(H788),0,ROUND(I788*(1+$E$10),2))</f>
        <v>6310.37</v>
      </c>
      <c r="K788" s="964" t="s">
        <v>14</v>
      </c>
      <c r="L788" s="1009">
        <f>ROUND(SUM(ORÇAMENTO!L788),2)</f>
        <v>0</v>
      </c>
      <c r="M788" s="1008">
        <f t="shared" si="274"/>
        <v>0</v>
      </c>
      <c r="N788" s="967">
        <f t="shared" si="275"/>
        <v>0</v>
      </c>
      <c r="O788" s="880"/>
      <c r="P788" s="58" t="str">
        <f>IF(N783&gt;0,"xx",IF(N783&gt;0,"xy",""))</f>
        <v/>
      </c>
      <c r="Q788" s="317" t="str">
        <f t="shared" si="276"/>
        <v/>
      </c>
      <c r="R788" s="317" t="str">
        <f t="shared" si="277"/>
        <v/>
      </c>
      <c r="S788" s="317" t="str">
        <f t="shared" si="278"/>
        <v/>
      </c>
      <c r="V788" s="314">
        <f>SUM(ORÇAMENTO!N788)</f>
        <v>0</v>
      </c>
      <c r="W788" s="315">
        <f t="shared" si="255"/>
        <v>0</v>
      </c>
    </row>
    <row r="789" spans="1:23" ht="15" hidden="1" customHeight="1">
      <c r="A789" s="63">
        <v>521450</v>
      </c>
      <c r="B789" s="929" t="s">
        <v>1597</v>
      </c>
      <c r="C789" s="930" t="s">
        <v>184</v>
      </c>
      <c r="D789" s="881" t="s">
        <v>274</v>
      </c>
      <c r="E789" s="882">
        <f>DMT!$F$15</f>
        <v>43.1</v>
      </c>
      <c r="F789" s="874">
        <v>0.3</v>
      </c>
      <c r="G789" s="923">
        <f t="shared" ref="G789:G790" si="282">IF(E789&lt;=30,(1.07*E789+2.68)*F789,((1.07*30+2.68)+1.07*(E789-30))*F789)</f>
        <v>14.639100000000001</v>
      </c>
      <c r="H789" s="876">
        <v>25.31</v>
      </c>
      <c r="I789" s="876">
        <f t="shared" ref="I789:I794" si="283">IF(ISBLANK(H789),"",SUM(G789:H789))</f>
        <v>39.949100000000001</v>
      </c>
      <c r="J789" s="877">
        <f t="shared" si="265"/>
        <v>48.83</v>
      </c>
      <c r="K789" s="878" t="s">
        <v>12</v>
      </c>
      <c r="L789" s="879">
        <f>ROUND(SUM(ORÇAMENTO!L789),2)</f>
        <v>0</v>
      </c>
      <c r="M789" s="879">
        <f t="shared" si="250"/>
        <v>0</v>
      </c>
      <c r="N789" s="868">
        <f t="shared" si="251"/>
        <v>0</v>
      </c>
      <c r="O789" s="880"/>
      <c r="Q789" s="317" t="str">
        <f t="shared" si="252"/>
        <v/>
      </c>
      <c r="R789" s="317" t="str">
        <f t="shared" si="253"/>
        <v/>
      </c>
      <c r="S789" s="317" t="str">
        <f t="shared" si="254"/>
        <v/>
      </c>
      <c r="V789" s="314">
        <f>SUM(ORÇAMENTO!N789)</f>
        <v>0</v>
      </c>
      <c r="W789" s="315">
        <f t="shared" ref="W789:W852" si="284">N789-V789</f>
        <v>0</v>
      </c>
    </row>
    <row r="790" spans="1:23" ht="15" hidden="1" customHeight="1">
      <c r="A790" s="63">
        <v>535200</v>
      </c>
      <c r="B790" s="870" t="s">
        <v>1593</v>
      </c>
      <c r="C790" s="871" t="s">
        <v>184</v>
      </c>
      <c r="D790" s="881" t="s">
        <v>275</v>
      </c>
      <c r="E790" s="882">
        <f>DMT!$F$15</f>
        <v>43.1</v>
      </c>
      <c r="F790" s="874">
        <v>7.6999999999999999E-2</v>
      </c>
      <c r="G790" s="923">
        <f t="shared" si="282"/>
        <v>3.7573690000000002</v>
      </c>
      <c r="H790" s="876">
        <v>11.65</v>
      </c>
      <c r="I790" s="876">
        <f t="shared" si="283"/>
        <v>15.407369000000001</v>
      </c>
      <c r="J790" s="877">
        <f t="shared" si="265"/>
        <v>18.829999999999998</v>
      </c>
      <c r="K790" s="878" t="s">
        <v>13</v>
      </c>
      <c r="L790" s="879">
        <f>ROUND(SUM(ORÇAMENTO!L790),2)</f>
        <v>0</v>
      </c>
      <c r="M790" s="879">
        <f t="shared" si="250"/>
        <v>0</v>
      </c>
      <c r="N790" s="868">
        <f t="shared" si="251"/>
        <v>0</v>
      </c>
      <c r="O790" s="880"/>
      <c r="Q790" s="317" t="str">
        <f t="shared" si="252"/>
        <v/>
      </c>
      <c r="R790" s="317" t="str">
        <f t="shared" si="253"/>
        <v/>
      </c>
      <c r="S790" s="317" t="str">
        <f t="shared" si="254"/>
        <v/>
      </c>
      <c r="V790" s="314">
        <f>SUM(ORÇAMENTO!N790)</f>
        <v>0</v>
      </c>
      <c r="W790" s="315">
        <f t="shared" si="284"/>
        <v>0</v>
      </c>
    </row>
    <row r="791" spans="1:23" ht="15" hidden="1" customHeight="1">
      <c r="A791" s="63">
        <v>521450</v>
      </c>
      <c r="B791" s="870" t="s">
        <v>1595</v>
      </c>
      <c r="C791" s="871" t="s">
        <v>184</v>
      </c>
      <c r="D791" s="881" t="s">
        <v>276</v>
      </c>
      <c r="E791" s="882"/>
      <c r="F791" s="874"/>
      <c r="G791" s="887">
        <f t="shared" ref="G791:G792" si="285">IF(E791&lt;=30,(0.62*E791+6.29)*F791,((0.62*30+6.29)+0.62*(E791-30))*F791)</f>
        <v>0</v>
      </c>
      <c r="H791" s="876">
        <v>18.079999999999998</v>
      </c>
      <c r="I791" s="876">
        <f t="shared" si="283"/>
        <v>18.079999999999998</v>
      </c>
      <c r="J791" s="877">
        <f t="shared" si="265"/>
        <v>22.1</v>
      </c>
      <c r="K791" s="878" t="s">
        <v>12</v>
      </c>
      <c r="L791" s="879">
        <f>ROUND(SUM(ORÇAMENTO!L791),2)</f>
        <v>0</v>
      </c>
      <c r="M791" s="879">
        <f t="shared" si="250"/>
        <v>0</v>
      </c>
      <c r="N791" s="868">
        <f t="shared" si="251"/>
        <v>0</v>
      </c>
      <c r="O791" s="880"/>
      <c r="Q791" s="317" t="str">
        <f t="shared" si="252"/>
        <v/>
      </c>
      <c r="R791" s="317" t="str">
        <f t="shared" si="253"/>
        <v/>
      </c>
      <c r="S791" s="317" t="str">
        <f t="shared" si="254"/>
        <v/>
      </c>
      <c r="V791" s="314">
        <f>SUM(ORÇAMENTO!N791)</f>
        <v>0</v>
      </c>
      <c r="W791" s="315">
        <f t="shared" si="284"/>
        <v>0</v>
      </c>
    </row>
    <row r="792" spans="1:23" ht="15" hidden="1" customHeight="1">
      <c r="A792" s="63">
        <v>521450</v>
      </c>
      <c r="B792" s="870" t="s">
        <v>1596</v>
      </c>
      <c r="C792" s="871" t="s">
        <v>184</v>
      </c>
      <c r="D792" s="881" t="s">
        <v>277</v>
      </c>
      <c r="E792" s="882"/>
      <c r="F792" s="874"/>
      <c r="G792" s="887">
        <f t="shared" si="285"/>
        <v>0</v>
      </c>
      <c r="H792" s="876">
        <v>25.31</v>
      </c>
      <c r="I792" s="876">
        <f t="shared" si="283"/>
        <v>25.31</v>
      </c>
      <c r="J792" s="877">
        <f t="shared" si="265"/>
        <v>30.93</v>
      </c>
      <c r="K792" s="878" t="s">
        <v>12</v>
      </c>
      <c r="L792" s="879">
        <f>ROUND(SUM(ORÇAMENTO!L792),2)</f>
        <v>0</v>
      </c>
      <c r="M792" s="879">
        <f t="shared" si="250"/>
        <v>0</v>
      </c>
      <c r="N792" s="868">
        <f t="shared" si="251"/>
        <v>0</v>
      </c>
      <c r="O792" s="880"/>
      <c r="Q792" s="317" t="str">
        <f t="shared" si="252"/>
        <v/>
      </c>
      <c r="R792" s="317" t="str">
        <f t="shared" si="253"/>
        <v/>
      </c>
      <c r="S792" s="317" t="str">
        <f t="shared" si="254"/>
        <v/>
      </c>
      <c r="V792" s="314">
        <f>SUM(ORÇAMENTO!N792)</f>
        <v>0</v>
      </c>
      <c r="W792" s="315">
        <f t="shared" si="284"/>
        <v>0</v>
      </c>
    </row>
    <row r="793" spans="1:23" ht="15" hidden="1" customHeight="1">
      <c r="A793" s="63">
        <v>535000</v>
      </c>
      <c r="B793" s="870" t="s">
        <v>1602</v>
      </c>
      <c r="C793" s="871" t="s">
        <v>184</v>
      </c>
      <c r="D793" s="881" t="s">
        <v>222</v>
      </c>
      <c r="E793" s="882">
        <f>DMT!$F$16</f>
        <v>43.1</v>
      </c>
      <c r="F793" s="883">
        <v>0.27200000000000002</v>
      </c>
      <c r="G793" s="923">
        <f t="shared" ref="G793:G806" si="286">IF(E793&lt;=30,(1.07*E793+2.68)*F793,((1.07*30+2.68)+1.07*(E793-30))*F793)</f>
        <v>13.272784000000001</v>
      </c>
      <c r="H793" s="876">
        <v>109.55</v>
      </c>
      <c r="I793" s="876">
        <f t="shared" si="283"/>
        <v>122.822784</v>
      </c>
      <c r="J793" s="877">
        <f t="shared" si="265"/>
        <v>150.11000000000001</v>
      </c>
      <c r="K793" s="878" t="s">
        <v>12</v>
      </c>
      <c r="L793" s="879">
        <f>ROUND(SUM(ORÇAMENTO!L793),2)</f>
        <v>0</v>
      </c>
      <c r="M793" s="879">
        <f t="shared" si="250"/>
        <v>0</v>
      </c>
      <c r="N793" s="868">
        <f t="shared" si="251"/>
        <v>0</v>
      </c>
      <c r="O793" s="880"/>
      <c r="Q793" s="317" t="str">
        <f t="shared" si="252"/>
        <v/>
      </c>
      <c r="R793" s="317" t="str">
        <f t="shared" si="253"/>
        <v/>
      </c>
      <c r="S793" s="317" t="str">
        <f t="shared" si="254"/>
        <v/>
      </c>
      <c r="V793" s="314">
        <f>SUM(ORÇAMENTO!N793)</f>
        <v>0</v>
      </c>
      <c r="W793" s="315">
        <f t="shared" si="284"/>
        <v>0</v>
      </c>
    </row>
    <row r="794" spans="1:23" ht="15" hidden="1" customHeight="1">
      <c r="A794" s="63">
        <v>863000</v>
      </c>
      <c r="B794" s="870" t="s">
        <v>1605</v>
      </c>
      <c r="C794" s="871" t="s">
        <v>184</v>
      </c>
      <c r="D794" s="881" t="s">
        <v>223</v>
      </c>
      <c r="E794" s="882">
        <f>DMT!$F$34</f>
        <v>10</v>
      </c>
      <c r="F794" s="883">
        <f>2*0.04</f>
        <v>0.08</v>
      </c>
      <c r="G794" s="923">
        <f t="shared" si="286"/>
        <v>1.0704</v>
      </c>
      <c r="H794" s="876">
        <v>93.88</v>
      </c>
      <c r="I794" s="876">
        <f t="shared" si="283"/>
        <v>94.950400000000002</v>
      </c>
      <c r="J794" s="877">
        <f t="shared" si="265"/>
        <v>116.05</v>
      </c>
      <c r="K794" s="878" t="s">
        <v>12</v>
      </c>
      <c r="L794" s="879">
        <f>ROUND(SUM(ORÇAMENTO!L794),2)</f>
        <v>0</v>
      </c>
      <c r="M794" s="879">
        <f t="shared" si="250"/>
        <v>0</v>
      </c>
      <c r="N794" s="868">
        <f t="shared" si="251"/>
        <v>0</v>
      </c>
      <c r="O794" s="880"/>
      <c r="Q794" s="317" t="str">
        <f t="shared" si="252"/>
        <v/>
      </c>
      <c r="R794" s="317" t="str">
        <f t="shared" si="253"/>
        <v/>
      </c>
      <c r="S794" s="317" t="str">
        <f t="shared" si="254"/>
        <v/>
      </c>
      <c r="V794" s="314">
        <f>SUM(ORÇAMENTO!N794)</f>
        <v>0</v>
      </c>
      <c r="W794" s="315">
        <f t="shared" si="284"/>
        <v>0</v>
      </c>
    </row>
    <row r="795" spans="1:23" ht="15" hidden="1" customHeight="1">
      <c r="A795" s="63">
        <v>863000</v>
      </c>
      <c r="B795" s="870" t="s">
        <v>1604</v>
      </c>
      <c r="C795" s="871" t="s">
        <v>184</v>
      </c>
      <c r="D795" s="881" t="s">
        <v>224</v>
      </c>
      <c r="E795" s="882">
        <f>DMT!$F$34</f>
        <v>10</v>
      </c>
      <c r="F795" s="883">
        <f>2*0.05</f>
        <v>0.1</v>
      </c>
      <c r="G795" s="923">
        <f t="shared" si="286"/>
        <v>1.3380000000000001</v>
      </c>
      <c r="H795" s="876">
        <v>105.61</v>
      </c>
      <c r="I795" s="876">
        <f t="shared" ref="I795:I805" si="287">IF(ISBLANK(H795),"",SUM(G795:H795))</f>
        <v>106.94799999999999</v>
      </c>
      <c r="J795" s="877">
        <f t="shared" si="265"/>
        <v>130.71</v>
      </c>
      <c r="K795" s="878" t="s">
        <v>12</v>
      </c>
      <c r="L795" s="879">
        <f>ROUND(SUM(ORÇAMENTO!L795),2)</f>
        <v>0</v>
      </c>
      <c r="M795" s="879">
        <f t="shared" si="250"/>
        <v>0</v>
      </c>
      <c r="N795" s="868">
        <f t="shared" si="251"/>
        <v>0</v>
      </c>
      <c r="O795" s="880"/>
      <c r="Q795" s="317" t="str">
        <f t="shared" si="252"/>
        <v/>
      </c>
      <c r="R795" s="317" t="str">
        <f t="shared" si="253"/>
        <v/>
      </c>
      <c r="S795" s="317" t="str">
        <f t="shared" si="254"/>
        <v/>
      </c>
      <c r="V795" s="314">
        <f>SUM(ORÇAMENTO!N795)</f>
        <v>0</v>
      </c>
      <c r="W795" s="315">
        <f t="shared" si="284"/>
        <v>0</v>
      </c>
    </row>
    <row r="796" spans="1:23" ht="15" hidden="1" customHeight="1">
      <c r="A796" s="63">
        <v>534906</v>
      </c>
      <c r="B796" s="870" t="s">
        <v>1606</v>
      </c>
      <c r="C796" s="871" t="s">
        <v>184</v>
      </c>
      <c r="D796" s="881" t="s">
        <v>225</v>
      </c>
      <c r="E796" s="882">
        <f>DMT!$F$34</f>
        <v>10</v>
      </c>
      <c r="F796" s="883">
        <f>2*0.06</f>
        <v>0.12</v>
      </c>
      <c r="G796" s="923">
        <f t="shared" si="286"/>
        <v>1.6056000000000001</v>
      </c>
      <c r="H796" s="876">
        <v>117.35</v>
      </c>
      <c r="I796" s="876">
        <f t="shared" si="287"/>
        <v>118.95559999999999</v>
      </c>
      <c r="J796" s="877">
        <f t="shared" si="265"/>
        <v>145.38999999999999</v>
      </c>
      <c r="K796" s="878" t="s">
        <v>12</v>
      </c>
      <c r="L796" s="879">
        <f>ROUND(SUM(ORÇAMENTO!L796),2)</f>
        <v>0</v>
      </c>
      <c r="M796" s="879">
        <f t="shared" ref="M796:M859" si="288">IF(L796=0,0,ROUND(J796,2))</f>
        <v>0</v>
      </c>
      <c r="N796" s="868">
        <f t="shared" ref="N796:N859" si="289">IF(ISBLANK(L796),0,ROUND(L796*M796,2))</f>
        <v>0</v>
      </c>
      <c r="O796" s="880"/>
      <c r="Q796" s="317" t="str">
        <f t="shared" ref="Q796:Q859" si="290">IF(P796="X","x",IF(P796="xx","x",IF(P796="xy","x",IF(P796="y","x",IF(OR(N796&gt;0,N796&gt;0),"x","")))))</f>
        <v/>
      </c>
      <c r="R796" s="317" t="str">
        <f t="shared" ref="R796:R859" si="291">IF(P796="X","x",IF(P796="y","x",IF(P796="xx","x",IF(N796&gt;0,"x",""))))</f>
        <v/>
      </c>
      <c r="S796" s="317" t="str">
        <f t="shared" ref="S796:S859" si="292">IF(P796="X","x",IF(N796&gt;0,"x",""))</f>
        <v/>
      </c>
      <c r="V796" s="314">
        <f>SUM(ORÇAMENTO!N796)</f>
        <v>0</v>
      </c>
      <c r="W796" s="315">
        <f t="shared" si="284"/>
        <v>0</v>
      </c>
    </row>
    <row r="797" spans="1:23" ht="15" hidden="1" customHeight="1">
      <c r="A797" s="63">
        <v>534906</v>
      </c>
      <c r="B797" s="870" t="s">
        <v>1607</v>
      </c>
      <c r="C797" s="871" t="s">
        <v>184</v>
      </c>
      <c r="D797" s="881" t="s">
        <v>226</v>
      </c>
      <c r="E797" s="882">
        <f>DMT!$F$34</f>
        <v>10</v>
      </c>
      <c r="F797" s="883">
        <f>2*0.07</f>
        <v>0.14000000000000001</v>
      </c>
      <c r="G797" s="923">
        <f t="shared" si="286"/>
        <v>1.8732000000000002</v>
      </c>
      <c r="H797" s="876">
        <v>126.06</v>
      </c>
      <c r="I797" s="876">
        <f t="shared" si="287"/>
        <v>127.9332</v>
      </c>
      <c r="J797" s="877">
        <f t="shared" si="265"/>
        <v>156.36000000000001</v>
      </c>
      <c r="K797" s="878" t="s">
        <v>12</v>
      </c>
      <c r="L797" s="879">
        <f>ROUND(SUM(ORÇAMENTO!L797),2)</f>
        <v>0</v>
      </c>
      <c r="M797" s="879">
        <f t="shared" si="288"/>
        <v>0</v>
      </c>
      <c r="N797" s="868">
        <f t="shared" si="289"/>
        <v>0</v>
      </c>
      <c r="O797" s="880"/>
      <c r="Q797" s="317" t="str">
        <f t="shared" si="290"/>
        <v/>
      </c>
      <c r="R797" s="317" t="str">
        <f t="shared" si="291"/>
        <v/>
      </c>
      <c r="S797" s="317" t="str">
        <f t="shared" si="292"/>
        <v/>
      </c>
      <c r="V797" s="314">
        <f>SUM(ORÇAMENTO!N797)</f>
        <v>0</v>
      </c>
      <c r="W797" s="315">
        <f t="shared" si="284"/>
        <v>0</v>
      </c>
    </row>
    <row r="798" spans="1:23" ht="15" hidden="1" customHeight="1">
      <c r="A798" s="63">
        <v>534906</v>
      </c>
      <c r="B798" s="870" t="s">
        <v>2263</v>
      </c>
      <c r="C798" s="871" t="s">
        <v>184</v>
      </c>
      <c r="D798" s="881" t="s">
        <v>227</v>
      </c>
      <c r="E798" s="882">
        <f>DMT!$F$34</f>
        <v>10</v>
      </c>
      <c r="F798" s="883">
        <f>2*0.08</f>
        <v>0.16</v>
      </c>
      <c r="G798" s="923">
        <f t="shared" si="286"/>
        <v>2.1408</v>
      </c>
      <c r="H798" s="876">
        <v>134.77000000000001</v>
      </c>
      <c r="I798" s="876">
        <f t="shared" si="287"/>
        <v>136.91080000000002</v>
      </c>
      <c r="J798" s="877">
        <f t="shared" si="265"/>
        <v>167.33</v>
      </c>
      <c r="K798" s="878" t="s">
        <v>12</v>
      </c>
      <c r="L798" s="879">
        <f>ROUND(SUM(ORÇAMENTO!L798),2)</f>
        <v>0</v>
      </c>
      <c r="M798" s="879">
        <f t="shared" si="288"/>
        <v>0</v>
      </c>
      <c r="N798" s="868">
        <f t="shared" si="289"/>
        <v>0</v>
      </c>
      <c r="O798" s="880"/>
      <c r="Q798" s="317" t="str">
        <f t="shared" si="290"/>
        <v/>
      </c>
      <c r="R798" s="317" t="str">
        <f t="shared" si="291"/>
        <v/>
      </c>
      <c r="S798" s="317" t="str">
        <f t="shared" si="292"/>
        <v/>
      </c>
      <c r="V798" s="314">
        <f>SUM(ORÇAMENTO!N798)</f>
        <v>0</v>
      </c>
      <c r="W798" s="315">
        <f t="shared" si="284"/>
        <v>0</v>
      </c>
    </row>
    <row r="799" spans="1:23" ht="15" hidden="1" customHeight="1">
      <c r="A799" s="63">
        <v>534906</v>
      </c>
      <c r="B799" s="870" t="s">
        <v>2264</v>
      </c>
      <c r="C799" s="871" t="s">
        <v>184</v>
      </c>
      <c r="D799" s="881" t="s">
        <v>228</v>
      </c>
      <c r="E799" s="882">
        <f>DMT!$F$34</f>
        <v>10</v>
      </c>
      <c r="F799" s="883">
        <f>2*0.1</f>
        <v>0.2</v>
      </c>
      <c r="G799" s="923">
        <f t="shared" si="286"/>
        <v>2.6760000000000002</v>
      </c>
      <c r="H799" s="876">
        <v>152.6</v>
      </c>
      <c r="I799" s="876">
        <f t="shared" si="287"/>
        <v>155.27599999999998</v>
      </c>
      <c r="J799" s="877">
        <f t="shared" si="265"/>
        <v>189.78</v>
      </c>
      <c r="K799" s="878" t="s">
        <v>12</v>
      </c>
      <c r="L799" s="879">
        <f>ROUND(SUM(ORÇAMENTO!L799),2)</f>
        <v>0</v>
      </c>
      <c r="M799" s="879">
        <f t="shared" si="288"/>
        <v>0</v>
      </c>
      <c r="N799" s="868">
        <f t="shared" si="289"/>
        <v>0</v>
      </c>
      <c r="O799" s="880"/>
      <c r="Q799" s="317" t="str">
        <f t="shared" si="290"/>
        <v/>
      </c>
      <c r="R799" s="317" t="str">
        <f t="shared" si="291"/>
        <v/>
      </c>
      <c r="S799" s="317" t="str">
        <f t="shared" si="292"/>
        <v/>
      </c>
      <c r="V799" s="314">
        <f>SUM(ORÇAMENTO!N799)</f>
        <v>0</v>
      </c>
      <c r="W799" s="315">
        <f t="shared" si="284"/>
        <v>0</v>
      </c>
    </row>
    <row r="800" spans="1:23" ht="15" hidden="1" customHeight="1">
      <c r="A800" s="63">
        <v>534906</v>
      </c>
      <c r="B800" s="870" t="s">
        <v>1608</v>
      </c>
      <c r="C800" s="871" t="s">
        <v>184</v>
      </c>
      <c r="D800" s="881" t="s">
        <v>787</v>
      </c>
      <c r="E800" s="882">
        <f>DMT!$F$37</f>
        <v>37</v>
      </c>
      <c r="F800" s="883">
        <v>0.14000000000000001</v>
      </c>
      <c r="G800" s="923">
        <f t="shared" si="286"/>
        <v>5.9178000000000006</v>
      </c>
      <c r="H800" s="876">
        <v>76.400000000000006</v>
      </c>
      <c r="I800" s="876">
        <f t="shared" si="287"/>
        <v>82.317800000000005</v>
      </c>
      <c r="J800" s="877">
        <f t="shared" si="265"/>
        <v>100.61</v>
      </c>
      <c r="K800" s="878" t="s">
        <v>12</v>
      </c>
      <c r="L800" s="879">
        <f>ROUND(SUM(ORÇAMENTO!L800),2)</f>
        <v>0</v>
      </c>
      <c r="M800" s="879">
        <f t="shared" si="288"/>
        <v>0</v>
      </c>
      <c r="N800" s="868">
        <f t="shared" si="289"/>
        <v>0</v>
      </c>
      <c r="O800" s="880"/>
      <c r="Q800" s="317" t="str">
        <f t="shared" si="290"/>
        <v/>
      </c>
      <c r="R800" s="317" t="str">
        <f t="shared" si="291"/>
        <v/>
      </c>
      <c r="S800" s="317" t="str">
        <f t="shared" si="292"/>
        <v/>
      </c>
      <c r="V800" s="314">
        <f>SUM(ORÇAMENTO!N800)</f>
        <v>0</v>
      </c>
      <c r="W800" s="315">
        <f t="shared" si="284"/>
        <v>0</v>
      </c>
    </row>
    <row r="801" spans="1:23" ht="15" hidden="1" customHeight="1">
      <c r="A801" s="63">
        <v>534906</v>
      </c>
      <c r="B801" s="870" t="s">
        <v>1609</v>
      </c>
      <c r="C801" s="871" t="s">
        <v>184</v>
      </c>
      <c r="D801" s="881" t="s">
        <v>788</v>
      </c>
      <c r="E801" s="882">
        <f>DMT!$F$37</f>
        <v>37</v>
      </c>
      <c r="F801" s="883">
        <v>0.14000000000000001</v>
      </c>
      <c r="G801" s="923">
        <f t="shared" si="286"/>
        <v>5.9178000000000006</v>
      </c>
      <c r="H801" s="876">
        <v>84.04</v>
      </c>
      <c r="I801" s="876">
        <f t="shared" si="287"/>
        <v>89.957800000000006</v>
      </c>
      <c r="J801" s="877">
        <f t="shared" si="265"/>
        <v>109.95</v>
      </c>
      <c r="K801" s="878" t="s">
        <v>12</v>
      </c>
      <c r="L801" s="879">
        <f>ROUND(SUM(ORÇAMENTO!L801),2)</f>
        <v>0</v>
      </c>
      <c r="M801" s="879">
        <f t="shared" si="288"/>
        <v>0</v>
      </c>
      <c r="N801" s="868">
        <f t="shared" si="289"/>
        <v>0</v>
      </c>
      <c r="O801" s="880"/>
      <c r="Q801" s="317" t="str">
        <f t="shared" si="290"/>
        <v/>
      </c>
      <c r="R801" s="317" t="str">
        <f t="shared" si="291"/>
        <v/>
      </c>
      <c r="S801" s="317" t="str">
        <f t="shared" si="292"/>
        <v/>
      </c>
      <c r="V801" s="314">
        <f>SUM(ORÇAMENTO!N801)</f>
        <v>0</v>
      </c>
      <c r="W801" s="315">
        <f t="shared" si="284"/>
        <v>0</v>
      </c>
    </row>
    <row r="802" spans="1:23" ht="15" hidden="1" customHeight="1">
      <c r="A802" s="63">
        <v>534908</v>
      </c>
      <c r="B802" s="870" t="s">
        <v>148</v>
      </c>
      <c r="C802" s="871" t="s">
        <v>184</v>
      </c>
      <c r="D802" s="881" t="s">
        <v>789</v>
      </c>
      <c r="E802" s="882">
        <f>DMT!$F$37</f>
        <v>37</v>
      </c>
      <c r="F802" s="883">
        <v>0.18</v>
      </c>
      <c r="G802" s="923">
        <f t="shared" si="286"/>
        <v>7.6086</v>
      </c>
      <c r="H802" s="876">
        <v>89.6</v>
      </c>
      <c r="I802" s="876">
        <f t="shared" si="287"/>
        <v>97.20859999999999</v>
      </c>
      <c r="J802" s="877">
        <f t="shared" si="265"/>
        <v>118.81</v>
      </c>
      <c r="K802" s="878" t="s">
        <v>12</v>
      </c>
      <c r="L802" s="879">
        <f>ROUND(SUM(ORÇAMENTO!L802),2)</f>
        <v>0</v>
      </c>
      <c r="M802" s="879">
        <f t="shared" si="288"/>
        <v>0</v>
      </c>
      <c r="N802" s="868">
        <f t="shared" si="289"/>
        <v>0</v>
      </c>
      <c r="O802" s="880"/>
      <c r="Q802" s="317" t="str">
        <f t="shared" si="290"/>
        <v/>
      </c>
      <c r="R802" s="317" t="str">
        <f t="shared" si="291"/>
        <v/>
      </c>
      <c r="S802" s="317" t="str">
        <f t="shared" si="292"/>
        <v/>
      </c>
      <c r="V802" s="314">
        <f>SUM(ORÇAMENTO!N802)</f>
        <v>0</v>
      </c>
      <c r="W802" s="315">
        <f t="shared" si="284"/>
        <v>0</v>
      </c>
    </row>
    <row r="803" spans="1:23" ht="15" hidden="1" customHeight="1">
      <c r="A803" s="63">
        <v>534908</v>
      </c>
      <c r="B803" s="870" t="s">
        <v>149</v>
      </c>
      <c r="C803" s="871" t="s">
        <v>184</v>
      </c>
      <c r="D803" s="881" t="s">
        <v>790</v>
      </c>
      <c r="E803" s="882">
        <f>DMT!$F$37</f>
        <v>37</v>
      </c>
      <c r="F803" s="883">
        <v>0.18</v>
      </c>
      <c r="G803" s="923">
        <f t="shared" si="286"/>
        <v>7.6086</v>
      </c>
      <c r="H803" s="876">
        <v>98.56</v>
      </c>
      <c r="I803" s="876">
        <f t="shared" si="287"/>
        <v>106.1686</v>
      </c>
      <c r="J803" s="877">
        <f t="shared" si="265"/>
        <v>129.76</v>
      </c>
      <c r="K803" s="878" t="s">
        <v>12</v>
      </c>
      <c r="L803" s="879">
        <f>ROUND(SUM(ORÇAMENTO!L803),2)</f>
        <v>0</v>
      </c>
      <c r="M803" s="879">
        <f t="shared" si="288"/>
        <v>0</v>
      </c>
      <c r="N803" s="868">
        <f t="shared" si="289"/>
        <v>0</v>
      </c>
      <c r="O803" s="880"/>
      <c r="Q803" s="317" t="str">
        <f t="shared" si="290"/>
        <v/>
      </c>
      <c r="R803" s="317" t="str">
        <f t="shared" si="291"/>
        <v/>
      </c>
      <c r="S803" s="317" t="str">
        <f t="shared" si="292"/>
        <v/>
      </c>
      <c r="V803" s="314">
        <f>SUM(ORÇAMENTO!N803)</f>
        <v>0</v>
      </c>
      <c r="W803" s="315">
        <f t="shared" si="284"/>
        <v>0</v>
      </c>
    </row>
    <row r="804" spans="1:23" ht="15" hidden="1" customHeight="1">
      <c r="A804" s="63">
        <v>534908</v>
      </c>
      <c r="B804" s="870" t="s">
        <v>150</v>
      </c>
      <c r="C804" s="871" t="s">
        <v>184</v>
      </c>
      <c r="D804" s="881" t="s">
        <v>791</v>
      </c>
      <c r="E804" s="882">
        <f>DMT!$F$37</f>
        <v>37</v>
      </c>
      <c r="F804" s="883">
        <v>0.22</v>
      </c>
      <c r="G804" s="923">
        <f t="shared" si="286"/>
        <v>9.2994000000000003</v>
      </c>
      <c r="H804" s="876">
        <v>101.45</v>
      </c>
      <c r="I804" s="876">
        <f t="shared" si="287"/>
        <v>110.74940000000001</v>
      </c>
      <c r="J804" s="877">
        <f t="shared" si="265"/>
        <v>135.36000000000001</v>
      </c>
      <c r="K804" s="878" t="s">
        <v>12</v>
      </c>
      <c r="L804" s="879">
        <f>ROUND(SUM(ORÇAMENTO!L804),2)</f>
        <v>0</v>
      </c>
      <c r="M804" s="879">
        <f t="shared" si="288"/>
        <v>0</v>
      </c>
      <c r="N804" s="868">
        <f t="shared" si="289"/>
        <v>0</v>
      </c>
      <c r="O804" s="880"/>
      <c r="Q804" s="317" t="str">
        <f t="shared" si="290"/>
        <v/>
      </c>
      <c r="R804" s="317" t="str">
        <f t="shared" si="291"/>
        <v/>
      </c>
      <c r="S804" s="317" t="str">
        <f t="shared" si="292"/>
        <v/>
      </c>
      <c r="V804" s="314">
        <f>SUM(ORÇAMENTO!N804)</f>
        <v>0</v>
      </c>
      <c r="W804" s="315">
        <f t="shared" si="284"/>
        <v>0</v>
      </c>
    </row>
    <row r="805" spans="1:23" ht="15" hidden="1" customHeight="1">
      <c r="A805" s="63">
        <v>534908</v>
      </c>
      <c r="B805" s="870" t="s">
        <v>210</v>
      </c>
      <c r="C805" s="871" t="s">
        <v>184</v>
      </c>
      <c r="D805" s="881" t="s">
        <v>792</v>
      </c>
      <c r="E805" s="882">
        <f>DMT!$F$37</f>
        <v>37</v>
      </c>
      <c r="F805" s="883">
        <v>0.22</v>
      </c>
      <c r="G805" s="923">
        <f t="shared" si="286"/>
        <v>9.2994000000000003</v>
      </c>
      <c r="H805" s="876">
        <v>111.6</v>
      </c>
      <c r="I805" s="876">
        <f t="shared" si="287"/>
        <v>120.8994</v>
      </c>
      <c r="J805" s="877">
        <f t="shared" si="265"/>
        <v>147.76</v>
      </c>
      <c r="K805" s="878" t="s">
        <v>12</v>
      </c>
      <c r="L805" s="879">
        <f>ROUND(SUM(ORÇAMENTO!L805),2)</f>
        <v>0</v>
      </c>
      <c r="M805" s="879">
        <f t="shared" si="288"/>
        <v>0</v>
      </c>
      <c r="N805" s="868">
        <f t="shared" si="289"/>
        <v>0</v>
      </c>
      <c r="O805" s="880"/>
      <c r="Q805" s="317" t="str">
        <f t="shared" si="290"/>
        <v/>
      </c>
      <c r="R805" s="317" t="str">
        <f t="shared" si="291"/>
        <v/>
      </c>
      <c r="S805" s="317" t="str">
        <f t="shared" si="292"/>
        <v/>
      </c>
      <c r="V805" s="314">
        <f>SUM(ORÇAMENTO!N805)</f>
        <v>0</v>
      </c>
      <c r="W805" s="315">
        <f t="shared" si="284"/>
        <v>0</v>
      </c>
    </row>
    <row r="806" spans="1:23" ht="15" hidden="1" customHeight="1">
      <c r="A806" s="63">
        <v>101090</v>
      </c>
      <c r="B806" s="870" t="s">
        <v>1619</v>
      </c>
      <c r="C806" s="871" t="s">
        <v>590</v>
      </c>
      <c r="D806" s="881" t="s">
        <v>1502</v>
      </c>
      <c r="E806" s="882">
        <f>DMT!$F$17</f>
        <v>40</v>
      </c>
      <c r="F806" s="883">
        <v>0.3</v>
      </c>
      <c r="G806" s="923">
        <f t="shared" si="286"/>
        <v>13.644</v>
      </c>
      <c r="H806" s="876">
        <v>291.81</v>
      </c>
      <c r="I806" s="876">
        <f>IF(ISBLANK(H806),"",SUM(G806:H806))</f>
        <v>305.45400000000001</v>
      </c>
      <c r="J806" s="877">
        <f t="shared" si="265"/>
        <v>373.33</v>
      </c>
      <c r="K806" s="878" t="s">
        <v>12</v>
      </c>
      <c r="L806" s="885">
        <f>ROUND(SUM(ORÇAMENTO!L806),2)</f>
        <v>0</v>
      </c>
      <c r="M806" s="886">
        <f t="shared" si="288"/>
        <v>0</v>
      </c>
      <c r="N806" s="868">
        <f t="shared" si="289"/>
        <v>0</v>
      </c>
      <c r="O806" s="880"/>
      <c r="Q806" s="317" t="str">
        <f t="shared" si="290"/>
        <v/>
      </c>
      <c r="R806" s="317" t="str">
        <f t="shared" si="291"/>
        <v/>
      </c>
      <c r="S806" s="317" t="str">
        <f t="shared" si="292"/>
        <v/>
      </c>
      <c r="V806" s="314">
        <f>SUM(ORÇAMENTO!N806)</f>
        <v>0</v>
      </c>
      <c r="W806" s="315">
        <f t="shared" si="284"/>
        <v>0</v>
      </c>
    </row>
    <row r="807" spans="1:23" ht="15" hidden="1" customHeight="1">
      <c r="A807" s="63">
        <v>98509</v>
      </c>
      <c r="B807" s="870">
        <v>98509</v>
      </c>
      <c r="C807" s="871" t="s">
        <v>590</v>
      </c>
      <c r="D807" s="881" t="s">
        <v>1511</v>
      </c>
      <c r="E807" s="882"/>
      <c r="F807" s="883"/>
      <c r="G807" s="887">
        <v>0</v>
      </c>
      <c r="H807" s="876">
        <v>31.71</v>
      </c>
      <c r="I807" s="876">
        <f t="shared" ref="I807:I852" si="293">IF(ISBLANK(H807),"",SUM(G807:H807))</f>
        <v>31.71</v>
      </c>
      <c r="J807" s="877">
        <f t="shared" si="265"/>
        <v>38.76</v>
      </c>
      <c r="K807" s="878" t="s">
        <v>15</v>
      </c>
      <c r="L807" s="879">
        <f>ROUND(SUM(ORÇAMENTO!L807),2)</f>
        <v>0</v>
      </c>
      <c r="M807" s="879">
        <f t="shared" si="288"/>
        <v>0</v>
      </c>
      <c r="N807" s="868">
        <f t="shared" si="289"/>
        <v>0</v>
      </c>
      <c r="O807" s="880"/>
      <c r="Q807" s="317" t="str">
        <f t="shared" si="290"/>
        <v/>
      </c>
      <c r="R807" s="317" t="str">
        <f t="shared" si="291"/>
        <v/>
      </c>
      <c r="S807" s="317" t="str">
        <f t="shared" si="292"/>
        <v/>
      </c>
      <c r="V807" s="314">
        <f>SUM(ORÇAMENTO!N807)</f>
        <v>0</v>
      </c>
      <c r="W807" s="315">
        <f t="shared" si="284"/>
        <v>0</v>
      </c>
    </row>
    <row r="808" spans="1:23" ht="15" hidden="1" customHeight="1">
      <c r="A808" s="63">
        <v>98510</v>
      </c>
      <c r="B808" s="870">
        <v>98510</v>
      </c>
      <c r="C808" s="871" t="s">
        <v>590</v>
      </c>
      <c r="D808" s="881" t="s">
        <v>821</v>
      </c>
      <c r="E808" s="882"/>
      <c r="F808" s="883"/>
      <c r="G808" s="887">
        <v>0</v>
      </c>
      <c r="H808" s="876">
        <v>57.03</v>
      </c>
      <c r="I808" s="876">
        <f>IF(ISBLANK(H808),"",SUM(G808:H808))</f>
        <v>57.03</v>
      </c>
      <c r="J808" s="877">
        <f t="shared" si="265"/>
        <v>69.7</v>
      </c>
      <c r="K808" s="878" t="s">
        <v>15</v>
      </c>
      <c r="L808" s="879">
        <f>ROUND(SUM(ORÇAMENTO!L808),2)</f>
        <v>0</v>
      </c>
      <c r="M808" s="879">
        <f t="shared" si="288"/>
        <v>0</v>
      </c>
      <c r="N808" s="868">
        <f t="shared" si="289"/>
        <v>0</v>
      </c>
      <c r="O808" s="880"/>
      <c r="Q808" s="317" t="str">
        <f t="shared" si="290"/>
        <v/>
      </c>
      <c r="R808" s="317" t="str">
        <f t="shared" si="291"/>
        <v/>
      </c>
      <c r="S808" s="317" t="str">
        <f t="shared" si="292"/>
        <v/>
      </c>
      <c r="V808" s="314">
        <f>SUM(ORÇAMENTO!N808)</f>
        <v>0</v>
      </c>
      <c r="W808" s="315">
        <f t="shared" si="284"/>
        <v>0</v>
      </c>
    </row>
    <row r="809" spans="1:23" ht="15" hidden="1" customHeight="1">
      <c r="A809" s="63">
        <v>98511</v>
      </c>
      <c r="B809" s="870">
        <v>98511</v>
      </c>
      <c r="C809" s="871" t="s">
        <v>590</v>
      </c>
      <c r="D809" s="881" t="s">
        <v>822</v>
      </c>
      <c r="E809" s="882"/>
      <c r="F809" s="883"/>
      <c r="G809" s="887">
        <v>0</v>
      </c>
      <c r="H809" s="876">
        <v>102.8</v>
      </c>
      <c r="I809" s="876">
        <f>IF(ISBLANK(H809),"",SUM(G809:H809))</f>
        <v>102.8</v>
      </c>
      <c r="J809" s="877">
        <f t="shared" si="265"/>
        <v>125.64</v>
      </c>
      <c r="K809" s="878" t="s">
        <v>15</v>
      </c>
      <c r="L809" s="879">
        <f>ROUND(SUM(ORÇAMENTO!L809),2)</f>
        <v>0</v>
      </c>
      <c r="M809" s="879">
        <f t="shared" si="288"/>
        <v>0</v>
      </c>
      <c r="N809" s="868">
        <f t="shared" si="289"/>
        <v>0</v>
      </c>
      <c r="O809" s="880"/>
      <c r="Q809" s="317" t="str">
        <f t="shared" si="290"/>
        <v/>
      </c>
      <c r="R809" s="317" t="str">
        <f t="shared" si="291"/>
        <v/>
      </c>
      <c r="S809" s="317" t="str">
        <f t="shared" si="292"/>
        <v/>
      </c>
      <c r="V809" s="314">
        <f>SUM(ORÇAMENTO!N809)</f>
        <v>0</v>
      </c>
      <c r="W809" s="315">
        <f t="shared" si="284"/>
        <v>0</v>
      </c>
    </row>
    <row r="810" spans="1:23" ht="15" hidden="1" customHeight="1">
      <c r="A810" s="63">
        <v>98516</v>
      </c>
      <c r="B810" s="870">
        <v>98516</v>
      </c>
      <c r="C810" s="871" t="s">
        <v>590</v>
      </c>
      <c r="D810" s="881" t="s">
        <v>823</v>
      </c>
      <c r="E810" s="882"/>
      <c r="F810" s="883"/>
      <c r="G810" s="887">
        <v>0</v>
      </c>
      <c r="H810" s="876">
        <v>348.96</v>
      </c>
      <c r="I810" s="876">
        <f>IF(ISBLANK(H810),"",SUM(G810:H810))</f>
        <v>348.96</v>
      </c>
      <c r="J810" s="877">
        <f t="shared" si="265"/>
        <v>426.5</v>
      </c>
      <c r="K810" s="878" t="s">
        <v>15</v>
      </c>
      <c r="L810" s="879">
        <f>ROUND(SUM(ORÇAMENTO!L810),2)</f>
        <v>0</v>
      </c>
      <c r="M810" s="879">
        <f t="shared" si="288"/>
        <v>0</v>
      </c>
      <c r="N810" s="868">
        <f t="shared" si="289"/>
        <v>0</v>
      </c>
      <c r="O810" s="880"/>
      <c r="Q810" s="317" t="str">
        <f t="shared" si="290"/>
        <v/>
      </c>
      <c r="R810" s="317" t="str">
        <f t="shared" si="291"/>
        <v/>
      </c>
      <c r="S810" s="317" t="str">
        <f t="shared" si="292"/>
        <v/>
      </c>
      <c r="V810" s="314">
        <f>SUM(ORÇAMENTO!N810)</f>
        <v>0</v>
      </c>
      <c r="W810" s="315">
        <f t="shared" si="284"/>
        <v>0</v>
      </c>
    </row>
    <row r="811" spans="1:23" ht="15" hidden="1" customHeight="1">
      <c r="A811" s="63">
        <v>98504</v>
      </c>
      <c r="B811" s="870">
        <v>98504</v>
      </c>
      <c r="C811" s="871" t="s">
        <v>590</v>
      </c>
      <c r="D811" s="881" t="s">
        <v>459</v>
      </c>
      <c r="E811" s="882"/>
      <c r="F811" s="883"/>
      <c r="G811" s="887">
        <v>0</v>
      </c>
      <c r="H811" s="876">
        <v>11.01</v>
      </c>
      <c r="I811" s="876">
        <f t="shared" si="293"/>
        <v>11.01</v>
      </c>
      <c r="J811" s="877">
        <f t="shared" si="265"/>
        <v>13.46</v>
      </c>
      <c r="K811" s="878" t="s">
        <v>12</v>
      </c>
      <c r="L811" s="879">
        <f>ROUND(SUM(ORÇAMENTO!L811),2)</f>
        <v>0</v>
      </c>
      <c r="M811" s="879">
        <f t="shared" si="288"/>
        <v>0</v>
      </c>
      <c r="N811" s="868">
        <f t="shared" si="289"/>
        <v>0</v>
      </c>
      <c r="O811" s="880"/>
      <c r="Q811" s="317" t="str">
        <f t="shared" si="290"/>
        <v/>
      </c>
      <c r="R811" s="317" t="str">
        <f t="shared" si="291"/>
        <v/>
      </c>
      <c r="S811" s="317" t="str">
        <f t="shared" si="292"/>
        <v/>
      </c>
      <c r="V811" s="314">
        <f>SUM(ORÇAMENTO!N811)</f>
        <v>0</v>
      </c>
      <c r="W811" s="315">
        <f t="shared" si="284"/>
        <v>0</v>
      </c>
    </row>
    <row r="812" spans="1:23" ht="15" hidden="1" customHeight="1">
      <c r="A812" s="63">
        <v>98505</v>
      </c>
      <c r="B812" s="870">
        <v>98505</v>
      </c>
      <c r="C812" s="871" t="s">
        <v>590</v>
      </c>
      <c r="D812" s="881" t="s">
        <v>824</v>
      </c>
      <c r="E812" s="882"/>
      <c r="F812" s="883"/>
      <c r="G812" s="887">
        <v>0</v>
      </c>
      <c r="H812" s="876">
        <v>46.68</v>
      </c>
      <c r="I812" s="876">
        <f t="shared" si="293"/>
        <v>46.68</v>
      </c>
      <c r="J812" s="877">
        <f t="shared" si="265"/>
        <v>57.05</v>
      </c>
      <c r="K812" s="878" t="s">
        <v>12</v>
      </c>
      <c r="L812" s="879">
        <f>ROUND(SUM(ORÇAMENTO!L812),2)</f>
        <v>0</v>
      </c>
      <c r="M812" s="879">
        <f t="shared" si="288"/>
        <v>0</v>
      </c>
      <c r="N812" s="868">
        <f t="shared" si="289"/>
        <v>0</v>
      </c>
      <c r="O812" s="880"/>
      <c r="Q812" s="317" t="str">
        <f t="shared" si="290"/>
        <v/>
      </c>
      <c r="R812" s="317" t="str">
        <f t="shared" si="291"/>
        <v/>
      </c>
      <c r="S812" s="317" t="str">
        <f t="shared" si="292"/>
        <v/>
      </c>
      <c r="V812" s="314">
        <f>SUM(ORÇAMENTO!N812)</f>
        <v>0</v>
      </c>
      <c r="W812" s="315">
        <f t="shared" si="284"/>
        <v>0</v>
      </c>
    </row>
    <row r="813" spans="1:23" ht="15" hidden="1" customHeight="1">
      <c r="A813" s="63">
        <v>800000</v>
      </c>
      <c r="B813" s="870">
        <v>800000</v>
      </c>
      <c r="C813" s="871" t="s">
        <v>184</v>
      </c>
      <c r="D813" s="881" t="s">
        <v>460</v>
      </c>
      <c r="E813" s="882"/>
      <c r="F813" s="883"/>
      <c r="G813" s="887">
        <v>0</v>
      </c>
      <c r="H813" s="876">
        <v>12.41</v>
      </c>
      <c r="I813" s="876">
        <f>IF(ISBLANK(H813),"",SUM(G813:H813))</f>
        <v>12.41</v>
      </c>
      <c r="J813" s="877">
        <f t="shared" si="265"/>
        <v>15.17</v>
      </c>
      <c r="K813" s="878" t="s">
        <v>12</v>
      </c>
      <c r="L813" s="879">
        <f>ROUND(SUM(ORÇAMENTO!L813),2)</f>
        <v>0</v>
      </c>
      <c r="M813" s="879">
        <f t="shared" si="288"/>
        <v>0</v>
      </c>
      <c r="N813" s="868">
        <f t="shared" si="289"/>
        <v>0</v>
      </c>
      <c r="O813" s="880"/>
      <c r="Q813" s="317" t="str">
        <f t="shared" si="290"/>
        <v/>
      </c>
      <c r="R813" s="317" t="str">
        <f t="shared" si="291"/>
        <v/>
      </c>
      <c r="S813" s="317" t="str">
        <f t="shared" si="292"/>
        <v/>
      </c>
      <c r="V813" s="314">
        <f>SUM(ORÇAMENTO!N813)</f>
        <v>0</v>
      </c>
      <c r="W813" s="315">
        <f t="shared" si="284"/>
        <v>0</v>
      </c>
    </row>
    <row r="814" spans="1:23" ht="15" hidden="1" customHeight="1">
      <c r="A814" s="63" t="s">
        <v>297</v>
      </c>
      <c r="B814" s="870" t="s">
        <v>297</v>
      </c>
      <c r="C814" s="871" t="s">
        <v>184</v>
      </c>
      <c r="D814" s="881" t="s">
        <v>280</v>
      </c>
      <c r="E814" s="882"/>
      <c r="F814" s="883"/>
      <c r="G814" s="887"/>
      <c r="H814" s="905">
        <v>0</v>
      </c>
      <c r="I814" s="876">
        <f t="shared" si="293"/>
        <v>0</v>
      </c>
      <c r="J814" s="877">
        <f t="shared" si="265"/>
        <v>0</v>
      </c>
      <c r="K814" s="878" t="s">
        <v>10</v>
      </c>
      <c r="L814" s="879">
        <f>ROUND(SUM(ORÇAMENTO!L814),2)</f>
        <v>0</v>
      </c>
      <c r="M814" s="879">
        <f t="shared" si="288"/>
        <v>0</v>
      </c>
      <c r="N814" s="868">
        <f t="shared" si="289"/>
        <v>0</v>
      </c>
      <c r="O814" s="880"/>
      <c r="Q814" s="317" t="str">
        <f t="shared" si="290"/>
        <v/>
      </c>
      <c r="R814" s="317" t="str">
        <f t="shared" si="291"/>
        <v/>
      </c>
      <c r="S814" s="317" t="str">
        <f t="shared" si="292"/>
        <v/>
      </c>
      <c r="V814" s="314">
        <f>SUM(ORÇAMENTO!N814)</f>
        <v>0</v>
      </c>
      <c r="W814" s="315">
        <f t="shared" si="284"/>
        <v>0</v>
      </c>
    </row>
    <row r="815" spans="1:23" ht="15" hidden="1" customHeight="1">
      <c r="A815" s="63">
        <v>605000</v>
      </c>
      <c r="B815" s="870" t="s">
        <v>1760</v>
      </c>
      <c r="C815" s="871" t="s">
        <v>184</v>
      </c>
      <c r="D815" s="881" t="s">
        <v>281</v>
      </c>
      <c r="E815" s="882"/>
      <c r="F815" s="883"/>
      <c r="G815" s="887"/>
      <c r="H815" s="876">
        <v>481.5</v>
      </c>
      <c r="I815" s="876">
        <f t="shared" si="293"/>
        <v>481.5</v>
      </c>
      <c r="J815" s="877">
        <f t="shared" si="265"/>
        <v>588.49</v>
      </c>
      <c r="K815" s="878" t="s">
        <v>15</v>
      </c>
      <c r="L815" s="879">
        <f>ROUND(SUM(ORÇAMENTO!L815),2)</f>
        <v>0</v>
      </c>
      <c r="M815" s="879">
        <f t="shared" si="288"/>
        <v>0</v>
      </c>
      <c r="N815" s="868">
        <f t="shared" si="289"/>
        <v>0</v>
      </c>
      <c r="O815" s="880"/>
      <c r="Q815" s="317" t="str">
        <f t="shared" si="290"/>
        <v/>
      </c>
      <c r="R815" s="317" t="str">
        <f t="shared" si="291"/>
        <v/>
      </c>
      <c r="S815" s="317" t="str">
        <f t="shared" si="292"/>
        <v/>
      </c>
      <c r="V815" s="314">
        <f>SUM(ORÇAMENTO!N815)</f>
        <v>0</v>
      </c>
      <c r="W815" s="315">
        <f t="shared" si="284"/>
        <v>0</v>
      </c>
    </row>
    <row r="816" spans="1:23" ht="15" hidden="1" customHeight="1">
      <c r="A816" s="63">
        <v>605000</v>
      </c>
      <c r="B816" s="870" t="s">
        <v>1761</v>
      </c>
      <c r="C816" s="871" t="s">
        <v>184</v>
      </c>
      <c r="D816" s="881" t="s">
        <v>282</v>
      </c>
      <c r="E816" s="882"/>
      <c r="F816" s="883"/>
      <c r="G816" s="887"/>
      <c r="H816" s="876">
        <v>481.5</v>
      </c>
      <c r="I816" s="876">
        <f t="shared" si="293"/>
        <v>481.5</v>
      </c>
      <c r="J816" s="877">
        <f t="shared" si="265"/>
        <v>588.49</v>
      </c>
      <c r="K816" s="878" t="s">
        <v>15</v>
      </c>
      <c r="L816" s="879">
        <f>ROUND(SUM(ORÇAMENTO!L816),2)</f>
        <v>0</v>
      </c>
      <c r="M816" s="879">
        <f t="shared" si="288"/>
        <v>0</v>
      </c>
      <c r="N816" s="868">
        <f t="shared" si="289"/>
        <v>0</v>
      </c>
      <c r="O816" s="880"/>
      <c r="Q816" s="317" t="str">
        <f t="shared" si="290"/>
        <v/>
      </c>
      <c r="R816" s="317" t="str">
        <f t="shared" si="291"/>
        <v/>
      </c>
      <c r="S816" s="317" t="str">
        <f t="shared" si="292"/>
        <v/>
      </c>
      <c r="V816" s="314">
        <f>SUM(ORÇAMENTO!N816)</f>
        <v>0</v>
      </c>
      <c r="W816" s="315">
        <f t="shared" si="284"/>
        <v>0</v>
      </c>
    </row>
    <row r="817" spans="1:23" ht="15" hidden="1" customHeight="1">
      <c r="A817" s="63">
        <v>605000</v>
      </c>
      <c r="B817" s="870" t="s">
        <v>1762</v>
      </c>
      <c r="C817" s="871" t="s">
        <v>184</v>
      </c>
      <c r="D817" s="881" t="s">
        <v>283</v>
      </c>
      <c r="E817" s="882"/>
      <c r="F817" s="883"/>
      <c r="G817" s="887"/>
      <c r="H817" s="876">
        <v>481.5</v>
      </c>
      <c r="I817" s="876">
        <f t="shared" si="293"/>
        <v>481.5</v>
      </c>
      <c r="J817" s="877">
        <f t="shared" si="265"/>
        <v>588.49</v>
      </c>
      <c r="K817" s="878" t="s">
        <v>15</v>
      </c>
      <c r="L817" s="879">
        <f>ROUND(SUM(ORÇAMENTO!L817),2)</f>
        <v>0</v>
      </c>
      <c r="M817" s="879">
        <f t="shared" si="288"/>
        <v>0</v>
      </c>
      <c r="N817" s="868">
        <f t="shared" si="289"/>
        <v>0</v>
      </c>
      <c r="O817" s="880"/>
      <c r="Q817" s="317" t="str">
        <f t="shared" si="290"/>
        <v/>
      </c>
      <c r="R817" s="317" t="str">
        <f t="shared" si="291"/>
        <v/>
      </c>
      <c r="S817" s="317" t="str">
        <f t="shared" si="292"/>
        <v/>
      </c>
      <c r="V817" s="314">
        <f>SUM(ORÇAMENTO!N817)</f>
        <v>0</v>
      </c>
      <c r="W817" s="315">
        <f t="shared" si="284"/>
        <v>0</v>
      </c>
    </row>
    <row r="818" spans="1:23" ht="15" hidden="1" customHeight="1">
      <c r="A818" s="63">
        <v>605000</v>
      </c>
      <c r="B818" s="870" t="s">
        <v>1763</v>
      </c>
      <c r="C818" s="871" t="s">
        <v>184</v>
      </c>
      <c r="D818" s="881" t="s">
        <v>284</v>
      </c>
      <c r="E818" s="882"/>
      <c r="F818" s="883"/>
      <c r="G818" s="887"/>
      <c r="H818" s="876">
        <v>654.30999999999995</v>
      </c>
      <c r="I818" s="876">
        <f t="shared" si="293"/>
        <v>654.30999999999995</v>
      </c>
      <c r="J818" s="877">
        <f t="shared" si="265"/>
        <v>799.7</v>
      </c>
      <c r="K818" s="878" t="s">
        <v>15</v>
      </c>
      <c r="L818" s="879">
        <f>ROUND(SUM(ORÇAMENTO!L818),2)</f>
        <v>0</v>
      </c>
      <c r="M818" s="879">
        <f t="shared" si="288"/>
        <v>0</v>
      </c>
      <c r="N818" s="868">
        <f t="shared" si="289"/>
        <v>0</v>
      </c>
      <c r="O818" s="880"/>
      <c r="Q818" s="317" t="str">
        <f t="shared" si="290"/>
        <v/>
      </c>
      <c r="R818" s="317" t="str">
        <f t="shared" si="291"/>
        <v/>
      </c>
      <c r="S818" s="317" t="str">
        <f t="shared" si="292"/>
        <v/>
      </c>
      <c r="V818" s="314">
        <f>SUM(ORÇAMENTO!N818)</f>
        <v>0</v>
      </c>
      <c r="W818" s="315">
        <f t="shared" si="284"/>
        <v>0</v>
      </c>
    </row>
    <row r="819" spans="1:23" ht="15" hidden="1" customHeight="1">
      <c r="A819" s="63">
        <v>605000</v>
      </c>
      <c r="B819" s="870" t="s">
        <v>1764</v>
      </c>
      <c r="C819" s="871" t="s">
        <v>184</v>
      </c>
      <c r="D819" s="881" t="s">
        <v>285</v>
      </c>
      <c r="E819" s="882"/>
      <c r="F819" s="883"/>
      <c r="G819" s="887"/>
      <c r="H819" s="876">
        <v>573.36</v>
      </c>
      <c r="I819" s="876">
        <f t="shared" si="293"/>
        <v>573.36</v>
      </c>
      <c r="J819" s="877">
        <f t="shared" si="265"/>
        <v>700.76</v>
      </c>
      <c r="K819" s="878" t="s">
        <v>15</v>
      </c>
      <c r="L819" s="879">
        <f>ROUND(SUM(ORÇAMENTO!L819),2)</f>
        <v>0</v>
      </c>
      <c r="M819" s="879">
        <f t="shared" si="288"/>
        <v>0</v>
      </c>
      <c r="N819" s="868">
        <f t="shared" si="289"/>
        <v>0</v>
      </c>
      <c r="O819" s="880"/>
      <c r="Q819" s="317" t="str">
        <f t="shared" si="290"/>
        <v/>
      </c>
      <c r="R819" s="317" t="str">
        <f t="shared" si="291"/>
        <v/>
      </c>
      <c r="S819" s="317" t="str">
        <f t="shared" si="292"/>
        <v/>
      </c>
      <c r="V819" s="314">
        <f>SUM(ORÇAMENTO!N819)</f>
        <v>0</v>
      </c>
      <c r="W819" s="315">
        <f t="shared" si="284"/>
        <v>0</v>
      </c>
    </row>
    <row r="820" spans="1:23" ht="15" hidden="1" customHeight="1">
      <c r="A820" s="560" t="s">
        <v>165</v>
      </c>
      <c r="B820" s="888" t="s">
        <v>165</v>
      </c>
      <c r="C820" s="889"/>
      <c r="D820" s="890" t="s">
        <v>215</v>
      </c>
      <c r="E820" s="891"/>
      <c r="F820" s="892"/>
      <c r="G820" s="893"/>
      <c r="H820" s="894">
        <v>0</v>
      </c>
      <c r="I820" s="894"/>
      <c r="J820" s="894">
        <f t="shared" si="265"/>
        <v>0</v>
      </c>
      <c r="K820" s="895" t="s">
        <v>506</v>
      </c>
      <c r="L820" s="896">
        <f>ROUND(SUM(ORÇAMENTO!L820),2)</f>
        <v>0</v>
      </c>
      <c r="M820" s="897">
        <f t="shared" si="288"/>
        <v>0</v>
      </c>
      <c r="N820" s="898">
        <f t="shared" si="289"/>
        <v>0</v>
      </c>
      <c r="O820" s="880"/>
      <c r="P820" s="58" t="str">
        <f>IF(OR(SUM(N821:N852)&gt;0,SUM(N821:N852)&gt;0),"y","")</f>
        <v/>
      </c>
      <c r="Q820" s="317" t="str">
        <f t="shared" si="290"/>
        <v/>
      </c>
      <c r="R820" s="317" t="str">
        <f t="shared" si="291"/>
        <v/>
      </c>
      <c r="S820" s="317" t="str">
        <f t="shared" si="292"/>
        <v/>
      </c>
      <c r="V820" s="314">
        <f>SUM(ORÇAMENTO!N820)</f>
        <v>0</v>
      </c>
      <c r="W820" s="315">
        <f t="shared" si="284"/>
        <v>0</v>
      </c>
    </row>
    <row r="821" spans="1:23" ht="26.1" hidden="1" customHeight="1">
      <c r="B821" s="870">
        <v>834908</v>
      </c>
      <c r="C821" s="871" t="s">
        <v>184</v>
      </c>
      <c r="D821" s="881" t="s">
        <v>2138</v>
      </c>
      <c r="E821" s="882"/>
      <c r="F821" s="883"/>
      <c r="G821" s="923">
        <f t="shared" ref="G821:G824" si="294">IF(E821&lt;=30,(1.07*E821+2.68)*F821,((1.07*30+2.68)+1.07*(E821-30))*F821)</f>
        <v>0</v>
      </c>
      <c r="H821" s="876">
        <v>90.41</v>
      </c>
      <c r="I821" s="876">
        <f t="shared" ref="I821:I824" si="295">IF(ISBLANK(H821),"",SUM(G821:H821))</f>
        <v>90.41</v>
      </c>
      <c r="J821" s="877">
        <f t="shared" ref="J821:J824" si="296">IF(ISBLANK(H821),0,ROUND(I821*(1+$E$10),2))</f>
        <v>110.5</v>
      </c>
      <c r="K821" s="878" t="s">
        <v>12</v>
      </c>
      <c r="L821" s="879">
        <f>ROUND(SUM(ORÇAMENTO!L821),2)</f>
        <v>0</v>
      </c>
      <c r="M821" s="879">
        <f t="shared" ref="M821:M824" si="297">IF(L821=0,0,ROUND(J821,2))</f>
        <v>0</v>
      </c>
      <c r="N821" s="868">
        <f t="shared" ref="N821:N824" si="298">IF(ISBLANK(L821),0,ROUND(L821*M821,2))</f>
        <v>0</v>
      </c>
      <c r="O821" s="880"/>
      <c r="Q821" s="317" t="str">
        <f t="shared" ref="Q821:Q824" si="299">IF(P821="X","x",IF(P821="xx","x",IF(P821="xy","x",IF(P821="y","x",IF(OR(N821&gt;0,N821&gt;0),"x","")))))</f>
        <v/>
      </c>
      <c r="R821" s="317" t="str">
        <f t="shared" ref="R821:R824" si="300">IF(P821="X","x",IF(P821="y","x",IF(P821="xx","x",IF(N821&gt;0,"x",""))))</f>
        <v/>
      </c>
      <c r="S821" s="317" t="str">
        <f t="shared" ref="S821:S824" si="301">IF(P821="X","x",IF(N821&gt;0,"x",""))</f>
        <v/>
      </c>
      <c r="V821" s="314">
        <f>SUM(ORÇAMENTO!N821)</f>
        <v>0</v>
      </c>
      <c r="W821" s="315">
        <f t="shared" si="284"/>
        <v>0</v>
      </c>
    </row>
    <row r="822" spans="1:23" ht="26.1" hidden="1" customHeight="1">
      <c r="B822" s="870">
        <v>834909</v>
      </c>
      <c r="C822" s="871" t="s">
        <v>184</v>
      </c>
      <c r="D822" s="881" t="s">
        <v>2139</v>
      </c>
      <c r="E822" s="882"/>
      <c r="F822" s="883"/>
      <c r="G822" s="923">
        <f t="shared" si="294"/>
        <v>0</v>
      </c>
      <c r="H822" s="876">
        <v>96.16</v>
      </c>
      <c r="I822" s="876">
        <f t="shared" si="295"/>
        <v>96.16</v>
      </c>
      <c r="J822" s="877">
        <f t="shared" si="296"/>
        <v>117.53</v>
      </c>
      <c r="K822" s="878" t="s">
        <v>12</v>
      </c>
      <c r="L822" s="879">
        <f>ROUND(SUM(ORÇAMENTO!L822),2)</f>
        <v>0</v>
      </c>
      <c r="M822" s="879">
        <f t="shared" si="297"/>
        <v>0</v>
      </c>
      <c r="N822" s="868">
        <f t="shared" si="298"/>
        <v>0</v>
      </c>
      <c r="O822" s="880"/>
      <c r="Q822" s="317" t="str">
        <f t="shared" si="299"/>
        <v/>
      </c>
      <c r="R822" s="317" t="str">
        <f t="shared" si="300"/>
        <v/>
      </c>
      <c r="S822" s="317" t="str">
        <f t="shared" si="301"/>
        <v/>
      </c>
      <c r="V822" s="314">
        <f>SUM(ORÇAMENTO!N822)</f>
        <v>0</v>
      </c>
      <c r="W822" s="315">
        <f t="shared" si="284"/>
        <v>0</v>
      </c>
    </row>
    <row r="823" spans="1:23" ht="26.1" hidden="1" customHeight="1">
      <c r="B823" s="870">
        <v>834906</v>
      </c>
      <c r="C823" s="871" t="s">
        <v>184</v>
      </c>
      <c r="D823" s="881" t="s">
        <v>2140</v>
      </c>
      <c r="E823" s="882"/>
      <c r="F823" s="883"/>
      <c r="G823" s="923">
        <f t="shared" si="294"/>
        <v>0</v>
      </c>
      <c r="H823" s="876">
        <v>96.21</v>
      </c>
      <c r="I823" s="876">
        <f t="shared" si="295"/>
        <v>96.21</v>
      </c>
      <c r="J823" s="877">
        <f t="shared" si="296"/>
        <v>117.59</v>
      </c>
      <c r="K823" s="878" t="s">
        <v>12</v>
      </c>
      <c r="L823" s="879">
        <f>ROUND(SUM(ORÇAMENTO!L823),2)</f>
        <v>0</v>
      </c>
      <c r="M823" s="879">
        <f t="shared" si="297"/>
        <v>0</v>
      </c>
      <c r="N823" s="868">
        <f t="shared" si="298"/>
        <v>0</v>
      </c>
      <c r="O823" s="880"/>
      <c r="Q823" s="317" t="str">
        <f t="shared" si="299"/>
        <v/>
      </c>
      <c r="R823" s="317" t="str">
        <f t="shared" si="300"/>
        <v/>
      </c>
      <c r="S823" s="317" t="str">
        <f t="shared" si="301"/>
        <v/>
      </c>
      <c r="V823" s="314">
        <f>SUM(ORÇAMENTO!N823)</f>
        <v>0</v>
      </c>
      <c r="W823" s="315">
        <f t="shared" si="284"/>
        <v>0</v>
      </c>
    </row>
    <row r="824" spans="1:23" ht="26.1" hidden="1" customHeight="1">
      <c r="B824" s="870">
        <v>834907</v>
      </c>
      <c r="C824" s="871" t="s">
        <v>184</v>
      </c>
      <c r="D824" s="881" t="s">
        <v>2141</v>
      </c>
      <c r="E824" s="882"/>
      <c r="F824" s="883"/>
      <c r="G824" s="923">
        <f t="shared" si="294"/>
        <v>0</v>
      </c>
      <c r="H824" s="876">
        <v>99.84</v>
      </c>
      <c r="I824" s="876">
        <f t="shared" si="295"/>
        <v>99.84</v>
      </c>
      <c r="J824" s="877">
        <f t="shared" si="296"/>
        <v>122.02</v>
      </c>
      <c r="K824" s="878" t="s">
        <v>12</v>
      </c>
      <c r="L824" s="879">
        <f>ROUND(SUM(ORÇAMENTO!L824),2)</f>
        <v>0</v>
      </c>
      <c r="M824" s="879">
        <f t="shared" si="297"/>
        <v>0</v>
      </c>
      <c r="N824" s="868">
        <f t="shared" si="298"/>
        <v>0</v>
      </c>
      <c r="O824" s="880"/>
      <c r="Q824" s="317" t="str">
        <f t="shared" si="299"/>
        <v/>
      </c>
      <c r="R824" s="317" t="str">
        <f t="shared" si="300"/>
        <v/>
      </c>
      <c r="S824" s="317" t="str">
        <f t="shared" si="301"/>
        <v/>
      </c>
      <c r="V824" s="314">
        <f>SUM(ORÇAMENTO!N824)</f>
        <v>0</v>
      </c>
      <c r="W824" s="315">
        <f t="shared" si="284"/>
        <v>0</v>
      </c>
    </row>
    <row r="825" spans="1:23" ht="15" hidden="1" customHeight="1">
      <c r="A825" s="560" t="s">
        <v>165</v>
      </c>
      <c r="B825" s="899" t="s">
        <v>165</v>
      </c>
      <c r="C825" s="900" t="s">
        <v>165</v>
      </c>
      <c r="D825" s="901"/>
      <c r="E825" s="902"/>
      <c r="F825" s="903"/>
      <c r="G825" s="904"/>
      <c r="H825" s="905">
        <v>0</v>
      </c>
      <c r="I825" s="876">
        <f t="shared" si="293"/>
        <v>0</v>
      </c>
      <c r="J825" s="877">
        <f t="shared" si="265"/>
        <v>0</v>
      </c>
      <c r="K825" s="903" t="s">
        <v>506</v>
      </c>
      <c r="L825" s="879">
        <f>ROUND(SUM(ORÇAMENTO!L825),2)</f>
        <v>0</v>
      </c>
      <c r="M825" s="879">
        <f t="shared" si="288"/>
        <v>0</v>
      </c>
      <c r="N825" s="868">
        <f t="shared" si="289"/>
        <v>0</v>
      </c>
      <c r="O825" s="880"/>
      <c r="Q825" s="317" t="str">
        <f t="shared" si="290"/>
        <v/>
      </c>
      <c r="R825" s="317" t="str">
        <f t="shared" si="291"/>
        <v/>
      </c>
      <c r="S825" s="317" t="str">
        <f t="shared" si="292"/>
        <v/>
      </c>
      <c r="V825" s="314">
        <f>SUM(ORÇAMENTO!N825)</f>
        <v>0</v>
      </c>
      <c r="W825" s="315">
        <f t="shared" si="284"/>
        <v>0</v>
      </c>
    </row>
    <row r="826" spans="1:23" ht="15" hidden="1" customHeight="1">
      <c r="A826" s="560" t="s">
        <v>165</v>
      </c>
      <c r="B826" s="899" t="s">
        <v>165</v>
      </c>
      <c r="C826" s="900" t="s">
        <v>165</v>
      </c>
      <c r="D826" s="901"/>
      <c r="E826" s="902"/>
      <c r="F826" s="903"/>
      <c r="G826" s="904"/>
      <c r="H826" s="905">
        <v>0</v>
      </c>
      <c r="I826" s="876">
        <f t="shared" si="293"/>
        <v>0</v>
      </c>
      <c r="J826" s="877">
        <f t="shared" si="265"/>
        <v>0</v>
      </c>
      <c r="K826" s="903" t="s">
        <v>506</v>
      </c>
      <c r="L826" s="879">
        <f>ROUND(SUM(ORÇAMENTO!L826),2)</f>
        <v>0</v>
      </c>
      <c r="M826" s="879">
        <f t="shared" si="288"/>
        <v>0</v>
      </c>
      <c r="N826" s="868">
        <f t="shared" si="289"/>
        <v>0</v>
      </c>
      <c r="O826" s="880"/>
      <c r="Q826" s="317" t="str">
        <f t="shared" si="290"/>
        <v/>
      </c>
      <c r="R826" s="317" t="str">
        <f t="shared" si="291"/>
        <v/>
      </c>
      <c r="S826" s="317" t="str">
        <f t="shared" si="292"/>
        <v/>
      </c>
      <c r="V826" s="314">
        <f>SUM(ORÇAMENTO!N826)</f>
        <v>0</v>
      </c>
      <c r="W826" s="315">
        <f t="shared" si="284"/>
        <v>0</v>
      </c>
    </row>
    <row r="827" spans="1:23" ht="15" hidden="1" customHeight="1">
      <c r="A827" s="560" t="s">
        <v>165</v>
      </c>
      <c r="B827" s="899" t="s">
        <v>165</v>
      </c>
      <c r="C827" s="900" t="s">
        <v>165</v>
      </c>
      <c r="D827" s="901"/>
      <c r="E827" s="902"/>
      <c r="F827" s="903"/>
      <c r="G827" s="904"/>
      <c r="H827" s="905">
        <v>0</v>
      </c>
      <c r="I827" s="876">
        <f t="shared" si="293"/>
        <v>0</v>
      </c>
      <c r="J827" s="877">
        <f t="shared" si="265"/>
        <v>0</v>
      </c>
      <c r="K827" s="903" t="s">
        <v>506</v>
      </c>
      <c r="L827" s="879">
        <f>ROUND(SUM(ORÇAMENTO!L827),2)</f>
        <v>0</v>
      </c>
      <c r="M827" s="879">
        <f t="shared" si="288"/>
        <v>0</v>
      </c>
      <c r="N827" s="868">
        <f t="shared" si="289"/>
        <v>0</v>
      </c>
      <c r="O827" s="880"/>
      <c r="Q827" s="317" t="str">
        <f t="shared" si="290"/>
        <v/>
      </c>
      <c r="R827" s="317" t="str">
        <f t="shared" si="291"/>
        <v/>
      </c>
      <c r="S827" s="317" t="str">
        <f t="shared" si="292"/>
        <v/>
      </c>
      <c r="V827" s="314">
        <f>SUM(ORÇAMENTO!N827)</f>
        <v>0</v>
      </c>
      <c r="W827" s="315">
        <f t="shared" si="284"/>
        <v>0</v>
      </c>
    </row>
    <row r="828" spans="1:23" ht="15" hidden="1" customHeight="1">
      <c r="A828" s="560" t="s">
        <v>165</v>
      </c>
      <c r="B828" s="899" t="s">
        <v>165</v>
      </c>
      <c r="C828" s="900" t="s">
        <v>165</v>
      </c>
      <c r="D828" s="901"/>
      <c r="E828" s="902"/>
      <c r="F828" s="903"/>
      <c r="G828" s="904"/>
      <c r="H828" s="905">
        <v>0</v>
      </c>
      <c r="I828" s="876">
        <f t="shared" si="293"/>
        <v>0</v>
      </c>
      <c r="J828" s="877">
        <f t="shared" si="265"/>
        <v>0</v>
      </c>
      <c r="K828" s="903" t="s">
        <v>506</v>
      </c>
      <c r="L828" s="879">
        <f>ROUND(SUM(ORÇAMENTO!L828),2)</f>
        <v>0</v>
      </c>
      <c r="M828" s="879">
        <f t="shared" si="288"/>
        <v>0</v>
      </c>
      <c r="N828" s="868">
        <f t="shared" si="289"/>
        <v>0</v>
      </c>
      <c r="O828" s="880"/>
      <c r="Q828" s="317" t="str">
        <f t="shared" si="290"/>
        <v/>
      </c>
      <c r="R828" s="317" t="str">
        <f t="shared" si="291"/>
        <v/>
      </c>
      <c r="S828" s="317" t="str">
        <f t="shared" si="292"/>
        <v/>
      </c>
      <c r="V828" s="314">
        <f>SUM(ORÇAMENTO!N828)</f>
        <v>0</v>
      </c>
      <c r="W828" s="315">
        <f t="shared" si="284"/>
        <v>0</v>
      </c>
    </row>
    <row r="829" spans="1:23" ht="15" hidden="1" customHeight="1">
      <c r="A829" s="560" t="s">
        <v>165</v>
      </c>
      <c r="B829" s="899" t="s">
        <v>165</v>
      </c>
      <c r="C829" s="900" t="s">
        <v>165</v>
      </c>
      <c r="D829" s="901"/>
      <c r="E829" s="902"/>
      <c r="F829" s="903"/>
      <c r="G829" s="904"/>
      <c r="H829" s="905">
        <v>0</v>
      </c>
      <c r="I829" s="876">
        <f t="shared" si="293"/>
        <v>0</v>
      </c>
      <c r="J829" s="877">
        <f t="shared" si="265"/>
        <v>0</v>
      </c>
      <c r="K829" s="903" t="s">
        <v>506</v>
      </c>
      <c r="L829" s="879">
        <f>ROUND(SUM(ORÇAMENTO!L829),2)</f>
        <v>0</v>
      </c>
      <c r="M829" s="879">
        <f t="shared" si="288"/>
        <v>0</v>
      </c>
      <c r="N829" s="868">
        <f t="shared" si="289"/>
        <v>0</v>
      </c>
      <c r="O829" s="880"/>
      <c r="Q829" s="317" t="str">
        <f t="shared" si="290"/>
        <v/>
      </c>
      <c r="R829" s="317" t="str">
        <f t="shared" si="291"/>
        <v/>
      </c>
      <c r="S829" s="317" t="str">
        <f t="shared" si="292"/>
        <v/>
      </c>
      <c r="V829" s="314">
        <f>SUM(ORÇAMENTO!N829)</f>
        <v>0</v>
      </c>
      <c r="W829" s="315">
        <f t="shared" si="284"/>
        <v>0</v>
      </c>
    </row>
    <row r="830" spans="1:23" ht="15" hidden="1" customHeight="1">
      <c r="A830" s="560" t="s">
        <v>165</v>
      </c>
      <c r="B830" s="899" t="s">
        <v>165</v>
      </c>
      <c r="C830" s="900" t="s">
        <v>165</v>
      </c>
      <c r="D830" s="901"/>
      <c r="E830" s="902"/>
      <c r="F830" s="903"/>
      <c r="G830" s="904"/>
      <c r="H830" s="905">
        <v>0</v>
      </c>
      <c r="I830" s="876">
        <f t="shared" si="293"/>
        <v>0</v>
      </c>
      <c r="J830" s="877">
        <f t="shared" si="265"/>
        <v>0</v>
      </c>
      <c r="K830" s="903" t="s">
        <v>506</v>
      </c>
      <c r="L830" s="879">
        <f>ROUND(SUM(ORÇAMENTO!L830),2)</f>
        <v>0</v>
      </c>
      <c r="M830" s="879">
        <f t="shared" si="288"/>
        <v>0</v>
      </c>
      <c r="N830" s="868">
        <f t="shared" si="289"/>
        <v>0</v>
      </c>
      <c r="O830" s="880"/>
      <c r="Q830" s="317" t="str">
        <f t="shared" si="290"/>
        <v/>
      </c>
      <c r="R830" s="317" t="str">
        <f t="shared" si="291"/>
        <v/>
      </c>
      <c r="S830" s="317" t="str">
        <f t="shared" si="292"/>
        <v/>
      </c>
      <c r="V830" s="314">
        <f>SUM(ORÇAMENTO!N830)</f>
        <v>0</v>
      </c>
      <c r="W830" s="315">
        <f t="shared" si="284"/>
        <v>0</v>
      </c>
    </row>
    <row r="831" spans="1:23" ht="15" hidden="1" customHeight="1">
      <c r="A831" s="560" t="s">
        <v>165</v>
      </c>
      <c r="B831" s="899" t="s">
        <v>165</v>
      </c>
      <c r="C831" s="900" t="s">
        <v>165</v>
      </c>
      <c r="D831" s="901"/>
      <c r="E831" s="902"/>
      <c r="F831" s="903"/>
      <c r="G831" s="904"/>
      <c r="H831" s="905">
        <v>0</v>
      </c>
      <c r="I831" s="876">
        <f t="shared" si="293"/>
        <v>0</v>
      </c>
      <c r="J831" s="877">
        <f t="shared" si="265"/>
        <v>0</v>
      </c>
      <c r="K831" s="903" t="s">
        <v>506</v>
      </c>
      <c r="L831" s="879">
        <f>ROUND(SUM(ORÇAMENTO!L831),2)</f>
        <v>0</v>
      </c>
      <c r="M831" s="879">
        <f t="shared" si="288"/>
        <v>0</v>
      </c>
      <c r="N831" s="868">
        <f t="shared" si="289"/>
        <v>0</v>
      </c>
      <c r="O831" s="880"/>
      <c r="Q831" s="317" t="str">
        <f t="shared" si="290"/>
        <v/>
      </c>
      <c r="R831" s="317" t="str">
        <f t="shared" si="291"/>
        <v/>
      </c>
      <c r="S831" s="317" t="str">
        <f t="shared" si="292"/>
        <v/>
      </c>
      <c r="V831" s="314">
        <f>SUM(ORÇAMENTO!N831)</f>
        <v>0</v>
      </c>
      <c r="W831" s="315">
        <f t="shared" si="284"/>
        <v>0</v>
      </c>
    </row>
    <row r="832" spans="1:23" ht="15" hidden="1" customHeight="1">
      <c r="A832" s="560" t="s">
        <v>165</v>
      </c>
      <c r="B832" s="899" t="s">
        <v>165</v>
      </c>
      <c r="C832" s="900" t="s">
        <v>165</v>
      </c>
      <c r="D832" s="901"/>
      <c r="E832" s="902"/>
      <c r="F832" s="903"/>
      <c r="G832" s="904"/>
      <c r="H832" s="905">
        <v>0</v>
      </c>
      <c r="I832" s="876">
        <f t="shared" si="293"/>
        <v>0</v>
      </c>
      <c r="J832" s="877">
        <f t="shared" si="265"/>
        <v>0</v>
      </c>
      <c r="K832" s="903" t="s">
        <v>506</v>
      </c>
      <c r="L832" s="879">
        <f>ROUND(SUM(ORÇAMENTO!L832),2)</f>
        <v>0</v>
      </c>
      <c r="M832" s="879">
        <f t="shared" si="288"/>
        <v>0</v>
      </c>
      <c r="N832" s="868">
        <f t="shared" si="289"/>
        <v>0</v>
      </c>
      <c r="O832" s="880"/>
      <c r="Q832" s="317" t="str">
        <f t="shared" si="290"/>
        <v/>
      </c>
      <c r="R832" s="317" t="str">
        <f t="shared" si="291"/>
        <v/>
      </c>
      <c r="S832" s="317" t="str">
        <f t="shared" si="292"/>
        <v/>
      </c>
      <c r="V832" s="314">
        <f>SUM(ORÇAMENTO!N832)</f>
        <v>0</v>
      </c>
      <c r="W832" s="315">
        <f t="shared" si="284"/>
        <v>0</v>
      </c>
    </row>
    <row r="833" spans="1:23" ht="15" hidden="1" customHeight="1">
      <c r="A833" s="560" t="s">
        <v>165</v>
      </c>
      <c r="B833" s="899" t="s">
        <v>165</v>
      </c>
      <c r="C833" s="900" t="s">
        <v>165</v>
      </c>
      <c r="D833" s="901"/>
      <c r="E833" s="902"/>
      <c r="F833" s="903"/>
      <c r="G833" s="904"/>
      <c r="H833" s="905">
        <v>0</v>
      </c>
      <c r="I833" s="876">
        <f t="shared" si="293"/>
        <v>0</v>
      </c>
      <c r="J833" s="877">
        <f t="shared" si="265"/>
        <v>0</v>
      </c>
      <c r="K833" s="903" t="s">
        <v>506</v>
      </c>
      <c r="L833" s="879">
        <f>ROUND(SUM(ORÇAMENTO!L833),2)</f>
        <v>0</v>
      </c>
      <c r="M833" s="879">
        <f t="shared" si="288"/>
        <v>0</v>
      </c>
      <c r="N833" s="868">
        <f t="shared" si="289"/>
        <v>0</v>
      </c>
      <c r="O833" s="880"/>
      <c r="Q833" s="317" t="str">
        <f t="shared" si="290"/>
        <v/>
      </c>
      <c r="R833" s="317" t="str">
        <f t="shared" si="291"/>
        <v/>
      </c>
      <c r="S833" s="317" t="str">
        <f t="shared" si="292"/>
        <v/>
      </c>
      <c r="V833" s="314">
        <f>SUM(ORÇAMENTO!N833)</f>
        <v>0</v>
      </c>
      <c r="W833" s="315">
        <f t="shared" si="284"/>
        <v>0</v>
      </c>
    </row>
    <row r="834" spans="1:23" ht="15" hidden="1" customHeight="1">
      <c r="A834" s="560" t="s">
        <v>165</v>
      </c>
      <c r="B834" s="899" t="s">
        <v>165</v>
      </c>
      <c r="C834" s="900" t="s">
        <v>165</v>
      </c>
      <c r="D834" s="901"/>
      <c r="E834" s="902"/>
      <c r="F834" s="903"/>
      <c r="G834" s="904"/>
      <c r="H834" s="905">
        <v>0</v>
      </c>
      <c r="I834" s="876">
        <f t="shared" si="293"/>
        <v>0</v>
      </c>
      <c r="J834" s="877">
        <f t="shared" si="265"/>
        <v>0</v>
      </c>
      <c r="K834" s="903" t="s">
        <v>506</v>
      </c>
      <c r="L834" s="879">
        <f>ROUND(SUM(ORÇAMENTO!L834),2)</f>
        <v>0</v>
      </c>
      <c r="M834" s="879">
        <f t="shared" si="288"/>
        <v>0</v>
      </c>
      <c r="N834" s="868">
        <f t="shared" si="289"/>
        <v>0</v>
      </c>
      <c r="O834" s="880"/>
      <c r="Q834" s="317" t="str">
        <f t="shared" si="290"/>
        <v/>
      </c>
      <c r="R834" s="317" t="str">
        <f t="shared" si="291"/>
        <v/>
      </c>
      <c r="S834" s="317" t="str">
        <f t="shared" si="292"/>
        <v/>
      </c>
      <c r="V834" s="314">
        <f>SUM(ORÇAMENTO!N834)</f>
        <v>0</v>
      </c>
      <c r="W834" s="315">
        <f t="shared" si="284"/>
        <v>0</v>
      </c>
    </row>
    <row r="835" spans="1:23" ht="15" hidden="1" customHeight="1">
      <c r="A835" s="560" t="s">
        <v>165</v>
      </c>
      <c r="B835" s="899" t="s">
        <v>165</v>
      </c>
      <c r="C835" s="900" t="s">
        <v>165</v>
      </c>
      <c r="D835" s="901"/>
      <c r="E835" s="902"/>
      <c r="F835" s="903"/>
      <c r="G835" s="904"/>
      <c r="H835" s="905">
        <v>0</v>
      </c>
      <c r="I835" s="876">
        <f t="shared" si="293"/>
        <v>0</v>
      </c>
      <c r="J835" s="877">
        <f t="shared" si="265"/>
        <v>0</v>
      </c>
      <c r="K835" s="903" t="s">
        <v>506</v>
      </c>
      <c r="L835" s="879">
        <f>ROUND(SUM(ORÇAMENTO!L835),2)</f>
        <v>0</v>
      </c>
      <c r="M835" s="879">
        <f t="shared" si="288"/>
        <v>0</v>
      </c>
      <c r="N835" s="868">
        <f t="shared" si="289"/>
        <v>0</v>
      </c>
      <c r="O835" s="880"/>
      <c r="Q835" s="317" t="str">
        <f t="shared" si="290"/>
        <v/>
      </c>
      <c r="R835" s="317" t="str">
        <f t="shared" si="291"/>
        <v/>
      </c>
      <c r="S835" s="317" t="str">
        <f t="shared" si="292"/>
        <v/>
      </c>
      <c r="V835" s="314">
        <f>SUM(ORÇAMENTO!N835)</f>
        <v>0</v>
      </c>
      <c r="W835" s="315">
        <f t="shared" si="284"/>
        <v>0</v>
      </c>
    </row>
    <row r="836" spans="1:23" ht="15" hidden="1" customHeight="1">
      <c r="A836" s="560" t="s">
        <v>165</v>
      </c>
      <c r="B836" s="899" t="s">
        <v>165</v>
      </c>
      <c r="C836" s="900" t="s">
        <v>165</v>
      </c>
      <c r="D836" s="901"/>
      <c r="E836" s="902"/>
      <c r="F836" s="903"/>
      <c r="G836" s="904"/>
      <c r="H836" s="905">
        <v>0</v>
      </c>
      <c r="I836" s="876">
        <f t="shared" si="293"/>
        <v>0</v>
      </c>
      <c r="J836" s="877">
        <f t="shared" si="265"/>
        <v>0</v>
      </c>
      <c r="K836" s="903" t="s">
        <v>506</v>
      </c>
      <c r="L836" s="879">
        <f>ROUND(SUM(ORÇAMENTO!L836),2)</f>
        <v>0</v>
      </c>
      <c r="M836" s="879">
        <f t="shared" si="288"/>
        <v>0</v>
      </c>
      <c r="N836" s="868">
        <f t="shared" si="289"/>
        <v>0</v>
      </c>
      <c r="O836" s="880"/>
      <c r="Q836" s="317" t="str">
        <f t="shared" si="290"/>
        <v/>
      </c>
      <c r="R836" s="317" t="str">
        <f t="shared" si="291"/>
        <v/>
      </c>
      <c r="S836" s="317" t="str">
        <f t="shared" si="292"/>
        <v/>
      </c>
      <c r="V836" s="314">
        <f>SUM(ORÇAMENTO!N836)</f>
        <v>0</v>
      </c>
      <c r="W836" s="315">
        <f t="shared" si="284"/>
        <v>0</v>
      </c>
    </row>
    <row r="837" spans="1:23" ht="15" hidden="1" customHeight="1">
      <c r="A837" s="560" t="s">
        <v>165</v>
      </c>
      <c r="B837" s="899" t="s">
        <v>165</v>
      </c>
      <c r="C837" s="900" t="s">
        <v>165</v>
      </c>
      <c r="D837" s="901"/>
      <c r="E837" s="902"/>
      <c r="F837" s="903"/>
      <c r="G837" s="904"/>
      <c r="H837" s="905">
        <v>0</v>
      </c>
      <c r="I837" s="876">
        <f t="shared" si="293"/>
        <v>0</v>
      </c>
      <c r="J837" s="877">
        <f t="shared" si="265"/>
        <v>0</v>
      </c>
      <c r="K837" s="903" t="s">
        <v>506</v>
      </c>
      <c r="L837" s="879">
        <f>ROUND(SUM(ORÇAMENTO!L837),2)</f>
        <v>0</v>
      </c>
      <c r="M837" s="879">
        <f t="shared" si="288"/>
        <v>0</v>
      </c>
      <c r="N837" s="868">
        <f t="shared" si="289"/>
        <v>0</v>
      </c>
      <c r="O837" s="880"/>
      <c r="Q837" s="317" t="str">
        <f t="shared" si="290"/>
        <v/>
      </c>
      <c r="R837" s="317" t="str">
        <f t="shared" si="291"/>
        <v/>
      </c>
      <c r="S837" s="317" t="str">
        <f t="shared" si="292"/>
        <v/>
      </c>
      <c r="V837" s="314">
        <f>SUM(ORÇAMENTO!N837)</f>
        <v>0</v>
      </c>
      <c r="W837" s="315">
        <f t="shared" si="284"/>
        <v>0</v>
      </c>
    </row>
    <row r="838" spans="1:23" ht="15" hidden="1" customHeight="1">
      <c r="A838" s="560" t="s">
        <v>165</v>
      </c>
      <c r="B838" s="899" t="s">
        <v>165</v>
      </c>
      <c r="C838" s="900" t="s">
        <v>165</v>
      </c>
      <c r="D838" s="901"/>
      <c r="E838" s="902"/>
      <c r="F838" s="903"/>
      <c r="G838" s="904"/>
      <c r="H838" s="905">
        <v>0</v>
      </c>
      <c r="I838" s="876">
        <f t="shared" si="293"/>
        <v>0</v>
      </c>
      <c r="J838" s="877">
        <f t="shared" si="265"/>
        <v>0</v>
      </c>
      <c r="K838" s="903" t="s">
        <v>506</v>
      </c>
      <c r="L838" s="879">
        <f>ROUND(SUM(ORÇAMENTO!L838),2)</f>
        <v>0</v>
      </c>
      <c r="M838" s="879">
        <f t="shared" si="288"/>
        <v>0</v>
      </c>
      <c r="N838" s="868">
        <f t="shared" si="289"/>
        <v>0</v>
      </c>
      <c r="O838" s="880"/>
      <c r="Q838" s="317" t="str">
        <f t="shared" si="290"/>
        <v/>
      </c>
      <c r="R838" s="317" t="str">
        <f t="shared" si="291"/>
        <v/>
      </c>
      <c r="S838" s="317" t="str">
        <f t="shared" si="292"/>
        <v/>
      </c>
      <c r="V838" s="314">
        <f>SUM(ORÇAMENTO!N838)</f>
        <v>0</v>
      </c>
      <c r="W838" s="315">
        <f t="shared" si="284"/>
        <v>0</v>
      </c>
    </row>
    <row r="839" spans="1:23" ht="15" hidden="1" customHeight="1">
      <c r="A839" s="560" t="s">
        <v>165</v>
      </c>
      <c r="B839" s="899" t="s">
        <v>165</v>
      </c>
      <c r="C839" s="900" t="s">
        <v>165</v>
      </c>
      <c r="D839" s="901"/>
      <c r="E839" s="902"/>
      <c r="F839" s="903"/>
      <c r="G839" s="904"/>
      <c r="H839" s="905">
        <v>0</v>
      </c>
      <c r="I839" s="876">
        <f t="shared" si="293"/>
        <v>0</v>
      </c>
      <c r="J839" s="877">
        <f t="shared" si="265"/>
        <v>0</v>
      </c>
      <c r="K839" s="903" t="s">
        <v>506</v>
      </c>
      <c r="L839" s="879">
        <f>ROUND(SUM(ORÇAMENTO!L839),2)</f>
        <v>0</v>
      </c>
      <c r="M839" s="879">
        <f t="shared" si="288"/>
        <v>0</v>
      </c>
      <c r="N839" s="868">
        <f t="shared" si="289"/>
        <v>0</v>
      </c>
      <c r="O839" s="880"/>
      <c r="Q839" s="317" t="str">
        <f t="shared" si="290"/>
        <v/>
      </c>
      <c r="R839" s="317" t="str">
        <f t="shared" si="291"/>
        <v/>
      </c>
      <c r="S839" s="317" t="str">
        <f t="shared" si="292"/>
        <v/>
      </c>
      <c r="V839" s="314">
        <f>SUM(ORÇAMENTO!N839)</f>
        <v>0</v>
      </c>
      <c r="W839" s="315">
        <f t="shared" si="284"/>
        <v>0</v>
      </c>
    </row>
    <row r="840" spans="1:23" ht="15" hidden="1" customHeight="1">
      <c r="A840" s="560" t="s">
        <v>165</v>
      </c>
      <c r="B840" s="899" t="s">
        <v>165</v>
      </c>
      <c r="C840" s="900" t="s">
        <v>165</v>
      </c>
      <c r="D840" s="901"/>
      <c r="E840" s="902"/>
      <c r="F840" s="903"/>
      <c r="G840" s="904"/>
      <c r="H840" s="905">
        <v>0</v>
      </c>
      <c r="I840" s="876">
        <f t="shared" si="293"/>
        <v>0</v>
      </c>
      <c r="J840" s="877">
        <f t="shared" si="265"/>
        <v>0</v>
      </c>
      <c r="K840" s="903" t="s">
        <v>506</v>
      </c>
      <c r="L840" s="879">
        <f>ROUND(SUM(ORÇAMENTO!L840),2)</f>
        <v>0</v>
      </c>
      <c r="M840" s="879">
        <f t="shared" si="288"/>
        <v>0</v>
      </c>
      <c r="N840" s="868">
        <f t="shared" si="289"/>
        <v>0</v>
      </c>
      <c r="O840" s="880"/>
      <c r="Q840" s="317" t="str">
        <f t="shared" si="290"/>
        <v/>
      </c>
      <c r="R840" s="317" t="str">
        <f t="shared" si="291"/>
        <v/>
      </c>
      <c r="S840" s="317" t="str">
        <f t="shared" si="292"/>
        <v/>
      </c>
      <c r="V840" s="314">
        <f>SUM(ORÇAMENTO!N840)</f>
        <v>0</v>
      </c>
      <c r="W840" s="315">
        <f t="shared" si="284"/>
        <v>0</v>
      </c>
    </row>
    <row r="841" spans="1:23" ht="15" hidden="1" customHeight="1">
      <c r="A841" s="560" t="s">
        <v>165</v>
      </c>
      <c r="B841" s="899" t="s">
        <v>165</v>
      </c>
      <c r="C841" s="900" t="s">
        <v>165</v>
      </c>
      <c r="D841" s="901"/>
      <c r="E841" s="902"/>
      <c r="F841" s="903"/>
      <c r="G841" s="904"/>
      <c r="H841" s="905">
        <v>0</v>
      </c>
      <c r="I841" s="876">
        <f t="shared" si="293"/>
        <v>0</v>
      </c>
      <c r="J841" s="877">
        <f t="shared" si="265"/>
        <v>0</v>
      </c>
      <c r="K841" s="903" t="s">
        <v>506</v>
      </c>
      <c r="L841" s="879">
        <f>ROUND(SUM(ORÇAMENTO!L841),2)</f>
        <v>0</v>
      </c>
      <c r="M841" s="879">
        <f t="shared" si="288"/>
        <v>0</v>
      </c>
      <c r="N841" s="868">
        <f t="shared" si="289"/>
        <v>0</v>
      </c>
      <c r="O841" s="880"/>
      <c r="Q841" s="317" t="str">
        <f t="shared" si="290"/>
        <v/>
      </c>
      <c r="R841" s="317" t="str">
        <f t="shared" si="291"/>
        <v/>
      </c>
      <c r="S841" s="317" t="str">
        <f t="shared" si="292"/>
        <v/>
      </c>
      <c r="V841" s="314">
        <f>SUM(ORÇAMENTO!N841)</f>
        <v>0</v>
      </c>
      <c r="W841" s="315">
        <f t="shared" si="284"/>
        <v>0</v>
      </c>
    </row>
    <row r="842" spans="1:23" ht="15" hidden="1" customHeight="1">
      <c r="A842" s="560" t="s">
        <v>165</v>
      </c>
      <c r="B842" s="899" t="s">
        <v>165</v>
      </c>
      <c r="C842" s="900" t="s">
        <v>165</v>
      </c>
      <c r="D842" s="901"/>
      <c r="E842" s="902"/>
      <c r="F842" s="903"/>
      <c r="G842" s="904"/>
      <c r="H842" s="905">
        <v>0</v>
      </c>
      <c r="I842" s="876">
        <f t="shared" si="293"/>
        <v>0</v>
      </c>
      <c r="J842" s="877">
        <f t="shared" si="265"/>
        <v>0</v>
      </c>
      <c r="K842" s="903" t="s">
        <v>506</v>
      </c>
      <c r="L842" s="879">
        <f>ROUND(SUM(ORÇAMENTO!L842),2)</f>
        <v>0</v>
      </c>
      <c r="M842" s="879">
        <f t="shared" si="288"/>
        <v>0</v>
      </c>
      <c r="N842" s="868">
        <f t="shared" si="289"/>
        <v>0</v>
      </c>
      <c r="O842" s="880"/>
      <c r="Q842" s="317" t="str">
        <f t="shared" si="290"/>
        <v/>
      </c>
      <c r="R842" s="317" t="str">
        <f t="shared" si="291"/>
        <v/>
      </c>
      <c r="S842" s="317" t="str">
        <f t="shared" si="292"/>
        <v/>
      </c>
      <c r="V842" s="314">
        <f>SUM(ORÇAMENTO!N842)</f>
        <v>0</v>
      </c>
      <c r="W842" s="315">
        <f t="shared" si="284"/>
        <v>0</v>
      </c>
    </row>
    <row r="843" spans="1:23" ht="15" hidden="1" customHeight="1">
      <c r="A843" s="560" t="s">
        <v>165</v>
      </c>
      <c r="B843" s="899" t="s">
        <v>165</v>
      </c>
      <c r="C843" s="900" t="s">
        <v>165</v>
      </c>
      <c r="D843" s="901"/>
      <c r="E843" s="902"/>
      <c r="F843" s="903"/>
      <c r="G843" s="904"/>
      <c r="H843" s="905">
        <v>0</v>
      </c>
      <c r="I843" s="876">
        <f t="shared" si="293"/>
        <v>0</v>
      </c>
      <c r="J843" s="877">
        <f t="shared" si="265"/>
        <v>0</v>
      </c>
      <c r="K843" s="903" t="s">
        <v>506</v>
      </c>
      <c r="L843" s="879">
        <f>ROUND(SUM(ORÇAMENTO!L843),2)</f>
        <v>0</v>
      </c>
      <c r="M843" s="879">
        <f t="shared" si="288"/>
        <v>0</v>
      </c>
      <c r="N843" s="868">
        <f t="shared" si="289"/>
        <v>0</v>
      </c>
      <c r="O843" s="880"/>
      <c r="Q843" s="317" t="str">
        <f t="shared" si="290"/>
        <v/>
      </c>
      <c r="R843" s="317" t="str">
        <f t="shared" si="291"/>
        <v/>
      </c>
      <c r="S843" s="317" t="str">
        <f t="shared" si="292"/>
        <v/>
      </c>
      <c r="V843" s="314">
        <f>SUM(ORÇAMENTO!N843)</f>
        <v>0</v>
      </c>
      <c r="W843" s="315">
        <f t="shared" si="284"/>
        <v>0</v>
      </c>
    </row>
    <row r="844" spans="1:23" ht="15" hidden="1" customHeight="1">
      <c r="A844" s="560" t="s">
        <v>165</v>
      </c>
      <c r="B844" s="899" t="s">
        <v>165</v>
      </c>
      <c r="C844" s="900" t="s">
        <v>165</v>
      </c>
      <c r="D844" s="901"/>
      <c r="E844" s="902"/>
      <c r="F844" s="903"/>
      <c r="G844" s="904"/>
      <c r="H844" s="905">
        <v>0</v>
      </c>
      <c r="I844" s="876">
        <f t="shared" si="293"/>
        <v>0</v>
      </c>
      <c r="J844" s="877">
        <f t="shared" si="265"/>
        <v>0</v>
      </c>
      <c r="K844" s="903" t="s">
        <v>506</v>
      </c>
      <c r="L844" s="879">
        <f>ROUND(SUM(ORÇAMENTO!L844),2)</f>
        <v>0</v>
      </c>
      <c r="M844" s="879">
        <f t="shared" si="288"/>
        <v>0</v>
      </c>
      <c r="N844" s="868">
        <f t="shared" si="289"/>
        <v>0</v>
      </c>
      <c r="O844" s="880"/>
      <c r="Q844" s="317" t="str">
        <f t="shared" si="290"/>
        <v/>
      </c>
      <c r="R844" s="317" t="str">
        <f t="shared" si="291"/>
        <v/>
      </c>
      <c r="S844" s="317" t="str">
        <f t="shared" si="292"/>
        <v/>
      </c>
      <c r="V844" s="314">
        <f>SUM(ORÇAMENTO!N844)</f>
        <v>0</v>
      </c>
      <c r="W844" s="315">
        <f t="shared" si="284"/>
        <v>0</v>
      </c>
    </row>
    <row r="845" spans="1:23" ht="15" hidden="1" customHeight="1">
      <c r="A845" s="560" t="s">
        <v>165</v>
      </c>
      <c r="B845" s="899" t="s">
        <v>165</v>
      </c>
      <c r="C845" s="900" t="s">
        <v>165</v>
      </c>
      <c r="D845" s="901"/>
      <c r="E845" s="902"/>
      <c r="F845" s="903"/>
      <c r="G845" s="904"/>
      <c r="H845" s="905">
        <v>0</v>
      </c>
      <c r="I845" s="876">
        <f t="shared" si="293"/>
        <v>0</v>
      </c>
      <c r="J845" s="877">
        <f t="shared" si="265"/>
        <v>0</v>
      </c>
      <c r="K845" s="903" t="s">
        <v>506</v>
      </c>
      <c r="L845" s="879">
        <f>ROUND(SUM(ORÇAMENTO!L845),2)</f>
        <v>0</v>
      </c>
      <c r="M845" s="879">
        <f t="shared" si="288"/>
        <v>0</v>
      </c>
      <c r="N845" s="868">
        <f t="shared" si="289"/>
        <v>0</v>
      </c>
      <c r="O845" s="880"/>
      <c r="Q845" s="317" t="str">
        <f t="shared" si="290"/>
        <v/>
      </c>
      <c r="R845" s="317" t="str">
        <f t="shared" si="291"/>
        <v/>
      </c>
      <c r="S845" s="317" t="str">
        <f t="shared" si="292"/>
        <v/>
      </c>
      <c r="V845" s="314">
        <f>SUM(ORÇAMENTO!N845)</f>
        <v>0</v>
      </c>
      <c r="W845" s="315">
        <f t="shared" si="284"/>
        <v>0</v>
      </c>
    </row>
    <row r="846" spans="1:23" ht="15" hidden="1" customHeight="1">
      <c r="A846" s="560" t="s">
        <v>165</v>
      </c>
      <c r="B846" s="899" t="s">
        <v>165</v>
      </c>
      <c r="C846" s="900" t="s">
        <v>165</v>
      </c>
      <c r="D846" s="901"/>
      <c r="E846" s="902"/>
      <c r="F846" s="903"/>
      <c r="G846" s="904"/>
      <c r="H846" s="905">
        <v>0</v>
      </c>
      <c r="I846" s="876">
        <f t="shared" si="293"/>
        <v>0</v>
      </c>
      <c r="J846" s="877">
        <f t="shared" si="265"/>
        <v>0</v>
      </c>
      <c r="K846" s="903" t="s">
        <v>506</v>
      </c>
      <c r="L846" s="879">
        <f>ROUND(SUM(ORÇAMENTO!L846),2)</f>
        <v>0</v>
      </c>
      <c r="M846" s="879">
        <f t="shared" si="288"/>
        <v>0</v>
      </c>
      <c r="N846" s="868">
        <f t="shared" si="289"/>
        <v>0</v>
      </c>
      <c r="O846" s="880"/>
      <c r="Q846" s="317" t="str">
        <f t="shared" si="290"/>
        <v/>
      </c>
      <c r="R846" s="317" t="str">
        <f t="shared" si="291"/>
        <v/>
      </c>
      <c r="S846" s="317" t="str">
        <f t="shared" si="292"/>
        <v/>
      </c>
      <c r="V846" s="314">
        <f>SUM(ORÇAMENTO!N846)</f>
        <v>0</v>
      </c>
      <c r="W846" s="315">
        <f t="shared" si="284"/>
        <v>0</v>
      </c>
    </row>
    <row r="847" spans="1:23" ht="15" hidden="1" customHeight="1">
      <c r="A847" s="560" t="s">
        <v>165</v>
      </c>
      <c r="B847" s="899" t="s">
        <v>165</v>
      </c>
      <c r="C847" s="900" t="s">
        <v>165</v>
      </c>
      <c r="D847" s="901"/>
      <c r="E847" s="902"/>
      <c r="F847" s="903"/>
      <c r="G847" s="904"/>
      <c r="H847" s="905">
        <v>0</v>
      </c>
      <c r="I847" s="876">
        <f t="shared" si="293"/>
        <v>0</v>
      </c>
      <c r="J847" s="877">
        <f t="shared" si="265"/>
        <v>0</v>
      </c>
      <c r="K847" s="903" t="s">
        <v>506</v>
      </c>
      <c r="L847" s="879">
        <f>ROUND(SUM(ORÇAMENTO!L847),2)</f>
        <v>0</v>
      </c>
      <c r="M847" s="879">
        <f t="shared" si="288"/>
        <v>0</v>
      </c>
      <c r="N847" s="868">
        <f t="shared" si="289"/>
        <v>0</v>
      </c>
      <c r="O847" s="880"/>
      <c r="Q847" s="317" t="str">
        <f t="shared" si="290"/>
        <v/>
      </c>
      <c r="R847" s="317" t="str">
        <f t="shared" si="291"/>
        <v/>
      </c>
      <c r="S847" s="317" t="str">
        <f t="shared" si="292"/>
        <v/>
      </c>
      <c r="V847" s="314">
        <f>SUM(ORÇAMENTO!N847)</f>
        <v>0</v>
      </c>
      <c r="W847" s="315">
        <f t="shared" si="284"/>
        <v>0</v>
      </c>
    </row>
    <row r="848" spans="1:23" ht="15" hidden="1" customHeight="1">
      <c r="A848" s="560" t="s">
        <v>165</v>
      </c>
      <c r="B848" s="899" t="s">
        <v>165</v>
      </c>
      <c r="C848" s="900" t="s">
        <v>165</v>
      </c>
      <c r="D848" s="901"/>
      <c r="E848" s="902"/>
      <c r="F848" s="903"/>
      <c r="G848" s="904"/>
      <c r="H848" s="905">
        <v>0</v>
      </c>
      <c r="I848" s="876">
        <f t="shared" si="293"/>
        <v>0</v>
      </c>
      <c r="J848" s="877">
        <f t="shared" si="265"/>
        <v>0</v>
      </c>
      <c r="K848" s="903" t="s">
        <v>506</v>
      </c>
      <c r="L848" s="879">
        <f>ROUND(SUM(ORÇAMENTO!L848),2)</f>
        <v>0</v>
      </c>
      <c r="M848" s="879">
        <f t="shared" si="288"/>
        <v>0</v>
      </c>
      <c r="N848" s="868">
        <f t="shared" si="289"/>
        <v>0</v>
      </c>
      <c r="O848" s="880"/>
      <c r="Q848" s="317" t="str">
        <f t="shared" si="290"/>
        <v/>
      </c>
      <c r="R848" s="317" t="str">
        <f t="shared" si="291"/>
        <v/>
      </c>
      <c r="S848" s="317" t="str">
        <f t="shared" si="292"/>
        <v/>
      </c>
      <c r="V848" s="314">
        <f>SUM(ORÇAMENTO!N848)</f>
        <v>0</v>
      </c>
      <c r="W848" s="315">
        <f t="shared" si="284"/>
        <v>0</v>
      </c>
    </row>
    <row r="849" spans="1:23" ht="15" hidden="1" customHeight="1">
      <c r="A849" s="560" t="s">
        <v>165</v>
      </c>
      <c r="B849" s="899" t="s">
        <v>165</v>
      </c>
      <c r="C849" s="900" t="s">
        <v>165</v>
      </c>
      <c r="D849" s="901"/>
      <c r="E849" s="902"/>
      <c r="F849" s="903"/>
      <c r="G849" s="904"/>
      <c r="H849" s="905">
        <v>0</v>
      </c>
      <c r="I849" s="876">
        <f t="shared" si="293"/>
        <v>0</v>
      </c>
      <c r="J849" s="877">
        <f t="shared" si="265"/>
        <v>0</v>
      </c>
      <c r="K849" s="903" t="s">
        <v>506</v>
      </c>
      <c r="L849" s="879">
        <f>ROUND(SUM(ORÇAMENTO!L849),2)</f>
        <v>0</v>
      </c>
      <c r="M849" s="879">
        <f t="shared" si="288"/>
        <v>0</v>
      </c>
      <c r="N849" s="868">
        <f t="shared" si="289"/>
        <v>0</v>
      </c>
      <c r="O849" s="880"/>
      <c r="Q849" s="317" t="str">
        <f t="shared" si="290"/>
        <v/>
      </c>
      <c r="R849" s="317" t="str">
        <f t="shared" si="291"/>
        <v/>
      </c>
      <c r="S849" s="317" t="str">
        <f t="shared" si="292"/>
        <v/>
      </c>
      <c r="V849" s="314">
        <f>SUM(ORÇAMENTO!N849)</f>
        <v>0</v>
      </c>
      <c r="W849" s="315">
        <f t="shared" si="284"/>
        <v>0</v>
      </c>
    </row>
    <row r="850" spans="1:23" ht="15" hidden="1" customHeight="1">
      <c r="A850" s="560" t="s">
        <v>165</v>
      </c>
      <c r="B850" s="899" t="s">
        <v>165</v>
      </c>
      <c r="C850" s="900" t="s">
        <v>165</v>
      </c>
      <c r="D850" s="901"/>
      <c r="E850" s="902"/>
      <c r="F850" s="903"/>
      <c r="G850" s="904"/>
      <c r="H850" s="905">
        <v>0</v>
      </c>
      <c r="I850" s="876">
        <f t="shared" si="293"/>
        <v>0</v>
      </c>
      <c r="J850" s="877">
        <f t="shared" ref="J850:J852" si="302">IF(ISBLANK(H850),0,ROUND(I850*(1+$E$10),2))</f>
        <v>0</v>
      </c>
      <c r="K850" s="903" t="s">
        <v>506</v>
      </c>
      <c r="L850" s="879">
        <f>ROUND(SUM(ORÇAMENTO!L850),2)</f>
        <v>0</v>
      </c>
      <c r="M850" s="879">
        <f t="shared" si="288"/>
        <v>0</v>
      </c>
      <c r="N850" s="868">
        <f t="shared" si="289"/>
        <v>0</v>
      </c>
      <c r="O850" s="880"/>
      <c r="Q850" s="317" t="str">
        <f t="shared" si="290"/>
        <v/>
      </c>
      <c r="R850" s="317" t="str">
        <f t="shared" si="291"/>
        <v/>
      </c>
      <c r="S850" s="317" t="str">
        <f t="shared" si="292"/>
        <v/>
      </c>
      <c r="V850" s="314">
        <f>SUM(ORÇAMENTO!N850)</f>
        <v>0</v>
      </c>
      <c r="W850" s="315">
        <f t="shared" si="284"/>
        <v>0</v>
      </c>
    </row>
    <row r="851" spans="1:23" ht="15" hidden="1" customHeight="1">
      <c r="A851" s="560" t="s">
        <v>165</v>
      </c>
      <c r="B851" s="899" t="s">
        <v>165</v>
      </c>
      <c r="C851" s="900" t="s">
        <v>165</v>
      </c>
      <c r="D851" s="901"/>
      <c r="E851" s="902"/>
      <c r="F851" s="903"/>
      <c r="G851" s="904"/>
      <c r="H851" s="905">
        <v>0</v>
      </c>
      <c r="I851" s="876">
        <f t="shared" si="293"/>
        <v>0</v>
      </c>
      <c r="J851" s="877">
        <f t="shared" si="302"/>
        <v>0</v>
      </c>
      <c r="K851" s="903" t="s">
        <v>506</v>
      </c>
      <c r="L851" s="879">
        <f>ROUND(SUM(ORÇAMENTO!L851),2)</f>
        <v>0</v>
      </c>
      <c r="M851" s="879">
        <f t="shared" si="288"/>
        <v>0</v>
      </c>
      <c r="N851" s="868">
        <f t="shared" si="289"/>
        <v>0</v>
      </c>
      <c r="O851" s="880"/>
      <c r="Q851" s="317" t="str">
        <f t="shared" si="290"/>
        <v/>
      </c>
      <c r="R851" s="317" t="str">
        <f t="shared" si="291"/>
        <v/>
      </c>
      <c r="S851" s="317" t="str">
        <f t="shared" si="292"/>
        <v/>
      </c>
      <c r="V851" s="314">
        <f>SUM(ORÇAMENTO!N851)</f>
        <v>0</v>
      </c>
      <c r="W851" s="315">
        <f t="shared" si="284"/>
        <v>0</v>
      </c>
    </row>
    <row r="852" spans="1:23" ht="15" hidden="1" customHeight="1" thickBot="1">
      <c r="A852" s="560" t="s">
        <v>165</v>
      </c>
      <c r="B852" s="1274" t="s">
        <v>165</v>
      </c>
      <c r="C852" s="1275" t="s">
        <v>165</v>
      </c>
      <c r="D852" s="1277"/>
      <c r="E852" s="910"/>
      <c r="F852" s="911"/>
      <c r="G852" s="912"/>
      <c r="H852" s="913">
        <v>0</v>
      </c>
      <c r="I852" s="914">
        <f t="shared" si="293"/>
        <v>0</v>
      </c>
      <c r="J852" s="943">
        <f t="shared" si="302"/>
        <v>0</v>
      </c>
      <c r="K852" s="911" t="s">
        <v>506</v>
      </c>
      <c r="L852" s="972">
        <f>ROUND(SUM(ORÇAMENTO!L852),2)</f>
        <v>0</v>
      </c>
      <c r="M852" s="972">
        <f t="shared" si="288"/>
        <v>0</v>
      </c>
      <c r="N852" s="916">
        <f t="shared" si="289"/>
        <v>0</v>
      </c>
      <c r="O852" s="880"/>
      <c r="Q852" s="317" t="str">
        <f t="shared" si="290"/>
        <v/>
      </c>
      <c r="R852" s="317" t="str">
        <f t="shared" si="291"/>
        <v/>
      </c>
      <c r="S852" s="317" t="str">
        <f t="shared" si="292"/>
        <v/>
      </c>
      <c r="V852" s="314">
        <f>SUM(ORÇAMENTO!N852)</f>
        <v>0</v>
      </c>
      <c r="W852" s="315">
        <f t="shared" si="284"/>
        <v>0</v>
      </c>
    </row>
    <row r="853" spans="1:23" ht="15" customHeight="1" thickBot="1">
      <c r="A853" s="63" t="s">
        <v>417</v>
      </c>
      <c r="B853" s="924" t="s">
        <v>417</v>
      </c>
      <c r="C853" s="925"/>
      <c r="D853" s="926" t="s">
        <v>436</v>
      </c>
      <c r="E853" s="917"/>
      <c r="F853" s="851"/>
      <c r="G853" s="918"/>
      <c r="H853" s="919">
        <v>0</v>
      </c>
      <c r="I853" s="919"/>
      <c r="J853" s="919"/>
      <c r="K853" s="853" t="s">
        <v>506</v>
      </c>
      <c r="L853" s="854">
        <f>ROUND(SUM(ORÇAMENTO!L853),2)</f>
        <v>0</v>
      </c>
      <c r="M853" s="855">
        <f t="shared" si="288"/>
        <v>0</v>
      </c>
      <c r="N853" s="856">
        <f t="shared" si="289"/>
        <v>0</v>
      </c>
      <c r="O853" s="857">
        <f>SUM(N854:N912)</f>
        <v>733766.36</v>
      </c>
      <c r="P853" s="58" t="str">
        <f>IF(OR(O853&gt;0,O853&gt;0),"X","")</f>
        <v>X</v>
      </c>
      <c r="Q853" s="317" t="str">
        <f t="shared" si="290"/>
        <v>x</v>
      </c>
      <c r="R853" s="317" t="str">
        <f t="shared" si="291"/>
        <v>x</v>
      </c>
      <c r="S853" s="317" t="str">
        <f t="shared" si="292"/>
        <v>x</v>
      </c>
      <c r="V853" s="314">
        <f>SUM(ORÇAMENTO!N853)</f>
        <v>0</v>
      </c>
      <c r="W853" s="315">
        <f t="shared" ref="W853:W916" si="303">N853-V853</f>
        <v>0</v>
      </c>
    </row>
    <row r="854" spans="1:23" ht="15" hidden="1" customHeight="1">
      <c r="A854" s="63">
        <v>813000</v>
      </c>
      <c r="B854" s="858">
        <v>813000</v>
      </c>
      <c r="C854" s="859" t="s">
        <v>184</v>
      </c>
      <c r="D854" s="920" t="s">
        <v>532</v>
      </c>
      <c r="E854" s="1005"/>
      <c r="F854" s="921"/>
      <c r="G854" s="923">
        <f>SUM(G855:G857)</f>
        <v>35.314069300000007</v>
      </c>
      <c r="H854" s="864">
        <v>102.37</v>
      </c>
      <c r="I854" s="864">
        <f>IF(ISBLANK(H854),"",SUM(G854:H854))</f>
        <v>137.6840693</v>
      </c>
      <c r="J854" s="865">
        <f>IF(ISBLANK(I854),0,ROUND(I854*(1+$E$10),2))</f>
        <v>168.28</v>
      </c>
      <c r="K854" s="866" t="s">
        <v>13</v>
      </c>
      <c r="L854" s="879">
        <f>ROUND(SUM(ORÇAMENTO!L854),2)</f>
        <v>0</v>
      </c>
      <c r="M854" s="879">
        <f t="shared" si="288"/>
        <v>0</v>
      </c>
      <c r="N854" s="907">
        <f t="shared" si="289"/>
        <v>0</v>
      </c>
      <c r="O854" s="880"/>
      <c r="Q854" s="317" t="str">
        <f t="shared" si="290"/>
        <v/>
      </c>
      <c r="R854" s="317" t="str">
        <f t="shared" si="291"/>
        <v/>
      </c>
      <c r="S854" s="317" t="str">
        <f t="shared" si="292"/>
        <v/>
      </c>
      <c r="V854" s="314">
        <f>SUM(ORÇAMENTO!N854)</f>
        <v>0</v>
      </c>
      <c r="W854" s="315">
        <f t="shared" si="303"/>
        <v>0</v>
      </c>
    </row>
    <row r="855" spans="1:23" ht="15" hidden="1" customHeight="1">
      <c r="A855" s="63" t="s">
        <v>147</v>
      </c>
      <c r="B855" s="870" t="s">
        <v>147</v>
      </c>
      <c r="C855" s="871"/>
      <c r="D855" s="931" t="s">
        <v>190</v>
      </c>
      <c r="E855" s="882">
        <f>DMT!$D$20</f>
        <v>445</v>
      </c>
      <c r="F855" s="883">
        <v>1.7600000000000001E-2</v>
      </c>
      <c r="G855" s="884">
        <f>IF(E855&lt;=30,(0.78*E855+7.82)*F855,((0.78*30+7.82)+0.78*(E855-30))*F855)</f>
        <v>6.2465920000000006</v>
      </c>
      <c r="H855" s="876">
        <v>0</v>
      </c>
      <c r="I855" s="876"/>
      <c r="J855" s="877">
        <v>0</v>
      </c>
      <c r="K855" s="932" t="s">
        <v>506</v>
      </c>
      <c r="L855" s="933">
        <f>ROUND(SUM(ORÇAMENTO!L855),2)</f>
        <v>0</v>
      </c>
      <c r="M855" s="934">
        <f t="shared" si="288"/>
        <v>0</v>
      </c>
      <c r="N855" s="868">
        <f t="shared" si="289"/>
        <v>0</v>
      </c>
      <c r="O855" s="880"/>
      <c r="P855" s="58" t="str">
        <f>IF(N854&gt;0,"xx",IF(N854&gt;0,"xy",""))</f>
        <v/>
      </c>
      <c r="Q855" s="317" t="str">
        <f t="shared" si="290"/>
        <v/>
      </c>
      <c r="R855" s="317" t="str">
        <f t="shared" si="291"/>
        <v/>
      </c>
      <c r="S855" s="317" t="str">
        <f t="shared" si="292"/>
        <v/>
      </c>
      <c r="V855" s="314">
        <f>SUM(ORÇAMENTO!N855)</f>
        <v>0</v>
      </c>
      <c r="W855" s="315">
        <f t="shared" si="303"/>
        <v>0</v>
      </c>
    </row>
    <row r="856" spans="1:23" ht="15" hidden="1" customHeight="1">
      <c r="A856" s="63" t="s">
        <v>147</v>
      </c>
      <c r="B856" s="870" t="s">
        <v>147</v>
      </c>
      <c r="C856" s="871"/>
      <c r="D856" s="931" t="s">
        <v>229</v>
      </c>
      <c r="E856" s="882">
        <f>DMT!$F$8</f>
        <v>290</v>
      </c>
      <c r="F856" s="883">
        <v>7.3400000000000007E-2</v>
      </c>
      <c r="G856" s="923">
        <f t="shared" ref="G856:G857" si="304">IF(E856&lt;=30,(1.07*E856+2.68)*F856,((1.07*30+2.68)+1.07*(E856-30))*F856)</f>
        <v>22.972732000000004</v>
      </c>
      <c r="H856" s="876">
        <v>0</v>
      </c>
      <c r="I856" s="876"/>
      <c r="J856" s="877">
        <v>0</v>
      </c>
      <c r="K856" s="932" t="s">
        <v>506</v>
      </c>
      <c r="L856" s="933">
        <f>ROUND(SUM(ORÇAMENTO!L856),2)</f>
        <v>0</v>
      </c>
      <c r="M856" s="934">
        <f t="shared" si="288"/>
        <v>0</v>
      </c>
      <c r="N856" s="868">
        <f t="shared" si="289"/>
        <v>0</v>
      </c>
      <c r="O856" s="880"/>
      <c r="P856" s="58" t="str">
        <f>IF(N854&gt;0,"xx",IF(N854&gt;0,"xy",""))</f>
        <v/>
      </c>
      <c r="Q856" s="317" t="str">
        <f t="shared" si="290"/>
        <v/>
      </c>
      <c r="R856" s="317" t="str">
        <f t="shared" si="291"/>
        <v/>
      </c>
      <c r="S856" s="317" t="str">
        <f t="shared" si="292"/>
        <v/>
      </c>
      <c r="V856" s="314">
        <f>SUM(ORÇAMENTO!N856)</f>
        <v>0</v>
      </c>
      <c r="W856" s="315">
        <f t="shared" si="303"/>
        <v>0</v>
      </c>
    </row>
    <row r="857" spans="1:23" ht="15" hidden="1" customHeight="1">
      <c r="A857" s="63" t="s">
        <v>147</v>
      </c>
      <c r="B857" s="870" t="s">
        <v>147</v>
      </c>
      <c r="C857" s="871"/>
      <c r="D857" s="931" t="s">
        <v>233</v>
      </c>
      <c r="E857" s="882">
        <f>DMT!$F$10</f>
        <v>43.1</v>
      </c>
      <c r="F857" s="883">
        <v>0.1249</v>
      </c>
      <c r="G857" s="923">
        <f t="shared" si="304"/>
        <v>6.0947453000000005</v>
      </c>
      <c r="H857" s="876">
        <v>0</v>
      </c>
      <c r="I857" s="876"/>
      <c r="J857" s="877">
        <v>0</v>
      </c>
      <c r="K857" s="932" t="s">
        <v>506</v>
      </c>
      <c r="L857" s="933">
        <f>ROUND(SUM(ORÇAMENTO!L857),2)</f>
        <v>0</v>
      </c>
      <c r="M857" s="934">
        <f t="shared" si="288"/>
        <v>0</v>
      </c>
      <c r="N857" s="868">
        <f t="shared" si="289"/>
        <v>0</v>
      </c>
      <c r="O857" s="880"/>
      <c r="P857" s="58" t="str">
        <f>IF(N854&gt;0,"xx",IF(N854&gt;0,"xy",""))</f>
        <v/>
      </c>
      <c r="Q857" s="317" t="str">
        <f t="shared" si="290"/>
        <v/>
      </c>
      <c r="R857" s="317" t="str">
        <f t="shared" si="291"/>
        <v/>
      </c>
      <c r="S857" s="317" t="str">
        <f t="shared" si="292"/>
        <v/>
      </c>
      <c r="V857" s="314">
        <f>SUM(ORÇAMENTO!N857)</f>
        <v>0</v>
      </c>
      <c r="W857" s="315">
        <f t="shared" si="303"/>
        <v>0</v>
      </c>
    </row>
    <row r="858" spans="1:23" ht="15" hidden="1" customHeight="1">
      <c r="A858" s="63">
        <v>814000</v>
      </c>
      <c r="B858" s="870">
        <v>814000</v>
      </c>
      <c r="C858" s="871" t="s">
        <v>184</v>
      </c>
      <c r="D858" s="881" t="s">
        <v>533</v>
      </c>
      <c r="E858" s="882"/>
      <c r="F858" s="883"/>
      <c r="G858" s="887">
        <f>SUM(G859:G861)</f>
        <v>35.314069300000007</v>
      </c>
      <c r="H858" s="876">
        <v>101.06</v>
      </c>
      <c r="I858" s="876">
        <f>IF(ISBLANK(H858),"",SUM(G858:H858))</f>
        <v>136.3740693</v>
      </c>
      <c r="J858" s="877">
        <f t="shared" ref="J858:J879" si="305">IF(ISBLANK(I858),0,ROUND(I858*(1+$E$10),2))</f>
        <v>166.68</v>
      </c>
      <c r="K858" s="878" t="s">
        <v>13</v>
      </c>
      <c r="L858" s="879">
        <f>ROUND(SUM(ORÇAMENTO!L858),2)</f>
        <v>0</v>
      </c>
      <c r="M858" s="879">
        <f t="shared" si="288"/>
        <v>0</v>
      </c>
      <c r="N858" s="868">
        <f t="shared" si="289"/>
        <v>0</v>
      </c>
      <c r="O858" s="880"/>
      <c r="Q858" s="317" t="str">
        <f t="shared" si="290"/>
        <v/>
      </c>
      <c r="R858" s="317" t="str">
        <f t="shared" si="291"/>
        <v/>
      </c>
      <c r="S858" s="317" t="str">
        <f t="shared" si="292"/>
        <v/>
      </c>
      <c r="V858" s="314">
        <f>SUM(ORÇAMENTO!N858)</f>
        <v>0</v>
      </c>
      <c r="W858" s="315">
        <f t="shared" si="303"/>
        <v>0</v>
      </c>
    </row>
    <row r="859" spans="1:23" ht="15" hidden="1" customHeight="1">
      <c r="A859" s="63" t="s">
        <v>147</v>
      </c>
      <c r="B859" s="870" t="s">
        <v>147</v>
      </c>
      <c r="C859" s="871"/>
      <c r="D859" s="931" t="s">
        <v>190</v>
      </c>
      <c r="E859" s="882">
        <f>DMT!$D$20</f>
        <v>445</v>
      </c>
      <c r="F859" s="883">
        <v>1.7600000000000001E-2</v>
      </c>
      <c r="G859" s="884">
        <f>IF(E859&lt;=30,(0.78*E859+7.82)*F859,((0.78*30+7.82)+0.78*(E859-30))*F859)</f>
        <v>6.2465920000000006</v>
      </c>
      <c r="H859" s="876">
        <v>0</v>
      </c>
      <c r="I859" s="876"/>
      <c r="J859" s="877">
        <v>0</v>
      </c>
      <c r="K859" s="932" t="s">
        <v>506</v>
      </c>
      <c r="L859" s="933">
        <f>ROUND(SUM(ORÇAMENTO!L859),2)</f>
        <v>0</v>
      </c>
      <c r="M859" s="934">
        <f t="shared" si="288"/>
        <v>0</v>
      </c>
      <c r="N859" s="868">
        <f t="shared" si="289"/>
        <v>0</v>
      </c>
      <c r="O859" s="880"/>
      <c r="P859" s="58" t="str">
        <f>IF(N858&gt;0,"xx",IF(N858&gt;0,"xy",""))</f>
        <v/>
      </c>
      <c r="Q859" s="317" t="str">
        <f t="shared" si="290"/>
        <v/>
      </c>
      <c r="R859" s="317" t="str">
        <f t="shared" si="291"/>
        <v/>
      </c>
      <c r="S859" s="317" t="str">
        <f t="shared" si="292"/>
        <v/>
      </c>
      <c r="V859" s="314">
        <f>SUM(ORÇAMENTO!N859)</f>
        <v>0</v>
      </c>
      <c r="W859" s="315">
        <f t="shared" si="303"/>
        <v>0</v>
      </c>
    </row>
    <row r="860" spans="1:23" ht="15" hidden="1" customHeight="1">
      <c r="A860" s="63" t="s">
        <v>147</v>
      </c>
      <c r="B860" s="870" t="s">
        <v>147</v>
      </c>
      <c r="C860" s="871"/>
      <c r="D860" s="931" t="s">
        <v>229</v>
      </c>
      <c r="E860" s="882">
        <f>DMT!$F$8</f>
        <v>290</v>
      </c>
      <c r="F860" s="883">
        <v>7.3400000000000007E-2</v>
      </c>
      <c r="G860" s="923">
        <f t="shared" ref="G860:G861" si="306">IF(E860&lt;=30,(1.07*E860+2.68)*F860,((1.07*30+2.68)+1.07*(E860-30))*F860)</f>
        <v>22.972732000000004</v>
      </c>
      <c r="H860" s="876">
        <v>0</v>
      </c>
      <c r="I860" s="876"/>
      <c r="J860" s="877">
        <v>0</v>
      </c>
      <c r="K860" s="932" t="s">
        <v>506</v>
      </c>
      <c r="L860" s="933">
        <f>ROUND(SUM(ORÇAMENTO!L860),2)</f>
        <v>0</v>
      </c>
      <c r="M860" s="934">
        <f t="shared" ref="M860:M913" si="307">IF(L860=0,0,ROUND(J860,2))</f>
        <v>0</v>
      </c>
      <c r="N860" s="868">
        <f t="shared" ref="N860:N913" si="308">IF(ISBLANK(L860),0,ROUND(L860*M860,2))</f>
        <v>0</v>
      </c>
      <c r="O860" s="880"/>
      <c r="P860" s="58" t="str">
        <f>IF(N858&gt;0,"xx",IF(N858&gt;0,"xy",""))</f>
        <v/>
      </c>
      <c r="Q860" s="317" t="str">
        <f t="shared" ref="Q860:Q913" si="309">IF(P860="X","x",IF(P860="xx","x",IF(P860="xy","x",IF(P860="y","x",IF(OR(N860&gt;0,N860&gt;0),"x","")))))</f>
        <v/>
      </c>
      <c r="R860" s="317" t="str">
        <f t="shared" ref="R860:R913" si="310">IF(P860="X","x",IF(P860="y","x",IF(P860="xx","x",IF(N860&gt;0,"x",""))))</f>
        <v/>
      </c>
      <c r="S860" s="317" t="str">
        <f t="shared" ref="S860:S913" si="311">IF(P860="X","x",IF(N860&gt;0,"x",""))</f>
        <v/>
      </c>
      <c r="V860" s="314">
        <f>SUM(ORÇAMENTO!N860)</f>
        <v>0</v>
      </c>
      <c r="W860" s="315">
        <f t="shared" si="303"/>
        <v>0</v>
      </c>
    </row>
    <row r="861" spans="1:23" ht="15" hidden="1" customHeight="1">
      <c r="A861" s="63" t="s">
        <v>147</v>
      </c>
      <c r="B861" s="870" t="s">
        <v>147</v>
      </c>
      <c r="C861" s="871"/>
      <c r="D861" s="931" t="s">
        <v>233</v>
      </c>
      <c r="E861" s="882">
        <f>DMT!$F$10</f>
        <v>43.1</v>
      </c>
      <c r="F861" s="883">
        <v>0.1249</v>
      </c>
      <c r="G861" s="923">
        <f t="shared" si="306"/>
        <v>6.0947453000000005</v>
      </c>
      <c r="H861" s="876">
        <v>0</v>
      </c>
      <c r="I861" s="876"/>
      <c r="J861" s="877">
        <v>0</v>
      </c>
      <c r="K861" s="932" t="s">
        <v>506</v>
      </c>
      <c r="L861" s="933">
        <f>ROUND(SUM(ORÇAMENTO!L861),2)</f>
        <v>0</v>
      </c>
      <c r="M861" s="934">
        <f t="shared" si="307"/>
        <v>0</v>
      </c>
      <c r="N861" s="868">
        <f t="shared" si="308"/>
        <v>0</v>
      </c>
      <c r="O861" s="880"/>
      <c r="P861" s="58" t="str">
        <f>IF(N858&gt;0,"xx",IF(N858&gt;0,"xy",""))</f>
        <v/>
      </c>
      <c r="Q861" s="317" t="str">
        <f t="shared" si="309"/>
        <v/>
      </c>
      <c r="R861" s="317" t="str">
        <f t="shared" si="310"/>
        <v/>
      </c>
      <c r="S861" s="317" t="str">
        <f t="shared" si="311"/>
        <v/>
      </c>
      <c r="V861" s="314">
        <f>SUM(ORÇAMENTO!N861)</f>
        <v>0</v>
      </c>
      <c r="W861" s="315">
        <f t="shared" si="303"/>
        <v>0</v>
      </c>
    </row>
    <row r="862" spans="1:23" ht="15" hidden="1" customHeight="1">
      <c r="A862" s="63">
        <v>823000</v>
      </c>
      <c r="B862" s="870" t="s">
        <v>1772</v>
      </c>
      <c r="C862" s="871" t="s">
        <v>184</v>
      </c>
      <c r="D862" s="881" t="s">
        <v>267</v>
      </c>
      <c r="E862" s="882"/>
      <c r="F862" s="883"/>
      <c r="G862" s="887">
        <v>0</v>
      </c>
      <c r="H862" s="876">
        <v>490.71</v>
      </c>
      <c r="I862" s="876">
        <f t="shared" ref="I862:I870" si="312">IF(ISBLANK(H862),"",SUM(G862:H862))</f>
        <v>490.71</v>
      </c>
      <c r="J862" s="877">
        <f t="shared" si="305"/>
        <v>599.75</v>
      </c>
      <c r="K862" s="878" t="s">
        <v>13</v>
      </c>
      <c r="L862" s="879">
        <f>ROUND(SUM(ORÇAMENTO!L862),2)</f>
        <v>0</v>
      </c>
      <c r="M862" s="879">
        <f t="shared" si="307"/>
        <v>0</v>
      </c>
      <c r="N862" s="868">
        <f t="shared" si="308"/>
        <v>0</v>
      </c>
      <c r="O862" s="880"/>
      <c r="Q862" s="317" t="str">
        <f t="shared" si="309"/>
        <v/>
      </c>
      <c r="R862" s="317" t="str">
        <f t="shared" si="310"/>
        <v/>
      </c>
      <c r="S862" s="317" t="str">
        <f t="shared" si="311"/>
        <v/>
      </c>
      <c r="V862" s="314">
        <f>SUM(ORÇAMENTO!N862)</f>
        <v>0</v>
      </c>
      <c r="W862" s="315">
        <f t="shared" si="303"/>
        <v>0</v>
      </c>
    </row>
    <row r="863" spans="1:23" ht="15" hidden="1" customHeight="1">
      <c r="A863" s="63">
        <v>871000</v>
      </c>
      <c r="B863" s="870">
        <v>871000</v>
      </c>
      <c r="C863" s="871" t="s">
        <v>184</v>
      </c>
      <c r="D863" s="881" t="s">
        <v>462</v>
      </c>
      <c r="E863" s="882"/>
      <c r="F863" s="883"/>
      <c r="G863" s="887"/>
      <c r="H863" s="876">
        <v>18.28</v>
      </c>
      <c r="I863" s="876">
        <f t="shared" si="312"/>
        <v>18.28</v>
      </c>
      <c r="J863" s="877">
        <f t="shared" si="305"/>
        <v>22.34</v>
      </c>
      <c r="K863" s="878" t="s">
        <v>15</v>
      </c>
      <c r="L863" s="879">
        <f>ROUND(SUM(ORÇAMENTO!L863),2)</f>
        <v>0</v>
      </c>
      <c r="M863" s="879">
        <f t="shared" si="307"/>
        <v>0</v>
      </c>
      <c r="N863" s="868">
        <f t="shared" si="308"/>
        <v>0</v>
      </c>
      <c r="O863" s="880"/>
      <c r="Q863" s="317" t="str">
        <f t="shared" si="309"/>
        <v/>
      </c>
      <c r="R863" s="317" t="str">
        <f t="shared" si="310"/>
        <v/>
      </c>
      <c r="S863" s="317" t="str">
        <f t="shared" si="311"/>
        <v/>
      </c>
      <c r="V863" s="314">
        <f>SUM(ORÇAMENTO!N863)</f>
        <v>0</v>
      </c>
      <c r="W863" s="315">
        <f t="shared" si="303"/>
        <v>0</v>
      </c>
    </row>
    <row r="864" spans="1:23" ht="15" hidden="1" customHeight="1">
      <c r="A864" s="63">
        <v>870000</v>
      </c>
      <c r="B864" s="969">
        <v>870000</v>
      </c>
      <c r="C864" s="970" t="s">
        <v>184</v>
      </c>
      <c r="D864" s="939" t="s">
        <v>463</v>
      </c>
      <c r="E864" s="940"/>
      <c r="F864" s="971"/>
      <c r="G864" s="942"/>
      <c r="H864" s="914">
        <v>17.63</v>
      </c>
      <c r="I864" s="914">
        <f t="shared" si="312"/>
        <v>17.63</v>
      </c>
      <c r="J864" s="943">
        <f t="shared" si="305"/>
        <v>21.55</v>
      </c>
      <c r="K864" s="944" t="s">
        <v>15</v>
      </c>
      <c r="L864" s="972">
        <f>ROUND(SUM(ORÇAMENTO!L864),2)</f>
        <v>0</v>
      </c>
      <c r="M864" s="972">
        <f t="shared" si="307"/>
        <v>0</v>
      </c>
      <c r="N864" s="916">
        <f t="shared" si="308"/>
        <v>0</v>
      </c>
      <c r="O864" s="880"/>
      <c r="Q864" s="317" t="str">
        <f t="shared" si="309"/>
        <v/>
      </c>
      <c r="R864" s="317" t="str">
        <f t="shared" si="310"/>
        <v/>
      </c>
      <c r="S864" s="317" t="str">
        <f t="shared" si="311"/>
        <v/>
      </c>
      <c r="V864" s="314">
        <f>SUM(ORÇAMENTO!N864)</f>
        <v>0</v>
      </c>
      <c r="W864" s="315">
        <f t="shared" si="303"/>
        <v>0</v>
      </c>
    </row>
    <row r="865" spans="1:23" ht="15" customHeight="1" thickBot="1">
      <c r="A865" s="63">
        <v>873000</v>
      </c>
      <c r="B865" s="1348">
        <v>873000</v>
      </c>
      <c r="C865" s="1349" t="s">
        <v>184</v>
      </c>
      <c r="D865" s="1350" t="s">
        <v>464</v>
      </c>
      <c r="E865" s="1351"/>
      <c r="F865" s="1352"/>
      <c r="G865" s="1362"/>
      <c r="H865" s="1354">
        <v>31.82</v>
      </c>
      <c r="I865" s="1354">
        <f t="shared" si="312"/>
        <v>31.82</v>
      </c>
      <c r="J865" s="1355">
        <f t="shared" si="305"/>
        <v>38.89</v>
      </c>
      <c r="K865" s="1356" t="s">
        <v>15</v>
      </c>
      <c r="L865" s="1357">
        <v>2200</v>
      </c>
      <c r="M865" s="1357">
        <f t="shared" si="307"/>
        <v>38.89</v>
      </c>
      <c r="N865" s="1358">
        <f t="shared" si="308"/>
        <v>85558</v>
      </c>
      <c r="O865" s="1359"/>
      <c r="Q865" s="317" t="str">
        <f t="shared" si="309"/>
        <v>x</v>
      </c>
      <c r="R865" s="317" t="str">
        <f t="shared" si="310"/>
        <v>x</v>
      </c>
      <c r="S865" s="317" t="str">
        <f t="shared" si="311"/>
        <v>x</v>
      </c>
      <c r="V865" s="314">
        <f>SUM(ORÇAMENTO!N865)</f>
        <v>85558</v>
      </c>
      <c r="W865" s="315">
        <f t="shared" si="303"/>
        <v>0</v>
      </c>
    </row>
    <row r="866" spans="1:23" ht="15" hidden="1" customHeight="1">
      <c r="A866" s="63">
        <v>872000</v>
      </c>
      <c r="B866" s="1328">
        <v>872000</v>
      </c>
      <c r="C866" s="1329" t="s">
        <v>184</v>
      </c>
      <c r="D866" s="1330" t="s">
        <v>465</v>
      </c>
      <c r="E866" s="1284"/>
      <c r="F866" s="1331"/>
      <c r="G866" s="1282"/>
      <c r="H866" s="1268">
        <v>31.05</v>
      </c>
      <c r="I866" s="1268">
        <f t="shared" si="312"/>
        <v>31.05</v>
      </c>
      <c r="J866" s="915">
        <f t="shared" si="305"/>
        <v>37.950000000000003</v>
      </c>
      <c r="K866" s="1332" t="s">
        <v>15</v>
      </c>
      <c r="L866" s="972">
        <f>ROUND(SUM(ORÇAMENTO!L866),2)</f>
        <v>0</v>
      </c>
      <c r="M866" s="972">
        <f t="shared" si="307"/>
        <v>0</v>
      </c>
      <c r="N866" s="1333">
        <f t="shared" si="308"/>
        <v>0</v>
      </c>
      <c r="O866" s="880"/>
      <c r="Q866" s="317" t="str">
        <f t="shared" si="309"/>
        <v/>
      </c>
      <c r="R866" s="317" t="str">
        <f t="shared" si="310"/>
        <v/>
      </c>
      <c r="S866" s="317" t="str">
        <f t="shared" si="311"/>
        <v/>
      </c>
      <c r="V866" s="314">
        <f>SUM(ORÇAMENTO!N866)</f>
        <v>0</v>
      </c>
      <c r="W866" s="315">
        <f t="shared" si="303"/>
        <v>0</v>
      </c>
    </row>
    <row r="867" spans="1:23" ht="15" customHeight="1" thickBot="1">
      <c r="A867" s="63">
        <v>822000</v>
      </c>
      <c r="B867" s="1348">
        <v>822000</v>
      </c>
      <c r="C867" s="1349" t="s">
        <v>184</v>
      </c>
      <c r="D867" s="1350" t="s">
        <v>461</v>
      </c>
      <c r="E867" s="1351"/>
      <c r="F867" s="1352"/>
      <c r="G867" s="1362"/>
      <c r="H867" s="1354">
        <v>30.86</v>
      </c>
      <c r="I867" s="1354">
        <f t="shared" si="312"/>
        <v>30.86</v>
      </c>
      <c r="J867" s="1355">
        <f t="shared" si="305"/>
        <v>37.72</v>
      </c>
      <c r="K867" s="1356" t="s">
        <v>12</v>
      </c>
      <c r="L867" s="1357">
        <v>5620</v>
      </c>
      <c r="M867" s="1357">
        <f t="shared" si="307"/>
        <v>37.72</v>
      </c>
      <c r="N867" s="1358">
        <f t="shared" si="308"/>
        <v>211986.4</v>
      </c>
      <c r="O867" s="1359"/>
      <c r="Q867" s="317" t="str">
        <f t="shared" si="309"/>
        <v>x</v>
      </c>
      <c r="R867" s="317" t="str">
        <f t="shared" si="310"/>
        <v>x</v>
      </c>
      <c r="S867" s="317" t="str">
        <f t="shared" si="311"/>
        <v>x</v>
      </c>
      <c r="V867" s="314">
        <f>SUM(ORÇAMENTO!N867)</f>
        <v>211986.4</v>
      </c>
      <c r="W867" s="315">
        <f t="shared" si="303"/>
        <v>0</v>
      </c>
    </row>
    <row r="868" spans="1:23" ht="15" hidden="1" customHeight="1">
      <c r="A868" s="63">
        <v>820000</v>
      </c>
      <c r="B868" s="858" t="s">
        <v>302</v>
      </c>
      <c r="C868" s="859" t="s">
        <v>184</v>
      </c>
      <c r="D868" s="920" t="s">
        <v>286</v>
      </c>
      <c r="E868" s="1005"/>
      <c r="F868" s="921"/>
      <c r="G868" s="923"/>
      <c r="H868" s="864">
        <v>542.29999999999995</v>
      </c>
      <c r="I868" s="864">
        <f t="shared" si="312"/>
        <v>542.29999999999995</v>
      </c>
      <c r="J868" s="865">
        <f t="shared" si="305"/>
        <v>662.8</v>
      </c>
      <c r="K868" s="866" t="s">
        <v>12</v>
      </c>
      <c r="L868" s="879">
        <f>ROUND(SUM(ORÇAMENTO!L868),2)</f>
        <v>0</v>
      </c>
      <c r="M868" s="879">
        <f t="shared" si="307"/>
        <v>0</v>
      </c>
      <c r="N868" s="907">
        <f t="shared" si="308"/>
        <v>0</v>
      </c>
      <c r="O868" s="880"/>
      <c r="Q868" s="317" t="str">
        <f t="shared" si="309"/>
        <v/>
      </c>
      <c r="R868" s="317" t="str">
        <f t="shared" si="310"/>
        <v/>
      </c>
      <c r="S868" s="317" t="str">
        <f t="shared" si="311"/>
        <v/>
      </c>
      <c r="V868" s="314">
        <f>SUM(ORÇAMENTO!N868)</f>
        <v>0</v>
      </c>
      <c r="W868" s="315">
        <f t="shared" si="303"/>
        <v>0</v>
      </c>
    </row>
    <row r="869" spans="1:23" ht="15" hidden="1" customHeight="1">
      <c r="A869" s="63">
        <v>821000</v>
      </c>
      <c r="B869" s="870">
        <v>821000</v>
      </c>
      <c r="C869" s="871" t="s">
        <v>184</v>
      </c>
      <c r="D869" s="881" t="s">
        <v>287</v>
      </c>
      <c r="E869" s="882"/>
      <c r="F869" s="883"/>
      <c r="G869" s="887"/>
      <c r="H869" s="876">
        <v>167.69</v>
      </c>
      <c r="I869" s="876">
        <f t="shared" si="312"/>
        <v>167.69</v>
      </c>
      <c r="J869" s="877">
        <f t="shared" si="305"/>
        <v>204.95</v>
      </c>
      <c r="K869" s="878" t="s">
        <v>15</v>
      </c>
      <c r="L869" s="879">
        <f>ROUND(SUM(ORÇAMENTO!L869),2)</f>
        <v>0</v>
      </c>
      <c r="M869" s="879">
        <f t="shared" si="307"/>
        <v>0</v>
      </c>
      <c r="N869" s="868">
        <f t="shared" si="308"/>
        <v>0</v>
      </c>
      <c r="O869" s="880"/>
      <c r="Q869" s="317" t="str">
        <f t="shared" si="309"/>
        <v/>
      </c>
      <c r="R869" s="317" t="str">
        <f t="shared" si="310"/>
        <v/>
      </c>
      <c r="S869" s="317" t="str">
        <f t="shared" si="311"/>
        <v/>
      </c>
      <c r="V869" s="314">
        <f>SUM(ORÇAMENTO!N869)</f>
        <v>0</v>
      </c>
      <c r="W869" s="315">
        <f t="shared" si="303"/>
        <v>0</v>
      </c>
    </row>
    <row r="870" spans="1:23" ht="15" hidden="1" customHeight="1">
      <c r="A870" s="63">
        <v>821300</v>
      </c>
      <c r="B870" s="969">
        <v>821300</v>
      </c>
      <c r="C870" s="970" t="s">
        <v>184</v>
      </c>
      <c r="D870" s="939" t="s">
        <v>288</v>
      </c>
      <c r="E870" s="940"/>
      <c r="F870" s="971"/>
      <c r="G870" s="942"/>
      <c r="H870" s="914">
        <v>416.52</v>
      </c>
      <c r="I870" s="914">
        <f t="shared" si="312"/>
        <v>416.52</v>
      </c>
      <c r="J870" s="943">
        <f t="shared" si="305"/>
        <v>509.07</v>
      </c>
      <c r="K870" s="944" t="s">
        <v>15</v>
      </c>
      <c r="L870" s="972">
        <f>ROUND(SUM(ORÇAMENTO!L870),2)</f>
        <v>0</v>
      </c>
      <c r="M870" s="972">
        <f t="shared" si="307"/>
        <v>0</v>
      </c>
      <c r="N870" s="916">
        <f t="shared" si="308"/>
        <v>0</v>
      </c>
      <c r="O870" s="880"/>
      <c r="Q870" s="317" t="str">
        <f t="shared" si="309"/>
        <v/>
      </c>
      <c r="R870" s="317" t="str">
        <f t="shared" si="310"/>
        <v/>
      </c>
      <c r="S870" s="317" t="str">
        <f t="shared" si="311"/>
        <v/>
      </c>
      <c r="V870" s="314">
        <f>SUM(ORÇAMENTO!N870)</f>
        <v>0</v>
      </c>
      <c r="W870" s="315">
        <f t="shared" si="303"/>
        <v>0</v>
      </c>
    </row>
    <row r="871" spans="1:23" ht="15" customHeight="1" thickBot="1">
      <c r="A871" s="63">
        <v>820000</v>
      </c>
      <c r="B871" s="1348" t="s">
        <v>303</v>
      </c>
      <c r="C871" s="1349" t="s">
        <v>184</v>
      </c>
      <c r="D871" s="1350" t="s">
        <v>289</v>
      </c>
      <c r="E871" s="1351"/>
      <c r="F871" s="1352"/>
      <c r="G871" s="1362"/>
      <c r="H871" s="1354">
        <v>542.29999999999995</v>
      </c>
      <c r="I871" s="1354">
        <f>IF(ISBLANK(H871),"",SUM(G871:H871))*0.85</f>
        <v>460.95499999999993</v>
      </c>
      <c r="J871" s="1355">
        <f t="shared" si="305"/>
        <v>563.38</v>
      </c>
      <c r="K871" s="1356" t="s">
        <v>15</v>
      </c>
      <c r="L871" s="1357">
        <v>24</v>
      </c>
      <c r="M871" s="1357">
        <f t="shared" si="307"/>
        <v>563.38</v>
      </c>
      <c r="N871" s="1358">
        <f t="shared" si="308"/>
        <v>13521.12</v>
      </c>
      <c r="O871" s="1359"/>
      <c r="Q871" s="317" t="str">
        <f t="shared" si="309"/>
        <v>x</v>
      </c>
      <c r="R871" s="317" t="str">
        <f t="shared" si="310"/>
        <v>x</v>
      </c>
      <c r="S871" s="317" t="str">
        <f t="shared" si="311"/>
        <v>x</v>
      </c>
      <c r="V871" s="314">
        <f>SUM(ORÇAMENTO!N871)</f>
        <v>13521.12</v>
      </c>
      <c r="W871" s="315">
        <f t="shared" si="303"/>
        <v>0</v>
      </c>
    </row>
    <row r="872" spans="1:23" ht="15" hidden="1" customHeight="1">
      <c r="A872" s="63">
        <v>820000</v>
      </c>
      <c r="B872" s="858" t="s">
        <v>304</v>
      </c>
      <c r="C872" s="859" t="s">
        <v>184</v>
      </c>
      <c r="D872" s="920" t="s">
        <v>290</v>
      </c>
      <c r="E872" s="1005"/>
      <c r="F872" s="921"/>
      <c r="G872" s="923"/>
      <c r="H872" s="864">
        <v>542.29999999999995</v>
      </c>
      <c r="I872" s="864">
        <f>IF(ISBLANK(H872),"",SUM(G872:H872))*0.85</f>
        <v>460.95499999999993</v>
      </c>
      <c r="J872" s="865">
        <f t="shared" si="305"/>
        <v>563.38</v>
      </c>
      <c r="K872" s="866" t="s">
        <v>15</v>
      </c>
      <c r="L872" s="879">
        <f>ROUND(SUM(ORÇAMENTO!L872),2)</f>
        <v>0</v>
      </c>
      <c r="M872" s="879">
        <f t="shared" si="307"/>
        <v>0</v>
      </c>
      <c r="N872" s="907">
        <f t="shared" si="308"/>
        <v>0</v>
      </c>
      <c r="O872" s="880"/>
      <c r="Q872" s="317" t="str">
        <f t="shared" si="309"/>
        <v/>
      </c>
      <c r="R872" s="317" t="str">
        <f t="shared" si="310"/>
        <v/>
      </c>
      <c r="S872" s="317" t="str">
        <f t="shared" si="311"/>
        <v/>
      </c>
      <c r="V872" s="314">
        <f>SUM(ORÇAMENTO!N872)</f>
        <v>0</v>
      </c>
      <c r="W872" s="315">
        <f t="shared" si="303"/>
        <v>0</v>
      </c>
    </row>
    <row r="873" spans="1:23" ht="15" hidden="1" customHeight="1">
      <c r="A873" s="63">
        <v>820000</v>
      </c>
      <c r="B873" s="969" t="s">
        <v>305</v>
      </c>
      <c r="C873" s="970" t="s">
        <v>184</v>
      </c>
      <c r="D873" s="939" t="s">
        <v>291</v>
      </c>
      <c r="E873" s="940"/>
      <c r="F873" s="971"/>
      <c r="G873" s="942"/>
      <c r="H873" s="914">
        <v>542.29999999999995</v>
      </c>
      <c r="I873" s="914">
        <f>IF(ISBLANK(H873),"",SUM(G873:H873))*0.85</f>
        <v>460.95499999999993</v>
      </c>
      <c r="J873" s="943">
        <f t="shared" si="305"/>
        <v>563.38</v>
      </c>
      <c r="K873" s="944" t="s">
        <v>15</v>
      </c>
      <c r="L873" s="972">
        <f>ROUND(SUM(ORÇAMENTO!L873),2)</f>
        <v>0</v>
      </c>
      <c r="M873" s="972">
        <f t="shared" si="307"/>
        <v>0</v>
      </c>
      <c r="N873" s="916">
        <f t="shared" si="308"/>
        <v>0</v>
      </c>
      <c r="O873" s="880"/>
      <c r="Q873" s="317" t="str">
        <f t="shared" si="309"/>
        <v/>
      </c>
      <c r="R873" s="317" t="str">
        <f t="shared" si="310"/>
        <v/>
      </c>
      <c r="S873" s="317" t="str">
        <f t="shared" si="311"/>
        <v/>
      </c>
      <c r="V873" s="314">
        <f>SUM(ORÇAMENTO!N873)</f>
        <v>0</v>
      </c>
      <c r="W873" s="315">
        <f t="shared" si="303"/>
        <v>0</v>
      </c>
    </row>
    <row r="874" spans="1:23" ht="15" customHeight="1" thickBot="1">
      <c r="A874" s="63">
        <v>820000</v>
      </c>
      <c r="B874" s="1348" t="s">
        <v>306</v>
      </c>
      <c r="C874" s="1349" t="s">
        <v>184</v>
      </c>
      <c r="D874" s="1350" t="s">
        <v>292</v>
      </c>
      <c r="E874" s="1351"/>
      <c r="F874" s="1352"/>
      <c r="G874" s="1362"/>
      <c r="H874" s="1354">
        <v>542.29999999999995</v>
      </c>
      <c r="I874" s="1354">
        <f>IF(ISBLANK(H874),"",SUM(G874:H874))*0.85</f>
        <v>460.95499999999993</v>
      </c>
      <c r="J874" s="1355">
        <f t="shared" si="305"/>
        <v>563.38</v>
      </c>
      <c r="K874" s="1356" t="s">
        <v>15</v>
      </c>
      <c r="L874" s="1357">
        <v>58</v>
      </c>
      <c r="M874" s="1357">
        <f t="shared" si="307"/>
        <v>563.38</v>
      </c>
      <c r="N874" s="1358">
        <f t="shared" si="308"/>
        <v>32676.04</v>
      </c>
      <c r="O874" s="1359"/>
      <c r="Q874" s="317" t="str">
        <f t="shared" si="309"/>
        <v>x</v>
      </c>
      <c r="R874" s="317" t="str">
        <f t="shared" si="310"/>
        <v>x</v>
      </c>
      <c r="S874" s="317" t="str">
        <f t="shared" si="311"/>
        <v>x</v>
      </c>
      <c r="V874" s="314">
        <f>SUM(ORÇAMENTO!N874)</f>
        <v>32676.04</v>
      </c>
      <c r="W874" s="315">
        <f t="shared" si="303"/>
        <v>0</v>
      </c>
    </row>
    <row r="875" spans="1:23" ht="15" hidden="1" customHeight="1">
      <c r="A875" s="63">
        <v>820000</v>
      </c>
      <c r="B875" s="858" t="s">
        <v>307</v>
      </c>
      <c r="C875" s="859" t="s">
        <v>184</v>
      </c>
      <c r="D875" s="920" t="s">
        <v>293</v>
      </c>
      <c r="E875" s="1005"/>
      <c r="F875" s="921"/>
      <c r="G875" s="923"/>
      <c r="H875" s="864">
        <v>542.29999999999995</v>
      </c>
      <c r="I875" s="864">
        <f>IF(ISBLANK(H875),"",SUM(G875:H875))</f>
        <v>542.29999999999995</v>
      </c>
      <c r="J875" s="865">
        <f t="shared" si="305"/>
        <v>662.8</v>
      </c>
      <c r="K875" s="866" t="s">
        <v>15</v>
      </c>
      <c r="L875" s="879">
        <f>ROUND(SUM(ORÇAMENTO!L875),2)</f>
        <v>0</v>
      </c>
      <c r="M875" s="879">
        <f t="shared" si="307"/>
        <v>0</v>
      </c>
      <c r="N875" s="907">
        <f t="shared" si="308"/>
        <v>0</v>
      </c>
      <c r="O875" s="880"/>
      <c r="Q875" s="317" t="str">
        <f t="shared" si="309"/>
        <v/>
      </c>
      <c r="R875" s="317" t="str">
        <f t="shared" si="310"/>
        <v/>
      </c>
      <c r="S875" s="317" t="str">
        <f t="shared" si="311"/>
        <v/>
      </c>
      <c r="V875" s="314">
        <f>SUM(ORÇAMENTO!N875)</f>
        <v>0</v>
      </c>
      <c r="W875" s="315">
        <f t="shared" si="303"/>
        <v>0</v>
      </c>
    </row>
    <row r="876" spans="1:23" ht="15" hidden="1" customHeight="1">
      <c r="A876" s="63">
        <v>820000</v>
      </c>
      <c r="B876" s="870" t="s">
        <v>308</v>
      </c>
      <c r="C876" s="871" t="s">
        <v>184</v>
      </c>
      <c r="D876" s="881" t="s">
        <v>294</v>
      </c>
      <c r="E876" s="882"/>
      <c r="F876" s="883"/>
      <c r="G876" s="887"/>
      <c r="H876" s="876">
        <v>542.29999999999995</v>
      </c>
      <c r="I876" s="876">
        <f>IF(ISBLANK(H876),"",SUM(G876:H876))</f>
        <v>542.29999999999995</v>
      </c>
      <c r="J876" s="877">
        <f t="shared" si="305"/>
        <v>662.8</v>
      </c>
      <c r="K876" s="878" t="s">
        <v>15</v>
      </c>
      <c r="L876" s="879">
        <f>ROUND(SUM(ORÇAMENTO!L876),2)</f>
        <v>0</v>
      </c>
      <c r="M876" s="879">
        <f t="shared" si="307"/>
        <v>0</v>
      </c>
      <c r="N876" s="868">
        <f t="shared" si="308"/>
        <v>0</v>
      </c>
      <c r="O876" s="880"/>
      <c r="Q876" s="317" t="str">
        <f t="shared" si="309"/>
        <v/>
      </c>
      <c r="R876" s="317" t="str">
        <f t="shared" si="310"/>
        <v/>
      </c>
      <c r="S876" s="317" t="str">
        <f t="shared" si="311"/>
        <v/>
      </c>
      <c r="V876" s="314">
        <f>SUM(ORÇAMENTO!N876)</f>
        <v>0</v>
      </c>
      <c r="W876" s="315">
        <f t="shared" si="303"/>
        <v>0</v>
      </c>
    </row>
    <row r="877" spans="1:23" ht="15" hidden="1" customHeight="1">
      <c r="A877" s="63">
        <v>820000</v>
      </c>
      <c r="B877" s="870" t="s">
        <v>309</v>
      </c>
      <c r="C877" s="871" t="s">
        <v>184</v>
      </c>
      <c r="D877" s="881" t="s">
        <v>295</v>
      </c>
      <c r="E877" s="882"/>
      <c r="F877" s="883"/>
      <c r="G877" s="887"/>
      <c r="H877" s="876">
        <v>542.29999999999995</v>
      </c>
      <c r="I877" s="876">
        <f>IF(ISBLANK(H877),"",SUM(G877:H877))</f>
        <v>542.29999999999995</v>
      </c>
      <c r="J877" s="877">
        <f t="shared" si="305"/>
        <v>662.8</v>
      </c>
      <c r="K877" s="878" t="s">
        <v>15</v>
      </c>
      <c r="L877" s="879">
        <f>ROUND(SUM(ORÇAMENTO!L877),2)</f>
        <v>0</v>
      </c>
      <c r="M877" s="879">
        <f t="shared" si="307"/>
        <v>0</v>
      </c>
      <c r="N877" s="868">
        <f t="shared" si="308"/>
        <v>0</v>
      </c>
      <c r="O877" s="880"/>
      <c r="Q877" s="317" t="str">
        <f t="shared" si="309"/>
        <v/>
      </c>
      <c r="R877" s="317" t="str">
        <f t="shared" si="310"/>
        <v/>
      </c>
      <c r="S877" s="317" t="str">
        <f t="shared" si="311"/>
        <v/>
      </c>
      <c r="V877" s="314">
        <f>SUM(ORÇAMENTO!N877)</f>
        <v>0</v>
      </c>
      <c r="W877" s="315">
        <f t="shared" si="303"/>
        <v>0</v>
      </c>
    </row>
    <row r="878" spans="1:23" ht="15" hidden="1" customHeight="1">
      <c r="A878" s="63">
        <v>820000</v>
      </c>
      <c r="B878" s="870" t="s">
        <v>511</v>
      </c>
      <c r="C878" s="871" t="s">
        <v>184</v>
      </c>
      <c r="D878" s="881" t="s">
        <v>296</v>
      </c>
      <c r="E878" s="882"/>
      <c r="F878" s="883"/>
      <c r="G878" s="887"/>
      <c r="H878" s="876">
        <v>542.29999999999995</v>
      </c>
      <c r="I878" s="876">
        <f>IF(ISBLANK(H878),"",SUM(G878:H878))</f>
        <v>542.29999999999995</v>
      </c>
      <c r="J878" s="877">
        <f t="shared" si="305"/>
        <v>662.8</v>
      </c>
      <c r="K878" s="878" t="s">
        <v>15</v>
      </c>
      <c r="L878" s="885">
        <f>ROUND(SUM(ORÇAMENTO!L878),2)</f>
        <v>0</v>
      </c>
      <c r="M878" s="886">
        <f t="shared" si="307"/>
        <v>0</v>
      </c>
      <c r="N878" s="868">
        <f t="shared" si="308"/>
        <v>0</v>
      </c>
      <c r="O878" s="880"/>
      <c r="Q878" s="317" t="str">
        <f t="shared" si="309"/>
        <v/>
      </c>
      <c r="R878" s="317" t="str">
        <f t="shared" si="310"/>
        <v/>
      </c>
      <c r="S878" s="317" t="str">
        <f t="shared" si="311"/>
        <v/>
      </c>
      <c r="V878" s="314">
        <f>SUM(ORÇAMENTO!N878)</f>
        <v>0</v>
      </c>
      <c r="W878" s="315">
        <f t="shared" si="303"/>
        <v>0</v>
      </c>
    </row>
    <row r="879" spans="1:23" ht="30" hidden="1" customHeight="1">
      <c r="A879" s="63">
        <v>820000</v>
      </c>
      <c r="B879" s="870" t="s">
        <v>1774</v>
      </c>
      <c r="C879" s="871" t="s">
        <v>184</v>
      </c>
      <c r="D879" s="881" t="s">
        <v>528</v>
      </c>
      <c r="E879" s="882"/>
      <c r="F879" s="883"/>
      <c r="G879" s="887"/>
      <c r="H879" s="876">
        <v>542.29999999999995</v>
      </c>
      <c r="I879" s="876">
        <f>IF(ISBLANK(H879),"",SUM(G879:H879))</f>
        <v>542.29999999999995</v>
      </c>
      <c r="J879" s="877">
        <f t="shared" si="305"/>
        <v>662.8</v>
      </c>
      <c r="K879" s="878" t="s">
        <v>15</v>
      </c>
      <c r="L879" s="885">
        <f>ROUND(SUM(ORÇAMENTO!L879),2)</f>
        <v>0</v>
      </c>
      <c r="M879" s="886">
        <f t="shared" si="307"/>
        <v>0</v>
      </c>
      <c r="N879" s="868">
        <f t="shared" si="308"/>
        <v>0</v>
      </c>
      <c r="O879" s="880"/>
      <c r="Q879" s="317" t="str">
        <f t="shared" si="309"/>
        <v/>
      </c>
      <c r="R879" s="317" t="str">
        <f t="shared" si="310"/>
        <v/>
      </c>
      <c r="S879" s="317" t="str">
        <f t="shared" si="311"/>
        <v/>
      </c>
      <c r="V879" s="314">
        <f>SUM(ORÇAMENTO!N879)</f>
        <v>0</v>
      </c>
      <c r="W879" s="315">
        <f t="shared" si="303"/>
        <v>0</v>
      </c>
    </row>
    <row r="880" spans="1:23" ht="15" hidden="1" customHeight="1">
      <c r="B880" s="1097" t="s">
        <v>165</v>
      </c>
      <c r="C880" s="1285"/>
      <c r="D880" s="1286" t="s">
        <v>437</v>
      </c>
      <c r="E880" s="1287"/>
      <c r="F880" s="1288"/>
      <c r="G880" s="1289"/>
      <c r="H880" s="1290">
        <v>0</v>
      </c>
      <c r="I880" s="1290"/>
      <c r="J880" s="1290">
        <v>0</v>
      </c>
      <c r="K880" s="1291" t="s">
        <v>506</v>
      </c>
      <c r="L880" s="1292">
        <f>ROUND(SUM(ORÇAMENTO!L880),2)</f>
        <v>0</v>
      </c>
      <c r="M880" s="1293">
        <f t="shared" si="307"/>
        <v>0</v>
      </c>
      <c r="N880" s="1294">
        <f t="shared" si="308"/>
        <v>0</v>
      </c>
      <c r="O880" s="880"/>
      <c r="P880" s="58"/>
      <c r="Q880" s="317" t="str">
        <f t="shared" si="309"/>
        <v/>
      </c>
      <c r="R880" s="317" t="str">
        <f t="shared" si="310"/>
        <v/>
      </c>
      <c r="S880" s="317" t="str">
        <f t="shared" si="311"/>
        <v/>
      </c>
      <c r="V880" s="314">
        <f>SUM(ORÇAMENTO!N880)</f>
        <v>0</v>
      </c>
      <c r="W880" s="315">
        <f t="shared" si="303"/>
        <v>0</v>
      </c>
    </row>
    <row r="881" spans="1:23" ht="23.25" thickBot="1">
      <c r="B881" s="1348">
        <v>822000</v>
      </c>
      <c r="C881" s="1349" t="s">
        <v>184</v>
      </c>
      <c r="D881" s="1350" t="s">
        <v>2282</v>
      </c>
      <c r="E881" s="1351"/>
      <c r="F881" s="1352"/>
      <c r="G881" s="1362"/>
      <c r="H881" s="1354">
        <v>30.86</v>
      </c>
      <c r="I881" s="1354">
        <f t="shared" ref="I881" si="313">IF(ISBLANK(H881),"",SUM(G881:H881))</f>
        <v>30.86</v>
      </c>
      <c r="J881" s="1355">
        <f t="shared" ref="J881" si="314">IF(ISBLANK(I881),0,ROUND(I881*(1+$E$10),2))</f>
        <v>37.72</v>
      </c>
      <c r="K881" s="1356" t="s">
        <v>12</v>
      </c>
      <c r="L881" s="1357">
        <v>10340</v>
      </c>
      <c r="M881" s="1357">
        <f t="shared" ref="M881" si="315">IF(L881=0,0,ROUND(J881,2))</f>
        <v>37.72</v>
      </c>
      <c r="N881" s="1358">
        <f t="shared" ref="N881" si="316">IF(ISBLANK(L881),0,ROUND(L881*M881,2))</f>
        <v>390024.8</v>
      </c>
      <c r="O881" s="1359"/>
      <c r="Q881" s="317" t="str">
        <f t="shared" si="309"/>
        <v>x</v>
      </c>
      <c r="R881" s="317" t="str">
        <f t="shared" si="310"/>
        <v>x</v>
      </c>
      <c r="S881" s="317" t="str">
        <f t="shared" si="311"/>
        <v>x</v>
      </c>
      <c r="V881" s="314">
        <f>SUM(ORÇAMENTO!N881)</f>
        <v>390024.8</v>
      </c>
      <c r="W881" s="315">
        <f t="shared" si="303"/>
        <v>0</v>
      </c>
    </row>
    <row r="882" spans="1:23" ht="15" hidden="1" customHeight="1">
      <c r="A882" s="560" t="s">
        <v>165</v>
      </c>
      <c r="B882" s="1315" t="s">
        <v>165</v>
      </c>
      <c r="C882" s="1316" t="s">
        <v>165</v>
      </c>
      <c r="D882" s="906"/>
      <c r="E882" s="1314"/>
      <c r="F882" s="1317"/>
      <c r="G882" s="1318"/>
      <c r="H882" s="1319">
        <v>0</v>
      </c>
      <c r="I882" s="864">
        <f t="shared" ref="I882:I912" si="317">IF(ISBLANK(H882),"",SUM(G882:H882))</f>
        <v>0</v>
      </c>
      <c r="J882" s="865">
        <f t="shared" ref="J882:J912" si="318">IF(ISBLANK(H882),0,ROUND(I882*(1+$E$10),2))</f>
        <v>0</v>
      </c>
      <c r="K882" s="1317" t="s">
        <v>506</v>
      </c>
      <c r="L882" s="879">
        <f>ROUND(SUM(ORÇAMENTO!L882),2)</f>
        <v>0</v>
      </c>
      <c r="M882" s="879">
        <f t="shared" si="307"/>
        <v>0</v>
      </c>
      <c r="N882" s="907">
        <f t="shared" si="308"/>
        <v>0</v>
      </c>
      <c r="O882" s="880"/>
      <c r="Q882" s="317" t="str">
        <f t="shared" si="309"/>
        <v/>
      </c>
      <c r="R882" s="317" t="str">
        <f t="shared" si="310"/>
        <v/>
      </c>
      <c r="S882" s="317" t="str">
        <f t="shared" si="311"/>
        <v/>
      </c>
      <c r="V882" s="314">
        <f>SUM(ORÇAMENTO!N882)</f>
        <v>0</v>
      </c>
      <c r="W882" s="315">
        <f t="shared" si="303"/>
        <v>0</v>
      </c>
    </row>
    <row r="883" spans="1:23" ht="15" hidden="1" customHeight="1">
      <c r="A883" s="560" t="s">
        <v>165</v>
      </c>
      <c r="B883" s="899" t="s">
        <v>165</v>
      </c>
      <c r="C883" s="900" t="s">
        <v>165</v>
      </c>
      <c r="D883" s="901"/>
      <c r="E883" s="902"/>
      <c r="F883" s="903"/>
      <c r="G883" s="904"/>
      <c r="H883" s="905">
        <v>0</v>
      </c>
      <c r="I883" s="876">
        <f t="shared" si="317"/>
        <v>0</v>
      </c>
      <c r="J883" s="877">
        <f t="shared" si="318"/>
        <v>0</v>
      </c>
      <c r="K883" s="903" t="s">
        <v>506</v>
      </c>
      <c r="L883" s="879">
        <f>ROUND(SUM(ORÇAMENTO!L883),2)</f>
        <v>0</v>
      </c>
      <c r="M883" s="879">
        <f t="shared" si="307"/>
        <v>0</v>
      </c>
      <c r="N883" s="868">
        <f t="shared" si="308"/>
        <v>0</v>
      </c>
      <c r="O883" s="880"/>
      <c r="Q883" s="317" t="str">
        <f t="shared" si="309"/>
        <v/>
      </c>
      <c r="R883" s="317" t="str">
        <f t="shared" si="310"/>
        <v/>
      </c>
      <c r="S883" s="317" t="str">
        <f t="shared" si="311"/>
        <v/>
      </c>
      <c r="V883" s="314">
        <f>SUM(ORÇAMENTO!N883)</f>
        <v>0</v>
      </c>
      <c r="W883" s="315">
        <f t="shared" si="303"/>
        <v>0</v>
      </c>
    </row>
    <row r="884" spans="1:23" ht="15" hidden="1" customHeight="1">
      <c r="A884" s="560" t="s">
        <v>165</v>
      </c>
      <c r="B884" s="899" t="s">
        <v>165</v>
      </c>
      <c r="C884" s="900" t="s">
        <v>165</v>
      </c>
      <c r="D884" s="901"/>
      <c r="E884" s="902"/>
      <c r="F884" s="903"/>
      <c r="G884" s="904"/>
      <c r="H884" s="905">
        <v>0</v>
      </c>
      <c r="I884" s="876">
        <f t="shared" si="317"/>
        <v>0</v>
      </c>
      <c r="J884" s="877">
        <f t="shared" si="318"/>
        <v>0</v>
      </c>
      <c r="K884" s="903" t="s">
        <v>506</v>
      </c>
      <c r="L884" s="879">
        <f>ROUND(SUM(ORÇAMENTO!L884),2)</f>
        <v>0</v>
      </c>
      <c r="M884" s="879">
        <f t="shared" si="307"/>
        <v>0</v>
      </c>
      <c r="N884" s="868">
        <f t="shared" si="308"/>
        <v>0</v>
      </c>
      <c r="O884" s="880"/>
      <c r="Q884" s="317" t="str">
        <f t="shared" si="309"/>
        <v/>
      </c>
      <c r="R884" s="317" t="str">
        <f t="shared" si="310"/>
        <v/>
      </c>
      <c r="S884" s="317" t="str">
        <f t="shared" si="311"/>
        <v/>
      </c>
      <c r="V884" s="314">
        <f>SUM(ORÇAMENTO!N884)</f>
        <v>0</v>
      </c>
      <c r="W884" s="315">
        <f t="shared" si="303"/>
        <v>0</v>
      </c>
    </row>
    <row r="885" spans="1:23" ht="15" hidden="1" customHeight="1">
      <c r="A885" s="560" t="s">
        <v>165</v>
      </c>
      <c r="B885" s="899" t="s">
        <v>165</v>
      </c>
      <c r="C885" s="900" t="s">
        <v>165</v>
      </c>
      <c r="D885" s="901"/>
      <c r="E885" s="902"/>
      <c r="F885" s="903"/>
      <c r="G885" s="904"/>
      <c r="H885" s="905">
        <v>0</v>
      </c>
      <c r="I885" s="876">
        <f t="shared" si="317"/>
        <v>0</v>
      </c>
      <c r="J885" s="877">
        <f t="shared" si="318"/>
        <v>0</v>
      </c>
      <c r="K885" s="903" t="s">
        <v>506</v>
      </c>
      <c r="L885" s="879">
        <f>ROUND(SUM(ORÇAMENTO!L885),2)</f>
        <v>0</v>
      </c>
      <c r="M885" s="879">
        <f t="shared" si="307"/>
        <v>0</v>
      </c>
      <c r="N885" s="868">
        <f t="shared" si="308"/>
        <v>0</v>
      </c>
      <c r="O885" s="880"/>
      <c r="Q885" s="317" t="str">
        <f t="shared" si="309"/>
        <v/>
      </c>
      <c r="R885" s="317" t="str">
        <f t="shared" si="310"/>
        <v/>
      </c>
      <c r="S885" s="317" t="str">
        <f t="shared" si="311"/>
        <v/>
      </c>
      <c r="V885" s="314">
        <f>SUM(ORÇAMENTO!N885)</f>
        <v>0</v>
      </c>
      <c r="W885" s="315">
        <f t="shared" si="303"/>
        <v>0</v>
      </c>
    </row>
    <row r="886" spans="1:23" ht="15" hidden="1" customHeight="1">
      <c r="A886" s="560" t="s">
        <v>165</v>
      </c>
      <c r="B886" s="899" t="s">
        <v>165</v>
      </c>
      <c r="C886" s="900" t="s">
        <v>165</v>
      </c>
      <c r="D886" s="901"/>
      <c r="E886" s="902"/>
      <c r="F886" s="903"/>
      <c r="G886" s="904"/>
      <c r="H886" s="905">
        <v>0</v>
      </c>
      <c r="I886" s="876">
        <f t="shared" si="317"/>
        <v>0</v>
      </c>
      <c r="J886" s="877">
        <f t="shared" si="318"/>
        <v>0</v>
      </c>
      <c r="K886" s="903" t="s">
        <v>506</v>
      </c>
      <c r="L886" s="879">
        <f>ROUND(SUM(ORÇAMENTO!L886),2)</f>
        <v>0</v>
      </c>
      <c r="M886" s="879">
        <f t="shared" si="307"/>
        <v>0</v>
      </c>
      <c r="N886" s="868">
        <f t="shared" si="308"/>
        <v>0</v>
      </c>
      <c r="O886" s="880"/>
      <c r="Q886" s="317" t="str">
        <f t="shared" si="309"/>
        <v/>
      </c>
      <c r="R886" s="317" t="str">
        <f t="shared" si="310"/>
        <v/>
      </c>
      <c r="S886" s="317" t="str">
        <f t="shared" si="311"/>
        <v/>
      </c>
      <c r="V886" s="314">
        <f>SUM(ORÇAMENTO!N886)</f>
        <v>0</v>
      </c>
      <c r="W886" s="315">
        <f t="shared" si="303"/>
        <v>0</v>
      </c>
    </row>
    <row r="887" spans="1:23" ht="15" hidden="1" customHeight="1">
      <c r="A887" s="560" t="s">
        <v>165</v>
      </c>
      <c r="B887" s="899" t="s">
        <v>165</v>
      </c>
      <c r="C887" s="900" t="s">
        <v>165</v>
      </c>
      <c r="D887" s="901"/>
      <c r="E887" s="902"/>
      <c r="F887" s="903"/>
      <c r="G887" s="904"/>
      <c r="H887" s="905">
        <v>0</v>
      </c>
      <c r="I887" s="876">
        <f t="shared" si="317"/>
        <v>0</v>
      </c>
      <c r="J887" s="877">
        <f t="shared" si="318"/>
        <v>0</v>
      </c>
      <c r="K887" s="903" t="s">
        <v>506</v>
      </c>
      <c r="L887" s="879">
        <f>ROUND(SUM(ORÇAMENTO!L887),2)</f>
        <v>0</v>
      </c>
      <c r="M887" s="879">
        <f t="shared" si="307"/>
        <v>0</v>
      </c>
      <c r="N887" s="868">
        <f t="shared" si="308"/>
        <v>0</v>
      </c>
      <c r="O887" s="880"/>
      <c r="Q887" s="317" t="str">
        <f t="shared" si="309"/>
        <v/>
      </c>
      <c r="R887" s="317" t="str">
        <f t="shared" si="310"/>
        <v/>
      </c>
      <c r="S887" s="317" t="str">
        <f t="shared" si="311"/>
        <v/>
      </c>
      <c r="V887" s="314">
        <f>SUM(ORÇAMENTO!N887)</f>
        <v>0</v>
      </c>
      <c r="W887" s="315">
        <f t="shared" si="303"/>
        <v>0</v>
      </c>
    </row>
    <row r="888" spans="1:23" ht="15" hidden="1" customHeight="1">
      <c r="A888" s="560" t="s">
        <v>165</v>
      </c>
      <c r="B888" s="899" t="s">
        <v>165</v>
      </c>
      <c r="C888" s="900" t="s">
        <v>165</v>
      </c>
      <c r="D888" s="901"/>
      <c r="E888" s="902"/>
      <c r="F888" s="903"/>
      <c r="G888" s="904"/>
      <c r="H888" s="905">
        <v>0</v>
      </c>
      <c r="I888" s="876">
        <f t="shared" si="317"/>
        <v>0</v>
      </c>
      <c r="J888" s="877">
        <f t="shared" si="318"/>
        <v>0</v>
      </c>
      <c r="K888" s="903" t="s">
        <v>506</v>
      </c>
      <c r="L888" s="879">
        <f>ROUND(SUM(ORÇAMENTO!L888),2)</f>
        <v>0</v>
      </c>
      <c r="M888" s="879">
        <f t="shared" si="307"/>
        <v>0</v>
      </c>
      <c r="N888" s="868">
        <f t="shared" si="308"/>
        <v>0</v>
      </c>
      <c r="O888" s="880"/>
      <c r="Q888" s="317" t="str">
        <f t="shared" si="309"/>
        <v/>
      </c>
      <c r="R888" s="317" t="str">
        <f t="shared" si="310"/>
        <v/>
      </c>
      <c r="S888" s="317" t="str">
        <f t="shared" si="311"/>
        <v/>
      </c>
      <c r="V888" s="314">
        <f>SUM(ORÇAMENTO!N888)</f>
        <v>0</v>
      </c>
      <c r="W888" s="315">
        <f t="shared" si="303"/>
        <v>0</v>
      </c>
    </row>
    <row r="889" spans="1:23" ht="15" hidden="1" customHeight="1">
      <c r="A889" s="560" t="s">
        <v>165</v>
      </c>
      <c r="B889" s="899" t="s">
        <v>165</v>
      </c>
      <c r="C889" s="900" t="s">
        <v>165</v>
      </c>
      <c r="D889" s="901"/>
      <c r="E889" s="902"/>
      <c r="F889" s="903"/>
      <c r="G889" s="904"/>
      <c r="H889" s="905">
        <v>0</v>
      </c>
      <c r="I889" s="876">
        <f t="shared" si="317"/>
        <v>0</v>
      </c>
      <c r="J889" s="877">
        <f t="shared" si="318"/>
        <v>0</v>
      </c>
      <c r="K889" s="903" t="s">
        <v>506</v>
      </c>
      <c r="L889" s="879">
        <f>ROUND(SUM(ORÇAMENTO!L889),2)</f>
        <v>0</v>
      </c>
      <c r="M889" s="879">
        <f t="shared" si="307"/>
        <v>0</v>
      </c>
      <c r="N889" s="868">
        <f t="shared" si="308"/>
        <v>0</v>
      </c>
      <c r="O889" s="880"/>
      <c r="Q889" s="317" t="str">
        <f t="shared" si="309"/>
        <v/>
      </c>
      <c r="R889" s="317" t="str">
        <f t="shared" si="310"/>
        <v/>
      </c>
      <c r="S889" s="317" t="str">
        <f t="shared" si="311"/>
        <v/>
      </c>
      <c r="V889" s="314">
        <f>SUM(ORÇAMENTO!N889)</f>
        <v>0</v>
      </c>
      <c r="W889" s="315">
        <f t="shared" si="303"/>
        <v>0</v>
      </c>
    </row>
    <row r="890" spans="1:23" ht="15" hidden="1" customHeight="1">
      <c r="A890" s="560" t="s">
        <v>165</v>
      </c>
      <c r="B890" s="899" t="s">
        <v>165</v>
      </c>
      <c r="C890" s="900" t="s">
        <v>165</v>
      </c>
      <c r="D890" s="901"/>
      <c r="E890" s="902"/>
      <c r="F890" s="903"/>
      <c r="G890" s="904"/>
      <c r="H890" s="905">
        <v>0</v>
      </c>
      <c r="I890" s="876">
        <f t="shared" si="317"/>
        <v>0</v>
      </c>
      <c r="J890" s="877">
        <f t="shared" si="318"/>
        <v>0</v>
      </c>
      <c r="K890" s="903" t="s">
        <v>506</v>
      </c>
      <c r="L890" s="879">
        <f>ROUND(SUM(ORÇAMENTO!L890),2)</f>
        <v>0</v>
      </c>
      <c r="M890" s="879">
        <f t="shared" si="307"/>
        <v>0</v>
      </c>
      <c r="N890" s="868">
        <f t="shared" si="308"/>
        <v>0</v>
      </c>
      <c r="O890" s="880"/>
      <c r="Q890" s="317" t="str">
        <f t="shared" si="309"/>
        <v/>
      </c>
      <c r="R890" s="317" t="str">
        <f t="shared" si="310"/>
        <v/>
      </c>
      <c r="S890" s="317" t="str">
        <f t="shared" si="311"/>
        <v/>
      </c>
      <c r="V890" s="314">
        <f>SUM(ORÇAMENTO!N890)</f>
        <v>0</v>
      </c>
      <c r="W890" s="315">
        <f t="shared" si="303"/>
        <v>0</v>
      </c>
    </row>
    <row r="891" spans="1:23" ht="15" hidden="1" customHeight="1">
      <c r="A891" s="560" t="s">
        <v>165</v>
      </c>
      <c r="B891" s="899" t="s">
        <v>165</v>
      </c>
      <c r="C891" s="900" t="s">
        <v>165</v>
      </c>
      <c r="D891" s="901"/>
      <c r="E891" s="902"/>
      <c r="F891" s="903"/>
      <c r="G891" s="904"/>
      <c r="H891" s="905">
        <v>0</v>
      </c>
      <c r="I891" s="876">
        <f t="shared" si="317"/>
        <v>0</v>
      </c>
      <c r="J891" s="877">
        <f t="shared" si="318"/>
        <v>0</v>
      </c>
      <c r="K891" s="903" t="s">
        <v>506</v>
      </c>
      <c r="L891" s="879">
        <f>ROUND(SUM(ORÇAMENTO!L891),2)</f>
        <v>0</v>
      </c>
      <c r="M891" s="879">
        <f t="shared" si="307"/>
        <v>0</v>
      </c>
      <c r="N891" s="868">
        <f t="shared" si="308"/>
        <v>0</v>
      </c>
      <c r="O891" s="880"/>
      <c r="Q891" s="317" t="str">
        <f t="shared" si="309"/>
        <v/>
      </c>
      <c r="R891" s="317" t="str">
        <f t="shared" si="310"/>
        <v/>
      </c>
      <c r="S891" s="317" t="str">
        <f t="shared" si="311"/>
        <v/>
      </c>
      <c r="V891" s="314">
        <f>SUM(ORÇAMENTO!N891)</f>
        <v>0</v>
      </c>
      <c r="W891" s="315">
        <f t="shared" si="303"/>
        <v>0</v>
      </c>
    </row>
    <row r="892" spans="1:23" ht="15" hidden="1" customHeight="1">
      <c r="A892" s="560" t="s">
        <v>165</v>
      </c>
      <c r="B892" s="899" t="s">
        <v>165</v>
      </c>
      <c r="C892" s="900" t="s">
        <v>165</v>
      </c>
      <c r="D892" s="901"/>
      <c r="E892" s="902"/>
      <c r="F892" s="903"/>
      <c r="G892" s="904"/>
      <c r="H892" s="905">
        <v>0</v>
      </c>
      <c r="I892" s="876">
        <f t="shared" si="317"/>
        <v>0</v>
      </c>
      <c r="J892" s="877">
        <f t="shared" si="318"/>
        <v>0</v>
      </c>
      <c r="K892" s="903" t="s">
        <v>506</v>
      </c>
      <c r="L892" s="879">
        <f>ROUND(SUM(ORÇAMENTO!L892),2)</f>
        <v>0</v>
      </c>
      <c r="M892" s="879">
        <f t="shared" si="307"/>
        <v>0</v>
      </c>
      <c r="N892" s="868">
        <f t="shared" si="308"/>
        <v>0</v>
      </c>
      <c r="O892" s="880"/>
      <c r="Q892" s="317" t="str">
        <f t="shared" si="309"/>
        <v/>
      </c>
      <c r="R892" s="317" t="str">
        <f t="shared" si="310"/>
        <v/>
      </c>
      <c r="S892" s="317" t="str">
        <f t="shared" si="311"/>
        <v/>
      </c>
      <c r="V892" s="314">
        <f>SUM(ORÇAMENTO!N892)</f>
        <v>0</v>
      </c>
      <c r="W892" s="315">
        <f t="shared" si="303"/>
        <v>0</v>
      </c>
    </row>
    <row r="893" spans="1:23" ht="15" hidden="1" customHeight="1">
      <c r="A893" s="560" t="s">
        <v>165</v>
      </c>
      <c r="B893" s="899" t="s">
        <v>165</v>
      </c>
      <c r="C893" s="900" t="s">
        <v>165</v>
      </c>
      <c r="D893" s="901"/>
      <c r="E893" s="902"/>
      <c r="F893" s="903"/>
      <c r="G893" s="904"/>
      <c r="H893" s="905">
        <v>0</v>
      </c>
      <c r="I893" s="876">
        <f t="shared" si="317"/>
        <v>0</v>
      </c>
      <c r="J893" s="877">
        <f t="shared" si="318"/>
        <v>0</v>
      </c>
      <c r="K893" s="903" t="s">
        <v>506</v>
      </c>
      <c r="L893" s="879">
        <f>ROUND(SUM(ORÇAMENTO!L893),2)</f>
        <v>0</v>
      </c>
      <c r="M893" s="879">
        <f t="shared" si="307"/>
        <v>0</v>
      </c>
      <c r="N893" s="868">
        <f t="shared" si="308"/>
        <v>0</v>
      </c>
      <c r="O893" s="880"/>
      <c r="Q893" s="317" t="str">
        <f t="shared" si="309"/>
        <v/>
      </c>
      <c r="R893" s="317" t="str">
        <f t="shared" si="310"/>
        <v/>
      </c>
      <c r="S893" s="317" t="str">
        <f t="shared" si="311"/>
        <v/>
      </c>
      <c r="V893" s="314">
        <f>SUM(ORÇAMENTO!N893)</f>
        <v>0</v>
      </c>
      <c r="W893" s="315">
        <f t="shared" si="303"/>
        <v>0</v>
      </c>
    </row>
    <row r="894" spans="1:23" ht="15" hidden="1" customHeight="1">
      <c r="A894" s="560" t="s">
        <v>165</v>
      </c>
      <c r="B894" s="899" t="s">
        <v>165</v>
      </c>
      <c r="C894" s="900" t="s">
        <v>165</v>
      </c>
      <c r="D894" s="901"/>
      <c r="E894" s="902"/>
      <c r="F894" s="903"/>
      <c r="G894" s="904"/>
      <c r="H894" s="905">
        <v>0</v>
      </c>
      <c r="I894" s="876">
        <f t="shared" si="317"/>
        <v>0</v>
      </c>
      <c r="J894" s="877">
        <f t="shared" si="318"/>
        <v>0</v>
      </c>
      <c r="K894" s="903" t="s">
        <v>506</v>
      </c>
      <c r="L894" s="879">
        <f>ROUND(SUM(ORÇAMENTO!L894),2)</f>
        <v>0</v>
      </c>
      <c r="M894" s="879">
        <f t="shared" si="307"/>
        <v>0</v>
      </c>
      <c r="N894" s="868">
        <f t="shared" si="308"/>
        <v>0</v>
      </c>
      <c r="O894" s="880"/>
      <c r="Q894" s="317" t="str">
        <f t="shared" si="309"/>
        <v/>
      </c>
      <c r="R894" s="317" t="str">
        <f t="shared" si="310"/>
        <v/>
      </c>
      <c r="S894" s="317" t="str">
        <f t="shared" si="311"/>
        <v/>
      </c>
      <c r="V894" s="314">
        <f>SUM(ORÇAMENTO!N894)</f>
        <v>0</v>
      </c>
      <c r="W894" s="315">
        <f t="shared" si="303"/>
        <v>0</v>
      </c>
    </row>
    <row r="895" spans="1:23" ht="15" hidden="1" customHeight="1">
      <c r="A895" s="560" t="s">
        <v>165</v>
      </c>
      <c r="B895" s="899" t="s">
        <v>165</v>
      </c>
      <c r="C895" s="900" t="s">
        <v>165</v>
      </c>
      <c r="D895" s="901"/>
      <c r="E895" s="902"/>
      <c r="F895" s="903"/>
      <c r="G895" s="904"/>
      <c r="H895" s="905">
        <v>0</v>
      </c>
      <c r="I895" s="876">
        <f t="shared" si="317"/>
        <v>0</v>
      </c>
      <c r="J895" s="877">
        <f t="shared" si="318"/>
        <v>0</v>
      </c>
      <c r="K895" s="903" t="s">
        <v>506</v>
      </c>
      <c r="L895" s="879">
        <f>ROUND(SUM(ORÇAMENTO!L895),2)</f>
        <v>0</v>
      </c>
      <c r="M895" s="879">
        <f t="shared" si="307"/>
        <v>0</v>
      </c>
      <c r="N895" s="868">
        <f t="shared" si="308"/>
        <v>0</v>
      </c>
      <c r="O895" s="880"/>
      <c r="Q895" s="317" t="str">
        <f t="shared" si="309"/>
        <v/>
      </c>
      <c r="R895" s="317" t="str">
        <f t="shared" si="310"/>
        <v/>
      </c>
      <c r="S895" s="317" t="str">
        <f t="shared" si="311"/>
        <v/>
      </c>
      <c r="V895" s="314">
        <f>SUM(ORÇAMENTO!N895)</f>
        <v>0</v>
      </c>
      <c r="W895" s="315">
        <f t="shared" si="303"/>
        <v>0</v>
      </c>
    </row>
    <row r="896" spans="1:23" ht="15" hidden="1" customHeight="1">
      <c r="A896" s="560" t="s">
        <v>165</v>
      </c>
      <c r="B896" s="899" t="s">
        <v>165</v>
      </c>
      <c r="C896" s="900" t="s">
        <v>165</v>
      </c>
      <c r="D896" s="901"/>
      <c r="E896" s="902"/>
      <c r="F896" s="903"/>
      <c r="G896" s="904"/>
      <c r="H896" s="905">
        <v>0</v>
      </c>
      <c r="I896" s="876">
        <f t="shared" si="317"/>
        <v>0</v>
      </c>
      <c r="J896" s="877">
        <f t="shared" si="318"/>
        <v>0</v>
      </c>
      <c r="K896" s="903" t="s">
        <v>506</v>
      </c>
      <c r="L896" s="879">
        <f>ROUND(SUM(ORÇAMENTO!L896),2)</f>
        <v>0</v>
      </c>
      <c r="M896" s="879">
        <f t="shared" si="307"/>
        <v>0</v>
      </c>
      <c r="N896" s="868">
        <f t="shared" si="308"/>
        <v>0</v>
      </c>
      <c r="O896" s="880"/>
      <c r="Q896" s="317" t="str">
        <f t="shared" si="309"/>
        <v/>
      </c>
      <c r="R896" s="317" t="str">
        <f t="shared" si="310"/>
        <v/>
      </c>
      <c r="S896" s="317" t="str">
        <f t="shared" si="311"/>
        <v/>
      </c>
      <c r="V896" s="314">
        <f>SUM(ORÇAMENTO!N896)</f>
        <v>0</v>
      </c>
      <c r="W896" s="315">
        <f t="shared" si="303"/>
        <v>0</v>
      </c>
    </row>
    <row r="897" spans="1:23" ht="15" hidden="1" customHeight="1">
      <c r="A897" s="560" t="s">
        <v>165</v>
      </c>
      <c r="B897" s="899" t="s">
        <v>165</v>
      </c>
      <c r="C897" s="900" t="s">
        <v>165</v>
      </c>
      <c r="D897" s="901"/>
      <c r="E897" s="902"/>
      <c r="F897" s="903"/>
      <c r="G897" s="904"/>
      <c r="H897" s="905">
        <v>0</v>
      </c>
      <c r="I897" s="876">
        <f t="shared" si="317"/>
        <v>0</v>
      </c>
      <c r="J897" s="877">
        <f t="shared" si="318"/>
        <v>0</v>
      </c>
      <c r="K897" s="903" t="s">
        <v>506</v>
      </c>
      <c r="L897" s="879">
        <f>ROUND(SUM(ORÇAMENTO!L897),2)</f>
        <v>0</v>
      </c>
      <c r="M897" s="879">
        <f t="shared" si="307"/>
        <v>0</v>
      </c>
      <c r="N897" s="868">
        <f t="shared" si="308"/>
        <v>0</v>
      </c>
      <c r="O897" s="880"/>
      <c r="Q897" s="317" t="str">
        <f t="shared" si="309"/>
        <v/>
      </c>
      <c r="R897" s="317" t="str">
        <f t="shared" si="310"/>
        <v/>
      </c>
      <c r="S897" s="317" t="str">
        <f t="shared" si="311"/>
        <v/>
      </c>
      <c r="V897" s="314">
        <f>SUM(ORÇAMENTO!N897)</f>
        <v>0</v>
      </c>
      <c r="W897" s="315">
        <f t="shared" si="303"/>
        <v>0</v>
      </c>
    </row>
    <row r="898" spans="1:23" ht="15" hidden="1" customHeight="1">
      <c r="A898" s="560" t="s">
        <v>165</v>
      </c>
      <c r="B898" s="899" t="s">
        <v>165</v>
      </c>
      <c r="C898" s="900" t="s">
        <v>165</v>
      </c>
      <c r="D898" s="901"/>
      <c r="E898" s="902"/>
      <c r="F898" s="903"/>
      <c r="G898" s="904"/>
      <c r="H898" s="905">
        <v>0</v>
      </c>
      <c r="I898" s="876">
        <f t="shared" si="317"/>
        <v>0</v>
      </c>
      <c r="J898" s="877">
        <f t="shared" si="318"/>
        <v>0</v>
      </c>
      <c r="K898" s="903" t="s">
        <v>506</v>
      </c>
      <c r="L898" s="879">
        <f>ROUND(SUM(ORÇAMENTO!L898),2)</f>
        <v>0</v>
      </c>
      <c r="M898" s="879">
        <f t="shared" si="307"/>
        <v>0</v>
      </c>
      <c r="N898" s="868">
        <f t="shared" si="308"/>
        <v>0</v>
      </c>
      <c r="O898" s="880"/>
      <c r="Q898" s="317" t="str">
        <f t="shared" si="309"/>
        <v/>
      </c>
      <c r="R898" s="317" t="str">
        <f t="shared" si="310"/>
        <v/>
      </c>
      <c r="S898" s="317" t="str">
        <f t="shared" si="311"/>
        <v/>
      </c>
      <c r="V898" s="314">
        <f>SUM(ORÇAMENTO!N898)</f>
        <v>0</v>
      </c>
      <c r="W898" s="315">
        <f t="shared" si="303"/>
        <v>0</v>
      </c>
    </row>
    <row r="899" spans="1:23" ht="15" hidden="1" customHeight="1">
      <c r="A899" s="560" t="s">
        <v>165</v>
      </c>
      <c r="B899" s="899" t="s">
        <v>165</v>
      </c>
      <c r="C899" s="900" t="s">
        <v>165</v>
      </c>
      <c r="D899" s="901"/>
      <c r="E899" s="902"/>
      <c r="F899" s="903"/>
      <c r="G899" s="904"/>
      <c r="H899" s="905">
        <v>0</v>
      </c>
      <c r="I899" s="876">
        <f t="shared" si="317"/>
        <v>0</v>
      </c>
      <c r="J899" s="877">
        <f t="shared" si="318"/>
        <v>0</v>
      </c>
      <c r="K899" s="903" t="s">
        <v>506</v>
      </c>
      <c r="L899" s="879">
        <f>ROUND(SUM(ORÇAMENTO!L899),2)</f>
        <v>0</v>
      </c>
      <c r="M899" s="879">
        <f t="shared" si="307"/>
        <v>0</v>
      </c>
      <c r="N899" s="868">
        <f t="shared" si="308"/>
        <v>0</v>
      </c>
      <c r="O899" s="880"/>
      <c r="Q899" s="317" t="str">
        <f t="shared" si="309"/>
        <v/>
      </c>
      <c r="R899" s="317" t="str">
        <f t="shared" si="310"/>
        <v/>
      </c>
      <c r="S899" s="317" t="str">
        <f t="shared" si="311"/>
        <v/>
      </c>
      <c r="V899" s="314">
        <f>SUM(ORÇAMENTO!N899)</f>
        <v>0</v>
      </c>
      <c r="W899" s="315">
        <f t="shared" si="303"/>
        <v>0</v>
      </c>
    </row>
    <row r="900" spans="1:23" ht="15" hidden="1" customHeight="1">
      <c r="A900" s="560" t="s">
        <v>165</v>
      </c>
      <c r="B900" s="899" t="s">
        <v>165</v>
      </c>
      <c r="C900" s="900" t="s">
        <v>165</v>
      </c>
      <c r="D900" s="901"/>
      <c r="E900" s="902"/>
      <c r="F900" s="903"/>
      <c r="G900" s="904"/>
      <c r="H900" s="905">
        <v>0</v>
      </c>
      <c r="I900" s="876">
        <f t="shared" si="317"/>
        <v>0</v>
      </c>
      <c r="J900" s="877">
        <f t="shared" si="318"/>
        <v>0</v>
      </c>
      <c r="K900" s="903" t="s">
        <v>506</v>
      </c>
      <c r="L900" s="879">
        <f>ROUND(SUM(ORÇAMENTO!L900),2)</f>
        <v>0</v>
      </c>
      <c r="M900" s="879">
        <f t="shared" si="307"/>
        <v>0</v>
      </c>
      <c r="N900" s="868">
        <f t="shared" si="308"/>
        <v>0</v>
      </c>
      <c r="O900" s="880"/>
      <c r="Q900" s="317" t="str">
        <f t="shared" si="309"/>
        <v/>
      </c>
      <c r="R900" s="317" t="str">
        <f t="shared" si="310"/>
        <v/>
      </c>
      <c r="S900" s="317" t="str">
        <f t="shared" si="311"/>
        <v/>
      </c>
      <c r="V900" s="314">
        <f>SUM(ORÇAMENTO!N900)</f>
        <v>0</v>
      </c>
      <c r="W900" s="315">
        <f t="shared" si="303"/>
        <v>0</v>
      </c>
    </row>
    <row r="901" spans="1:23" ht="15" hidden="1" customHeight="1">
      <c r="A901" s="560" t="s">
        <v>165</v>
      </c>
      <c r="B901" s="899" t="s">
        <v>165</v>
      </c>
      <c r="C901" s="900" t="s">
        <v>165</v>
      </c>
      <c r="D901" s="901"/>
      <c r="E901" s="902"/>
      <c r="F901" s="903"/>
      <c r="G901" s="904"/>
      <c r="H901" s="905">
        <v>0</v>
      </c>
      <c r="I901" s="876">
        <f t="shared" si="317"/>
        <v>0</v>
      </c>
      <c r="J901" s="877">
        <f t="shared" si="318"/>
        <v>0</v>
      </c>
      <c r="K901" s="903" t="s">
        <v>506</v>
      </c>
      <c r="L901" s="879">
        <f>ROUND(SUM(ORÇAMENTO!L901),2)</f>
        <v>0</v>
      </c>
      <c r="M901" s="879">
        <f t="shared" si="307"/>
        <v>0</v>
      </c>
      <c r="N901" s="868">
        <f t="shared" si="308"/>
        <v>0</v>
      </c>
      <c r="O901" s="880"/>
      <c r="Q901" s="317" t="str">
        <f t="shared" si="309"/>
        <v/>
      </c>
      <c r="R901" s="317" t="str">
        <f t="shared" si="310"/>
        <v/>
      </c>
      <c r="S901" s="317" t="str">
        <f t="shared" si="311"/>
        <v/>
      </c>
      <c r="V901" s="314">
        <f>SUM(ORÇAMENTO!N901)</f>
        <v>0</v>
      </c>
      <c r="W901" s="315">
        <f t="shared" si="303"/>
        <v>0</v>
      </c>
    </row>
    <row r="902" spans="1:23" ht="15" hidden="1" customHeight="1">
      <c r="A902" s="560" t="s">
        <v>165</v>
      </c>
      <c r="B902" s="899" t="s">
        <v>165</v>
      </c>
      <c r="C902" s="900" t="s">
        <v>165</v>
      </c>
      <c r="D902" s="901"/>
      <c r="E902" s="902"/>
      <c r="F902" s="903"/>
      <c r="G902" s="904"/>
      <c r="H902" s="905">
        <v>0</v>
      </c>
      <c r="I902" s="876">
        <f t="shared" si="317"/>
        <v>0</v>
      </c>
      <c r="J902" s="877">
        <f t="shared" si="318"/>
        <v>0</v>
      </c>
      <c r="K902" s="903" t="s">
        <v>506</v>
      </c>
      <c r="L902" s="879">
        <f>ROUND(SUM(ORÇAMENTO!L902),2)</f>
        <v>0</v>
      </c>
      <c r="M902" s="879">
        <f t="shared" si="307"/>
        <v>0</v>
      </c>
      <c r="N902" s="868">
        <f t="shared" si="308"/>
        <v>0</v>
      </c>
      <c r="O902" s="880"/>
      <c r="Q902" s="317" t="str">
        <f t="shared" si="309"/>
        <v/>
      </c>
      <c r="R902" s="317" t="str">
        <f t="shared" si="310"/>
        <v/>
      </c>
      <c r="S902" s="317" t="str">
        <f t="shared" si="311"/>
        <v/>
      </c>
      <c r="V902" s="314">
        <f>SUM(ORÇAMENTO!N902)</f>
        <v>0</v>
      </c>
      <c r="W902" s="315">
        <f t="shared" si="303"/>
        <v>0</v>
      </c>
    </row>
    <row r="903" spans="1:23" ht="15" hidden="1" customHeight="1">
      <c r="A903" s="560" t="s">
        <v>165</v>
      </c>
      <c r="B903" s="899" t="s">
        <v>165</v>
      </c>
      <c r="C903" s="900" t="s">
        <v>165</v>
      </c>
      <c r="D903" s="901"/>
      <c r="E903" s="902"/>
      <c r="F903" s="903"/>
      <c r="G903" s="904"/>
      <c r="H903" s="905">
        <v>0</v>
      </c>
      <c r="I903" s="876">
        <f t="shared" si="317"/>
        <v>0</v>
      </c>
      <c r="J903" s="877">
        <f t="shared" si="318"/>
        <v>0</v>
      </c>
      <c r="K903" s="903" t="s">
        <v>506</v>
      </c>
      <c r="L903" s="879">
        <f>ROUND(SUM(ORÇAMENTO!L903),2)</f>
        <v>0</v>
      </c>
      <c r="M903" s="879">
        <f t="shared" si="307"/>
        <v>0</v>
      </c>
      <c r="N903" s="868">
        <f t="shared" si="308"/>
        <v>0</v>
      </c>
      <c r="O903" s="880"/>
      <c r="Q903" s="317" t="str">
        <f t="shared" si="309"/>
        <v/>
      </c>
      <c r="R903" s="317" t="str">
        <f t="shared" si="310"/>
        <v/>
      </c>
      <c r="S903" s="317" t="str">
        <f t="shared" si="311"/>
        <v/>
      </c>
      <c r="V903" s="314">
        <f>SUM(ORÇAMENTO!N903)</f>
        <v>0</v>
      </c>
      <c r="W903" s="315">
        <f t="shared" si="303"/>
        <v>0</v>
      </c>
    </row>
    <row r="904" spans="1:23" ht="15" hidden="1" customHeight="1">
      <c r="A904" s="560" t="s">
        <v>165</v>
      </c>
      <c r="B904" s="899" t="s">
        <v>165</v>
      </c>
      <c r="C904" s="900" t="s">
        <v>165</v>
      </c>
      <c r="D904" s="901"/>
      <c r="E904" s="902"/>
      <c r="F904" s="903"/>
      <c r="G904" s="904"/>
      <c r="H904" s="905">
        <v>0</v>
      </c>
      <c r="I904" s="876">
        <f t="shared" si="317"/>
        <v>0</v>
      </c>
      <c r="J904" s="877">
        <f t="shared" si="318"/>
        <v>0</v>
      </c>
      <c r="K904" s="903" t="s">
        <v>506</v>
      </c>
      <c r="L904" s="879">
        <f>ROUND(SUM(ORÇAMENTO!L904),2)</f>
        <v>0</v>
      </c>
      <c r="M904" s="879">
        <f t="shared" si="307"/>
        <v>0</v>
      </c>
      <c r="N904" s="868">
        <f t="shared" si="308"/>
        <v>0</v>
      </c>
      <c r="O904" s="880"/>
      <c r="Q904" s="317" t="str">
        <f t="shared" si="309"/>
        <v/>
      </c>
      <c r="R904" s="317" t="str">
        <f t="shared" si="310"/>
        <v/>
      </c>
      <c r="S904" s="317" t="str">
        <f t="shared" si="311"/>
        <v/>
      </c>
      <c r="V904" s="314">
        <f>SUM(ORÇAMENTO!N904)</f>
        <v>0</v>
      </c>
      <c r="W904" s="315">
        <f t="shared" si="303"/>
        <v>0</v>
      </c>
    </row>
    <row r="905" spans="1:23" ht="15" hidden="1" customHeight="1">
      <c r="A905" s="560" t="s">
        <v>165</v>
      </c>
      <c r="B905" s="899" t="s">
        <v>165</v>
      </c>
      <c r="C905" s="900" t="s">
        <v>165</v>
      </c>
      <c r="D905" s="901"/>
      <c r="E905" s="902"/>
      <c r="F905" s="903"/>
      <c r="G905" s="904"/>
      <c r="H905" s="905">
        <v>0</v>
      </c>
      <c r="I905" s="876">
        <f t="shared" si="317"/>
        <v>0</v>
      </c>
      <c r="J905" s="877">
        <f t="shared" si="318"/>
        <v>0</v>
      </c>
      <c r="K905" s="903" t="s">
        <v>506</v>
      </c>
      <c r="L905" s="879">
        <f>ROUND(SUM(ORÇAMENTO!L905),2)</f>
        <v>0</v>
      </c>
      <c r="M905" s="879">
        <f t="shared" si="307"/>
        <v>0</v>
      </c>
      <c r="N905" s="868">
        <f t="shared" si="308"/>
        <v>0</v>
      </c>
      <c r="O905" s="880"/>
      <c r="Q905" s="317" t="str">
        <f t="shared" si="309"/>
        <v/>
      </c>
      <c r="R905" s="317" t="str">
        <f t="shared" si="310"/>
        <v/>
      </c>
      <c r="S905" s="317" t="str">
        <f t="shared" si="311"/>
        <v/>
      </c>
      <c r="V905" s="314">
        <f>SUM(ORÇAMENTO!N905)</f>
        <v>0</v>
      </c>
      <c r="W905" s="315">
        <f t="shared" si="303"/>
        <v>0</v>
      </c>
    </row>
    <row r="906" spans="1:23" ht="15" hidden="1" customHeight="1">
      <c r="A906" s="560" t="s">
        <v>165</v>
      </c>
      <c r="B906" s="899" t="s">
        <v>165</v>
      </c>
      <c r="C906" s="900" t="s">
        <v>165</v>
      </c>
      <c r="D906" s="901"/>
      <c r="E906" s="902"/>
      <c r="F906" s="903"/>
      <c r="G906" s="904"/>
      <c r="H906" s="905">
        <v>0</v>
      </c>
      <c r="I906" s="876">
        <f t="shared" si="317"/>
        <v>0</v>
      </c>
      <c r="J906" s="877">
        <f t="shared" si="318"/>
        <v>0</v>
      </c>
      <c r="K906" s="903" t="s">
        <v>506</v>
      </c>
      <c r="L906" s="879">
        <f>ROUND(SUM(ORÇAMENTO!L906),2)</f>
        <v>0</v>
      </c>
      <c r="M906" s="879">
        <f t="shared" si="307"/>
        <v>0</v>
      </c>
      <c r="N906" s="868">
        <f t="shared" si="308"/>
        <v>0</v>
      </c>
      <c r="O906" s="880"/>
      <c r="Q906" s="317" t="str">
        <f t="shared" si="309"/>
        <v/>
      </c>
      <c r="R906" s="317" t="str">
        <f t="shared" si="310"/>
        <v/>
      </c>
      <c r="S906" s="317" t="str">
        <f t="shared" si="311"/>
        <v/>
      </c>
      <c r="V906" s="314">
        <f>SUM(ORÇAMENTO!N906)</f>
        <v>0</v>
      </c>
      <c r="W906" s="315">
        <f t="shared" si="303"/>
        <v>0</v>
      </c>
    </row>
    <row r="907" spans="1:23" ht="15" hidden="1" customHeight="1">
      <c r="A907" s="560" t="s">
        <v>165</v>
      </c>
      <c r="B907" s="899" t="s">
        <v>165</v>
      </c>
      <c r="C907" s="900" t="s">
        <v>165</v>
      </c>
      <c r="D907" s="901"/>
      <c r="E907" s="902"/>
      <c r="F907" s="903"/>
      <c r="G907" s="904"/>
      <c r="H907" s="905">
        <v>0</v>
      </c>
      <c r="I907" s="876">
        <f t="shared" si="317"/>
        <v>0</v>
      </c>
      <c r="J907" s="877">
        <f t="shared" si="318"/>
        <v>0</v>
      </c>
      <c r="K907" s="903" t="s">
        <v>506</v>
      </c>
      <c r="L907" s="879">
        <f>ROUND(SUM(ORÇAMENTO!L907),2)</f>
        <v>0</v>
      </c>
      <c r="M907" s="879">
        <f t="shared" si="307"/>
        <v>0</v>
      </c>
      <c r="N907" s="868">
        <f t="shared" si="308"/>
        <v>0</v>
      </c>
      <c r="O907" s="880"/>
      <c r="Q907" s="317" t="str">
        <f t="shared" si="309"/>
        <v/>
      </c>
      <c r="R907" s="317" t="str">
        <f t="shared" si="310"/>
        <v/>
      </c>
      <c r="S907" s="317" t="str">
        <f t="shared" si="311"/>
        <v/>
      </c>
      <c r="V907" s="314">
        <f>SUM(ORÇAMENTO!N907)</f>
        <v>0</v>
      </c>
      <c r="W907" s="315">
        <f t="shared" si="303"/>
        <v>0</v>
      </c>
    </row>
    <row r="908" spans="1:23" ht="15" hidden="1" customHeight="1">
      <c r="A908" s="560" t="s">
        <v>165</v>
      </c>
      <c r="B908" s="899" t="s">
        <v>165</v>
      </c>
      <c r="C908" s="900" t="s">
        <v>165</v>
      </c>
      <c r="D908" s="901"/>
      <c r="E908" s="902"/>
      <c r="F908" s="903"/>
      <c r="G908" s="904"/>
      <c r="H908" s="905">
        <v>0</v>
      </c>
      <c r="I908" s="876">
        <f t="shared" si="317"/>
        <v>0</v>
      </c>
      <c r="J908" s="877">
        <f t="shared" si="318"/>
        <v>0</v>
      </c>
      <c r="K908" s="903" t="s">
        <v>506</v>
      </c>
      <c r="L908" s="879">
        <f>ROUND(SUM(ORÇAMENTO!L908),2)</f>
        <v>0</v>
      </c>
      <c r="M908" s="879">
        <f t="shared" si="307"/>
        <v>0</v>
      </c>
      <c r="N908" s="868">
        <f t="shared" si="308"/>
        <v>0</v>
      </c>
      <c r="O908" s="880"/>
      <c r="Q908" s="317" t="str">
        <f t="shared" si="309"/>
        <v/>
      </c>
      <c r="R908" s="317" t="str">
        <f t="shared" si="310"/>
        <v/>
      </c>
      <c r="S908" s="317" t="str">
        <f t="shared" si="311"/>
        <v/>
      </c>
      <c r="V908" s="314">
        <f>SUM(ORÇAMENTO!N908)</f>
        <v>0</v>
      </c>
      <c r="W908" s="315">
        <f t="shared" si="303"/>
        <v>0</v>
      </c>
    </row>
    <row r="909" spans="1:23" ht="15" hidden="1" customHeight="1">
      <c r="A909" s="560" t="s">
        <v>165</v>
      </c>
      <c r="B909" s="899" t="s">
        <v>165</v>
      </c>
      <c r="C909" s="900" t="s">
        <v>165</v>
      </c>
      <c r="D909" s="901"/>
      <c r="E909" s="902"/>
      <c r="F909" s="903"/>
      <c r="G909" s="904"/>
      <c r="H909" s="905">
        <v>0</v>
      </c>
      <c r="I909" s="876">
        <f t="shared" si="317"/>
        <v>0</v>
      </c>
      <c r="J909" s="877">
        <f t="shared" si="318"/>
        <v>0</v>
      </c>
      <c r="K909" s="903" t="s">
        <v>506</v>
      </c>
      <c r="L909" s="879">
        <f>ROUND(SUM(ORÇAMENTO!L909),2)</f>
        <v>0</v>
      </c>
      <c r="M909" s="879">
        <f t="shared" si="307"/>
        <v>0</v>
      </c>
      <c r="N909" s="868">
        <f t="shared" si="308"/>
        <v>0</v>
      </c>
      <c r="O909" s="880"/>
      <c r="Q909" s="317" t="str">
        <f t="shared" si="309"/>
        <v/>
      </c>
      <c r="R909" s="317" t="str">
        <f t="shared" si="310"/>
        <v/>
      </c>
      <c r="S909" s="317" t="str">
        <f t="shared" si="311"/>
        <v/>
      </c>
      <c r="V909" s="314">
        <f>SUM(ORÇAMENTO!N909)</f>
        <v>0</v>
      </c>
      <c r="W909" s="315">
        <f t="shared" si="303"/>
        <v>0</v>
      </c>
    </row>
    <row r="910" spans="1:23" ht="15" hidden="1" customHeight="1">
      <c r="A910" s="560" t="s">
        <v>165</v>
      </c>
      <c r="B910" s="899" t="s">
        <v>165</v>
      </c>
      <c r="C910" s="900" t="s">
        <v>165</v>
      </c>
      <c r="D910" s="901"/>
      <c r="E910" s="902"/>
      <c r="F910" s="903"/>
      <c r="G910" s="904"/>
      <c r="H910" s="905">
        <v>0</v>
      </c>
      <c r="I910" s="876">
        <f t="shared" si="317"/>
        <v>0</v>
      </c>
      <c r="J910" s="877">
        <f t="shared" si="318"/>
        <v>0</v>
      </c>
      <c r="K910" s="903" t="s">
        <v>506</v>
      </c>
      <c r="L910" s="879">
        <f>ROUND(SUM(ORÇAMENTO!L910),2)</f>
        <v>0</v>
      </c>
      <c r="M910" s="879">
        <f t="shared" si="307"/>
        <v>0</v>
      </c>
      <c r="N910" s="868">
        <f t="shared" si="308"/>
        <v>0</v>
      </c>
      <c r="O910" s="880"/>
      <c r="Q910" s="317" t="str">
        <f t="shared" si="309"/>
        <v/>
      </c>
      <c r="R910" s="317" t="str">
        <f t="shared" si="310"/>
        <v/>
      </c>
      <c r="S910" s="317" t="str">
        <f t="shared" si="311"/>
        <v/>
      </c>
      <c r="V910" s="314">
        <f>SUM(ORÇAMENTO!N910)</f>
        <v>0</v>
      </c>
      <c r="W910" s="315">
        <f t="shared" si="303"/>
        <v>0</v>
      </c>
    </row>
    <row r="911" spans="1:23" ht="15" hidden="1" customHeight="1">
      <c r="A911" s="560" t="s">
        <v>165</v>
      </c>
      <c r="B911" s="899" t="s">
        <v>165</v>
      </c>
      <c r="C911" s="900" t="s">
        <v>165</v>
      </c>
      <c r="D911" s="901"/>
      <c r="E911" s="902"/>
      <c r="F911" s="903"/>
      <c r="G911" s="904"/>
      <c r="H911" s="905">
        <v>0</v>
      </c>
      <c r="I911" s="876">
        <f t="shared" si="317"/>
        <v>0</v>
      </c>
      <c r="J911" s="877">
        <f t="shared" si="318"/>
        <v>0</v>
      </c>
      <c r="K911" s="903" t="s">
        <v>506</v>
      </c>
      <c r="L911" s="879">
        <f>ROUND(SUM(ORÇAMENTO!L911),2)</f>
        <v>0</v>
      </c>
      <c r="M911" s="879">
        <f t="shared" si="307"/>
        <v>0</v>
      </c>
      <c r="N911" s="868">
        <f t="shared" si="308"/>
        <v>0</v>
      </c>
      <c r="O911" s="880"/>
      <c r="Q911" s="317" t="str">
        <f t="shared" si="309"/>
        <v/>
      </c>
      <c r="R911" s="317" t="str">
        <f t="shared" si="310"/>
        <v/>
      </c>
      <c r="S911" s="317" t="str">
        <f t="shared" si="311"/>
        <v/>
      </c>
      <c r="V911" s="314">
        <f>SUM(ORÇAMENTO!N911)</f>
        <v>0</v>
      </c>
      <c r="W911" s="315">
        <f t="shared" si="303"/>
        <v>0</v>
      </c>
    </row>
    <row r="912" spans="1:23" ht="15" hidden="1" customHeight="1" thickBot="1">
      <c r="A912" s="560" t="s">
        <v>165</v>
      </c>
      <c r="B912" s="899" t="s">
        <v>165</v>
      </c>
      <c r="C912" s="900" t="s">
        <v>165</v>
      </c>
      <c r="D912" s="901"/>
      <c r="E912" s="902"/>
      <c r="F912" s="903"/>
      <c r="G912" s="904"/>
      <c r="H912" s="905">
        <v>0</v>
      </c>
      <c r="I912" s="876">
        <f t="shared" si="317"/>
        <v>0</v>
      </c>
      <c r="J912" s="877">
        <f t="shared" si="318"/>
        <v>0</v>
      </c>
      <c r="K912" s="903" t="s">
        <v>506</v>
      </c>
      <c r="L912" s="879">
        <f>ROUND(SUM(ORÇAMENTO!L912),2)</f>
        <v>0</v>
      </c>
      <c r="M912" s="879">
        <f t="shared" si="307"/>
        <v>0</v>
      </c>
      <c r="N912" s="916">
        <f t="shared" si="308"/>
        <v>0</v>
      </c>
      <c r="O912" s="880"/>
      <c r="Q912" s="317" t="str">
        <f t="shared" si="309"/>
        <v/>
      </c>
      <c r="R912" s="317" t="str">
        <f t="shared" si="310"/>
        <v/>
      </c>
      <c r="S912" s="317" t="str">
        <f t="shared" si="311"/>
        <v/>
      </c>
      <c r="V912" s="314">
        <f>SUM(ORÇAMENTO!N912)</f>
        <v>0</v>
      </c>
      <c r="W912" s="315">
        <f t="shared" si="303"/>
        <v>0</v>
      </c>
    </row>
    <row r="913" spans="1:23" ht="15" hidden="1" customHeight="1" thickBot="1">
      <c r="A913" s="63" t="s">
        <v>310</v>
      </c>
      <c r="B913" s="924" t="s">
        <v>310</v>
      </c>
      <c r="C913" s="925"/>
      <c r="D913" s="926" t="s">
        <v>438</v>
      </c>
      <c r="E913" s="917"/>
      <c r="F913" s="851"/>
      <c r="G913" s="919"/>
      <c r="H913" s="919">
        <v>0</v>
      </c>
      <c r="I913" s="919"/>
      <c r="J913" s="919"/>
      <c r="K913" s="853" t="s">
        <v>506</v>
      </c>
      <c r="L913" s="854">
        <f>ROUND(SUM(ORÇAMENTO!L913),2)</f>
        <v>0</v>
      </c>
      <c r="M913" s="855">
        <f t="shared" si="307"/>
        <v>0</v>
      </c>
      <c r="N913" s="856">
        <f t="shared" si="308"/>
        <v>0</v>
      </c>
      <c r="O913" s="857">
        <f>SUM(N914:N1624)</f>
        <v>0</v>
      </c>
      <c r="P913" s="58" t="str">
        <f>IF(OR(O913&gt;0,O913&gt;0),"X","")</f>
        <v/>
      </c>
      <c r="Q913" s="317" t="str">
        <f t="shared" si="309"/>
        <v/>
      </c>
      <c r="R913" s="317" t="str">
        <f t="shared" si="310"/>
        <v/>
      </c>
      <c r="S913" s="317" t="str">
        <f t="shared" si="311"/>
        <v/>
      </c>
      <c r="V913" s="314">
        <f>SUM(ORÇAMENTO!N913)</f>
        <v>0</v>
      </c>
      <c r="W913" s="315">
        <f t="shared" si="303"/>
        <v>0</v>
      </c>
    </row>
    <row r="914" spans="1:23" ht="34.5" hidden="1" thickBot="1">
      <c r="A914" s="63">
        <v>102102</v>
      </c>
      <c r="B914" s="870">
        <v>102102</v>
      </c>
      <c r="C914" s="871" t="s">
        <v>590</v>
      </c>
      <c r="D914" s="881" t="s">
        <v>825</v>
      </c>
      <c r="E914" s="882"/>
      <c r="F914" s="883"/>
      <c r="G914" s="887"/>
      <c r="H914" s="876">
        <v>9956</v>
      </c>
      <c r="I914" s="876">
        <f t="shared" ref="I914" si="319">IF(ISBLANK(H914),"",SUM(G914:H914))</f>
        <v>9956</v>
      </c>
      <c r="J914" s="877">
        <f t="shared" ref="J914:J968" si="320">IF(ISBLANK(H914),0,ROUND(I914*(1+$E$10),2))</f>
        <v>12168.22</v>
      </c>
      <c r="K914" s="878" t="s">
        <v>1500</v>
      </c>
      <c r="L914" s="879">
        <f>ROUND(SUM(ORÇAMENTO!L914),2)</f>
        <v>0</v>
      </c>
      <c r="M914" s="879">
        <f t="shared" ref="M914:M977" si="321">IF(L914=0,0,ROUND(J914,2))</f>
        <v>0</v>
      </c>
      <c r="N914" s="868">
        <f t="shared" ref="N914:N977" si="322">IF(ISBLANK(L914),0,ROUND(L914*M914,2))</f>
        <v>0</v>
      </c>
      <c r="O914" s="880"/>
      <c r="Q914" s="317" t="str">
        <f t="shared" ref="Q914:Q977" si="323">IF(P914="X","x",IF(P914="xx","x",IF(P914="xy","x",IF(P914="y","x",IF(OR(N914&gt;0,N914&gt;0),"x","")))))</f>
        <v/>
      </c>
      <c r="R914" s="317" t="str">
        <f t="shared" ref="R914:R977" si="324">IF(P914="X","x",IF(P914="y","x",IF(P914="xx","x",IF(N914&gt;0,"x",""))))</f>
        <v/>
      </c>
      <c r="S914" s="317" t="str">
        <f t="shared" ref="S914:S977" si="325">IF(P914="X","x",IF(N914&gt;0,"x",""))</f>
        <v/>
      </c>
      <c r="V914" s="314">
        <f>SUM(ORÇAMENTO!N914)</f>
        <v>0</v>
      </c>
      <c r="W914" s="315">
        <f t="shared" si="303"/>
        <v>0</v>
      </c>
    </row>
    <row r="915" spans="1:23" ht="34.5" hidden="1" thickBot="1">
      <c r="A915" s="63">
        <v>102103</v>
      </c>
      <c r="B915" s="870">
        <v>102103</v>
      </c>
      <c r="C915" s="871" t="s">
        <v>590</v>
      </c>
      <c r="D915" s="881" t="s">
        <v>826</v>
      </c>
      <c r="E915" s="882"/>
      <c r="F915" s="883"/>
      <c r="G915" s="887"/>
      <c r="H915" s="876">
        <v>11068.77</v>
      </c>
      <c r="I915" s="876">
        <f t="shared" ref="I915:I977" si="326">IF(ISBLANK(H915),"",SUM(G915:H915))</f>
        <v>11068.77</v>
      </c>
      <c r="J915" s="877">
        <f t="shared" si="320"/>
        <v>13528.25</v>
      </c>
      <c r="K915" s="878" t="s">
        <v>1500</v>
      </c>
      <c r="L915" s="879">
        <f>ROUND(SUM(ORÇAMENTO!L915),2)</f>
        <v>0</v>
      </c>
      <c r="M915" s="879">
        <f t="shared" si="321"/>
        <v>0</v>
      </c>
      <c r="N915" s="868">
        <f t="shared" si="322"/>
        <v>0</v>
      </c>
      <c r="O915" s="880"/>
      <c r="Q915" s="317" t="str">
        <f t="shared" si="323"/>
        <v/>
      </c>
      <c r="R915" s="317" t="str">
        <f t="shared" si="324"/>
        <v/>
      </c>
      <c r="S915" s="317" t="str">
        <f t="shared" si="325"/>
        <v/>
      </c>
      <c r="V915" s="314">
        <f>SUM(ORÇAMENTO!N915)</f>
        <v>0</v>
      </c>
      <c r="W915" s="315">
        <f t="shared" si="303"/>
        <v>0</v>
      </c>
    </row>
    <row r="916" spans="1:23" ht="34.5" hidden="1" thickBot="1">
      <c r="A916" s="63">
        <v>102104</v>
      </c>
      <c r="B916" s="870">
        <v>102104</v>
      </c>
      <c r="C916" s="871" t="s">
        <v>590</v>
      </c>
      <c r="D916" s="881" t="s">
        <v>827</v>
      </c>
      <c r="E916" s="882"/>
      <c r="F916" s="883"/>
      <c r="G916" s="887"/>
      <c r="H916" s="876">
        <v>14168.89</v>
      </c>
      <c r="I916" s="876">
        <f t="shared" si="326"/>
        <v>14168.89</v>
      </c>
      <c r="J916" s="877">
        <f t="shared" si="320"/>
        <v>17317.22</v>
      </c>
      <c r="K916" s="878" t="s">
        <v>1500</v>
      </c>
      <c r="L916" s="879">
        <f>ROUND(SUM(ORÇAMENTO!L916),2)</f>
        <v>0</v>
      </c>
      <c r="M916" s="879">
        <f t="shared" si="321"/>
        <v>0</v>
      </c>
      <c r="N916" s="868">
        <f t="shared" si="322"/>
        <v>0</v>
      </c>
      <c r="O916" s="880"/>
      <c r="Q916" s="317" t="str">
        <f t="shared" si="323"/>
        <v/>
      </c>
      <c r="R916" s="317" t="str">
        <f t="shared" si="324"/>
        <v/>
      </c>
      <c r="S916" s="317" t="str">
        <f t="shared" si="325"/>
        <v/>
      </c>
      <c r="V916" s="314">
        <f>SUM(ORÇAMENTO!N916)</f>
        <v>0</v>
      </c>
      <c r="W916" s="315">
        <f t="shared" si="303"/>
        <v>0</v>
      </c>
    </row>
    <row r="917" spans="1:23" ht="34.5" hidden="1" thickBot="1">
      <c r="A917" s="63">
        <v>102105</v>
      </c>
      <c r="B917" s="870">
        <v>102105</v>
      </c>
      <c r="C917" s="871" t="s">
        <v>590</v>
      </c>
      <c r="D917" s="881" t="s">
        <v>828</v>
      </c>
      <c r="E917" s="882"/>
      <c r="F917" s="883"/>
      <c r="G917" s="887"/>
      <c r="H917" s="876">
        <v>17389.88</v>
      </c>
      <c r="I917" s="876">
        <f t="shared" si="326"/>
        <v>17389.88</v>
      </c>
      <c r="J917" s="877">
        <f t="shared" si="320"/>
        <v>21253.91</v>
      </c>
      <c r="K917" s="878" t="s">
        <v>1500</v>
      </c>
      <c r="L917" s="879">
        <f>ROUND(SUM(ORÇAMENTO!L917),2)</f>
        <v>0</v>
      </c>
      <c r="M917" s="879">
        <f t="shared" si="321"/>
        <v>0</v>
      </c>
      <c r="N917" s="868">
        <f t="shared" si="322"/>
        <v>0</v>
      </c>
      <c r="O917" s="880"/>
      <c r="Q917" s="317" t="str">
        <f t="shared" si="323"/>
        <v/>
      </c>
      <c r="R917" s="317" t="str">
        <f t="shared" si="324"/>
        <v/>
      </c>
      <c r="S917" s="317" t="str">
        <f t="shared" si="325"/>
        <v/>
      </c>
      <c r="V917" s="314">
        <f>SUM(ORÇAMENTO!N917)</f>
        <v>0</v>
      </c>
      <c r="W917" s="315">
        <f t="shared" ref="W917:W980" si="327">N917-V917</f>
        <v>0</v>
      </c>
    </row>
    <row r="918" spans="1:23" ht="34.5" hidden="1" thickBot="1">
      <c r="A918" s="63">
        <v>102106</v>
      </c>
      <c r="B918" s="870">
        <v>102106</v>
      </c>
      <c r="C918" s="871" t="s">
        <v>590</v>
      </c>
      <c r="D918" s="881" t="s">
        <v>829</v>
      </c>
      <c r="E918" s="882"/>
      <c r="F918" s="883"/>
      <c r="G918" s="887"/>
      <c r="H918" s="876">
        <v>21783.06</v>
      </c>
      <c r="I918" s="876">
        <f t="shared" si="326"/>
        <v>21783.06</v>
      </c>
      <c r="J918" s="877">
        <f t="shared" si="320"/>
        <v>26623.26</v>
      </c>
      <c r="K918" s="878" t="s">
        <v>1500</v>
      </c>
      <c r="L918" s="879">
        <f>ROUND(SUM(ORÇAMENTO!L918),2)</f>
        <v>0</v>
      </c>
      <c r="M918" s="879">
        <f t="shared" si="321"/>
        <v>0</v>
      </c>
      <c r="N918" s="868">
        <f t="shared" si="322"/>
        <v>0</v>
      </c>
      <c r="O918" s="880"/>
      <c r="Q918" s="317" t="str">
        <f t="shared" si="323"/>
        <v/>
      </c>
      <c r="R918" s="317" t="str">
        <f t="shared" si="324"/>
        <v/>
      </c>
      <c r="S918" s="317" t="str">
        <f t="shared" si="325"/>
        <v/>
      </c>
      <c r="V918" s="314">
        <f>SUM(ORÇAMENTO!N918)</f>
        <v>0</v>
      </c>
      <c r="W918" s="315">
        <f t="shared" si="327"/>
        <v>0</v>
      </c>
    </row>
    <row r="919" spans="1:23" ht="34.5" hidden="1" thickBot="1">
      <c r="A919" s="63">
        <v>102107</v>
      </c>
      <c r="B919" s="870">
        <v>102107</v>
      </c>
      <c r="C919" s="871" t="s">
        <v>590</v>
      </c>
      <c r="D919" s="881" t="s">
        <v>830</v>
      </c>
      <c r="E919" s="882"/>
      <c r="F919" s="883"/>
      <c r="G919" s="887"/>
      <c r="H919" s="876">
        <v>30352.89</v>
      </c>
      <c r="I919" s="876">
        <f t="shared" si="326"/>
        <v>30352.89</v>
      </c>
      <c r="J919" s="877">
        <f t="shared" si="320"/>
        <v>37097.300000000003</v>
      </c>
      <c r="K919" s="878" t="s">
        <v>1500</v>
      </c>
      <c r="L919" s="879">
        <f>ROUND(SUM(ORÇAMENTO!L919),2)</f>
        <v>0</v>
      </c>
      <c r="M919" s="879">
        <f t="shared" si="321"/>
        <v>0</v>
      </c>
      <c r="N919" s="868">
        <f t="shared" si="322"/>
        <v>0</v>
      </c>
      <c r="O919" s="880"/>
      <c r="Q919" s="317" t="str">
        <f t="shared" si="323"/>
        <v/>
      </c>
      <c r="R919" s="317" t="str">
        <f t="shared" si="324"/>
        <v/>
      </c>
      <c r="S919" s="317" t="str">
        <f t="shared" si="325"/>
        <v/>
      </c>
      <c r="V919" s="314">
        <f>SUM(ORÇAMENTO!N919)</f>
        <v>0</v>
      </c>
      <c r="W919" s="315">
        <f t="shared" si="327"/>
        <v>0</v>
      </c>
    </row>
    <row r="920" spans="1:23" ht="34.5" hidden="1" thickBot="1">
      <c r="A920" s="63">
        <v>102108</v>
      </c>
      <c r="B920" s="870">
        <v>102108</v>
      </c>
      <c r="C920" s="871" t="s">
        <v>590</v>
      </c>
      <c r="D920" s="881" t="s">
        <v>831</v>
      </c>
      <c r="E920" s="882"/>
      <c r="F920" s="883"/>
      <c r="G920" s="887"/>
      <c r="H920" s="876">
        <v>35328.54</v>
      </c>
      <c r="I920" s="876">
        <f t="shared" si="326"/>
        <v>35328.54</v>
      </c>
      <c r="J920" s="877">
        <f t="shared" si="320"/>
        <v>43178.54</v>
      </c>
      <c r="K920" s="878" t="s">
        <v>1500</v>
      </c>
      <c r="L920" s="879">
        <f>ROUND(SUM(ORÇAMENTO!L920),2)</f>
        <v>0</v>
      </c>
      <c r="M920" s="879">
        <f t="shared" si="321"/>
        <v>0</v>
      </c>
      <c r="N920" s="868">
        <f t="shared" si="322"/>
        <v>0</v>
      </c>
      <c r="O920" s="880"/>
      <c r="Q920" s="317" t="str">
        <f t="shared" si="323"/>
        <v/>
      </c>
      <c r="R920" s="317" t="str">
        <f t="shared" si="324"/>
        <v/>
      </c>
      <c r="S920" s="317" t="str">
        <f t="shared" si="325"/>
        <v/>
      </c>
      <c r="V920" s="314">
        <f>SUM(ORÇAMENTO!N920)</f>
        <v>0</v>
      </c>
      <c r="W920" s="315">
        <f t="shared" si="327"/>
        <v>0</v>
      </c>
    </row>
    <row r="921" spans="1:23" ht="23.25" hidden="1" thickBot="1">
      <c r="A921" s="63">
        <v>102109</v>
      </c>
      <c r="B921" s="870">
        <v>102109</v>
      </c>
      <c r="C921" s="871" t="s">
        <v>590</v>
      </c>
      <c r="D921" s="881" t="s">
        <v>832</v>
      </c>
      <c r="E921" s="882"/>
      <c r="F921" s="883"/>
      <c r="G921" s="887"/>
      <c r="H921" s="876">
        <v>45.94</v>
      </c>
      <c r="I921" s="876">
        <f t="shared" si="326"/>
        <v>45.94</v>
      </c>
      <c r="J921" s="877">
        <f t="shared" si="320"/>
        <v>56.15</v>
      </c>
      <c r="K921" s="878" t="s">
        <v>1500</v>
      </c>
      <c r="L921" s="879">
        <f>ROUND(SUM(ORÇAMENTO!L921),2)</f>
        <v>0</v>
      </c>
      <c r="M921" s="879">
        <f t="shared" si="321"/>
        <v>0</v>
      </c>
      <c r="N921" s="868">
        <f t="shared" si="322"/>
        <v>0</v>
      </c>
      <c r="O921" s="880"/>
      <c r="Q921" s="317" t="str">
        <f t="shared" si="323"/>
        <v/>
      </c>
      <c r="R921" s="317" t="str">
        <f t="shared" si="324"/>
        <v/>
      </c>
      <c r="S921" s="317" t="str">
        <f t="shared" si="325"/>
        <v/>
      </c>
      <c r="V921" s="314">
        <f>SUM(ORÇAMENTO!N921)</f>
        <v>0</v>
      </c>
      <c r="W921" s="315">
        <f t="shared" si="327"/>
        <v>0</v>
      </c>
    </row>
    <row r="922" spans="1:23" ht="23.25" hidden="1" thickBot="1">
      <c r="A922" s="63">
        <v>102110</v>
      </c>
      <c r="B922" s="870">
        <v>102110</v>
      </c>
      <c r="C922" s="871" t="s">
        <v>590</v>
      </c>
      <c r="D922" s="881" t="s">
        <v>833</v>
      </c>
      <c r="E922" s="882"/>
      <c r="F922" s="883"/>
      <c r="G922" s="887"/>
      <c r="H922" s="876">
        <v>110.92</v>
      </c>
      <c r="I922" s="876">
        <f t="shared" si="326"/>
        <v>110.92</v>
      </c>
      <c r="J922" s="877">
        <f t="shared" si="320"/>
        <v>135.57</v>
      </c>
      <c r="K922" s="878" t="s">
        <v>1500</v>
      </c>
      <c r="L922" s="879">
        <f>ROUND(SUM(ORÇAMENTO!L922),2)</f>
        <v>0</v>
      </c>
      <c r="M922" s="879">
        <f t="shared" si="321"/>
        <v>0</v>
      </c>
      <c r="N922" s="868">
        <f t="shared" si="322"/>
        <v>0</v>
      </c>
      <c r="O922" s="880"/>
      <c r="Q922" s="317" t="str">
        <f t="shared" si="323"/>
        <v/>
      </c>
      <c r="R922" s="317" t="str">
        <f t="shared" si="324"/>
        <v/>
      </c>
      <c r="S922" s="317" t="str">
        <f t="shared" si="325"/>
        <v/>
      </c>
      <c r="V922" s="314">
        <f>SUM(ORÇAMENTO!N922)</f>
        <v>0</v>
      </c>
      <c r="W922" s="315">
        <f t="shared" si="327"/>
        <v>0</v>
      </c>
    </row>
    <row r="923" spans="1:23" ht="23.25" hidden="1" thickBot="1">
      <c r="A923" s="63">
        <v>100619</v>
      </c>
      <c r="B923" s="870">
        <v>100619</v>
      </c>
      <c r="C923" s="871" t="s">
        <v>590</v>
      </c>
      <c r="D923" s="881" t="s">
        <v>834</v>
      </c>
      <c r="E923" s="882"/>
      <c r="F923" s="883"/>
      <c r="G923" s="887"/>
      <c r="H923" s="876">
        <v>601.52</v>
      </c>
      <c r="I923" s="876">
        <f t="shared" si="326"/>
        <v>601.52</v>
      </c>
      <c r="J923" s="877">
        <f t="shared" si="320"/>
        <v>735.18</v>
      </c>
      <c r="K923" s="878" t="s">
        <v>1500</v>
      </c>
      <c r="L923" s="879">
        <f>ROUND(SUM(ORÇAMENTO!L923),2)</f>
        <v>0</v>
      </c>
      <c r="M923" s="879">
        <f t="shared" si="321"/>
        <v>0</v>
      </c>
      <c r="N923" s="868">
        <f t="shared" si="322"/>
        <v>0</v>
      </c>
      <c r="O923" s="880"/>
      <c r="Q923" s="317" t="str">
        <f t="shared" si="323"/>
        <v/>
      </c>
      <c r="R923" s="317" t="str">
        <f t="shared" si="324"/>
        <v/>
      </c>
      <c r="S923" s="317" t="str">
        <f t="shared" si="325"/>
        <v/>
      </c>
      <c r="V923" s="314">
        <f>SUM(ORÇAMENTO!N923)</f>
        <v>0</v>
      </c>
      <c r="W923" s="315">
        <f t="shared" si="327"/>
        <v>0</v>
      </c>
    </row>
    <row r="924" spans="1:23" ht="23.25" hidden="1" thickBot="1">
      <c r="A924" s="63">
        <v>100620</v>
      </c>
      <c r="B924" s="870">
        <v>100620</v>
      </c>
      <c r="C924" s="871" t="s">
        <v>590</v>
      </c>
      <c r="D924" s="881" t="s">
        <v>835</v>
      </c>
      <c r="E924" s="882"/>
      <c r="F924" s="883"/>
      <c r="G924" s="887"/>
      <c r="H924" s="876">
        <v>3497.06</v>
      </c>
      <c r="I924" s="876">
        <f t="shared" si="326"/>
        <v>3497.06</v>
      </c>
      <c r="J924" s="877">
        <f t="shared" si="320"/>
        <v>4274.1099999999997</v>
      </c>
      <c r="K924" s="878" t="s">
        <v>1500</v>
      </c>
      <c r="L924" s="879">
        <f>ROUND(SUM(ORÇAMENTO!L924),2)</f>
        <v>0</v>
      </c>
      <c r="M924" s="879">
        <f t="shared" si="321"/>
        <v>0</v>
      </c>
      <c r="N924" s="868">
        <f t="shared" si="322"/>
        <v>0</v>
      </c>
      <c r="O924" s="880"/>
      <c r="Q924" s="317" t="str">
        <f t="shared" si="323"/>
        <v/>
      </c>
      <c r="R924" s="317" t="str">
        <f t="shared" si="324"/>
        <v/>
      </c>
      <c r="S924" s="317" t="str">
        <f t="shared" si="325"/>
        <v/>
      </c>
      <c r="V924" s="314">
        <f>SUM(ORÇAMENTO!N924)</f>
        <v>0</v>
      </c>
      <c r="W924" s="315">
        <f t="shared" si="327"/>
        <v>0</v>
      </c>
    </row>
    <row r="925" spans="1:23" ht="23.25" hidden="1" thickBot="1">
      <c r="A925" s="63">
        <v>100621</v>
      </c>
      <c r="B925" s="870">
        <v>100621</v>
      </c>
      <c r="C925" s="871" t="s">
        <v>590</v>
      </c>
      <c r="D925" s="881" t="s">
        <v>836</v>
      </c>
      <c r="E925" s="882"/>
      <c r="F925" s="883"/>
      <c r="G925" s="887"/>
      <c r="H925" s="876">
        <v>3985.57</v>
      </c>
      <c r="I925" s="876">
        <f t="shared" si="326"/>
        <v>3985.57</v>
      </c>
      <c r="J925" s="877">
        <f t="shared" si="320"/>
        <v>4871.16</v>
      </c>
      <c r="K925" s="878" t="s">
        <v>1500</v>
      </c>
      <c r="L925" s="879">
        <f>ROUND(SUM(ORÇAMENTO!L925),2)</f>
        <v>0</v>
      </c>
      <c r="M925" s="879">
        <f t="shared" si="321"/>
        <v>0</v>
      </c>
      <c r="N925" s="868">
        <f t="shared" si="322"/>
        <v>0</v>
      </c>
      <c r="O925" s="880"/>
      <c r="Q925" s="317" t="str">
        <f t="shared" si="323"/>
        <v/>
      </c>
      <c r="R925" s="317" t="str">
        <f t="shared" si="324"/>
        <v/>
      </c>
      <c r="S925" s="317" t="str">
        <f t="shared" si="325"/>
        <v/>
      </c>
      <c r="V925" s="314">
        <f>SUM(ORÇAMENTO!N925)</f>
        <v>0</v>
      </c>
      <c r="W925" s="315">
        <f t="shared" si="327"/>
        <v>0</v>
      </c>
    </row>
    <row r="926" spans="1:23" ht="23.25" hidden="1" thickBot="1">
      <c r="A926" s="63">
        <v>100622</v>
      </c>
      <c r="B926" s="870">
        <v>100622</v>
      </c>
      <c r="C926" s="871" t="s">
        <v>590</v>
      </c>
      <c r="D926" s="881" t="s">
        <v>837</v>
      </c>
      <c r="E926" s="882"/>
      <c r="F926" s="883"/>
      <c r="G926" s="887"/>
      <c r="H926" s="876">
        <v>2579.4299999999998</v>
      </c>
      <c r="I926" s="876">
        <f t="shared" si="326"/>
        <v>2579.4299999999998</v>
      </c>
      <c r="J926" s="877">
        <f t="shared" si="320"/>
        <v>3152.58</v>
      </c>
      <c r="K926" s="878" t="s">
        <v>1500</v>
      </c>
      <c r="L926" s="879">
        <f>ROUND(SUM(ORÇAMENTO!L926),2)</f>
        <v>0</v>
      </c>
      <c r="M926" s="879">
        <f t="shared" si="321"/>
        <v>0</v>
      </c>
      <c r="N926" s="868">
        <f t="shared" si="322"/>
        <v>0</v>
      </c>
      <c r="O926" s="880"/>
      <c r="Q926" s="317" t="str">
        <f t="shared" si="323"/>
        <v/>
      </c>
      <c r="R926" s="317" t="str">
        <f t="shared" si="324"/>
        <v/>
      </c>
      <c r="S926" s="317" t="str">
        <f t="shared" si="325"/>
        <v/>
      </c>
      <c r="V926" s="314">
        <f>SUM(ORÇAMENTO!N926)</f>
        <v>0</v>
      </c>
      <c r="W926" s="315">
        <f t="shared" si="327"/>
        <v>0</v>
      </c>
    </row>
    <row r="927" spans="1:23" ht="23.25" hidden="1" thickBot="1">
      <c r="A927" s="63">
        <v>100623</v>
      </c>
      <c r="B927" s="870">
        <v>100623</v>
      </c>
      <c r="C927" s="871" t="s">
        <v>590</v>
      </c>
      <c r="D927" s="881" t="s">
        <v>838</v>
      </c>
      <c r="E927" s="882"/>
      <c r="F927" s="883"/>
      <c r="G927" s="887"/>
      <c r="H927" s="876">
        <v>2785.78</v>
      </c>
      <c r="I927" s="876">
        <f t="shared" si="326"/>
        <v>2785.78</v>
      </c>
      <c r="J927" s="877">
        <f t="shared" si="320"/>
        <v>3404.78</v>
      </c>
      <c r="K927" s="878" t="s">
        <v>1500</v>
      </c>
      <c r="L927" s="879">
        <f>ROUND(SUM(ORÇAMENTO!L927),2)</f>
        <v>0</v>
      </c>
      <c r="M927" s="879">
        <f t="shared" si="321"/>
        <v>0</v>
      </c>
      <c r="N927" s="868">
        <f t="shared" si="322"/>
        <v>0</v>
      </c>
      <c r="O927" s="880"/>
      <c r="Q927" s="317" t="str">
        <f t="shared" si="323"/>
        <v/>
      </c>
      <c r="R927" s="317" t="str">
        <f t="shared" si="324"/>
        <v/>
      </c>
      <c r="S927" s="317" t="str">
        <f t="shared" si="325"/>
        <v/>
      </c>
      <c r="V927" s="314">
        <f>SUM(ORÇAMENTO!N927)</f>
        <v>0</v>
      </c>
      <c r="W927" s="315">
        <f t="shared" si="327"/>
        <v>0</v>
      </c>
    </row>
    <row r="928" spans="1:23" ht="34.5" hidden="1" thickBot="1">
      <c r="A928" s="63">
        <v>100578</v>
      </c>
      <c r="B928" s="870">
        <v>100578</v>
      </c>
      <c r="C928" s="871" t="s">
        <v>590</v>
      </c>
      <c r="D928" s="881" t="s">
        <v>839</v>
      </c>
      <c r="E928" s="882"/>
      <c r="F928" s="883"/>
      <c r="G928" s="887"/>
      <c r="H928" s="876">
        <v>509.26</v>
      </c>
      <c r="I928" s="876">
        <f t="shared" si="326"/>
        <v>509.26</v>
      </c>
      <c r="J928" s="877">
        <f t="shared" si="320"/>
        <v>622.41999999999996</v>
      </c>
      <c r="K928" s="878" t="s">
        <v>1500</v>
      </c>
      <c r="L928" s="879">
        <f>ROUND(SUM(ORÇAMENTO!L928),2)</f>
        <v>0</v>
      </c>
      <c r="M928" s="879">
        <f t="shared" si="321"/>
        <v>0</v>
      </c>
      <c r="N928" s="868">
        <f t="shared" si="322"/>
        <v>0</v>
      </c>
      <c r="O928" s="880"/>
      <c r="Q928" s="317" t="str">
        <f t="shared" si="323"/>
        <v/>
      </c>
      <c r="R928" s="317" t="str">
        <f t="shared" si="324"/>
        <v/>
      </c>
      <c r="S928" s="317" t="str">
        <f t="shared" si="325"/>
        <v/>
      </c>
      <c r="V928" s="314">
        <f>SUM(ORÇAMENTO!N928)</f>
        <v>0</v>
      </c>
      <c r="W928" s="315">
        <f t="shared" si="327"/>
        <v>0</v>
      </c>
    </row>
    <row r="929" spans="1:23" ht="34.5" hidden="1" thickBot="1">
      <c r="A929" s="63">
        <v>100579</v>
      </c>
      <c r="B929" s="870">
        <v>100579</v>
      </c>
      <c r="C929" s="871" t="s">
        <v>590</v>
      </c>
      <c r="D929" s="881" t="s">
        <v>840</v>
      </c>
      <c r="E929" s="882"/>
      <c r="F929" s="883"/>
      <c r="G929" s="887"/>
      <c r="H929" s="876">
        <v>558</v>
      </c>
      <c r="I929" s="876">
        <f t="shared" si="326"/>
        <v>558</v>
      </c>
      <c r="J929" s="877">
        <f t="shared" si="320"/>
        <v>681.99</v>
      </c>
      <c r="K929" s="878" t="s">
        <v>1500</v>
      </c>
      <c r="L929" s="879">
        <f>ROUND(SUM(ORÇAMENTO!L929),2)</f>
        <v>0</v>
      </c>
      <c r="M929" s="879">
        <f t="shared" si="321"/>
        <v>0</v>
      </c>
      <c r="N929" s="868">
        <f t="shared" si="322"/>
        <v>0</v>
      </c>
      <c r="O929" s="880"/>
      <c r="Q929" s="317" t="str">
        <f t="shared" si="323"/>
        <v/>
      </c>
      <c r="R929" s="317" t="str">
        <f t="shared" si="324"/>
        <v/>
      </c>
      <c r="S929" s="317" t="str">
        <f t="shared" si="325"/>
        <v/>
      </c>
      <c r="V929" s="314">
        <f>SUM(ORÇAMENTO!N929)</f>
        <v>0</v>
      </c>
      <c r="W929" s="315">
        <f t="shared" si="327"/>
        <v>0</v>
      </c>
    </row>
    <row r="930" spans="1:23" ht="34.5" hidden="1" thickBot="1">
      <c r="A930" s="63">
        <v>100580</v>
      </c>
      <c r="B930" s="870">
        <v>100580</v>
      </c>
      <c r="C930" s="871" t="s">
        <v>590</v>
      </c>
      <c r="D930" s="881" t="s">
        <v>841</v>
      </c>
      <c r="E930" s="882"/>
      <c r="F930" s="883"/>
      <c r="G930" s="887"/>
      <c r="H930" s="876">
        <v>615.13</v>
      </c>
      <c r="I930" s="876">
        <f t="shared" si="326"/>
        <v>615.13</v>
      </c>
      <c r="J930" s="877">
        <f t="shared" si="320"/>
        <v>751.81</v>
      </c>
      <c r="K930" s="878" t="s">
        <v>1500</v>
      </c>
      <c r="L930" s="879">
        <f>ROUND(SUM(ORÇAMENTO!L930),2)</f>
        <v>0</v>
      </c>
      <c r="M930" s="879">
        <f t="shared" si="321"/>
        <v>0</v>
      </c>
      <c r="N930" s="868">
        <f t="shared" si="322"/>
        <v>0</v>
      </c>
      <c r="O930" s="880"/>
      <c r="Q930" s="317" t="str">
        <f t="shared" si="323"/>
        <v/>
      </c>
      <c r="R930" s="317" t="str">
        <f t="shared" si="324"/>
        <v/>
      </c>
      <c r="S930" s="317" t="str">
        <f t="shared" si="325"/>
        <v/>
      </c>
      <c r="V930" s="314">
        <f>SUM(ORÇAMENTO!N930)</f>
        <v>0</v>
      </c>
      <c r="W930" s="315">
        <f t="shared" si="327"/>
        <v>0</v>
      </c>
    </row>
    <row r="931" spans="1:23" ht="34.5" hidden="1" thickBot="1">
      <c r="A931" s="63">
        <v>100581</v>
      </c>
      <c r="B931" s="870">
        <v>100581</v>
      </c>
      <c r="C931" s="871" t="s">
        <v>590</v>
      </c>
      <c r="D931" s="881" t="s">
        <v>842</v>
      </c>
      <c r="E931" s="882"/>
      <c r="F931" s="883"/>
      <c r="G931" s="887"/>
      <c r="H931" s="876">
        <v>582.14</v>
      </c>
      <c r="I931" s="876">
        <f t="shared" si="326"/>
        <v>582.14</v>
      </c>
      <c r="J931" s="877">
        <f t="shared" si="320"/>
        <v>711.49</v>
      </c>
      <c r="K931" s="878" t="s">
        <v>1500</v>
      </c>
      <c r="L931" s="879">
        <f>ROUND(SUM(ORÇAMENTO!L931),2)</f>
        <v>0</v>
      </c>
      <c r="M931" s="879">
        <f t="shared" si="321"/>
        <v>0</v>
      </c>
      <c r="N931" s="868">
        <f t="shared" si="322"/>
        <v>0</v>
      </c>
      <c r="O931" s="880"/>
      <c r="Q931" s="317" t="str">
        <f t="shared" si="323"/>
        <v/>
      </c>
      <c r="R931" s="317" t="str">
        <f t="shared" si="324"/>
        <v/>
      </c>
      <c r="S931" s="317" t="str">
        <f t="shared" si="325"/>
        <v/>
      </c>
      <c r="V931" s="314">
        <f>SUM(ORÇAMENTO!N931)</f>
        <v>0</v>
      </c>
      <c r="W931" s="315">
        <f t="shared" si="327"/>
        <v>0</v>
      </c>
    </row>
    <row r="932" spans="1:23" ht="34.5" hidden="1" thickBot="1">
      <c r="A932" s="63">
        <v>100582</v>
      </c>
      <c r="B932" s="870">
        <v>100582</v>
      </c>
      <c r="C932" s="871" t="s">
        <v>590</v>
      </c>
      <c r="D932" s="881" t="s">
        <v>843</v>
      </c>
      <c r="E932" s="882"/>
      <c r="F932" s="883"/>
      <c r="G932" s="887"/>
      <c r="H932" s="876">
        <v>685.15</v>
      </c>
      <c r="I932" s="876">
        <f t="shared" si="326"/>
        <v>685.15</v>
      </c>
      <c r="J932" s="877">
        <f t="shared" si="320"/>
        <v>837.39</v>
      </c>
      <c r="K932" s="878" t="s">
        <v>1500</v>
      </c>
      <c r="L932" s="879">
        <f>ROUND(SUM(ORÇAMENTO!L932),2)</f>
        <v>0</v>
      </c>
      <c r="M932" s="879">
        <f t="shared" si="321"/>
        <v>0</v>
      </c>
      <c r="N932" s="868">
        <f t="shared" si="322"/>
        <v>0</v>
      </c>
      <c r="O932" s="880"/>
      <c r="Q932" s="317" t="str">
        <f t="shared" si="323"/>
        <v/>
      </c>
      <c r="R932" s="317" t="str">
        <f t="shared" si="324"/>
        <v/>
      </c>
      <c r="S932" s="317" t="str">
        <f t="shared" si="325"/>
        <v/>
      </c>
      <c r="V932" s="314">
        <f>SUM(ORÇAMENTO!N932)</f>
        <v>0</v>
      </c>
      <c r="W932" s="315">
        <f t="shared" si="327"/>
        <v>0</v>
      </c>
    </row>
    <row r="933" spans="1:23" ht="34.5" hidden="1" thickBot="1">
      <c r="A933" s="63">
        <v>100583</v>
      </c>
      <c r="B933" s="870">
        <v>100583</v>
      </c>
      <c r="C933" s="871" t="s">
        <v>590</v>
      </c>
      <c r="D933" s="881" t="s">
        <v>844</v>
      </c>
      <c r="E933" s="882"/>
      <c r="F933" s="883"/>
      <c r="G933" s="887"/>
      <c r="H933" s="876">
        <v>608.13</v>
      </c>
      <c r="I933" s="876">
        <f t="shared" si="326"/>
        <v>608.13</v>
      </c>
      <c r="J933" s="877">
        <f t="shared" si="320"/>
        <v>743.26</v>
      </c>
      <c r="K933" s="878" t="s">
        <v>1500</v>
      </c>
      <c r="L933" s="879">
        <f>ROUND(SUM(ORÇAMENTO!L933),2)</f>
        <v>0</v>
      </c>
      <c r="M933" s="879">
        <f t="shared" si="321"/>
        <v>0</v>
      </c>
      <c r="N933" s="868">
        <f t="shared" si="322"/>
        <v>0</v>
      </c>
      <c r="O933" s="880"/>
      <c r="Q933" s="317" t="str">
        <f t="shared" si="323"/>
        <v/>
      </c>
      <c r="R933" s="317" t="str">
        <f t="shared" si="324"/>
        <v/>
      </c>
      <c r="S933" s="317" t="str">
        <f t="shared" si="325"/>
        <v/>
      </c>
      <c r="V933" s="314">
        <f>SUM(ORÇAMENTO!N933)</f>
        <v>0</v>
      </c>
      <c r="W933" s="315">
        <f t="shared" si="327"/>
        <v>0</v>
      </c>
    </row>
    <row r="934" spans="1:23" ht="34.5" hidden="1" thickBot="1">
      <c r="A934" s="63">
        <v>100584</v>
      </c>
      <c r="B934" s="870">
        <v>100584</v>
      </c>
      <c r="C934" s="871" t="s">
        <v>590</v>
      </c>
      <c r="D934" s="881" t="s">
        <v>845</v>
      </c>
      <c r="E934" s="882"/>
      <c r="F934" s="883"/>
      <c r="G934" s="887"/>
      <c r="H934" s="876">
        <v>670.05</v>
      </c>
      <c r="I934" s="876">
        <f t="shared" si="326"/>
        <v>670.05</v>
      </c>
      <c r="J934" s="877">
        <f t="shared" si="320"/>
        <v>818.94</v>
      </c>
      <c r="K934" s="878" t="s">
        <v>1500</v>
      </c>
      <c r="L934" s="879">
        <f>ROUND(SUM(ORÇAMENTO!L934),2)</f>
        <v>0</v>
      </c>
      <c r="M934" s="879">
        <f t="shared" si="321"/>
        <v>0</v>
      </c>
      <c r="N934" s="868">
        <f t="shared" si="322"/>
        <v>0</v>
      </c>
      <c r="O934" s="880"/>
      <c r="Q934" s="317" t="str">
        <f t="shared" si="323"/>
        <v/>
      </c>
      <c r="R934" s="317" t="str">
        <f t="shared" si="324"/>
        <v/>
      </c>
      <c r="S934" s="317" t="str">
        <f t="shared" si="325"/>
        <v/>
      </c>
      <c r="V934" s="314">
        <f>SUM(ORÇAMENTO!N934)</f>
        <v>0</v>
      </c>
      <c r="W934" s="315">
        <f t="shared" si="327"/>
        <v>0</v>
      </c>
    </row>
    <row r="935" spans="1:23" ht="34.5" hidden="1" thickBot="1">
      <c r="A935" s="63">
        <v>100585</v>
      </c>
      <c r="B935" s="870">
        <v>100585</v>
      </c>
      <c r="C935" s="871" t="s">
        <v>590</v>
      </c>
      <c r="D935" s="881" t="s">
        <v>846</v>
      </c>
      <c r="E935" s="882"/>
      <c r="F935" s="883"/>
      <c r="G935" s="887"/>
      <c r="H935" s="876">
        <v>658.54</v>
      </c>
      <c r="I935" s="876">
        <f t="shared" si="326"/>
        <v>658.54</v>
      </c>
      <c r="J935" s="877">
        <f t="shared" si="320"/>
        <v>804.87</v>
      </c>
      <c r="K935" s="878" t="s">
        <v>1500</v>
      </c>
      <c r="L935" s="879">
        <f>ROUND(SUM(ORÇAMENTO!L935),2)</f>
        <v>0</v>
      </c>
      <c r="M935" s="879">
        <f t="shared" si="321"/>
        <v>0</v>
      </c>
      <c r="N935" s="868">
        <f t="shared" si="322"/>
        <v>0</v>
      </c>
      <c r="O935" s="880"/>
      <c r="Q935" s="317" t="str">
        <f t="shared" si="323"/>
        <v/>
      </c>
      <c r="R935" s="317" t="str">
        <f t="shared" si="324"/>
        <v/>
      </c>
      <c r="S935" s="317" t="str">
        <f t="shared" si="325"/>
        <v/>
      </c>
      <c r="V935" s="314">
        <f>SUM(ORÇAMENTO!N935)</f>
        <v>0</v>
      </c>
      <c r="W935" s="315">
        <f t="shared" si="327"/>
        <v>0</v>
      </c>
    </row>
    <row r="936" spans="1:23" ht="34.5" hidden="1" thickBot="1">
      <c r="A936" s="63">
        <v>100586</v>
      </c>
      <c r="B936" s="870">
        <v>100586</v>
      </c>
      <c r="C936" s="871" t="s">
        <v>590</v>
      </c>
      <c r="D936" s="881" t="s">
        <v>847</v>
      </c>
      <c r="E936" s="882"/>
      <c r="F936" s="883"/>
      <c r="G936" s="887"/>
      <c r="H936" s="876">
        <v>757.16</v>
      </c>
      <c r="I936" s="876">
        <f t="shared" si="326"/>
        <v>757.16</v>
      </c>
      <c r="J936" s="877">
        <f t="shared" si="320"/>
        <v>925.4</v>
      </c>
      <c r="K936" s="878" t="s">
        <v>1500</v>
      </c>
      <c r="L936" s="879">
        <f>ROUND(SUM(ORÇAMENTO!L936),2)</f>
        <v>0</v>
      </c>
      <c r="M936" s="879">
        <f t="shared" si="321"/>
        <v>0</v>
      </c>
      <c r="N936" s="868">
        <f t="shared" si="322"/>
        <v>0</v>
      </c>
      <c r="O936" s="880"/>
      <c r="Q936" s="317" t="str">
        <f t="shared" si="323"/>
        <v/>
      </c>
      <c r="R936" s="317" t="str">
        <f t="shared" si="324"/>
        <v/>
      </c>
      <c r="S936" s="317" t="str">
        <f t="shared" si="325"/>
        <v/>
      </c>
      <c r="V936" s="314">
        <f>SUM(ORÇAMENTO!N936)</f>
        <v>0</v>
      </c>
      <c r="W936" s="315">
        <f t="shared" si="327"/>
        <v>0</v>
      </c>
    </row>
    <row r="937" spans="1:23" ht="34.5" hidden="1" thickBot="1">
      <c r="A937" s="63">
        <v>100587</v>
      </c>
      <c r="B937" s="870">
        <v>100587</v>
      </c>
      <c r="C937" s="871" t="s">
        <v>590</v>
      </c>
      <c r="D937" s="881" t="s">
        <v>848</v>
      </c>
      <c r="E937" s="882"/>
      <c r="F937" s="883"/>
      <c r="G937" s="887"/>
      <c r="H937" s="876">
        <v>710.91</v>
      </c>
      <c r="I937" s="876">
        <f t="shared" si="326"/>
        <v>710.91</v>
      </c>
      <c r="J937" s="877">
        <f t="shared" si="320"/>
        <v>868.87</v>
      </c>
      <c r="K937" s="878" t="s">
        <v>1500</v>
      </c>
      <c r="L937" s="879">
        <f>ROUND(SUM(ORÇAMENTO!L937),2)</f>
        <v>0</v>
      </c>
      <c r="M937" s="879">
        <f t="shared" si="321"/>
        <v>0</v>
      </c>
      <c r="N937" s="868">
        <f t="shared" si="322"/>
        <v>0</v>
      </c>
      <c r="O937" s="880"/>
      <c r="Q937" s="317" t="str">
        <f t="shared" si="323"/>
        <v/>
      </c>
      <c r="R937" s="317" t="str">
        <f t="shared" si="324"/>
        <v/>
      </c>
      <c r="S937" s="317" t="str">
        <f t="shared" si="325"/>
        <v/>
      </c>
      <c r="V937" s="314">
        <f>SUM(ORÇAMENTO!N937)</f>
        <v>0</v>
      </c>
      <c r="W937" s="315">
        <f t="shared" si="327"/>
        <v>0</v>
      </c>
    </row>
    <row r="938" spans="1:23" ht="34.5" hidden="1" thickBot="1">
      <c r="A938" s="63">
        <v>100588</v>
      </c>
      <c r="B938" s="870">
        <v>100588</v>
      </c>
      <c r="C938" s="871" t="s">
        <v>590</v>
      </c>
      <c r="D938" s="881" t="s">
        <v>849</v>
      </c>
      <c r="E938" s="882"/>
      <c r="F938" s="883"/>
      <c r="G938" s="887"/>
      <c r="H938" s="876">
        <v>787.57</v>
      </c>
      <c r="I938" s="876">
        <f t="shared" si="326"/>
        <v>787.57</v>
      </c>
      <c r="J938" s="877">
        <f t="shared" si="320"/>
        <v>962.57</v>
      </c>
      <c r="K938" s="878" t="s">
        <v>1500</v>
      </c>
      <c r="L938" s="879">
        <f>ROUND(SUM(ORÇAMENTO!L938),2)</f>
        <v>0</v>
      </c>
      <c r="M938" s="879">
        <f t="shared" si="321"/>
        <v>0</v>
      </c>
      <c r="N938" s="868">
        <f t="shared" si="322"/>
        <v>0</v>
      </c>
      <c r="O938" s="880"/>
      <c r="Q938" s="317" t="str">
        <f t="shared" si="323"/>
        <v/>
      </c>
      <c r="R938" s="317" t="str">
        <f t="shared" si="324"/>
        <v/>
      </c>
      <c r="S938" s="317" t="str">
        <f t="shared" si="325"/>
        <v/>
      </c>
      <c r="V938" s="314">
        <f>SUM(ORÇAMENTO!N938)</f>
        <v>0</v>
      </c>
      <c r="W938" s="315">
        <f t="shared" si="327"/>
        <v>0</v>
      </c>
    </row>
    <row r="939" spans="1:23" ht="34.5" hidden="1" thickBot="1">
      <c r="A939" s="63">
        <v>100589</v>
      </c>
      <c r="B939" s="870">
        <v>100589</v>
      </c>
      <c r="C939" s="871" t="s">
        <v>590</v>
      </c>
      <c r="D939" s="881" t="s">
        <v>850</v>
      </c>
      <c r="E939" s="882"/>
      <c r="F939" s="883"/>
      <c r="G939" s="887"/>
      <c r="H939" s="876">
        <v>790.38</v>
      </c>
      <c r="I939" s="876">
        <f t="shared" si="326"/>
        <v>790.38</v>
      </c>
      <c r="J939" s="877">
        <f t="shared" si="320"/>
        <v>966</v>
      </c>
      <c r="K939" s="878" t="s">
        <v>1500</v>
      </c>
      <c r="L939" s="879">
        <f>ROUND(SUM(ORÇAMENTO!L939),2)</f>
        <v>0</v>
      </c>
      <c r="M939" s="879">
        <f t="shared" si="321"/>
        <v>0</v>
      </c>
      <c r="N939" s="868">
        <f t="shared" si="322"/>
        <v>0</v>
      </c>
      <c r="O939" s="880"/>
      <c r="Q939" s="317" t="str">
        <f t="shared" si="323"/>
        <v/>
      </c>
      <c r="R939" s="317" t="str">
        <f t="shared" si="324"/>
        <v/>
      </c>
      <c r="S939" s="317" t="str">
        <f t="shared" si="325"/>
        <v/>
      </c>
      <c r="V939" s="314">
        <f>SUM(ORÇAMENTO!N939)</f>
        <v>0</v>
      </c>
      <c r="W939" s="315">
        <f t="shared" si="327"/>
        <v>0</v>
      </c>
    </row>
    <row r="940" spans="1:23" ht="34.5" hidden="1" thickBot="1">
      <c r="A940" s="63">
        <v>100590</v>
      </c>
      <c r="B940" s="870">
        <v>100590</v>
      </c>
      <c r="C940" s="871" t="s">
        <v>590</v>
      </c>
      <c r="D940" s="881" t="s">
        <v>851</v>
      </c>
      <c r="E940" s="882"/>
      <c r="F940" s="883"/>
      <c r="G940" s="887"/>
      <c r="H940" s="876">
        <v>866.24</v>
      </c>
      <c r="I940" s="876">
        <f t="shared" si="326"/>
        <v>866.24</v>
      </c>
      <c r="J940" s="877">
        <f t="shared" si="320"/>
        <v>1058.72</v>
      </c>
      <c r="K940" s="878" t="s">
        <v>1500</v>
      </c>
      <c r="L940" s="879">
        <f>ROUND(SUM(ORÇAMENTO!L940),2)</f>
        <v>0</v>
      </c>
      <c r="M940" s="879">
        <f t="shared" si="321"/>
        <v>0</v>
      </c>
      <c r="N940" s="868">
        <f t="shared" si="322"/>
        <v>0</v>
      </c>
      <c r="O940" s="880"/>
      <c r="Q940" s="317" t="str">
        <f t="shared" si="323"/>
        <v/>
      </c>
      <c r="R940" s="317" t="str">
        <f t="shared" si="324"/>
        <v/>
      </c>
      <c r="S940" s="317" t="str">
        <f t="shared" si="325"/>
        <v/>
      </c>
      <c r="V940" s="314">
        <f>SUM(ORÇAMENTO!N940)</f>
        <v>0</v>
      </c>
      <c r="W940" s="315">
        <f t="shared" si="327"/>
        <v>0</v>
      </c>
    </row>
    <row r="941" spans="1:23" ht="34.5" hidden="1" thickBot="1">
      <c r="A941" s="63">
        <v>100591</v>
      </c>
      <c r="B941" s="870">
        <v>100591</v>
      </c>
      <c r="C941" s="871" t="s">
        <v>590</v>
      </c>
      <c r="D941" s="881" t="s">
        <v>852</v>
      </c>
      <c r="E941" s="882"/>
      <c r="F941" s="883"/>
      <c r="G941" s="887"/>
      <c r="H941" s="876">
        <v>783.32</v>
      </c>
      <c r="I941" s="876">
        <f t="shared" si="326"/>
        <v>783.32</v>
      </c>
      <c r="J941" s="877">
        <f t="shared" si="320"/>
        <v>957.37</v>
      </c>
      <c r="K941" s="878" t="s">
        <v>1500</v>
      </c>
      <c r="L941" s="879">
        <f>ROUND(SUM(ORÇAMENTO!L941),2)</f>
        <v>0</v>
      </c>
      <c r="M941" s="879">
        <f t="shared" si="321"/>
        <v>0</v>
      </c>
      <c r="N941" s="868">
        <f t="shared" si="322"/>
        <v>0</v>
      </c>
      <c r="O941" s="880"/>
      <c r="Q941" s="317" t="str">
        <f t="shared" si="323"/>
        <v/>
      </c>
      <c r="R941" s="317" t="str">
        <f t="shared" si="324"/>
        <v/>
      </c>
      <c r="S941" s="317" t="str">
        <f t="shared" si="325"/>
        <v/>
      </c>
      <c r="V941" s="314">
        <f>SUM(ORÇAMENTO!N941)</f>
        <v>0</v>
      </c>
      <c r="W941" s="315">
        <f t="shared" si="327"/>
        <v>0</v>
      </c>
    </row>
    <row r="942" spans="1:23" ht="34.5" hidden="1" thickBot="1">
      <c r="A942" s="63">
        <v>100592</v>
      </c>
      <c r="B942" s="870">
        <v>100592</v>
      </c>
      <c r="C942" s="871" t="s">
        <v>590</v>
      </c>
      <c r="D942" s="881" t="s">
        <v>853</v>
      </c>
      <c r="E942" s="882"/>
      <c r="F942" s="883"/>
      <c r="G942" s="887"/>
      <c r="H942" s="876">
        <v>846.16</v>
      </c>
      <c r="I942" s="876">
        <f t="shared" si="326"/>
        <v>846.16</v>
      </c>
      <c r="J942" s="877">
        <f t="shared" si="320"/>
        <v>1034.18</v>
      </c>
      <c r="K942" s="878" t="s">
        <v>1500</v>
      </c>
      <c r="L942" s="879">
        <f>ROUND(SUM(ORÇAMENTO!L942),2)</f>
        <v>0</v>
      </c>
      <c r="M942" s="879">
        <f t="shared" si="321"/>
        <v>0</v>
      </c>
      <c r="N942" s="868">
        <f t="shared" si="322"/>
        <v>0</v>
      </c>
      <c r="O942" s="880"/>
      <c r="Q942" s="317" t="str">
        <f t="shared" si="323"/>
        <v/>
      </c>
      <c r="R942" s="317" t="str">
        <f t="shared" si="324"/>
        <v/>
      </c>
      <c r="S942" s="317" t="str">
        <f t="shared" si="325"/>
        <v/>
      </c>
      <c r="V942" s="314">
        <f>SUM(ORÇAMENTO!N942)</f>
        <v>0</v>
      </c>
      <c r="W942" s="315">
        <f t="shared" si="327"/>
        <v>0</v>
      </c>
    </row>
    <row r="943" spans="1:23" ht="34.5" hidden="1" thickBot="1">
      <c r="A943" s="63">
        <v>100593</v>
      </c>
      <c r="B943" s="870">
        <v>100593</v>
      </c>
      <c r="C943" s="871" t="s">
        <v>590</v>
      </c>
      <c r="D943" s="881" t="s">
        <v>854</v>
      </c>
      <c r="E943" s="882"/>
      <c r="F943" s="883"/>
      <c r="G943" s="887"/>
      <c r="H943" s="876">
        <v>839.13</v>
      </c>
      <c r="I943" s="876">
        <f t="shared" si="326"/>
        <v>839.13</v>
      </c>
      <c r="J943" s="877">
        <f t="shared" si="320"/>
        <v>1025.58</v>
      </c>
      <c r="K943" s="878" t="s">
        <v>1500</v>
      </c>
      <c r="L943" s="879">
        <f>ROUND(SUM(ORÇAMENTO!L943),2)</f>
        <v>0</v>
      </c>
      <c r="M943" s="879">
        <f t="shared" si="321"/>
        <v>0</v>
      </c>
      <c r="N943" s="868">
        <f t="shared" si="322"/>
        <v>0</v>
      </c>
      <c r="O943" s="880"/>
      <c r="Q943" s="317" t="str">
        <f t="shared" si="323"/>
        <v/>
      </c>
      <c r="R943" s="317" t="str">
        <f t="shared" si="324"/>
        <v/>
      </c>
      <c r="S943" s="317" t="str">
        <f t="shared" si="325"/>
        <v/>
      </c>
      <c r="V943" s="314">
        <f>SUM(ORÇAMENTO!N943)</f>
        <v>0</v>
      </c>
      <c r="W943" s="315">
        <f t="shared" si="327"/>
        <v>0</v>
      </c>
    </row>
    <row r="944" spans="1:23" ht="34.5" hidden="1" thickBot="1">
      <c r="A944" s="63">
        <v>100594</v>
      </c>
      <c r="B944" s="870">
        <v>100594</v>
      </c>
      <c r="C944" s="871" t="s">
        <v>590</v>
      </c>
      <c r="D944" s="881" t="s">
        <v>855</v>
      </c>
      <c r="E944" s="882"/>
      <c r="F944" s="883"/>
      <c r="G944" s="887"/>
      <c r="H944" s="876">
        <v>945.58</v>
      </c>
      <c r="I944" s="876">
        <f t="shared" si="326"/>
        <v>945.58</v>
      </c>
      <c r="J944" s="877">
        <f t="shared" si="320"/>
        <v>1155.69</v>
      </c>
      <c r="K944" s="878" t="s">
        <v>1500</v>
      </c>
      <c r="L944" s="879">
        <f>ROUND(SUM(ORÇAMENTO!L944),2)</f>
        <v>0</v>
      </c>
      <c r="M944" s="879">
        <f t="shared" si="321"/>
        <v>0</v>
      </c>
      <c r="N944" s="868">
        <f t="shared" si="322"/>
        <v>0</v>
      </c>
      <c r="O944" s="880"/>
      <c r="Q944" s="317" t="str">
        <f t="shared" si="323"/>
        <v/>
      </c>
      <c r="R944" s="317" t="str">
        <f t="shared" si="324"/>
        <v/>
      </c>
      <c r="S944" s="317" t="str">
        <f t="shared" si="325"/>
        <v/>
      </c>
      <c r="V944" s="314">
        <f>SUM(ORÇAMENTO!N944)</f>
        <v>0</v>
      </c>
      <c r="W944" s="315">
        <f t="shared" si="327"/>
        <v>0</v>
      </c>
    </row>
    <row r="945" spans="1:23" ht="34.5" hidden="1" thickBot="1">
      <c r="A945" s="63">
        <v>100595</v>
      </c>
      <c r="B945" s="870">
        <v>100595</v>
      </c>
      <c r="C945" s="871" t="s">
        <v>590</v>
      </c>
      <c r="D945" s="881" t="s">
        <v>856</v>
      </c>
      <c r="E945" s="882"/>
      <c r="F945" s="883"/>
      <c r="G945" s="887"/>
      <c r="H945" s="876">
        <v>1006.57</v>
      </c>
      <c r="I945" s="876">
        <f t="shared" si="326"/>
        <v>1006.57</v>
      </c>
      <c r="J945" s="877">
        <f t="shared" si="320"/>
        <v>1230.23</v>
      </c>
      <c r="K945" s="878" t="s">
        <v>1500</v>
      </c>
      <c r="L945" s="879">
        <f>ROUND(SUM(ORÇAMENTO!L945),2)</f>
        <v>0</v>
      </c>
      <c r="M945" s="879">
        <f t="shared" si="321"/>
        <v>0</v>
      </c>
      <c r="N945" s="868">
        <f t="shared" si="322"/>
        <v>0</v>
      </c>
      <c r="O945" s="880"/>
      <c r="Q945" s="317" t="str">
        <f t="shared" si="323"/>
        <v/>
      </c>
      <c r="R945" s="317" t="str">
        <f t="shared" si="324"/>
        <v/>
      </c>
      <c r="S945" s="317" t="str">
        <f t="shared" si="325"/>
        <v/>
      </c>
      <c r="V945" s="314">
        <f>SUM(ORÇAMENTO!N945)</f>
        <v>0</v>
      </c>
      <c r="W945" s="315">
        <f t="shared" si="327"/>
        <v>0</v>
      </c>
    </row>
    <row r="946" spans="1:23" ht="34.5" hidden="1" thickBot="1">
      <c r="A946" s="63">
        <v>100596</v>
      </c>
      <c r="B946" s="870">
        <v>100596</v>
      </c>
      <c r="C946" s="871" t="s">
        <v>590</v>
      </c>
      <c r="D946" s="881" t="s">
        <v>857</v>
      </c>
      <c r="E946" s="882"/>
      <c r="F946" s="883"/>
      <c r="G946" s="887"/>
      <c r="H946" s="876">
        <v>1150.1199999999999</v>
      </c>
      <c r="I946" s="876">
        <f t="shared" si="326"/>
        <v>1150.1199999999999</v>
      </c>
      <c r="J946" s="877">
        <f t="shared" si="320"/>
        <v>1405.68</v>
      </c>
      <c r="K946" s="878" t="s">
        <v>1500</v>
      </c>
      <c r="L946" s="879">
        <f>ROUND(SUM(ORÇAMENTO!L946),2)</f>
        <v>0</v>
      </c>
      <c r="M946" s="879">
        <f t="shared" si="321"/>
        <v>0</v>
      </c>
      <c r="N946" s="868">
        <f t="shared" si="322"/>
        <v>0</v>
      </c>
      <c r="O946" s="880"/>
      <c r="Q946" s="317" t="str">
        <f t="shared" si="323"/>
        <v/>
      </c>
      <c r="R946" s="317" t="str">
        <f t="shared" si="324"/>
        <v/>
      </c>
      <c r="S946" s="317" t="str">
        <f t="shared" si="325"/>
        <v/>
      </c>
      <c r="V946" s="314">
        <f>SUM(ORÇAMENTO!N946)</f>
        <v>0</v>
      </c>
      <c r="W946" s="315">
        <f t="shared" si="327"/>
        <v>0</v>
      </c>
    </row>
    <row r="947" spans="1:23" ht="34.5" hidden="1" thickBot="1">
      <c r="A947" s="63">
        <v>100597</v>
      </c>
      <c r="B947" s="870">
        <v>100597</v>
      </c>
      <c r="C947" s="871" t="s">
        <v>590</v>
      </c>
      <c r="D947" s="881" t="s">
        <v>858</v>
      </c>
      <c r="E947" s="882"/>
      <c r="F947" s="883"/>
      <c r="G947" s="887"/>
      <c r="H947" s="876">
        <v>1167.05</v>
      </c>
      <c r="I947" s="876">
        <f t="shared" si="326"/>
        <v>1167.05</v>
      </c>
      <c r="J947" s="877">
        <f t="shared" si="320"/>
        <v>1426.37</v>
      </c>
      <c r="K947" s="878" t="s">
        <v>1500</v>
      </c>
      <c r="L947" s="879">
        <f>ROUND(SUM(ORÇAMENTO!L947),2)</f>
        <v>0</v>
      </c>
      <c r="M947" s="879">
        <f t="shared" si="321"/>
        <v>0</v>
      </c>
      <c r="N947" s="868">
        <f t="shared" si="322"/>
        <v>0</v>
      </c>
      <c r="O947" s="880"/>
      <c r="Q947" s="317" t="str">
        <f t="shared" si="323"/>
        <v/>
      </c>
      <c r="R947" s="317" t="str">
        <f t="shared" si="324"/>
        <v/>
      </c>
      <c r="S947" s="317" t="str">
        <f t="shared" si="325"/>
        <v/>
      </c>
      <c r="V947" s="314">
        <f>SUM(ORÇAMENTO!N947)</f>
        <v>0</v>
      </c>
      <c r="W947" s="315">
        <f t="shared" si="327"/>
        <v>0</v>
      </c>
    </row>
    <row r="948" spans="1:23" ht="34.5" hidden="1" thickBot="1">
      <c r="A948" s="63">
        <v>100598</v>
      </c>
      <c r="B948" s="870">
        <v>100598</v>
      </c>
      <c r="C948" s="871" t="s">
        <v>590</v>
      </c>
      <c r="D948" s="881" t="s">
        <v>859</v>
      </c>
      <c r="E948" s="882"/>
      <c r="F948" s="883"/>
      <c r="G948" s="887"/>
      <c r="H948" s="876">
        <v>1285.3900000000001</v>
      </c>
      <c r="I948" s="876">
        <f t="shared" si="326"/>
        <v>1285.3900000000001</v>
      </c>
      <c r="J948" s="877">
        <f t="shared" si="320"/>
        <v>1571</v>
      </c>
      <c r="K948" s="878" t="s">
        <v>1500</v>
      </c>
      <c r="L948" s="879">
        <f>ROUND(SUM(ORÇAMENTO!L948),2)</f>
        <v>0</v>
      </c>
      <c r="M948" s="879">
        <f t="shared" si="321"/>
        <v>0</v>
      </c>
      <c r="N948" s="868">
        <f t="shared" si="322"/>
        <v>0</v>
      </c>
      <c r="O948" s="880"/>
      <c r="Q948" s="317" t="str">
        <f t="shared" si="323"/>
        <v/>
      </c>
      <c r="R948" s="317" t="str">
        <f t="shared" si="324"/>
        <v/>
      </c>
      <c r="S948" s="317" t="str">
        <f t="shared" si="325"/>
        <v/>
      </c>
      <c r="V948" s="314">
        <f>SUM(ORÇAMENTO!N948)</f>
        <v>0</v>
      </c>
      <c r="W948" s="315">
        <f t="shared" si="327"/>
        <v>0</v>
      </c>
    </row>
    <row r="949" spans="1:23" ht="34.5" hidden="1" thickBot="1">
      <c r="A949" s="63">
        <v>100599</v>
      </c>
      <c r="B949" s="870">
        <v>100599</v>
      </c>
      <c r="C949" s="871" t="s">
        <v>590</v>
      </c>
      <c r="D949" s="881" t="s">
        <v>860</v>
      </c>
      <c r="E949" s="882"/>
      <c r="F949" s="883"/>
      <c r="G949" s="887"/>
      <c r="H949" s="876">
        <v>516.86</v>
      </c>
      <c r="I949" s="876">
        <f t="shared" si="326"/>
        <v>516.86</v>
      </c>
      <c r="J949" s="877">
        <f t="shared" si="320"/>
        <v>631.71</v>
      </c>
      <c r="K949" s="878" t="s">
        <v>1500</v>
      </c>
      <c r="L949" s="879">
        <f>ROUND(SUM(ORÇAMENTO!L949),2)</f>
        <v>0</v>
      </c>
      <c r="M949" s="879">
        <f t="shared" si="321"/>
        <v>0</v>
      </c>
      <c r="N949" s="868">
        <f t="shared" si="322"/>
        <v>0</v>
      </c>
      <c r="O949" s="880"/>
      <c r="Q949" s="317" t="str">
        <f t="shared" si="323"/>
        <v/>
      </c>
      <c r="R949" s="317" t="str">
        <f t="shared" si="324"/>
        <v/>
      </c>
      <c r="S949" s="317" t="str">
        <f t="shared" si="325"/>
        <v/>
      </c>
      <c r="V949" s="314">
        <f>SUM(ORÇAMENTO!N949)</f>
        <v>0</v>
      </c>
      <c r="W949" s="315">
        <f t="shared" si="327"/>
        <v>0</v>
      </c>
    </row>
    <row r="950" spans="1:23" ht="34.5" hidden="1" thickBot="1">
      <c r="A950" s="63">
        <v>100600</v>
      </c>
      <c r="B950" s="870">
        <v>100600</v>
      </c>
      <c r="C950" s="871" t="s">
        <v>590</v>
      </c>
      <c r="D950" s="881" t="s">
        <v>861</v>
      </c>
      <c r="E950" s="882"/>
      <c r="F950" s="883"/>
      <c r="G950" s="887"/>
      <c r="H950" s="876">
        <v>613.13</v>
      </c>
      <c r="I950" s="876">
        <f t="shared" si="326"/>
        <v>613.13</v>
      </c>
      <c r="J950" s="877">
        <f t="shared" si="320"/>
        <v>749.37</v>
      </c>
      <c r="K950" s="878" t="s">
        <v>1500</v>
      </c>
      <c r="L950" s="879">
        <f>ROUND(SUM(ORÇAMENTO!L950),2)</f>
        <v>0</v>
      </c>
      <c r="M950" s="879">
        <f t="shared" si="321"/>
        <v>0</v>
      </c>
      <c r="N950" s="868">
        <f t="shared" si="322"/>
        <v>0</v>
      </c>
      <c r="O950" s="880"/>
      <c r="Q950" s="317" t="str">
        <f t="shared" si="323"/>
        <v/>
      </c>
      <c r="R950" s="317" t="str">
        <f t="shared" si="324"/>
        <v/>
      </c>
      <c r="S950" s="317" t="str">
        <f t="shared" si="325"/>
        <v/>
      </c>
      <c r="V950" s="314">
        <f>SUM(ORÇAMENTO!N950)</f>
        <v>0</v>
      </c>
      <c r="W950" s="315">
        <f t="shared" si="327"/>
        <v>0</v>
      </c>
    </row>
    <row r="951" spans="1:23" ht="34.5" hidden="1" thickBot="1">
      <c r="A951" s="63">
        <v>100601</v>
      </c>
      <c r="B951" s="870">
        <v>100601</v>
      </c>
      <c r="C951" s="871" t="s">
        <v>590</v>
      </c>
      <c r="D951" s="881" t="s">
        <v>862</v>
      </c>
      <c r="E951" s="882"/>
      <c r="F951" s="883"/>
      <c r="G951" s="887"/>
      <c r="H951" s="876">
        <v>772.56</v>
      </c>
      <c r="I951" s="876">
        <f t="shared" si="326"/>
        <v>772.56</v>
      </c>
      <c r="J951" s="877">
        <f t="shared" si="320"/>
        <v>944.22</v>
      </c>
      <c r="K951" s="878" t="s">
        <v>1500</v>
      </c>
      <c r="L951" s="879">
        <f>ROUND(SUM(ORÇAMENTO!L951),2)</f>
        <v>0</v>
      </c>
      <c r="M951" s="879">
        <f t="shared" si="321"/>
        <v>0</v>
      </c>
      <c r="N951" s="868">
        <f t="shared" si="322"/>
        <v>0</v>
      </c>
      <c r="O951" s="880"/>
      <c r="Q951" s="317" t="str">
        <f t="shared" si="323"/>
        <v/>
      </c>
      <c r="R951" s="317" t="str">
        <f t="shared" si="324"/>
        <v/>
      </c>
      <c r="S951" s="317" t="str">
        <f t="shared" si="325"/>
        <v/>
      </c>
      <c r="V951" s="314">
        <f>SUM(ORÇAMENTO!N951)</f>
        <v>0</v>
      </c>
      <c r="W951" s="315">
        <f t="shared" si="327"/>
        <v>0</v>
      </c>
    </row>
    <row r="952" spans="1:23" ht="34.5" hidden="1" thickBot="1">
      <c r="A952" s="63">
        <v>100602</v>
      </c>
      <c r="B952" s="870">
        <v>100602</v>
      </c>
      <c r="C952" s="871" t="s">
        <v>590</v>
      </c>
      <c r="D952" s="881" t="s">
        <v>863</v>
      </c>
      <c r="E952" s="882"/>
      <c r="F952" s="883"/>
      <c r="G952" s="887"/>
      <c r="H952" s="876">
        <v>971.46</v>
      </c>
      <c r="I952" s="876">
        <f t="shared" si="326"/>
        <v>971.46</v>
      </c>
      <c r="J952" s="877">
        <f t="shared" si="320"/>
        <v>1187.32</v>
      </c>
      <c r="K952" s="878" t="s">
        <v>1500</v>
      </c>
      <c r="L952" s="879">
        <f>ROUND(SUM(ORÇAMENTO!L952),2)</f>
        <v>0</v>
      </c>
      <c r="M952" s="879">
        <f t="shared" si="321"/>
        <v>0</v>
      </c>
      <c r="N952" s="868">
        <f t="shared" si="322"/>
        <v>0</v>
      </c>
      <c r="O952" s="880"/>
      <c r="Q952" s="317" t="str">
        <f t="shared" si="323"/>
        <v/>
      </c>
      <c r="R952" s="317" t="str">
        <f t="shared" si="324"/>
        <v/>
      </c>
      <c r="S952" s="317" t="str">
        <f t="shared" si="325"/>
        <v/>
      </c>
      <c r="V952" s="314">
        <f>SUM(ORÇAMENTO!N952)</f>
        <v>0</v>
      </c>
      <c r="W952" s="315">
        <f t="shared" si="327"/>
        <v>0</v>
      </c>
    </row>
    <row r="953" spans="1:23" ht="34.5" hidden="1" thickBot="1">
      <c r="A953" s="63">
        <v>100603</v>
      </c>
      <c r="B953" s="870">
        <v>100603</v>
      </c>
      <c r="C953" s="871" t="s">
        <v>590</v>
      </c>
      <c r="D953" s="881" t="s">
        <v>864</v>
      </c>
      <c r="E953" s="882"/>
      <c r="F953" s="883"/>
      <c r="G953" s="887"/>
      <c r="H953" s="876">
        <v>1484.28</v>
      </c>
      <c r="I953" s="876">
        <f t="shared" si="326"/>
        <v>1484.28</v>
      </c>
      <c r="J953" s="877">
        <f t="shared" si="320"/>
        <v>1814.09</v>
      </c>
      <c r="K953" s="878" t="s">
        <v>1500</v>
      </c>
      <c r="L953" s="879">
        <f>ROUND(SUM(ORÇAMENTO!L953),2)</f>
        <v>0</v>
      </c>
      <c r="M953" s="879">
        <f t="shared" si="321"/>
        <v>0</v>
      </c>
      <c r="N953" s="868">
        <f t="shared" si="322"/>
        <v>0</v>
      </c>
      <c r="O953" s="880"/>
      <c r="Q953" s="317" t="str">
        <f t="shared" si="323"/>
        <v/>
      </c>
      <c r="R953" s="317" t="str">
        <f t="shared" si="324"/>
        <v/>
      </c>
      <c r="S953" s="317" t="str">
        <f t="shared" si="325"/>
        <v/>
      </c>
      <c r="V953" s="314">
        <f>SUM(ORÇAMENTO!N953)</f>
        <v>0</v>
      </c>
      <c r="W953" s="315">
        <f t="shared" si="327"/>
        <v>0</v>
      </c>
    </row>
    <row r="954" spans="1:23" ht="34.5" hidden="1" thickBot="1">
      <c r="A954" s="63">
        <v>100604</v>
      </c>
      <c r="B954" s="870">
        <v>100604</v>
      </c>
      <c r="C954" s="871" t="s">
        <v>590</v>
      </c>
      <c r="D954" s="881" t="s">
        <v>865</v>
      </c>
      <c r="E954" s="882"/>
      <c r="F954" s="883"/>
      <c r="G954" s="887"/>
      <c r="H954" s="876">
        <v>652.23</v>
      </c>
      <c r="I954" s="876">
        <f t="shared" si="326"/>
        <v>652.23</v>
      </c>
      <c r="J954" s="877">
        <f t="shared" si="320"/>
        <v>797.16</v>
      </c>
      <c r="K954" s="878" t="s">
        <v>1500</v>
      </c>
      <c r="L954" s="879">
        <f>ROUND(SUM(ORÇAMENTO!L954),2)</f>
        <v>0</v>
      </c>
      <c r="M954" s="879">
        <f t="shared" si="321"/>
        <v>0</v>
      </c>
      <c r="N954" s="868">
        <f t="shared" si="322"/>
        <v>0</v>
      </c>
      <c r="O954" s="880"/>
      <c r="Q954" s="317" t="str">
        <f t="shared" si="323"/>
        <v/>
      </c>
      <c r="R954" s="317" t="str">
        <f t="shared" si="324"/>
        <v/>
      </c>
      <c r="S954" s="317" t="str">
        <f t="shared" si="325"/>
        <v/>
      </c>
      <c r="V954" s="314">
        <f>SUM(ORÇAMENTO!N954)</f>
        <v>0</v>
      </c>
      <c r="W954" s="315">
        <f t="shared" si="327"/>
        <v>0</v>
      </c>
    </row>
    <row r="955" spans="1:23" ht="34.5" hidden="1" thickBot="1">
      <c r="A955" s="63">
        <v>100605</v>
      </c>
      <c r="B955" s="870">
        <v>100605</v>
      </c>
      <c r="C955" s="871" t="s">
        <v>590</v>
      </c>
      <c r="D955" s="881" t="s">
        <v>866</v>
      </c>
      <c r="E955" s="882"/>
      <c r="F955" s="883"/>
      <c r="G955" s="887"/>
      <c r="H955" s="876">
        <v>1021.11</v>
      </c>
      <c r="I955" s="876">
        <f t="shared" si="326"/>
        <v>1021.11</v>
      </c>
      <c r="J955" s="877">
        <f t="shared" si="320"/>
        <v>1248</v>
      </c>
      <c r="K955" s="878" t="s">
        <v>1500</v>
      </c>
      <c r="L955" s="879">
        <f>ROUND(SUM(ORÇAMENTO!L955),2)</f>
        <v>0</v>
      </c>
      <c r="M955" s="879">
        <f t="shared" si="321"/>
        <v>0</v>
      </c>
      <c r="N955" s="868">
        <f t="shared" si="322"/>
        <v>0</v>
      </c>
      <c r="O955" s="880"/>
      <c r="Q955" s="317" t="str">
        <f t="shared" si="323"/>
        <v/>
      </c>
      <c r="R955" s="317" t="str">
        <f t="shared" si="324"/>
        <v/>
      </c>
      <c r="S955" s="317" t="str">
        <f t="shared" si="325"/>
        <v/>
      </c>
      <c r="V955" s="314">
        <f>SUM(ORÇAMENTO!N955)</f>
        <v>0</v>
      </c>
      <c r="W955" s="315">
        <f t="shared" si="327"/>
        <v>0</v>
      </c>
    </row>
    <row r="956" spans="1:23" ht="34.5" hidden="1" thickBot="1">
      <c r="A956" s="63">
        <v>100606</v>
      </c>
      <c r="B956" s="870">
        <v>100606</v>
      </c>
      <c r="C956" s="871" t="s">
        <v>590</v>
      </c>
      <c r="D956" s="881" t="s">
        <v>867</v>
      </c>
      <c r="E956" s="882"/>
      <c r="F956" s="883"/>
      <c r="G956" s="887"/>
      <c r="H956" s="876">
        <v>1547.64</v>
      </c>
      <c r="I956" s="876">
        <f t="shared" si="326"/>
        <v>1547.64</v>
      </c>
      <c r="J956" s="877">
        <f t="shared" si="320"/>
        <v>1891.53</v>
      </c>
      <c r="K956" s="878" t="s">
        <v>1500</v>
      </c>
      <c r="L956" s="879">
        <f>ROUND(SUM(ORÇAMENTO!L956),2)</f>
        <v>0</v>
      </c>
      <c r="M956" s="879">
        <f t="shared" si="321"/>
        <v>0</v>
      </c>
      <c r="N956" s="868">
        <f t="shared" si="322"/>
        <v>0</v>
      </c>
      <c r="O956" s="880"/>
      <c r="Q956" s="317" t="str">
        <f t="shared" si="323"/>
        <v/>
      </c>
      <c r="R956" s="317" t="str">
        <f t="shared" si="324"/>
        <v/>
      </c>
      <c r="S956" s="317" t="str">
        <f t="shared" si="325"/>
        <v/>
      </c>
      <c r="V956" s="314">
        <f>SUM(ORÇAMENTO!N956)</f>
        <v>0</v>
      </c>
      <c r="W956" s="315">
        <f t="shared" si="327"/>
        <v>0</v>
      </c>
    </row>
    <row r="957" spans="1:23" ht="34.5" hidden="1" thickBot="1">
      <c r="A957" s="63">
        <v>100607</v>
      </c>
      <c r="B957" s="870">
        <v>100607</v>
      </c>
      <c r="C957" s="871" t="s">
        <v>590</v>
      </c>
      <c r="D957" s="881" t="s">
        <v>868</v>
      </c>
      <c r="E957" s="882"/>
      <c r="F957" s="883"/>
      <c r="G957" s="887"/>
      <c r="H957" s="876">
        <v>670.9</v>
      </c>
      <c r="I957" s="876">
        <f t="shared" si="326"/>
        <v>670.9</v>
      </c>
      <c r="J957" s="877">
        <f t="shared" si="320"/>
        <v>819.97</v>
      </c>
      <c r="K957" s="878" t="s">
        <v>1500</v>
      </c>
      <c r="L957" s="879">
        <f>ROUND(SUM(ORÇAMENTO!L957),2)</f>
        <v>0</v>
      </c>
      <c r="M957" s="879">
        <f t="shared" si="321"/>
        <v>0</v>
      </c>
      <c r="N957" s="868">
        <f t="shared" si="322"/>
        <v>0</v>
      </c>
      <c r="O957" s="880"/>
      <c r="Q957" s="317" t="str">
        <f t="shared" si="323"/>
        <v/>
      </c>
      <c r="R957" s="317" t="str">
        <f t="shared" si="324"/>
        <v/>
      </c>
      <c r="S957" s="317" t="str">
        <f t="shared" si="325"/>
        <v/>
      </c>
      <c r="V957" s="314">
        <f>SUM(ORÇAMENTO!N957)</f>
        <v>0</v>
      </c>
      <c r="W957" s="315">
        <f t="shared" si="327"/>
        <v>0</v>
      </c>
    </row>
    <row r="958" spans="1:23" ht="34.5" hidden="1" thickBot="1">
      <c r="A958" s="63">
        <v>100608</v>
      </c>
      <c r="B958" s="870">
        <v>100608</v>
      </c>
      <c r="C958" s="871" t="s">
        <v>590</v>
      </c>
      <c r="D958" s="881" t="s">
        <v>869</v>
      </c>
      <c r="E958" s="882"/>
      <c r="F958" s="883"/>
      <c r="G958" s="887"/>
      <c r="H958" s="876">
        <v>1045.5899999999999</v>
      </c>
      <c r="I958" s="876">
        <f t="shared" si="326"/>
        <v>1045.5899999999999</v>
      </c>
      <c r="J958" s="877">
        <f t="shared" si="320"/>
        <v>1277.92</v>
      </c>
      <c r="K958" s="878" t="s">
        <v>1500</v>
      </c>
      <c r="L958" s="879">
        <f>ROUND(SUM(ORÇAMENTO!L958),2)</f>
        <v>0</v>
      </c>
      <c r="M958" s="879">
        <f t="shared" si="321"/>
        <v>0</v>
      </c>
      <c r="N958" s="868">
        <f t="shared" si="322"/>
        <v>0</v>
      </c>
      <c r="O958" s="880"/>
      <c r="Q958" s="317" t="str">
        <f t="shared" si="323"/>
        <v/>
      </c>
      <c r="R958" s="317" t="str">
        <f t="shared" si="324"/>
        <v/>
      </c>
      <c r="S958" s="317" t="str">
        <f t="shared" si="325"/>
        <v/>
      </c>
      <c r="V958" s="314">
        <f>SUM(ORÇAMENTO!N958)</f>
        <v>0</v>
      </c>
      <c r="W958" s="315">
        <f t="shared" si="327"/>
        <v>0</v>
      </c>
    </row>
    <row r="959" spans="1:23" ht="34.5" hidden="1" thickBot="1">
      <c r="A959" s="63">
        <v>100609</v>
      </c>
      <c r="B959" s="870">
        <v>100609</v>
      </c>
      <c r="C959" s="871" t="s">
        <v>590</v>
      </c>
      <c r="D959" s="881" t="s">
        <v>870</v>
      </c>
      <c r="E959" s="882"/>
      <c r="F959" s="883"/>
      <c r="G959" s="887"/>
      <c r="H959" s="876">
        <v>1581.56</v>
      </c>
      <c r="I959" s="876">
        <f t="shared" si="326"/>
        <v>1581.56</v>
      </c>
      <c r="J959" s="877">
        <f t="shared" si="320"/>
        <v>1932.98</v>
      </c>
      <c r="K959" s="878" t="s">
        <v>1500</v>
      </c>
      <c r="L959" s="879">
        <f>ROUND(SUM(ORÇAMENTO!L959),2)</f>
        <v>0</v>
      </c>
      <c r="M959" s="879">
        <f t="shared" si="321"/>
        <v>0</v>
      </c>
      <c r="N959" s="868">
        <f t="shared" si="322"/>
        <v>0</v>
      </c>
      <c r="O959" s="880"/>
      <c r="Q959" s="317" t="str">
        <f t="shared" si="323"/>
        <v/>
      </c>
      <c r="R959" s="317" t="str">
        <f t="shared" si="324"/>
        <v/>
      </c>
      <c r="S959" s="317" t="str">
        <f t="shared" si="325"/>
        <v/>
      </c>
      <c r="V959" s="314">
        <f>SUM(ORÇAMENTO!N959)</f>
        <v>0</v>
      </c>
      <c r="W959" s="315">
        <f t="shared" si="327"/>
        <v>0</v>
      </c>
    </row>
    <row r="960" spans="1:23" ht="34.5" hidden="1" thickBot="1">
      <c r="A960" s="63">
        <v>100610</v>
      </c>
      <c r="B960" s="870">
        <v>100610</v>
      </c>
      <c r="C960" s="871" t="s">
        <v>590</v>
      </c>
      <c r="D960" s="881" t="s">
        <v>871</v>
      </c>
      <c r="E960" s="882"/>
      <c r="F960" s="883"/>
      <c r="G960" s="887"/>
      <c r="H960" s="876">
        <v>689.49</v>
      </c>
      <c r="I960" s="876">
        <f t="shared" si="326"/>
        <v>689.49</v>
      </c>
      <c r="J960" s="877">
        <f t="shared" si="320"/>
        <v>842.69</v>
      </c>
      <c r="K960" s="878" t="s">
        <v>1500</v>
      </c>
      <c r="L960" s="879">
        <f>ROUND(SUM(ORÇAMENTO!L960),2)</f>
        <v>0</v>
      </c>
      <c r="M960" s="879">
        <f t="shared" si="321"/>
        <v>0</v>
      </c>
      <c r="N960" s="868">
        <f t="shared" si="322"/>
        <v>0</v>
      </c>
      <c r="O960" s="880"/>
      <c r="Q960" s="317" t="str">
        <f t="shared" si="323"/>
        <v/>
      </c>
      <c r="R960" s="317" t="str">
        <f t="shared" si="324"/>
        <v/>
      </c>
      <c r="S960" s="317" t="str">
        <f t="shared" si="325"/>
        <v/>
      </c>
      <c r="V960" s="314">
        <f>SUM(ORÇAMENTO!N960)</f>
        <v>0</v>
      </c>
      <c r="W960" s="315">
        <f t="shared" si="327"/>
        <v>0</v>
      </c>
    </row>
    <row r="961" spans="1:23" ht="34.5" hidden="1" thickBot="1">
      <c r="A961" s="63">
        <v>100611</v>
      </c>
      <c r="B961" s="870">
        <v>100611</v>
      </c>
      <c r="C961" s="871" t="s">
        <v>590</v>
      </c>
      <c r="D961" s="881" t="s">
        <v>872</v>
      </c>
      <c r="E961" s="882"/>
      <c r="F961" s="883"/>
      <c r="G961" s="887"/>
      <c r="H961" s="876">
        <v>858.26</v>
      </c>
      <c r="I961" s="876">
        <f t="shared" si="326"/>
        <v>858.26</v>
      </c>
      <c r="J961" s="877">
        <f t="shared" si="320"/>
        <v>1048.97</v>
      </c>
      <c r="K961" s="878" t="s">
        <v>1500</v>
      </c>
      <c r="L961" s="879">
        <f>ROUND(SUM(ORÇAMENTO!L961),2)</f>
        <v>0</v>
      </c>
      <c r="M961" s="879">
        <f t="shared" si="321"/>
        <v>0</v>
      </c>
      <c r="N961" s="868">
        <f t="shared" si="322"/>
        <v>0</v>
      </c>
      <c r="O961" s="880"/>
      <c r="Q961" s="317" t="str">
        <f t="shared" si="323"/>
        <v/>
      </c>
      <c r="R961" s="317" t="str">
        <f t="shared" si="324"/>
        <v/>
      </c>
      <c r="S961" s="317" t="str">
        <f t="shared" si="325"/>
        <v/>
      </c>
      <c r="V961" s="314">
        <f>SUM(ORÇAMENTO!N961)</f>
        <v>0</v>
      </c>
      <c r="W961" s="315">
        <f t="shared" si="327"/>
        <v>0</v>
      </c>
    </row>
    <row r="962" spans="1:23" ht="34.5" hidden="1" thickBot="1">
      <c r="A962" s="63">
        <v>100612</v>
      </c>
      <c r="B962" s="870">
        <v>100612</v>
      </c>
      <c r="C962" s="871" t="s">
        <v>590</v>
      </c>
      <c r="D962" s="881" t="s">
        <v>873</v>
      </c>
      <c r="E962" s="882"/>
      <c r="F962" s="883"/>
      <c r="G962" s="887"/>
      <c r="H962" s="876">
        <v>1069.6600000000001</v>
      </c>
      <c r="I962" s="876">
        <f t="shared" si="326"/>
        <v>1069.6600000000001</v>
      </c>
      <c r="J962" s="877">
        <f t="shared" si="320"/>
        <v>1307.3399999999999</v>
      </c>
      <c r="K962" s="878" t="s">
        <v>1500</v>
      </c>
      <c r="L962" s="879">
        <f>ROUND(SUM(ORÇAMENTO!L962),2)</f>
        <v>0</v>
      </c>
      <c r="M962" s="879">
        <f t="shared" si="321"/>
        <v>0</v>
      </c>
      <c r="N962" s="868">
        <f t="shared" si="322"/>
        <v>0</v>
      </c>
      <c r="O962" s="880"/>
      <c r="Q962" s="317" t="str">
        <f t="shared" si="323"/>
        <v/>
      </c>
      <c r="R962" s="317" t="str">
        <f t="shared" si="324"/>
        <v/>
      </c>
      <c r="S962" s="317" t="str">
        <f t="shared" si="325"/>
        <v/>
      </c>
      <c r="V962" s="314">
        <f>SUM(ORÇAMENTO!N962)</f>
        <v>0</v>
      </c>
      <c r="W962" s="315">
        <f t="shared" si="327"/>
        <v>0</v>
      </c>
    </row>
    <row r="963" spans="1:23" ht="34.5" hidden="1" thickBot="1">
      <c r="A963" s="63">
        <v>100613</v>
      </c>
      <c r="B963" s="870">
        <v>100613</v>
      </c>
      <c r="C963" s="871" t="s">
        <v>590</v>
      </c>
      <c r="D963" s="881" t="s">
        <v>874</v>
      </c>
      <c r="E963" s="882"/>
      <c r="F963" s="883"/>
      <c r="G963" s="887"/>
      <c r="H963" s="876">
        <v>1614.79</v>
      </c>
      <c r="I963" s="876">
        <f t="shared" si="326"/>
        <v>1614.79</v>
      </c>
      <c r="J963" s="877">
        <f t="shared" si="320"/>
        <v>1973.6</v>
      </c>
      <c r="K963" s="878" t="s">
        <v>1500</v>
      </c>
      <c r="L963" s="879">
        <f>ROUND(SUM(ORÇAMENTO!L963),2)</f>
        <v>0</v>
      </c>
      <c r="M963" s="879">
        <f t="shared" si="321"/>
        <v>0</v>
      </c>
      <c r="N963" s="868">
        <f t="shared" si="322"/>
        <v>0</v>
      </c>
      <c r="O963" s="880"/>
      <c r="Q963" s="317" t="str">
        <f t="shared" si="323"/>
        <v/>
      </c>
      <c r="R963" s="317" t="str">
        <f t="shared" si="324"/>
        <v/>
      </c>
      <c r="S963" s="317" t="str">
        <f t="shared" si="325"/>
        <v/>
      </c>
      <c r="V963" s="314">
        <f>SUM(ORÇAMENTO!N963)</f>
        <v>0</v>
      </c>
      <c r="W963" s="315">
        <f t="shared" si="327"/>
        <v>0</v>
      </c>
    </row>
    <row r="964" spans="1:23" ht="34.5" hidden="1" thickBot="1">
      <c r="A964" s="63">
        <v>100614</v>
      </c>
      <c r="B964" s="870">
        <v>100614</v>
      </c>
      <c r="C964" s="871" t="s">
        <v>590</v>
      </c>
      <c r="D964" s="881" t="s">
        <v>875</v>
      </c>
      <c r="E964" s="882"/>
      <c r="F964" s="883"/>
      <c r="G964" s="887"/>
      <c r="H964" s="876">
        <v>900.34</v>
      </c>
      <c r="I964" s="876">
        <f t="shared" si="326"/>
        <v>900.34</v>
      </c>
      <c r="J964" s="877">
        <f t="shared" si="320"/>
        <v>1100.4000000000001</v>
      </c>
      <c r="K964" s="878" t="s">
        <v>1500</v>
      </c>
      <c r="L964" s="879">
        <f>ROUND(SUM(ORÇAMENTO!L964),2)</f>
        <v>0</v>
      </c>
      <c r="M964" s="879">
        <f t="shared" si="321"/>
        <v>0</v>
      </c>
      <c r="N964" s="868">
        <f t="shared" si="322"/>
        <v>0</v>
      </c>
      <c r="O964" s="880"/>
      <c r="Q964" s="317" t="str">
        <f t="shared" si="323"/>
        <v/>
      </c>
      <c r="R964" s="317" t="str">
        <f t="shared" si="324"/>
        <v/>
      </c>
      <c r="S964" s="317" t="str">
        <f t="shared" si="325"/>
        <v/>
      </c>
      <c r="V964" s="314">
        <f>SUM(ORÇAMENTO!N964)</f>
        <v>0</v>
      </c>
      <c r="W964" s="315">
        <f t="shared" si="327"/>
        <v>0</v>
      </c>
    </row>
    <row r="965" spans="1:23" ht="34.5" hidden="1" thickBot="1">
      <c r="A965" s="63">
        <v>100615</v>
      </c>
      <c r="B965" s="870">
        <v>100615</v>
      </c>
      <c r="C965" s="871" t="s">
        <v>590</v>
      </c>
      <c r="D965" s="881" t="s">
        <v>876</v>
      </c>
      <c r="E965" s="882"/>
      <c r="F965" s="883"/>
      <c r="G965" s="887"/>
      <c r="H965" s="876">
        <v>1117.47</v>
      </c>
      <c r="I965" s="876">
        <f t="shared" si="326"/>
        <v>1117.47</v>
      </c>
      <c r="J965" s="877">
        <f t="shared" si="320"/>
        <v>1365.77</v>
      </c>
      <c r="K965" s="878" t="s">
        <v>1500</v>
      </c>
      <c r="L965" s="879">
        <f>ROUND(SUM(ORÇAMENTO!L965),2)</f>
        <v>0</v>
      </c>
      <c r="M965" s="879">
        <f t="shared" si="321"/>
        <v>0</v>
      </c>
      <c r="N965" s="868">
        <f t="shared" si="322"/>
        <v>0</v>
      </c>
      <c r="O965" s="880"/>
      <c r="Q965" s="317" t="str">
        <f t="shared" si="323"/>
        <v/>
      </c>
      <c r="R965" s="317" t="str">
        <f t="shared" si="324"/>
        <v/>
      </c>
      <c r="S965" s="317" t="str">
        <f t="shared" si="325"/>
        <v/>
      </c>
      <c r="V965" s="314">
        <f>SUM(ORÇAMENTO!N965)</f>
        <v>0</v>
      </c>
      <c r="W965" s="315">
        <f t="shared" si="327"/>
        <v>0</v>
      </c>
    </row>
    <row r="966" spans="1:23" ht="34.5" hidden="1" thickBot="1">
      <c r="A966" s="63">
        <v>100616</v>
      </c>
      <c r="B966" s="870">
        <v>100616</v>
      </c>
      <c r="C966" s="871" t="s">
        <v>590</v>
      </c>
      <c r="D966" s="881" t="s">
        <v>877</v>
      </c>
      <c r="E966" s="882"/>
      <c r="F966" s="883"/>
      <c r="G966" s="887"/>
      <c r="H966" s="876">
        <v>1684.75</v>
      </c>
      <c r="I966" s="876">
        <f t="shared" si="326"/>
        <v>1684.75</v>
      </c>
      <c r="J966" s="877">
        <f t="shared" si="320"/>
        <v>2059.1</v>
      </c>
      <c r="K966" s="878" t="s">
        <v>1500</v>
      </c>
      <c r="L966" s="879">
        <f>ROUND(SUM(ORÇAMENTO!L966),2)</f>
        <v>0</v>
      </c>
      <c r="M966" s="879">
        <f t="shared" si="321"/>
        <v>0</v>
      </c>
      <c r="N966" s="868">
        <f t="shared" si="322"/>
        <v>0</v>
      </c>
      <c r="O966" s="880"/>
      <c r="Q966" s="317" t="str">
        <f t="shared" si="323"/>
        <v/>
      </c>
      <c r="R966" s="317" t="str">
        <f t="shared" si="324"/>
        <v/>
      </c>
      <c r="S966" s="317" t="str">
        <f t="shared" si="325"/>
        <v/>
      </c>
      <c r="V966" s="314">
        <f>SUM(ORÇAMENTO!N966)</f>
        <v>0</v>
      </c>
      <c r="W966" s="315">
        <f t="shared" si="327"/>
        <v>0</v>
      </c>
    </row>
    <row r="967" spans="1:23" ht="34.5" hidden="1" thickBot="1">
      <c r="A967" s="63">
        <v>100617</v>
      </c>
      <c r="B967" s="870">
        <v>100617</v>
      </c>
      <c r="C967" s="871" t="s">
        <v>590</v>
      </c>
      <c r="D967" s="881" t="s">
        <v>878</v>
      </c>
      <c r="E967" s="882"/>
      <c r="F967" s="883"/>
      <c r="G967" s="887"/>
      <c r="H967" s="876">
        <v>1165.17</v>
      </c>
      <c r="I967" s="876">
        <f t="shared" si="326"/>
        <v>1165.17</v>
      </c>
      <c r="J967" s="877">
        <f t="shared" si="320"/>
        <v>1424.07</v>
      </c>
      <c r="K967" s="878" t="s">
        <v>1500</v>
      </c>
      <c r="L967" s="879">
        <f>ROUND(SUM(ORÇAMENTO!L967),2)</f>
        <v>0</v>
      </c>
      <c r="M967" s="879">
        <f t="shared" si="321"/>
        <v>0</v>
      </c>
      <c r="N967" s="868">
        <f t="shared" si="322"/>
        <v>0</v>
      </c>
      <c r="O967" s="880"/>
      <c r="Q967" s="317" t="str">
        <f t="shared" si="323"/>
        <v/>
      </c>
      <c r="R967" s="317" t="str">
        <f t="shared" si="324"/>
        <v/>
      </c>
      <c r="S967" s="317" t="str">
        <f t="shared" si="325"/>
        <v/>
      </c>
      <c r="V967" s="314">
        <f>SUM(ORÇAMENTO!N967)</f>
        <v>0</v>
      </c>
      <c r="W967" s="315">
        <f t="shared" si="327"/>
        <v>0</v>
      </c>
    </row>
    <row r="968" spans="1:23" ht="45.75" hidden="1" thickBot="1">
      <c r="A968" s="63">
        <v>100618</v>
      </c>
      <c r="B968" s="870">
        <v>100618</v>
      </c>
      <c r="C968" s="871" t="s">
        <v>590</v>
      </c>
      <c r="D968" s="881" t="s">
        <v>879</v>
      </c>
      <c r="E968" s="882"/>
      <c r="F968" s="883"/>
      <c r="G968" s="887"/>
      <c r="H968" s="876">
        <v>1758.03</v>
      </c>
      <c r="I968" s="876">
        <f t="shared" si="326"/>
        <v>1758.03</v>
      </c>
      <c r="J968" s="877">
        <f t="shared" si="320"/>
        <v>2148.66</v>
      </c>
      <c r="K968" s="878" t="s">
        <v>1500</v>
      </c>
      <c r="L968" s="879">
        <f>ROUND(SUM(ORÇAMENTO!L968),2)</f>
        <v>0</v>
      </c>
      <c r="M968" s="879">
        <f t="shared" si="321"/>
        <v>0</v>
      </c>
      <c r="N968" s="868">
        <f t="shared" si="322"/>
        <v>0</v>
      </c>
      <c r="O968" s="880"/>
      <c r="Q968" s="317" t="str">
        <f t="shared" si="323"/>
        <v/>
      </c>
      <c r="R968" s="317" t="str">
        <f t="shared" si="324"/>
        <v/>
      </c>
      <c r="S968" s="317" t="str">
        <f t="shared" si="325"/>
        <v/>
      </c>
      <c r="V968" s="314">
        <f>SUM(ORÇAMENTO!N968)</f>
        <v>0</v>
      </c>
      <c r="W968" s="315">
        <f t="shared" si="327"/>
        <v>0</v>
      </c>
    </row>
    <row r="969" spans="1:23" ht="30" hidden="1" customHeight="1">
      <c r="A969" s="63">
        <v>97660</v>
      </c>
      <c r="B969" s="870">
        <v>97660</v>
      </c>
      <c r="C969" s="871" t="s">
        <v>590</v>
      </c>
      <c r="D969" s="881" t="s">
        <v>880</v>
      </c>
      <c r="E969" s="882"/>
      <c r="F969" s="883"/>
      <c r="G969" s="887"/>
      <c r="H969" s="876">
        <v>0.77</v>
      </c>
      <c r="I969" s="876">
        <f t="shared" si="326"/>
        <v>0.77</v>
      </c>
      <c r="J969" s="877">
        <f t="shared" ref="J969:J1032" si="328">IF(ISBLANK(H969),0,ROUND(I969*(1+$E$10),2))</f>
        <v>0.94</v>
      </c>
      <c r="K969" s="878" t="s">
        <v>1500</v>
      </c>
      <c r="L969" s="879">
        <f>ROUND(SUM(ORÇAMENTO!L969),2)</f>
        <v>0</v>
      </c>
      <c r="M969" s="879">
        <f t="shared" si="321"/>
        <v>0</v>
      </c>
      <c r="N969" s="868">
        <f t="shared" si="322"/>
        <v>0</v>
      </c>
      <c r="O969" s="880"/>
      <c r="Q969" s="317" t="str">
        <f t="shared" si="323"/>
        <v/>
      </c>
      <c r="R969" s="317" t="str">
        <f t="shared" si="324"/>
        <v/>
      </c>
      <c r="S969" s="317" t="str">
        <f t="shared" si="325"/>
        <v/>
      </c>
      <c r="V969" s="314">
        <f>SUM(ORÇAMENTO!N969)</f>
        <v>0</v>
      </c>
      <c r="W969" s="315">
        <f t="shared" si="327"/>
        <v>0</v>
      </c>
    </row>
    <row r="970" spans="1:23" ht="30" hidden="1" customHeight="1">
      <c r="A970" s="63">
        <v>90447</v>
      </c>
      <c r="B970" s="870">
        <v>90447</v>
      </c>
      <c r="C970" s="871" t="s">
        <v>590</v>
      </c>
      <c r="D970" s="881" t="s">
        <v>881</v>
      </c>
      <c r="E970" s="882"/>
      <c r="F970" s="883"/>
      <c r="G970" s="887"/>
      <c r="H970" s="876">
        <v>8.0299999999999994</v>
      </c>
      <c r="I970" s="876">
        <f t="shared" si="326"/>
        <v>8.0299999999999994</v>
      </c>
      <c r="J970" s="877">
        <f t="shared" si="328"/>
        <v>9.81</v>
      </c>
      <c r="K970" s="878" t="s">
        <v>62</v>
      </c>
      <c r="L970" s="879">
        <f>ROUND(SUM(ORÇAMENTO!L970),2)</f>
        <v>0</v>
      </c>
      <c r="M970" s="879">
        <f t="shared" si="321"/>
        <v>0</v>
      </c>
      <c r="N970" s="868">
        <f t="shared" si="322"/>
        <v>0</v>
      </c>
      <c r="O970" s="880"/>
      <c r="Q970" s="317" t="str">
        <f t="shared" si="323"/>
        <v/>
      </c>
      <c r="R970" s="317" t="str">
        <f t="shared" si="324"/>
        <v/>
      </c>
      <c r="S970" s="317" t="str">
        <f t="shared" si="325"/>
        <v/>
      </c>
      <c r="V970" s="314">
        <f>SUM(ORÇAMENTO!N970)</f>
        <v>0</v>
      </c>
      <c r="W970" s="315">
        <f t="shared" si="327"/>
        <v>0</v>
      </c>
    </row>
    <row r="971" spans="1:23" ht="30" hidden="1" customHeight="1">
      <c r="A971" s="63">
        <v>90456</v>
      </c>
      <c r="B971" s="870">
        <v>90456</v>
      </c>
      <c r="C971" s="871" t="s">
        <v>590</v>
      </c>
      <c r="D971" s="881" t="s">
        <v>882</v>
      </c>
      <c r="E971" s="882"/>
      <c r="F971" s="883"/>
      <c r="G971" s="887"/>
      <c r="H971" s="876">
        <v>5.16</v>
      </c>
      <c r="I971" s="876">
        <f t="shared" si="326"/>
        <v>5.16</v>
      </c>
      <c r="J971" s="877">
        <f t="shared" si="328"/>
        <v>6.31</v>
      </c>
      <c r="K971" s="878" t="s">
        <v>1500</v>
      </c>
      <c r="L971" s="879">
        <f>ROUND(SUM(ORÇAMENTO!L971),2)</f>
        <v>0</v>
      </c>
      <c r="M971" s="879">
        <f t="shared" si="321"/>
        <v>0</v>
      </c>
      <c r="N971" s="868">
        <f t="shared" si="322"/>
        <v>0</v>
      </c>
      <c r="O971" s="880"/>
      <c r="Q971" s="317" t="str">
        <f t="shared" si="323"/>
        <v/>
      </c>
      <c r="R971" s="317" t="str">
        <f t="shared" si="324"/>
        <v/>
      </c>
      <c r="S971" s="317" t="str">
        <f t="shared" si="325"/>
        <v/>
      </c>
      <c r="V971" s="314">
        <f>SUM(ORÇAMENTO!N971)</f>
        <v>0</v>
      </c>
      <c r="W971" s="315">
        <f t="shared" si="327"/>
        <v>0</v>
      </c>
    </row>
    <row r="972" spans="1:23" ht="30" hidden="1" customHeight="1">
      <c r="A972" s="63">
        <v>90457</v>
      </c>
      <c r="B972" s="870">
        <v>90457</v>
      </c>
      <c r="C972" s="871" t="s">
        <v>590</v>
      </c>
      <c r="D972" s="881" t="s">
        <v>883</v>
      </c>
      <c r="E972" s="882"/>
      <c r="F972" s="883"/>
      <c r="G972" s="887"/>
      <c r="H972" s="876">
        <v>11.77</v>
      </c>
      <c r="I972" s="876">
        <f t="shared" si="326"/>
        <v>11.77</v>
      </c>
      <c r="J972" s="877">
        <f t="shared" si="328"/>
        <v>14.39</v>
      </c>
      <c r="K972" s="878" t="s">
        <v>1500</v>
      </c>
      <c r="L972" s="879">
        <f>ROUND(SUM(ORÇAMENTO!L972),2)</f>
        <v>0</v>
      </c>
      <c r="M972" s="879">
        <f t="shared" si="321"/>
        <v>0</v>
      </c>
      <c r="N972" s="868">
        <f t="shared" si="322"/>
        <v>0</v>
      </c>
      <c r="O972" s="880"/>
      <c r="Q972" s="317" t="str">
        <f t="shared" si="323"/>
        <v/>
      </c>
      <c r="R972" s="317" t="str">
        <f t="shared" si="324"/>
        <v/>
      </c>
      <c r="S972" s="317" t="str">
        <f t="shared" si="325"/>
        <v/>
      </c>
      <c r="V972" s="314">
        <f>SUM(ORÇAMENTO!N972)</f>
        <v>0</v>
      </c>
      <c r="W972" s="315">
        <f t="shared" si="327"/>
        <v>0</v>
      </c>
    </row>
    <row r="973" spans="1:23" ht="30" hidden="1" customHeight="1">
      <c r="A973" s="63">
        <v>90458</v>
      </c>
      <c r="B973" s="870">
        <v>90458</v>
      </c>
      <c r="C973" s="871" t="s">
        <v>590</v>
      </c>
      <c r="D973" s="881" t="s">
        <v>884</v>
      </c>
      <c r="E973" s="882"/>
      <c r="F973" s="883"/>
      <c r="G973" s="887"/>
      <c r="H973" s="876">
        <v>33.409999999999997</v>
      </c>
      <c r="I973" s="876">
        <f t="shared" si="326"/>
        <v>33.409999999999997</v>
      </c>
      <c r="J973" s="877">
        <f t="shared" si="328"/>
        <v>40.83</v>
      </c>
      <c r="K973" s="878" t="s">
        <v>1500</v>
      </c>
      <c r="L973" s="879">
        <f>ROUND(SUM(ORÇAMENTO!L973),2)</f>
        <v>0</v>
      </c>
      <c r="M973" s="879">
        <f t="shared" si="321"/>
        <v>0</v>
      </c>
      <c r="N973" s="868">
        <f t="shared" si="322"/>
        <v>0</v>
      </c>
      <c r="O973" s="880"/>
      <c r="Q973" s="317" t="str">
        <f t="shared" si="323"/>
        <v/>
      </c>
      <c r="R973" s="317" t="str">
        <f t="shared" si="324"/>
        <v/>
      </c>
      <c r="S973" s="317" t="str">
        <f t="shared" si="325"/>
        <v/>
      </c>
      <c r="V973" s="314">
        <f>SUM(ORÇAMENTO!N973)</f>
        <v>0</v>
      </c>
      <c r="W973" s="315">
        <f t="shared" si="327"/>
        <v>0</v>
      </c>
    </row>
    <row r="974" spans="1:23" ht="30" hidden="1" customHeight="1">
      <c r="A974" s="63">
        <v>101938</v>
      </c>
      <c r="B974" s="870">
        <v>101938</v>
      </c>
      <c r="C974" s="871" t="s">
        <v>590</v>
      </c>
      <c r="D974" s="881" t="s">
        <v>885</v>
      </c>
      <c r="E974" s="882"/>
      <c r="F974" s="883"/>
      <c r="G974" s="887"/>
      <c r="H974" s="876">
        <v>127.45</v>
      </c>
      <c r="I974" s="876">
        <f t="shared" si="326"/>
        <v>127.45</v>
      </c>
      <c r="J974" s="877">
        <f t="shared" si="328"/>
        <v>155.77000000000001</v>
      </c>
      <c r="K974" s="878" t="s">
        <v>1500</v>
      </c>
      <c r="L974" s="879">
        <f>ROUND(SUM(ORÇAMENTO!L974),2)</f>
        <v>0</v>
      </c>
      <c r="M974" s="879">
        <f t="shared" si="321"/>
        <v>0</v>
      </c>
      <c r="N974" s="868">
        <f t="shared" si="322"/>
        <v>0</v>
      </c>
      <c r="O974" s="880"/>
      <c r="Q974" s="317" t="str">
        <f t="shared" si="323"/>
        <v/>
      </c>
      <c r="R974" s="317" t="str">
        <f t="shared" si="324"/>
        <v/>
      </c>
      <c r="S974" s="317" t="str">
        <f t="shared" si="325"/>
        <v/>
      </c>
      <c r="V974" s="314">
        <f>SUM(ORÇAMENTO!N974)</f>
        <v>0</v>
      </c>
      <c r="W974" s="315">
        <f t="shared" si="327"/>
        <v>0</v>
      </c>
    </row>
    <row r="975" spans="1:23" ht="38.1" hidden="1" customHeight="1">
      <c r="A975" s="63">
        <v>101489</v>
      </c>
      <c r="B975" s="870">
        <v>101489</v>
      </c>
      <c r="C975" s="871" t="s">
        <v>590</v>
      </c>
      <c r="D975" s="881" t="s">
        <v>886</v>
      </c>
      <c r="E975" s="882"/>
      <c r="F975" s="883"/>
      <c r="G975" s="887"/>
      <c r="H975" s="876">
        <v>1507.06</v>
      </c>
      <c r="I975" s="876">
        <f t="shared" si="326"/>
        <v>1507.06</v>
      </c>
      <c r="J975" s="877">
        <f t="shared" si="328"/>
        <v>1841.93</v>
      </c>
      <c r="K975" s="878" t="s">
        <v>1500</v>
      </c>
      <c r="L975" s="879">
        <f>ROUND(SUM(ORÇAMENTO!L975),2)</f>
        <v>0</v>
      </c>
      <c r="M975" s="879">
        <f t="shared" si="321"/>
        <v>0</v>
      </c>
      <c r="N975" s="868">
        <f t="shared" si="322"/>
        <v>0</v>
      </c>
      <c r="O975" s="880"/>
      <c r="Q975" s="317" t="str">
        <f t="shared" si="323"/>
        <v/>
      </c>
      <c r="R975" s="317" t="str">
        <f t="shared" si="324"/>
        <v/>
      </c>
      <c r="S975" s="317" t="str">
        <f t="shared" si="325"/>
        <v/>
      </c>
      <c r="V975" s="314">
        <f>SUM(ORÇAMENTO!N975)</f>
        <v>0</v>
      </c>
      <c r="W975" s="315">
        <f t="shared" si="327"/>
        <v>0</v>
      </c>
    </row>
    <row r="976" spans="1:23" ht="38.1" hidden="1" customHeight="1">
      <c r="A976" s="63">
        <v>101490</v>
      </c>
      <c r="B976" s="870">
        <v>101490</v>
      </c>
      <c r="C976" s="871" t="s">
        <v>590</v>
      </c>
      <c r="D976" s="881" t="s">
        <v>887</v>
      </c>
      <c r="E976" s="882"/>
      <c r="F976" s="883"/>
      <c r="G976" s="887"/>
      <c r="H976" s="876">
        <v>1605.18</v>
      </c>
      <c r="I976" s="876">
        <f t="shared" si="326"/>
        <v>1605.18</v>
      </c>
      <c r="J976" s="877">
        <f t="shared" si="328"/>
        <v>1961.85</v>
      </c>
      <c r="K976" s="878" t="s">
        <v>1500</v>
      </c>
      <c r="L976" s="879">
        <f>ROUND(SUM(ORÇAMENTO!L976),2)</f>
        <v>0</v>
      </c>
      <c r="M976" s="879">
        <f t="shared" si="321"/>
        <v>0</v>
      </c>
      <c r="N976" s="868">
        <f t="shared" si="322"/>
        <v>0</v>
      </c>
      <c r="O976" s="880"/>
      <c r="Q976" s="317" t="str">
        <f t="shared" si="323"/>
        <v/>
      </c>
      <c r="R976" s="317" t="str">
        <f t="shared" si="324"/>
        <v/>
      </c>
      <c r="S976" s="317" t="str">
        <f t="shared" si="325"/>
        <v/>
      </c>
      <c r="V976" s="314">
        <f>SUM(ORÇAMENTO!N976)</f>
        <v>0</v>
      </c>
      <c r="W976" s="315">
        <f t="shared" si="327"/>
        <v>0</v>
      </c>
    </row>
    <row r="977" spans="1:23" ht="38.1" hidden="1" customHeight="1">
      <c r="A977" s="63">
        <v>101491</v>
      </c>
      <c r="B977" s="870">
        <v>101491</v>
      </c>
      <c r="C977" s="871" t="s">
        <v>590</v>
      </c>
      <c r="D977" s="881" t="s">
        <v>888</v>
      </c>
      <c r="E977" s="882"/>
      <c r="F977" s="883"/>
      <c r="G977" s="887"/>
      <c r="H977" s="876">
        <v>1632.79</v>
      </c>
      <c r="I977" s="876">
        <f t="shared" si="326"/>
        <v>1632.79</v>
      </c>
      <c r="J977" s="877">
        <f t="shared" si="328"/>
        <v>1995.6</v>
      </c>
      <c r="K977" s="878" t="s">
        <v>1500</v>
      </c>
      <c r="L977" s="879">
        <f>ROUND(SUM(ORÇAMENTO!L977),2)</f>
        <v>0</v>
      </c>
      <c r="M977" s="879">
        <f t="shared" si="321"/>
        <v>0</v>
      </c>
      <c r="N977" s="868">
        <f t="shared" si="322"/>
        <v>0</v>
      </c>
      <c r="O977" s="880"/>
      <c r="Q977" s="317" t="str">
        <f t="shared" si="323"/>
        <v/>
      </c>
      <c r="R977" s="317" t="str">
        <f t="shared" si="324"/>
        <v/>
      </c>
      <c r="S977" s="317" t="str">
        <f t="shared" si="325"/>
        <v/>
      </c>
      <c r="V977" s="314">
        <f>SUM(ORÇAMENTO!N977)</f>
        <v>0</v>
      </c>
      <c r="W977" s="315">
        <f t="shared" si="327"/>
        <v>0</v>
      </c>
    </row>
    <row r="978" spans="1:23" ht="38.1" hidden="1" customHeight="1">
      <c r="A978" s="63">
        <v>101492</v>
      </c>
      <c r="B978" s="870">
        <v>101492</v>
      </c>
      <c r="C978" s="871" t="s">
        <v>590</v>
      </c>
      <c r="D978" s="881" t="s">
        <v>889</v>
      </c>
      <c r="E978" s="882"/>
      <c r="F978" s="883"/>
      <c r="G978" s="887"/>
      <c r="H978" s="876">
        <v>1787.27</v>
      </c>
      <c r="I978" s="876">
        <f t="shared" ref="I978:I1041" si="329">IF(ISBLANK(H978),"",SUM(G978:H978))</f>
        <v>1787.27</v>
      </c>
      <c r="J978" s="877">
        <f t="shared" si="328"/>
        <v>2184.4</v>
      </c>
      <c r="K978" s="878" t="s">
        <v>1500</v>
      </c>
      <c r="L978" s="879">
        <f>ROUND(SUM(ORÇAMENTO!L978),2)</f>
        <v>0</v>
      </c>
      <c r="M978" s="879">
        <f t="shared" ref="M978:M1041" si="330">IF(L978=0,0,ROUND(J978,2))</f>
        <v>0</v>
      </c>
      <c r="N978" s="868">
        <f t="shared" ref="N978:N1041" si="331">IF(ISBLANK(L978),0,ROUND(L978*M978,2))</f>
        <v>0</v>
      </c>
      <c r="O978" s="880"/>
      <c r="Q978" s="317" t="str">
        <f t="shared" ref="Q978:Q1041" si="332">IF(P978="X","x",IF(P978="xx","x",IF(P978="xy","x",IF(P978="y","x",IF(OR(N978&gt;0,N978&gt;0),"x","")))))</f>
        <v/>
      </c>
      <c r="R978" s="317" t="str">
        <f t="shared" ref="R978:R1041" si="333">IF(P978="X","x",IF(P978="y","x",IF(P978="xx","x",IF(N978&gt;0,"x",""))))</f>
        <v/>
      </c>
      <c r="S978" s="317" t="str">
        <f t="shared" ref="S978:S1041" si="334">IF(P978="X","x",IF(N978&gt;0,"x",""))</f>
        <v/>
      </c>
      <c r="V978" s="314">
        <f>SUM(ORÇAMENTO!N978)</f>
        <v>0</v>
      </c>
      <c r="W978" s="315">
        <f t="shared" si="327"/>
        <v>0</v>
      </c>
    </row>
    <row r="979" spans="1:23" ht="38.1" hidden="1" customHeight="1">
      <c r="A979" s="63">
        <v>101493</v>
      </c>
      <c r="B979" s="870">
        <v>101493</v>
      </c>
      <c r="C979" s="871" t="s">
        <v>590</v>
      </c>
      <c r="D979" s="881" t="s">
        <v>890</v>
      </c>
      <c r="E979" s="882"/>
      <c r="F979" s="883"/>
      <c r="G979" s="887"/>
      <c r="H979" s="876">
        <v>1487.05</v>
      </c>
      <c r="I979" s="876">
        <f t="shared" si="329"/>
        <v>1487.05</v>
      </c>
      <c r="J979" s="877">
        <f t="shared" si="328"/>
        <v>1817.47</v>
      </c>
      <c r="K979" s="878" t="s">
        <v>1500</v>
      </c>
      <c r="L979" s="879">
        <f>ROUND(SUM(ORÇAMENTO!L979),2)</f>
        <v>0</v>
      </c>
      <c r="M979" s="879">
        <f t="shared" si="330"/>
        <v>0</v>
      </c>
      <c r="N979" s="868">
        <f t="shared" si="331"/>
        <v>0</v>
      </c>
      <c r="O979" s="880"/>
      <c r="Q979" s="317" t="str">
        <f t="shared" si="332"/>
        <v/>
      </c>
      <c r="R979" s="317" t="str">
        <f t="shared" si="333"/>
        <v/>
      </c>
      <c r="S979" s="317" t="str">
        <f t="shared" si="334"/>
        <v/>
      </c>
      <c r="V979" s="314">
        <f>SUM(ORÇAMENTO!N979)</f>
        <v>0</v>
      </c>
      <c r="W979" s="315">
        <f t="shared" si="327"/>
        <v>0</v>
      </c>
    </row>
    <row r="980" spans="1:23" ht="38.1" hidden="1" customHeight="1">
      <c r="A980" s="63">
        <v>101494</v>
      </c>
      <c r="B980" s="870">
        <v>101494</v>
      </c>
      <c r="C980" s="871" t="s">
        <v>590</v>
      </c>
      <c r="D980" s="881" t="s">
        <v>891</v>
      </c>
      <c r="E980" s="882"/>
      <c r="F980" s="883"/>
      <c r="G980" s="887"/>
      <c r="H980" s="876">
        <v>1585.17</v>
      </c>
      <c r="I980" s="876">
        <f t="shared" si="329"/>
        <v>1585.17</v>
      </c>
      <c r="J980" s="877">
        <f t="shared" si="328"/>
        <v>1937.39</v>
      </c>
      <c r="K980" s="878" t="s">
        <v>1500</v>
      </c>
      <c r="L980" s="879">
        <f>ROUND(SUM(ORÇAMENTO!L980),2)</f>
        <v>0</v>
      </c>
      <c r="M980" s="879">
        <f t="shared" si="330"/>
        <v>0</v>
      </c>
      <c r="N980" s="868">
        <f t="shared" si="331"/>
        <v>0</v>
      </c>
      <c r="O980" s="880"/>
      <c r="Q980" s="317" t="str">
        <f t="shared" si="332"/>
        <v/>
      </c>
      <c r="R980" s="317" t="str">
        <f t="shared" si="333"/>
        <v/>
      </c>
      <c r="S980" s="317" t="str">
        <f t="shared" si="334"/>
        <v/>
      </c>
      <c r="V980" s="314">
        <f>SUM(ORÇAMENTO!N980)</f>
        <v>0</v>
      </c>
      <c r="W980" s="315">
        <f t="shared" si="327"/>
        <v>0</v>
      </c>
    </row>
    <row r="981" spans="1:23" ht="38.1" hidden="1" customHeight="1">
      <c r="A981" s="63">
        <v>101495</v>
      </c>
      <c r="B981" s="870">
        <v>101495</v>
      </c>
      <c r="C981" s="871" t="s">
        <v>590</v>
      </c>
      <c r="D981" s="881" t="s">
        <v>892</v>
      </c>
      <c r="E981" s="882"/>
      <c r="F981" s="883"/>
      <c r="G981" s="887"/>
      <c r="H981" s="876">
        <v>1612.78</v>
      </c>
      <c r="I981" s="876">
        <f t="shared" si="329"/>
        <v>1612.78</v>
      </c>
      <c r="J981" s="877">
        <f t="shared" si="328"/>
        <v>1971.14</v>
      </c>
      <c r="K981" s="878" t="s">
        <v>1500</v>
      </c>
      <c r="L981" s="879">
        <f>ROUND(SUM(ORÇAMENTO!L981),2)</f>
        <v>0</v>
      </c>
      <c r="M981" s="879">
        <f t="shared" si="330"/>
        <v>0</v>
      </c>
      <c r="N981" s="868">
        <f t="shared" si="331"/>
        <v>0</v>
      </c>
      <c r="O981" s="880"/>
      <c r="Q981" s="317" t="str">
        <f t="shared" si="332"/>
        <v/>
      </c>
      <c r="R981" s="317" t="str">
        <f t="shared" si="333"/>
        <v/>
      </c>
      <c r="S981" s="317" t="str">
        <f t="shared" si="334"/>
        <v/>
      </c>
      <c r="V981" s="314">
        <f>SUM(ORÇAMENTO!N981)</f>
        <v>0</v>
      </c>
      <c r="W981" s="315">
        <f t="shared" ref="W981:W1044" si="335">N981-V981</f>
        <v>0</v>
      </c>
    </row>
    <row r="982" spans="1:23" ht="38.1" hidden="1" customHeight="1">
      <c r="A982" s="63">
        <v>101496</v>
      </c>
      <c r="B982" s="870">
        <v>101496</v>
      </c>
      <c r="C982" s="871" t="s">
        <v>590</v>
      </c>
      <c r="D982" s="881" t="s">
        <v>893</v>
      </c>
      <c r="E982" s="882"/>
      <c r="F982" s="883"/>
      <c r="G982" s="887"/>
      <c r="H982" s="876">
        <v>1767.26</v>
      </c>
      <c r="I982" s="876">
        <f t="shared" si="329"/>
        <v>1767.26</v>
      </c>
      <c r="J982" s="877">
        <f t="shared" si="328"/>
        <v>2159.9499999999998</v>
      </c>
      <c r="K982" s="878" t="s">
        <v>1500</v>
      </c>
      <c r="L982" s="879">
        <f>ROUND(SUM(ORÇAMENTO!L982),2)</f>
        <v>0</v>
      </c>
      <c r="M982" s="879">
        <f t="shared" si="330"/>
        <v>0</v>
      </c>
      <c r="N982" s="868">
        <f t="shared" si="331"/>
        <v>0</v>
      </c>
      <c r="O982" s="880"/>
      <c r="Q982" s="317" t="str">
        <f t="shared" si="332"/>
        <v/>
      </c>
      <c r="R982" s="317" t="str">
        <f t="shared" si="333"/>
        <v/>
      </c>
      <c r="S982" s="317" t="str">
        <f t="shared" si="334"/>
        <v/>
      </c>
      <c r="V982" s="314">
        <f>SUM(ORÇAMENTO!N982)</f>
        <v>0</v>
      </c>
      <c r="W982" s="315">
        <f t="shared" si="335"/>
        <v>0</v>
      </c>
    </row>
    <row r="983" spans="1:23" ht="38.1" hidden="1" customHeight="1">
      <c r="A983" s="63">
        <v>101497</v>
      </c>
      <c r="B983" s="870">
        <v>101497</v>
      </c>
      <c r="C983" s="871" t="s">
        <v>590</v>
      </c>
      <c r="D983" s="881" t="s">
        <v>894</v>
      </c>
      <c r="E983" s="882"/>
      <c r="F983" s="883"/>
      <c r="G983" s="887"/>
      <c r="H983" s="876">
        <v>1782.8</v>
      </c>
      <c r="I983" s="876">
        <f t="shared" si="329"/>
        <v>1782.8</v>
      </c>
      <c r="J983" s="877">
        <f t="shared" si="328"/>
        <v>2178.94</v>
      </c>
      <c r="K983" s="878" t="s">
        <v>1500</v>
      </c>
      <c r="L983" s="879">
        <f>ROUND(SUM(ORÇAMENTO!L983),2)</f>
        <v>0</v>
      </c>
      <c r="M983" s="879">
        <f t="shared" si="330"/>
        <v>0</v>
      </c>
      <c r="N983" s="868">
        <f t="shared" si="331"/>
        <v>0</v>
      </c>
      <c r="O983" s="880"/>
      <c r="Q983" s="317" t="str">
        <f t="shared" si="332"/>
        <v/>
      </c>
      <c r="R983" s="317" t="str">
        <f t="shared" si="333"/>
        <v/>
      </c>
      <c r="S983" s="317" t="str">
        <f t="shared" si="334"/>
        <v/>
      </c>
      <c r="V983" s="314">
        <f>SUM(ORÇAMENTO!N983)</f>
        <v>0</v>
      </c>
      <c r="W983" s="315">
        <f t="shared" si="335"/>
        <v>0</v>
      </c>
    </row>
    <row r="984" spans="1:23" ht="38.1" hidden="1" customHeight="1">
      <c r="A984" s="63">
        <v>101498</v>
      </c>
      <c r="B984" s="870">
        <v>101498</v>
      </c>
      <c r="C984" s="871" t="s">
        <v>590</v>
      </c>
      <c r="D984" s="881" t="s">
        <v>895</v>
      </c>
      <c r="E984" s="882"/>
      <c r="F984" s="883"/>
      <c r="G984" s="887"/>
      <c r="H984" s="876">
        <v>1931.32</v>
      </c>
      <c r="I984" s="876">
        <f t="shared" si="329"/>
        <v>1931.32</v>
      </c>
      <c r="J984" s="877">
        <f t="shared" si="328"/>
        <v>2360.46</v>
      </c>
      <c r="K984" s="878" t="s">
        <v>1500</v>
      </c>
      <c r="L984" s="879">
        <f>ROUND(SUM(ORÇAMENTO!L984),2)</f>
        <v>0</v>
      </c>
      <c r="M984" s="879">
        <f t="shared" si="330"/>
        <v>0</v>
      </c>
      <c r="N984" s="868">
        <f t="shared" si="331"/>
        <v>0</v>
      </c>
      <c r="O984" s="880"/>
      <c r="Q984" s="317" t="str">
        <f t="shared" si="332"/>
        <v/>
      </c>
      <c r="R984" s="317" t="str">
        <f t="shared" si="333"/>
        <v/>
      </c>
      <c r="S984" s="317" t="str">
        <f t="shared" si="334"/>
        <v/>
      </c>
      <c r="V984" s="314">
        <f>SUM(ORÇAMENTO!N984)</f>
        <v>0</v>
      </c>
      <c r="W984" s="315">
        <f t="shared" si="335"/>
        <v>0</v>
      </c>
    </row>
    <row r="985" spans="1:23" ht="38.1" hidden="1" customHeight="1">
      <c r="A985" s="63">
        <v>101499</v>
      </c>
      <c r="B985" s="870">
        <v>101499</v>
      </c>
      <c r="C985" s="871" t="s">
        <v>590</v>
      </c>
      <c r="D985" s="881" t="s">
        <v>896</v>
      </c>
      <c r="E985" s="882"/>
      <c r="F985" s="883"/>
      <c r="G985" s="887"/>
      <c r="H985" s="876">
        <v>1973.11</v>
      </c>
      <c r="I985" s="876">
        <f t="shared" si="329"/>
        <v>1973.11</v>
      </c>
      <c r="J985" s="877">
        <f t="shared" si="328"/>
        <v>2411.54</v>
      </c>
      <c r="K985" s="878" t="s">
        <v>1500</v>
      </c>
      <c r="L985" s="879">
        <f>ROUND(SUM(ORÇAMENTO!L985),2)</f>
        <v>0</v>
      </c>
      <c r="M985" s="879">
        <f t="shared" si="330"/>
        <v>0</v>
      </c>
      <c r="N985" s="868">
        <f t="shared" si="331"/>
        <v>0</v>
      </c>
      <c r="O985" s="880"/>
      <c r="Q985" s="317" t="str">
        <f t="shared" si="332"/>
        <v/>
      </c>
      <c r="R985" s="317" t="str">
        <f t="shared" si="333"/>
        <v/>
      </c>
      <c r="S985" s="317" t="str">
        <f t="shared" si="334"/>
        <v/>
      </c>
      <c r="V985" s="314">
        <f>SUM(ORÇAMENTO!N985)</f>
        <v>0</v>
      </c>
      <c r="W985" s="315">
        <f t="shared" si="335"/>
        <v>0</v>
      </c>
    </row>
    <row r="986" spans="1:23" ht="38.1" hidden="1" customHeight="1">
      <c r="A986" s="63">
        <v>101500</v>
      </c>
      <c r="B986" s="870">
        <v>101500</v>
      </c>
      <c r="C986" s="871" t="s">
        <v>590</v>
      </c>
      <c r="D986" s="881" t="s">
        <v>897</v>
      </c>
      <c r="E986" s="882"/>
      <c r="F986" s="883"/>
      <c r="G986" s="887"/>
      <c r="H986" s="876">
        <v>2185.7800000000002</v>
      </c>
      <c r="I986" s="876">
        <f t="shared" si="329"/>
        <v>2185.7800000000002</v>
      </c>
      <c r="J986" s="877">
        <f t="shared" si="328"/>
        <v>2671.46</v>
      </c>
      <c r="K986" s="878" t="s">
        <v>1500</v>
      </c>
      <c r="L986" s="879">
        <f>ROUND(SUM(ORÇAMENTO!L986),2)</f>
        <v>0</v>
      </c>
      <c r="M986" s="879">
        <f t="shared" si="330"/>
        <v>0</v>
      </c>
      <c r="N986" s="868">
        <f t="shared" si="331"/>
        <v>0</v>
      </c>
      <c r="O986" s="880"/>
      <c r="Q986" s="317" t="str">
        <f t="shared" si="332"/>
        <v/>
      </c>
      <c r="R986" s="317" t="str">
        <f t="shared" si="333"/>
        <v/>
      </c>
      <c r="S986" s="317" t="str">
        <f t="shared" si="334"/>
        <v/>
      </c>
      <c r="V986" s="314">
        <f>SUM(ORÇAMENTO!N986)</f>
        <v>0</v>
      </c>
      <c r="W986" s="315">
        <f t="shared" si="335"/>
        <v>0</v>
      </c>
    </row>
    <row r="987" spans="1:23" ht="38.1" hidden="1" customHeight="1">
      <c r="A987" s="63">
        <v>101501</v>
      </c>
      <c r="B987" s="870">
        <v>101501</v>
      </c>
      <c r="C987" s="871" t="s">
        <v>590</v>
      </c>
      <c r="D987" s="881" t="s">
        <v>898</v>
      </c>
      <c r="E987" s="882"/>
      <c r="F987" s="883"/>
      <c r="G987" s="887"/>
      <c r="H987" s="876">
        <v>1770.67</v>
      </c>
      <c r="I987" s="876">
        <f t="shared" si="329"/>
        <v>1770.67</v>
      </c>
      <c r="J987" s="877">
        <f t="shared" si="328"/>
        <v>2164.11</v>
      </c>
      <c r="K987" s="878" t="s">
        <v>1500</v>
      </c>
      <c r="L987" s="879">
        <f>ROUND(SUM(ORÇAMENTO!L987),2)</f>
        <v>0</v>
      </c>
      <c r="M987" s="879">
        <f t="shared" si="330"/>
        <v>0</v>
      </c>
      <c r="N987" s="868">
        <f t="shared" si="331"/>
        <v>0</v>
      </c>
      <c r="O987" s="880"/>
      <c r="Q987" s="317" t="str">
        <f t="shared" si="332"/>
        <v/>
      </c>
      <c r="R987" s="317" t="str">
        <f t="shared" si="333"/>
        <v/>
      </c>
      <c r="S987" s="317" t="str">
        <f t="shared" si="334"/>
        <v/>
      </c>
      <c r="V987" s="314">
        <f>SUM(ORÇAMENTO!N987)</f>
        <v>0</v>
      </c>
      <c r="W987" s="315">
        <f t="shared" si="335"/>
        <v>0</v>
      </c>
    </row>
    <row r="988" spans="1:23" ht="38.1" hidden="1" customHeight="1">
      <c r="A988" s="63">
        <v>101502</v>
      </c>
      <c r="B988" s="870">
        <v>101502</v>
      </c>
      <c r="C988" s="871" t="s">
        <v>590</v>
      </c>
      <c r="D988" s="881" t="s">
        <v>899</v>
      </c>
      <c r="E988" s="882"/>
      <c r="F988" s="883"/>
      <c r="G988" s="887"/>
      <c r="H988" s="876">
        <v>1919.19</v>
      </c>
      <c r="I988" s="876">
        <f t="shared" si="329"/>
        <v>1919.19</v>
      </c>
      <c r="J988" s="877">
        <f t="shared" si="328"/>
        <v>2345.63</v>
      </c>
      <c r="K988" s="878" t="s">
        <v>1500</v>
      </c>
      <c r="L988" s="879">
        <f>ROUND(SUM(ORÇAMENTO!L988),2)</f>
        <v>0</v>
      </c>
      <c r="M988" s="879">
        <f t="shared" si="330"/>
        <v>0</v>
      </c>
      <c r="N988" s="868">
        <f t="shared" si="331"/>
        <v>0</v>
      </c>
      <c r="O988" s="880"/>
      <c r="Q988" s="317" t="str">
        <f t="shared" si="332"/>
        <v/>
      </c>
      <c r="R988" s="317" t="str">
        <f t="shared" si="333"/>
        <v/>
      </c>
      <c r="S988" s="317" t="str">
        <f t="shared" si="334"/>
        <v/>
      </c>
      <c r="V988" s="314">
        <f>SUM(ORÇAMENTO!N988)</f>
        <v>0</v>
      </c>
      <c r="W988" s="315">
        <f t="shared" si="335"/>
        <v>0</v>
      </c>
    </row>
    <row r="989" spans="1:23" ht="38.1" hidden="1" customHeight="1">
      <c r="A989" s="63">
        <v>101503</v>
      </c>
      <c r="B989" s="870">
        <v>101503</v>
      </c>
      <c r="C989" s="871" t="s">
        <v>590</v>
      </c>
      <c r="D989" s="881" t="s">
        <v>900</v>
      </c>
      <c r="E989" s="882"/>
      <c r="F989" s="883"/>
      <c r="G989" s="887"/>
      <c r="H989" s="876">
        <v>1960.98</v>
      </c>
      <c r="I989" s="876">
        <f t="shared" si="329"/>
        <v>1960.98</v>
      </c>
      <c r="J989" s="877">
        <f t="shared" si="328"/>
        <v>2396.71</v>
      </c>
      <c r="K989" s="878" t="s">
        <v>1500</v>
      </c>
      <c r="L989" s="879">
        <f>ROUND(SUM(ORÇAMENTO!L989),2)</f>
        <v>0</v>
      </c>
      <c r="M989" s="879">
        <f t="shared" si="330"/>
        <v>0</v>
      </c>
      <c r="N989" s="868">
        <f t="shared" si="331"/>
        <v>0</v>
      </c>
      <c r="O989" s="880"/>
      <c r="Q989" s="317" t="str">
        <f t="shared" si="332"/>
        <v/>
      </c>
      <c r="R989" s="317" t="str">
        <f t="shared" si="333"/>
        <v/>
      </c>
      <c r="S989" s="317" t="str">
        <f t="shared" si="334"/>
        <v/>
      </c>
      <c r="V989" s="314">
        <f>SUM(ORÇAMENTO!N989)</f>
        <v>0</v>
      </c>
      <c r="W989" s="315">
        <f t="shared" si="335"/>
        <v>0</v>
      </c>
    </row>
    <row r="990" spans="1:23" ht="38.1" hidden="1" customHeight="1">
      <c r="A990" s="63">
        <v>101504</v>
      </c>
      <c r="B990" s="870">
        <v>101504</v>
      </c>
      <c r="C990" s="871" t="s">
        <v>590</v>
      </c>
      <c r="D990" s="881" t="s">
        <v>901</v>
      </c>
      <c r="E990" s="882"/>
      <c r="F990" s="883"/>
      <c r="G990" s="887"/>
      <c r="H990" s="876">
        <v>2173.65</v>
      </c>
      <c r="I990" s="876">
        <f t="shared" si="329"/>
        <v>2173.65</v>
      </c>
      <c r="J990" s="877">
        <f t="shared" si="328"/>
        <v>2656.64</v>
      </c>
      <c r="K990" s="878" t="s">
        <v>1500</v>
      </c>
      <c r="L990" s="879">
        <f>ROUND(SUM(ORÇAMENTO!L990),2)</f>
        <v>0</v>
      </c>
      <c r="M990" s="879">
        <f t="shared" si="330"/>
        <v>0</v>
      </c>
      <c r="N990" s="868">
        <f t="shared" si="331"/>
        <v>0</v>
      </c>
      <c r="O990" s="880"/>
      <c r="Q990" s="317" t="str">
        <f t="shared" si="332"/>
        <v/>
      </c>
      <c r="R990" s="317" t="str">
        <f t="shared" si="333"/>
        <v/>
      </c>
      <c r="S990" s="317" t="str">
        <f t="shared" si="334"/>
        <v/>
      </c>
      <c r="V990" s="314">
        <f>SUM(ORÇAMENTO!N990)</f>
        <v>0</v>
      </c>
      <c r="W990" s="315">
        <f t="shared" si="335"/>
        <v>0</v>
      </c>
    </row>
    <row r="991" spans="1:23" ht="38.1" hidden="1" customHeight="1">
      <c r="A991" s="63">
        <v>101505</v>
      </c>
      <c r="B991" s="870">
        <v>101505</v>
      </c>
      <c r="C991" s="871" t="s">
        <v>590</v>
      </c>
      <c r="D991" s="881" t="s">
        <v>902</v>
      </c>
      <c r="E991" s="882"/>
      <c r="F991" s="883"/>
      <c r="G991" s="887"/>
      <c r="H991" s="876">
        <v>1896.69</v>
      </c>
      <c r="I991" s="876">
        <f t="shared" si="329"/>
        <v>1896.69</v>
      </c>
      <c r="J991" s="877">
        <f t="shared" si="328"/>
        <v>2318.13</v>
      </c>
      <c r="K991" s="878" t="s">
        <v>1500</v>
      </c>
      <c r="L991" s="879">
        <f>ROUND(SUM(ORÇAMENTO!L991),2)</f>
        <v>0</v>
      </c>
      <c r="M991" s="879">
        <f t="shared" si="330"/>
        <v>0</v>
      </c>
      <c r="N991" s="868">
        <f t="shared" si="331"/>
        <v>0</v>
      </c>
      <c r="O991" s="880"/>
      <c r="Q991" s="317" t="str">
        <f t="shared" si="332"/>
        <v/>
      </c>
      <c r="R991" s="317" t="str">
        <f t="shared" si="333"/>
        <v/>
      </c>
      <c r="S991" s="317" t="str">
        <f t="shared" si="334"/>
        <v/>
      </c>
      <c r="V991" s="314">
        <f>SUM(ORÇAMENTO!N991)</f>
        <v>0</v>
      </c>
      <c r="W991" s="315">
        <f t="shared" si="335"/>
        <v>0</v>
      </c>
    </row>
    <row r="992" spans="1:23" ht="38.1" hidden="1" customHeight="1">
      <c r="A992" s="63">
        <v>101506</v>
      </c>
      <c r="B992" s="870">
        <v>101506</v>
      </c>
      <c r="C992" s="871" t="s">
        <v>590</v>
      </c>
      <c r="D992" s="881" t="s">
        <v>903</v>
      </c>
      <c r="E992" s="882"/>
      <c r="F992" s="883"/>
      <c r="G992" s="887"/>
      <c r="H992" s="876">
        <v>2094.7199999999998</v>
      </c>
      <c r="I992" s="876">
        <f t="shared" si="329"/>
        <v>2094.7199999999998</v>
      </c>
      <c r="J992" s="877">
        <f t="shared" si="328"/>
        <v>2560.17</v>
      </c>
      <c r="K992" s="878" t="s">
        <v>1500</v>
      </c>
      <c r="L992" s="879">
        <f>ROUND(SUM(ORÇAMENTO!L992),2)</f>
        <v>0</v>
      </c>
      <c r="M992" s="879">
        <f t="shared" si="330"/>
        <v>0</v>
      </c>
      <c r="N992" s="868">
        <f t="shared" si="331"/>
        <v>0</v>
      </c>
      <c r="O992" s="880"/>
      <c r="Q992" s="317" t="str">
        <f t="shared" si="332"/>
        <v/>
      </c>
      <c r="R992" s="317" t="str">
        <f t="shared" si="333"/>
        <v/>
      </c>
      <c r="S992" s="317" t="str">
        <f t="shared" si="334"/>
        <v/>
      </c>
      <c r="V992" s="314">
        <f>SUM(ORÇAMENTO!N992)</f>
        <v>0</v>
      </c>
      <c r="W992" s="315">
        <f t="shared" si="335"/>
        <v>0</v>
      </c>
    </row>
    <row r="993" spans="1:23" ht="38.1" hidden="1" customHeight="1">
      <c r="A993" s="63">
        <v>101507</v>
      </c>
      <c r="B993" s="870">
        <v>101507</v>
      </c>
      <c r="C993" s="871" t="s">
        <v>590</v>
      </c>
      <c r="D993" s="881" t="s">
        <v>904</v>
      </c>
      <c r="E993" s="882"/>
      <c r="F993" s="883"/>
      <c r="G993" s="887"/>
      <c r="H993" s="876">
        <v>2150.44</v>
      </c>
      <c r="I993" s="876">
        <f t="shared" si="329"/>
        <v>2150.44</v>
      </c>
      <c r="J993" s="877">
        <f t="shared" si="328"/>
        <v>2628.27</v>
      </c>
      <c r="K993" s="878" t="s">
        <v>1500</v>
      </c>
      <c r="L993" s="879">
        <f>ROUND(SUM(ORÇAMENTO!L993),2)</f>
        <v>0</v>
      </c>
      <c r="M993" s="879">
        <f t="shared" si="330"/>
        <v>0</v>
      </c>
      <c r="N993" s="868">
        <f t="shared" si="331"/>
        <v>0</v>
      </c>
      <c r="O993" s="880"/>
      <c r="Q993" s="317" t="str">
        <f t="shared" si="332"/>
        <v/>
      </c>
      <c r="R993" s="317" t="str">
        <f t="shared" si="333"/>
        <v/>
      </c>
      <c r="S993" s="317" t="str">
        <f t="shared" si="334"/>
        <v/>
      </c>
      <c r="V993" s="314">
        <f>SUM(ORÇAMENTO!N993)</f>
        <v>0</v>
      </c>
      <c r="W993" s="315">
        <f t="shared" si="335"/>
        <v>0</v>
      </c>
    </row>
    <row r="994" spans="1:23" ht="38.1" hidden="1" customHeight="1">
      <c r="A994" s="63">
        <v>101508</v>
      </c>
      <c r="B994" s="870">
        <v>101508</v>
      </c>
      <c r="C994" s="871" t="s">
        <v>590</v>
      </c>
      <c r="D994" s="881" t="s">
        <v>905</v>
      </c>
      <c r="E994" s="882"/>
      <c r="F994" s="883"/>
      <c r="G994" s="887"/>
      <c r="H994" s="876">
        <v>2420.2800000000002</v>
      </c>
      <c r="I994" s="876">
        <f t="shared" si="329"/>
        <v>2420.2800000000002</v>
      </c>
      <c r="J994" s="877">
        <f t="shared" si="328"/>
        <v>2958.07</v>
      </c>
      <c r="K994" s="878" t="s">
        <v>1500</v>
      </c>
      <c r="L994" s="879">
        <f>ROUND(SUM(ORÇAMENTO!L994),2)</f>
        <v>0</v>
      </c>
      <c r="M994" s="879">
        <f t="shared" si="330"/>
        <v>0</v>
      </c>
      <c r="N994" s="868">
        <f t="shared" si="331"/>
        <v>0</v>
      </c>
      <c r="O994" s="880"/>
      <c r="Q994" s="317" t="str">
        <f t="shared" si="332"/>
        <v/>
      </c>
      <c r="R994" s="317" t="str">
        <f t="shared" si="333"/>
        <v/>
      </c>
      <c r="S994" s="317" t="str">
        <f t="shared" si="334"/>
        <v/>
      </c>
      <c r="V994" s="314">
        <f>SUM(ORÇAMENTO!N994)</f>
        <v>0</v>
      </c>
      <c r="W994" s="315">
        <f t="shared" si="335"/>
        <v>0</v>
      </c>
    </row>
    <row r="995" spans="1:23" ht="30" hidden="1" customHeight="1">
      <c r="A995" s="63">
        <v>101509</v>
      </c>
      <c r="B995" s="870">
        <v>101509</v>
      </c>
      <c r="C995" s="871" t="s">
        <v>590</v>
      </c>
      <c r="D995" s="881" t="s">
        <v>906</v>
      </c>
      <c r="E995" s="882"/>
      <c r="F995" s="883"/>
      <c r="G995" s="887"/>
      <c r="H995" s="876">
        <v>2020.87</v>
      </c>
      <c r="I995" s="876">
        <f t="shared" si="329"/>
        <v>2020.87</v>
      </c>
      <c r="J995" s="877">
        <f t="shared" si="328"/>
        <v>2469.91</v>
      </c>
      <c r="K995" s="878" t="s">
        <v>1500</v>
      </c>
      <c r="L995" s="879">
        <f>ROUND(SUM(ORÇAMENTO!L995),2)</f>
        <v>0</v>
      </c>
      <c r="M995" s="879">
        <f t="shared" si="330"/>
        <v>0</v>
      </c>
      <c r="N995" s="868">
        <f t="shared" si="331"/>
        <v>0</v>
      </c>
      <c r="O995" s="880"/>
      <c r="Q995" s="317" t="str">
        <f t="shared" si="332"/>
        <v/>
      </c>
      <c r="R995" s="317" t="str">
        <f t="shared" si="333"/>
        <v/>
      </c>
      <c r="S995" s="317" t="str">
        <f t="shared" si="334"/>
        <v/>
      </c>
      <c r="V995" s="314">
        <f>SUM(ORÇAMENTO!N995)</f>
        <v>0</v>
      </c>
      <c r="W995" s="315">
        <f t="shared" si="335"/>
        <v>0</v>
      </c>
    </row>
    <row r="996" spans="1:23" ht="30" hidden="1" customHeight="1">
      <c r="A996" s="63">
        <v>101510</v>
      </c>
      <c r="B996" s="870">
        <v>101510</v>
      </c>
      <c r="C996" s="871" t="s">
        <v>590</v>
      </c>
      <c r="D996" s="881" t="s">
        <v>907</v>
      </c>
      <c r="E996" s="882"/>
      <c r="F996" s="883"/>
      <c r="G996" s="887"/>
      <c r="H996" s="876">
        <v>2218.9</v>
      </c>
      <c r="I996" s="876">
        <f t="shared" si="329"/>
        <v>2218.9</v>
      </c>
      <c r="J996" s="877">
        <f t="shared" si="328"/>
        <v>2711.94</v>
      </c>
      <c r="K996" s="878" t="s">
        <v>1500</v>
      </c>
      <c r="L996" s="879">
        <f>ROUND(SUM(ORÇAMENTO!L996),2)</f>
        <v>0</v>
      </c>
      <c r="M996" s="879">
        <f t="shared" si="330"/>
        <v>0</v>
      </c>
      <c r="N996" s="868">
        <f t="shared" si="331"/>
        <v>0</v>
      </c>
      <c r="O996" s="880"/>
      <c r="Q996" s="317" t="str">
        <f t="shared" si="332"/>
        <v/>
      </c>
      <c r="R996" s="317" t="str">
        <f t="shared" si="333"/>
        <v/>
      </c>
      <c r="S996" s="317" t="str">
        <f t="shared" si="334"/>
        <v/>
      </c>
      <c r="V996" s="314">
        <f>SUM(ORÇAMENTO!N996)</f>
        <v>0</v>
      </c>
      <c r="W996" s="315">
        <f t="shared" si="335"/>
        <v>0</v>
      </c>
    </row>
    <row r="997" spans="1:23" ht="30" hidden="1" customHeight="1">
      <c r="A997" s="63">
        <v>101511</v>
      </c>
      <c r="B997" s="870">
        <v>101511</v>
      </c>
      <c r="C997" s="871" t="s">
        <v>590</v>
      </c>
      <c r="D997" s="881" t="s">
        <v>908</v>
      </c>
      <c r="E997" s="882"/>
      <c r="F997" s="883"/>
      <c r="G997" s="887"/>
      <c r="H997" s="876">
        <v>2274.62</v>
      </c>
      <c r="I997" s="876">
        <f t="shared" si="329"/>
        <v>2274.62</v>
      </c>
      <c r="J997" s="877">
        <f t="shared" si="328"/>
        <v>2780.04</v>
      </c>
      <c r="K997" s="878" t="s">
        <v>1500</v>
      </c>
      <c r="L997" s="879">
        <f>ROUND(SUM(ORÇAMENTO!L997),2)</f>
        <v>0</v>
      </c>
      <c r="M997" s="879">
        <f t="shared" si="330"/>
        <v>0</v>
      </c>
      <c r="N997" s="868">
        <f t="shared" si="331"/>
        <v>0</v>
      </c>
      <c r="O997" s="880"/>
      <c r="Q997" s="317" t="str">
        <f t="shared" si="332"/>
        <v/>
      </c>
      <c r="R997" s="317" t="str">
        <f t="shared" si="333"/>
        <v/>
      </c>
      <c r="S997" s="317" t="str">
        <f t="shared" si="334"/>
        <v/>
      </c>
      <c r="V997" s="314">
        <f>SUM(ORÇAMENTO!N997)</f>
        <v>0</v>
      </c>
      <c r="W997" s="315">
        <f t="shared" si="335"/>
        <v>0</v>
      </c>
    </row>
    <row r="998" spans="1:23" ht="30" hidden="1" customHeight="1">
      <c r="A998" s="63">
        <v>101512</v>
      </c>
      <c r="B998" s="870">
        <v>101512</v>
      </c>
      <c r="C998" s="871" t="s">
        <v>590</v>
      </c>
      <c r="D998" s="881" t="s">
        <v>909</v>
      </c>
      <c r="E998" s="882"/>
      <c r="F998" s="883"/>
      <c r="G998" s="887"/>
      <c r="H998" s="876">
        <v>2544.46</v>
      </c>
      <c r="I998" s="876">
        <f t="shared" si="329"/>
        <v>2544.46</v>
      </c>
      <c r="J998" s="877">
        <f t="shared" si="328"/>
        <v>3109.84</v>
      </c>
      <c r="K998" s="878" t="s">
        <v>1500</v>
      </c>
      <c r="L998" s="879">
        <f>ROUND(SUM(ORÇAMENTO!L998),2)</f>
        <v>0</v>
      </c>
      <c r="M998" s="879">
        <f t="shared" si="330"/>
        <v>0</v>
      </c>
      <c r="N998" s="868">
        <f t="shared" si="331"/>
        <v>0</v>
      </c>
      <c r="O998" s="880"/>
      <c r="Q998" s="317" t="str">
        <f t="shared" si="332"/>
        <v/>
      </c>
      <c r="R998" s="317" t="str">
        <f t="shared" si="333"/>
        <v/>
      </c>
      <c r="S998" s="317" t="str">
        <f t="shared" si="334"/>
        <v/>
      </c>
      <c r="V998" s="314">
        <f>SUM(ORÇAMENTO!N998)</f>
        <v>0</v>
      </c>
      <c r="W998" s="315">
        <f t="shared" si="335"/>
        <v>0</v>
      </c>
    </row>
    <row r="999" spans="1:23" ht="34.5" hidden="1" thickBot="1">
      <c r="A999" s="63">
        <v>101513</v>
      </c>
      <c r="B999" s="870">
        <v>101513</v>
      </c>
      <c r="C999" s="871" t="s">
        <v>590</v>
      </c>
      <c r="D999" s="881" t="s">
        <v>910</v>
      </c>
      <c r="E999" s="882"/>
      <c r="F999" s="883"/>
      <c r="G999" s="887"/>
      <c r="H999" s="876">
        <v>840</v>
      </c>
      <c r="I999" s="876">
        <f t="shared" si="329"/>
        <v>840</v>
      </c>
      <c r="J999" s="877">
        <f t="shared" si="328"/>
        <v>1026.6500000000001</v>
      </c>
      <c r="K999" s="878" t="s">
        <v>1500</v>
      </c>
      <c r="L999" s="879">
        <f>ROUND(SUM(ORÇAMENTO!L999),2)</f>
        <v>0</v>
      </c>
      <c r="M999" s="879">
        <f t="shared" si="330"/>
        <v>0</v>
      </c>
      <c r="N999" s="868">
        <f t="shared" si="331"/>
        <v>0</v>
      </c>
      <c r="O999" s="880"/>
      <c r="Q999" s="317" t="str">
        <f t="shared" si="332"/>
        <v/>
      </c>
      <c r="R999" s="317" t="str">
        <f t="shared" si="333"/>
        <v/>
      </c>
      <c r="S999" s="317" t="str">
        <f t="shared" si="334"/>
        <v/>
      </c>
      <c r="V999" s="314">
        <f>SUM(ORÇAMENTO!N999)</f>
        <v>0</v>
      </c>
      <c r="W999" s="315">
        <f t="shared" si="335"/>
        <v>0</v>
      </c>
    </row>
    <row r="1000" spans="1:23" ht="34.5" hidden="1" thickBot="1">
      <c r="A1000" s="63">
        <v>101514</v>
      </c>
      <c r="B1000" s="870">
        <v>101514</v>
      </c>
      <c r="C1000" s="871" t="s">
        <v>590</v>
      </c>
      <c r="D1000" s="881" t="s">
        <v>911</v>
      </c>
      <c r="E1000" s="882"/>
      <c r="F1000" s="883"/>
      <c r="G1000" s="887"/>
      <c r="H1000" s="876">
        <v>957.75</v>
      </c>
      <c r="I1000" s="876">
        <f t="shared" si="329"/>
        <v>957.75</v>
      </c>
      <c r="J1000" s="877">
        <f t="shared" si="328"/>
        <v>1170.56</v>
      </c>
      <c r="K1000" s="878" t="s">
        <v>1500</v>
      </c>
      <c r="L1000" s="879">
        <f>ROUND(SUM(ORÇAMENTO!L1000),2)</f>
        <v>0</v>
      </c>
      <c r="M1000" s="879">
        <f t="shared" si="330"/>
        <v>0</v>
      </c>
      <c r="N1000" s="868">
        <f t="shared" si="331"/>
        <v>0</v>
      </c>
      <c r="O1000" s="880"/>
      <c r="Q1000" s="317" t="str">
        <f t="shared" si="332"/>
        <v/>
      </c>
      <c r="R1000" s="317" t="str">
        <f t="shared" si="333"/>
        <v/>
      </c>
      <c r="S1000" s="317" t="str">
        <f t="shared" si="334"/>
        <v/>
      </c>
      <c r="V1000" s="314">
        <f>SUM(ORÇAMENTO!N1000)</f>
        <v>0</v>
      </c>
      <c r="W1000" s="315">
        <f t="shared" si="335"/>
        <v>0</v>
      </c>
    </row>
    <row r="1001" spans="1:23" ht="34.5" hidden="1" thickBot="1">
      <c r="A1001" s="63">
        <v>101515</v>
      </c>
      <c r="B1001" s="870">
        <v>101515</v>
      </c>
      <c r="C1001" s="871" t="s">
        <v>590</v>
      </c>
      <c r="D1001" s="881" t="s">
        <v>912</v>
      </c>
      <c r="E1001" s="882"/>
      <c r="F1001" s="883"/>
      <c r="G1001" s="887"/>
      <c r="H1001" s="876">
        <v>990.88</v>
      </c>
      <c r="I1001" s="876">
        <f t="shared" si="329"/>
        <v>990.88</v>
      </c>
      <c r="J1001" s="877">
        <f t="shared" si="328"/>
        <v>1211.05</v>
      </c>
      <c r="K1001" s="878" t="s">
        <v>1500</v>
      </c>
      <c r="L1001" s="879">
        <f>ROUND(SUM(ORÇAMENTO!L1001),2)</f>
        <v>0</v>
      </c>
      <c r="M1001" s="879">
        <f t="shared" si="330"/>
        <v>0</v>
      </c>
      <c r="N1001" s="868">
        <f t="shared" si="331"/>
        <v>0</v>
      </c>
      <c r="O1001" s="880"/>
      <c r="Q1001" s="317" t="str">
        <f t="shared" si="332"/>
        <v/>
      </c>
      <c r="R1001" s="317" t="str">
        <f t="shared" si="333"/>
        <v/>
      </c>
      <c r="S1001" s="317" t="str">
        <f t="shared" si="334"/>
        <v/>
      </c>
      <c r="V1001" s="314">
        <f>SUM(ORÇAMENTO!N1001)</f>
        <v>0</v>
      </c>
      <c r="W1001" s="315">
        <f t="shared" si="335"/>
        <v>0</v>
      </c>
    </row>
    <row r="1002" spans="1:23" ht="34.5" hidden="1" thickBot="1">
      <c r="A1002" s="63">
        <v>101516</v>
      </c>
      <c r="B1002" s="870">
        <v>101516</v>
      </c>
      <c r="C1002" s="871" t="s">
        <v>590</v>
      </c>
      <c r="D1002" s="881" t="s">
        <v>913</v>
      </c>
      <c r="E1002" s="882"/>
      <c r="F1002" s="883"/>
      <c r="G1002" s="887"/>
      <c r="H1002" s="876">
        <v>1126.8399999999999</v>
      </c>
      <c r="I1002" s="876">
        <f t="shared" si="329"/>
        <v>1126.8399999999999</v>
      </c>
      <c r="J1002" s="877">
        <f t="shared" si="328"/>
        <v>1377.22</v>
      </c>
      <c r="K1002" s="878" t="s">
        <v>1500</v>
      </c>
      <c r="L1002" s="879">
        <f>ROUND(SUM(ORÇAMENTO!L1002),2)</f>
        <v>0</v>
      </c>
      <c r="M1002" s="879">
        <f t="shared" si="330"/>
        <v>0</v>
      </c>
      <c r="N1002" s="868">
        <f t="shared" si="331"/>
        <v>0</v>
      </c>
      <c r="O1002" s="880"/>
      <c r="Q1002" s="317" t="str">
        <f t="shared" si="332"/>
        <v/>
      </c>
      <c r="R1002" s="317" t="str">
        <f t="shared" si="333"/>
        <v/>
      </c>
      <c r="S1002" s="317" t="str">
        <f t="shared" si="334"/>
        <v/>
      </c>
      <c r="V1002" s="314">
        <f>SUM(ORÇAMENTO!N1002)</f>
        <v>0</v>
      </c>
      <c r="W1002" s="315">
        <f t="shared" si="335"/>
        <v>0</v>
      </c>
    </row>
    <row r="1003" spans="1:23" ht="34.5" hidden="1" thickBot="1">
      <c r="A1003" s="63">
        <v>101517</v>
      </c>
      <c r="B1003" s="870">
        <v>101517</v>
      </c>
      <c r="C1003" s="871" t="s">
        <v>590</v>
      </c>
      <c r="D1003" s="881" t="s">
        <v>914</v>
      </c>
      <c r="E1003" s="882"/>
      <c r="F1003" s="883"/>
      <c r="G1003" s="887"/>
      <c r="H1003" s="876">
        <v>819.99</v>
      </c>
      <c r="I1003" s="876">
        <f t="shared" si="329"/>
        <v>819.99</v>
      </c>
      <c r="J1003" s="877">
        <f t="shared" si="328"/>
        <v>1002.19</v>
      </c>
      <c r="K1003" s="878" t="s">
        <v>1500</v>
      </c>
      <c r="L1003" s="879">
        <f>ROUND(SUM(ORÇAMENTO!L1003),2)</f>
        <v>0</v>
      </c>
      <c r="M1003" s="879">
        <f t="shared" si="330"/>
        <v>0</v>
      </c>
      <c r="N1003" s="868">
        <f t="shared" si="331"/>
        <v>0</v>
      </c>
      <c r="O1003" s="880"/>
      <c r="Q1003" s="317" t="str">
        <f t="shared" si="332"/>
        <v/>
      </c>
      <c r="R1003" s="317" t="str">
        <f t="shared" si="333"/>
        <v/>
      </c>
      <c r="S1003" s="317" t="str">
        <f t="shared" si="334"/>
        <v/>
      </c>
      <c r="V1003" s="314">
        <f>SUM(ORÇAMENTO!N1003)</f>
        <v>0</v>
      </c>
      <c r="W1003" s="315">
        <f t="shared" si="335"/>
        <v>0</v>
      </c>
    </row>
    <row r="1004" spans="1:23" ht="34.5" hidden="1" thickBot="1">
      <c r="A1004" s="63">
        <v>101518</v>
      </c>
      <c r="B1004" s="870">
        <v>101518</v>
      </c>
      <c r="C1004" s="871" t="s">
        <v>590</v>
      </c>
      <c r="D1004" s="881" t="s">
        <v>915</v>
      </c>
      <c r="E1004" s="882"/>
      <c r="F1004" s="883"/>
      <c r="G1004" s="887"/>
      <c r="H1004" s="876">
        <v>937.74</v>
      </c>
      <c r="I1004" s="876">
        <f t="shared" si="329"/>
        <v>937.74</v>
      </c>
      <c r="J1004" s="877">
        <f t="shared" si="328"/>
        <v>1146.1099999999999</v>
      </c>
      <c r="K1004" s="878" t="s">
        <v>1500</v>
      </c>
      <c r="L1004" s="879">
        <f>ROUND(SUM(ORÇAMENTO!L1004),2)</f>
        <v>0</v>
      </c>
      <c r="M1004" s="879">
        <f t="shared" si="330"/>
        <v>0</v>
      </c>
      <c r="N1004" s="868">
        <f t="shared" si="331"/>
        <v>0</v>
      </c>
      <c r="O1004" s="880"/>
      <c r="Q1004" s="317" t="str">
        <f t="shared" si="332"/>
        <v/>
      </c>
      <c r="R1004" s="317" t="str">
        <f t="shared" si="333"/>
        <v/>
      </c>
      <c r="S1004" s="317" t="str">
        <f t="shared" si="334"/>
        <v/>
      </c>
      <c r="V1004" s="314">
        <f>SUM(ORÇAMENTO!N1004)</f>
        <v>0</v>
      </c>
      <c r="W1004" s="315">
        <f t="shared" si="335"/>
        <v>0</v>
      </c>
    </row>
    <row r="1005" spans="1:23" ht="34.5" hidden="1" thickBot="1">
      <c r="A1005" s="63">
        <v>101519</v>
      </c>
      <c r="B1005" s="870">
        <v>101519</v>
      </c>
      <c r="C1005" s="871" t="s">
        <v>590</v>
      </c>
      <c r="D1005" s="881" t="s">
        <v>916</v>
      </c>
      <c r="E1005" s="882"/>
      <c r="F1005" s="883"/>
      <c r="G1005" s="887"/>
      <c r="H1005" s="876">
        <v>970.87</v>
      </c>
      <c r="I1005" s="876">
        <f t="shared" si="329"/>
        <v>970.87</v>
      </c>
      <c r="J1005" s="877">
        <f t="shared" si="328"/>
        <v>1186.5999999999999</v>
      </c>
      <c r="K1005" s="878" t="s">
        <v>1500</v>
      </c>
      <c r="L1005" s="879">
        <f>ROUND(SUM(ORÇAMENTO!L1005),2)</f>
        <v>0</v>
      </c>
      <c r="M1005" s="879">
        <f t="shared" si="330"/>
        <v>0</v>
      </c>
      <c r="N1005" s="868">
        <f t="shared" si="331"/>
        <v>0</v>
      </c>
      <c r="O1005" s="880"/>
      <c r="Q1005" s="317" t="str">
        <f t="shared" si="332"/>
        <v/>
      </c>
      <c r="R1005" s="317" t="str">
        <f t="shared" si="333"/>
        <v/>
      </c>
      <c r="S1005" s="317" t="str">
        <f t="shared" si="334"/>
        <v/>
      </c>
      <c r="V1005" s="314">
        <f>SUM(ORÇAMENTO!N1005)</f>
        <v>0</v>
      </c>
      <c r="W1005" s="315">
        <f t="shared" si="335"/>
        <v>0</v>
      </c>
    </row>
    <row r="1006" spans="1:23" ht="34.5" hidden="1" thickBot="1">
      <c r="A1006" s="63">
        <v>101520</v>
      </c>
      <c r="B1006" s="870">
        <v>101520</v>
      </c>
      <c r="C1006" s="871" t="s">
        <v>590</v>
      </c>
      <c r="D1006" s="881" t="s">
        <v>917</v>
      </c>
      <c r="E1006" s="882"/>
      <c r="F1006" s="883"/>
      <c r="G1006" s="887"/>
      <c r="H1006" s="876">
        <v>1106.83</v>
      </c>
      <c r="I1006" s="876">
        <f t="shared" si="329"/>
        <v>1106.83</v>
      </c>
      <c r="J1006" s="877">
        <f t="shared" si="328"/>
        <v>1352.77</v>
      </c>
      <c r="K1006" s="878" t="s">
        <v>1500</v>
      </c>
      <c r="L1006" s="879">
        <f>ROUND(SUM(ORÇAMENTO!L1006),2)</f>
        <v>0</v>
      </c>
      <c r="M1006" s="879">
        <f t="shared" si="330"/>
        <v>0</v>
      </c>
      <c r="N1006" s="868">
        <f t="shared" si="331"/>
        <v>0</v>
      </c>
      <c r="O1006" s="880"/>
      <c r="Q1006" s="317" t="str">
        <f t="shared" si="332"/>
        <v/>
      </c>
      <c r="R1006" s="317" t="str">
        <f t="shared" si="333"/>
        <v/>
      </c>
      <c r="S1006" s="317" t="str">
        <f t="shared" si="334"/>
        <v/>
      </c>
      <c r="V1006" s="314">
        <f>SUM(ORÇAMENTO!N1006)</f>
        <v>0</v>
      </c>
      <c r="W1006" s="315">
        <f t="shared" si="335"/>
        <v>0</v>
      </c>
    </row>
    <row r="1007" spans="1:23" ht="34.5" hidden="1" thickBot="1">
      <c r="A1007" s="63">
        <v>101521</v>
      </c>
      <c r="B1007" s="870">
        <v>101521</v>
      </c>
      <c r="C1007" s="871" t="s">
        <v>590</v>
      </c>
      <c r="D1007" s="881" t="s">
        <v>918</v>
      </c>
      <c r="E1007" s="882"/>
      <c r="F1007" s="883"/>
      <c r="G1007" s="887"/>
      <c r="H1007" s="876">
        <v>1130.83</v>
      </c>
      <c r="I1007" s="876">
        <f t="shared" si="329"/>
        <v>1130.83</v>
      </c>
      <c r="J1007" s="877">
        <f t="shared" si="328"/>
        <v>1382.1</v>
      </c>
      <c r="K1007" s="878" t="s">
        <v>1500</v>
      </c>
      <c r="L1007" s="879">
        <f>ROUND(SUM(ORÇAMENTO!L1007),2)</f>
        <v>0</v>
      </c>
      <c r="M1007" s="879">
        <f t="shared" si="330"/>
        <v>0</v>
      </c>
      <c r="N1007" s="868">
        <f t="shared" si="331"/>
        <v>0</v>
      </c>
      <c r="O1007" s="880"/>
      <c r="Q1007" s="317" t="str">
        <f t="shared" si="332"/>
        <v/>
      </c>
      <c r="R1007" s="317" t="str">
        <f t="shared" si="333"/>
        <v/>
      </c>
      <c r="S1007" s="317" t="str">
        <f t="shared" si="334"/>
        <v/>
      </c>
      <c r="V1007" s="314">
        <f>SUM(ORÇAMENTO!N1007)</f>
        <v>0</v>
      </c>
      <c r="W1007" s="315">
        <f t="shared" si="335"/>
        <v>0</v>
      </c>
    </row>
    <row r="1008" spans="1:23" ht="34.5" hidden="1" thickBot="1">
      <c r="A1008" s="63">
        <v>101522</v>
      </c>
      <c r="B1008" s="870">
        <v>101522</v>
      </c>
      <c r="C1008" s="871" t="s">
        <v>590</v>
      </c>
      <c r="D1008" s="881" t="s">
        <v>919</v>
      </c>
      <c r="E1008" s="882"/>
      <c r="F1008" s="883"/>
      <c r="G1008" s="887"/>
      <c r="H1008" s="876">
        <v>1307.45</v>
      </c>
      <c r="I1008" s="876">
        <f t="shared" si="329"/>
        <v>1307.45</v>
      </c>
      <c r="J1008" s="877">
        <f t="shared" si="328"/>
        <v>1597.97</v>
      </c>
      <c r="K1008" s="878" t="s">
        <v>1500</v>
      </c>
      <c r="L1008" s="879">
        <f>ROUND(SUM(ORÇAMENTO!L1008),2)</f>
        <v>0</v>
      </c>
      <c r="M1008" s="879">
        <f t="shared" si="330"/>
        <v>0</v>
      </c>
      <c r="N1008" s="868">
        <f t="shared" si="331"/>
        <v>0</v>
      </c>
      <c r="O1008" s="880"/>
      <c r="Q1008" s="317" t="str">
        <f t="shared" si="332"/>
        <v/>
      </c>
      <c r="R1008" s="317" t="str">
        <f t="shared" si="333"/>
        <v/>
      </c>
      <c r="S1008" s="317" t="str">
        <f t="shared" si="334"/>
        <v/>
      </c>
      <c r="V1008" s="314">
        <f>SUM(ORÇAMENTO!N1008)</f>
        <v>0</v>
      </c>
      <c r="W1008" s="315">
        <f t="shared" si="335"/>
        <v>0</v>
      </c>
    </row>
    <row r="1009" spans="1:23" ht="34.5" hidden="1" thickBot="1">
      <c r="A1009" s="63">
        <v>101523</v>
      </c>
      <c r="B1009" s="870">
        <v>101523</v>
      </c>
      <c r="C1009" s="871" t="s">
        <v>590</v>
      </c>
      <c r="D1009" s="881" t="s">
        <v>920</v>
      </c>
      <c r="E1009" s="882"/>
      <c r="F1009" s="883"/>
      <c r="G1009" s="887"/>
      <c r="H1009" s="876">
        <v>1357.14</v>
      </c>
      <c r="I1009" s="876">
        <f t="shared" si="329"/>
        <v>1357.14</v>
      </c>
      <c r="J1009" s="877">
        <f t="shared" si="328"/>
        <v>1658.7</v>
      </c>
      <c r="K1009" s="878" t="s">
        <v>1500</v>
      </c>
      <c r="L1009" s="879">
        <f>ROUND(SUM(ORÇAMENTO!L1009),2)</f>
        <v>0</v>
      </c>
      <c r="M1009" s="879">
        <f t="shared" si="330"/>
        <v>0</v>
      </c>
      <c r="N1009" s="868">
        <f t="shared" si="331"/>
        <v>0</v>
      </c>
      <c r="O1009" s="880"/>
      <c r="Q1009" s="317" t="str">
        <f t="shared" si="332"/>
        <v/>
      </c>
      <c r="R1009" s="317" t="str">
        <f t="shared" si="333"/>
        <v/>
      </c>
      <c r="S1009" s="317" t="str">
        <f t="shared" si="334"/>
        <v/>
      </c>
      <c r="V1009" s="314">
        <f>SUM(ORÇAMENTO!N1009)</f>
        <v>0</v>
      </c>
      <c r="W1009" s="315">
        <f t="shared" si="335"/>
        <v>0</v>
      </c>
    </row>
    <row r="1010" spans="1:23" ht="34.5" hidden="1" thickBot="1">
      <c r="A1010" s="63">
        <v>101524</v>
      </c>
      <c r="B1010" s="870">
        <v>101524</v>
      </c>
      <c r="C1010" s="871" t="s">
        <v>590</v>
      </c>
      <c r="D1010" s="881" t="s">
        <v>921</v>
      </c>
      <c r="E1010" s="882"/>
      <c r="F1010" s="883"/>
      <c r="G1010" s="887"/>
      <c r="H1010" s="876">
        <v>1561.08</v>
      </c>
      <c r="I1010" s="876">
        <f t="shared" si="329"/>
        <v>1561.08</v>
      </c>
      <c r="J1010" s="877">
        <f t="shared" si="328"/>
        <v>1907.95</v>
      </c>
      <c r="K1010" s="878" t="s">
        <v>1500</v>
      </c>
      <c r="L1010" s="879">
        <f>ROUND(SUM(ORÇAMENTO!L1010),2)</f>
        <v>0</v>
      </c>
      <c r="M1010" s="879">
        <f t="shared" si="330"/>
        <v>0</v>
      </c>
      <c r="N1010" s="868">
        <f t="shared" si="331"/>
        <v>0</v>
      </c>
      <c r="O1010" s="880"/>
      <c r="Q1010" s="317" t="str">
        <f t="shared" si="332"/>
        <v/>
      </c>
      <c r="R1010" s="317" t="str">
        <f t="shared" si="333"/>
        <v/>
      </c>
      <c r="S1010" s="317" t="str">
        <f t="shared" si="334"/>
        <v/>
      </c>
      <c r="V1010" s="314">
        <f>SUM(ORÇAMENTO!N1010)</f>
        <v>0</v>
      </c>
      <c r="W1010" s="315">
        <f t="shared" si="335"/>
        <v>0</v>
      </c>
    </row>
    <row r="1011" spans="1:23" ht="34.5" hidden="1" thickBot="1">
      <c r="A1011" s="63">
        <v>101525</v>
      </c>
      <c r="B1011" s="870">
        <v>101525</v>
      </c>
      <c r="C1011" s="871" t="s">
        <v>590</v>
      </c>
      <c r="D1011" s="881" t="s">
        <v>922</v>
      </c>
      <c r="E1011" s="882"/>
      <c r="F1011" s="883"/>
      <c r="G1011" s="887"/>
      <c r="H1011" s="876">
        <v>1118.71</v>
      </c>
      <c r="I1011" s="876">
        <f t="shared" si="329"/>
        <v>1118.71</v>
      </c>
      <c r="J1011" s="877">
        <f t="shared" si="328"/>
        <v>1367.29</v>
      </c>
      <c r="K1011" s="878" t="s">
        <v>1500</v>
      </c>
      <c r="L1011" s="879">
        <f>ROUND(SUM(ORÇAMENTO!L1011),2)</f>
        <v>0</v>
      </c>
      <c r="M1011" s="879">
        <f t="shared" si="330"/>
        <v>0</v>
      </c>
      <c r="N1011" s="868">
        <f t="shared" si="331"/>
        <v>0</v>
      </c>
      <c r="O1011" s="880"/>
      <c r="Q1011" s="317" t="str">
        <f t="shared" si="332"/>
        <v/>
      </c>
      <c r="R1011" s="317" t="str">
        <f t="shared" si="333"/>
        <v/>
      </c>
      <c r="S1011" s="317" t="str">
        <f t="shared" si="334"/>
        <v/>
      </c>
      <c r="V1011" s="314">
        <f>SUM(ORÇAMENTO!N1011)</f>
        <v>0</v>
      </c>
      <c r="W1011" s="315">
        <f t="shared" si="335"/>
        <v>0</v>
      </c>
    </row>
    <row r="1012" spans="1:23" ht="34.5" hidden="1" thickBot="1">
      <c r="A1012" s="63">
        <v>101526</v>
      </c>
      <c r="B1012" s="870">
        <v>101526</v>
      </c>
      <c r="C1012" s="871" t="s">
        <v>590</v>
      </c>
      <c r="D1012" s="881" t="s">
        <v>923</v>
      </c>
      <c r="E1012" s="882"/>
      <c r="F1012" s="883"/>
      <c r="G1012" s="887"/>
      <c r="H1012" s="876">
        <v>1295.33</v>
      </c>
      <c r="I1012" s="876">
        <f t="shared" si="329"/>
        <v>1295.33</v>
      </c>
      <c r="J1012" s="877">
        <f t="shared" si="328"/>
        <v>1583.15</v>
      </c>
      <c r="K1012" s="878" t="s">
        <v>1500</v>
      </c>
      <c r="L1012" s="879">
        <f>ROUND(SUM(ORÇAMENTO!L1012),2)</f>
        <v>0</v>
      </c>
      <c r="M1012" s="879">
        <f t="shared" si="330"/>
        <v>0</v>
      </c>
      <c r="N1012" s="868">
        <f t="shared" si="331"/>
        <v>0</v>
      </c>
      <c r="O1012" s="880"/>
      <c r="Q1012" s="317" t="str">
        <f t="shared" si="332"/>
        <v/>
      </c>
      <c r="R1012" s="317" t="str">
        <f t="shared" si="333"/>
        <v/>
      </c>
      <c r="S1012" s="317" t="str">
        <f t="shared" si="334"/>
        <v/>
      </c>
      <c r="V1012" s="314">
        <f>SUM(ORÇAMENTO!N1012)</f>
        <v>0</v>
      </c>
      <c r="W1012" s="315">
        <f t="shared" si="335"/>
        <v>0</v>
      </c>
    </row>
    <row r="1013" spans="1:23" ht="34.5" hidden="1" thickBot="1">
      <c r="A1013" s="63">
        <v>101527</v>
      </c>
      <c r="B1013" s="870">
        <v>101527</v>
      </c>
      <c r="C1013" s="871" t="s">
        <v>590</v>
      </c>
      <c r="D1013" s="881" t="s">
        <v>924</v>
      </c>
      <c r="E1013" s="882"/>
      <c r="F1013" s="883"/>
      <c r="G1013" s="887"/>
      <c r="H1013" s="876">
        <v>1345.02</v>
      </c>
      <c r="I1013" s="876">
        <f t="shared" si="329"/>
        <v>1345.02</v>
      </c>
      <c r="J1013" s="877">
        <f t="shared" si="328"/>
        <v>1643.88</v>
      </c>
      <c r="K1013" s="878" t="s">
        <v>1500</v>
      </c>
      <c r="L1013" s="879">
        <f>ROUND(SUM(ORÇAMENTO!L1013),2)</f>
        <v>0</v>
      </c>
      <c r="M1013" s="879">
        <f t="shared" si="330"/>
        <v>0</v>
      </c>
      <c r="N1013" s="868">
        <f t="shared" si="331"/>
        <v>0</v>
      </c>
      <c r="O1013" s="880"/>
      <c r="Q1013" s="317" t="str">
        <f t="shared" si="332"/>
        <v/>
      </c>
      <c r="R1013" s="317" t="str">
        <f t="shared" si="333"/>
        <v/>
      </c>
      <c r="S1013" s="317" t="str">
        <f t="shared" si="334"/>
        <v/>
      </c>
      <c r="V1013" s="314">
        <f>SUM(ORÇAMENTO!N1013)</f>
        <v>0</v>
      </c>
      <c r="W1013" s="315">
        <f t="shared" si="335"/>
        <v>0</v>
      </c>
    </row>
    <row r="1014" spans="1:23" ht="34.5" hidden="1" thickBot="1">
      <c r="A1014" s="63">
        <v>101528</v>
      </c>
      <c r="B1014" s="870">
        <v>101528</v>
      </c>
      <c r="C1014" s="871" t="s">
        <v>590</v>
      </c>
      <c r="D1014" s="881" t="s">
        <v>925</v>
      </c>
      <c r="E1014" s="882"/>
      <c r="F1014" s="883"/>
      <c r="G1014" s="887"/>
      <c r="H1014" s="876">
        <v>1548.96</v>
      </c>
      <c r="I1014" s="876">
        <f t="shared" si="329"/>
        <v>1548.96</v>
      </c>
      <c r="J1014" s="877">
        <f t="shared" si="328"/>
        <v>1893.14</v>
      </c>
      <c r="K1014" s="878" t="s">
        <v>1500</v>
      </c>
      <c r="L1014" s="879">
        <f>ROUND(SUM(ORÇAMENTO!L1014),2)</f>
        <v>0</v>
      </c>
      <c r="M1014" s="879">
        <f t="shared" si="330"/>
        <v>0</v>
      </c>
      <c r="N1014" s="868">
        <f t="shared" si="331"/>
        <v>0</v>
      </c>
      <c r="O1014" s="880"/>
      <c r="Q1014" s="317" t="str">
        <f t="shared" si="332"/>
        <v/>
      </c>
      <c r="R1014" s="317" t="str">
        <f t="shared" si="333"/>
        <v/>
      </c>
      <c r="S1014" s="317" t="str">
        <f t="shared" si="334"/>
        <v/>
      </c>
      <c r="V1014" s="314">
        <f>SUM(ORÇAMENTO!N1014)</f>
        <v>0</v>
      </c>
      <c r="W1014" s="315">
        <f t="shared" si="335"/>
        <v>0</v>
      </c>
    </row>
    <row r="1015" spans="1:23" ht="34.5" hidden="1" thickBot="1">
      <c r="A1015" s="63">
        <v>101529</v>
      </c>
      <c r="B1015" s="870">
        <v>101529</v>
      </c>
      <c r="C1015" s="871" t="s">
        <v>590</v>
      </c>
      <c r="D1015" s="881" t="s">
        <v>926</v>
      </c>
      <c r="E1015" s="882"/>
      <c r="F1015" s="883"/>
      <c r="G1015" s="887"/>
      <c r="H1015" s="876">
        <v>1261.4000000000001</v>
      </c>
      <c r="I1015" s="876">
        <f t="shared" si="329"/>
        <v>1261.4000000000001</v>
      </c>
      <c r="J1015" s="877">
        <f t="shared" si="328"/>
        <v>1541.68</v>
      </c>
      <c r="K1015" s="878" t="s">
        <v>1500</v>
      </c>
      <c r="L1015" s="879">
        <f>ROUND(SUM(ORÇAMENTO!L1015),2)</f>
        <v>0</v>
      </c>
      <c r="M1015" s="879">
        <f t="shared" si="330"/>
        <v>0</v>
      </c>
      <c r="N1015" s="868">
        <f t="shared" si="331"/>
        <v>0</v>
      </c>
      <c r="O1015" s="880"/>
      <c r="Q1015" s="317" t="str">
        <f t="shared" si="332"/>
        <v/>
      </c>
      <c r="R1015" s="317" t="str">
        <f t="shared" si="333"/>
        <v/>
      </c>
      <c r="S1015" s="317" t="str">
        <f t="shared" si="334"/>
        <v/>
      </c>
      <c r="V1015" s="314">
        <f>SUM(ORÇAMENTO!N1015)</f>
        <v>0</v>
      </c>
      <c r="W1015" s="315">
        <f t="shared" si="335"/>
        <v>0</v>
      </c>
    </row>
    <row r="1016" spans="1:23" ht="34.5" hidden="1" thickBot="1">
      <c r="A1016" s="63">
        <v>101530</v>
      </c>
      <c r="B1016" s="870">
        <v>101530</v>
      </c>
      <c r="C1016" s="871" t="s">
        <v>590</v>
      </c>
      <c r="D1016" s="881" t="s">
        <v>927</v>
      </c>
      <c r="E1016" s="882"/>
      <c r="F1016" s="883"/>
      <c r="G1016" s="887"/>
      <c r="H1016" s="876">
        <v>1496.89</v>
      </c>
      <c r="I1016" s="876">
        <f t="shared" si="329"/>
        <v>1496.89</v>
      </c>
      <c r="J1016" s="877">
        <f t="shared" si="328"/>
        <v>1829.5</v>
      </c>
      <c r="K1016" s="878" t="s">
        <v>1500</v>
      </c>
      <c r="L1016" s="879">
        <f>ROUND(SUM(ORÇAMENTO!L1016),2)</f>
        <v>0</v>
      </c>
      <c r="M1016" s="879">
        <f t="shared" si="330"/>
        <v>0</v>
      </c>
      <c r="N1016" s="868">
        <f t="shared" si="331"/>
        <v>0</v>
      </c>
      <c r="O1016" s="880"/>
      <c r="Q1016" s="317" t="str">
        <f t="shared" si="332"/>
        <v/>
      </c>
      <c r="R1016" s="317" t="str">
        <f t="shared" si="333"/>
        <v/>
      </c>
      <c r="S1016" s="317" t="str">
        <f t="shared" si="334"/>
        <v/>
      </c>
      <c r="V1016" s="314">
        <f>SUM(ORÇAMENTO!N1016)</f>
        <v>0</v>
      </c>
      <c r="W1016" s="315">
        <f t="shared" si="335"/>
        <v>0</v>
      </c>
    </row>
    <row r="1017" spans="1:23" ht="34.5" hidden="1" thickBot="1">
      <c r="A1017" s="63">
        <v>101531</v>
      </c>
      <c r="B1017" s="870">
        <v>101531</v>
      </c>
      <c r="C1017" s="871" t="s">
        <v>590</v>
      </c>
      <c r="D1017" s="881" t="s">
        <v>928</v>
      </c>
      <c r="E1017" s="882"/>
      <c r="F1017" s="883"/>
      <c r="G1017" s="887"/>
      <c r="H1017" s="876">
        <v>1563.15</v>
      </c>
      <c r="I1017" s="876">
        <f t="shared" si="329"/>
        <v>1563.15</v>
      </c>
      <c r="J1017" s="877">
        <f t="shared" si="328"/>
        <v>1910.48</v>
      </c>
      <c r="K1017" s="878" t="s">
        <v>1500</v>
      </c>
      <c r="L1017" s="879">
        <f>ROUND(SUM(ORÇAMENTO!L1017),2)</f>
        <v>0</v>
      </c>
      <c r="M1017" s="879">
        <f t="shared" si="330"/>
        <v>0</v>
      </c>
      <c r="N1017" s="868">
        <f t="shared" si="331"/>
        <v>0</v>
      </c>
      <c r="O1017" s="880"/>
      <c r="Q1017" s="317" t="str">
        <f t="shared" si="332"/>
        <v/>
      </c>
      <c r="R1017" s="317" t="str">
        <f t="shared" si="333"/>
        <v/>
      </c>
      <c r="S1017" s="317" t="str">
        <f t="shared" si="334"/>
        <v/>
      </c>
      <c r="V1017" s="314">
        <f>SUM(ORÇAMENTO!N1017)</f>
        <v>0</v>
      </c>
      <c r="W1017" s="315">
        <f t="shared" si="335"/>
        <v>0</v>
      </c>
    </row>
    <row r="1018" spans="1:23" ht="34.5" hidden="1" thickBot="1">
      <c r="A1018" s="63">
        <v>101532</v>
      </c>
      <c r="B1018" s="870">
        <v>101532</v>
      </c>
      <c r="C1018" s="871" t="s">
        <v>590</v>
      </c>
      <c r="D1018" s="881" t="s">
        <v>929</v>
      </c>
      <c r="E1018" s="882"/>
      <c r="F1018" s="883"/>
      <c r="G1018" s="887"/>
      <c r="H1018" s="876">
        <v>1835.07</v>
      </c>
      <c r="I1018" s="876">
        <f t="shared" si="329"/>
        <v>1835.07</v>
      </c>
      <c r="J1018" s="877">
        <f t="shared" si="328"/>
        <v>2242.8200000000002</v>
      </c>
      <c r="K1018" s="878" t="s">
        <v>1500</v>
      </c>
      <c r="L1018" s="879">
        <f>ROUND(SUM(ORÇAMENTO!L1018),2)</f>
        <v>0</v>
      </c>
      <c r="M1018" s="879">
        <f t="shared" si="330"/>
        <v>0</v>
      </c>
      <c r="N1018" s="868">
        <f t="shared" si="331"/>
        <v>0</v>
      </c>
      <c r="O1018" s="880"/>
      <c r="Q1018" s="317" t="str">
        <f t="shared" si="332"/>
        <v/>
      </c>
      <c r="R1018" s="317" t="str">
        <f t="shared" si="333"/>
        <v/>
      </c>
      <c r="S1018" s="317" t="str">
        <f t="shared" si="334"/>
        <v/>
      </c>
      <c r="V1018" s="314">
        <f>SUM(ORÇAMENTO!N1018)</f>
        <v>0</v>
      </c>
      <c r="W1018" s="315">
        <f t="shared" si="335"/>
        <v>0</v>
      </c>
    </row>
    <row r="1019" spans="1:23" ht="38.1" hidden="1" customHeight="1">
      <c r="A1019" s="63">
        <v>101533</v>
      </c>
      <c r="B1019" s="870">
        <v>101533</v>
      </c>
      <c r="C1019" s="871" t="s">
        <v>590</v>
      </c>
      <c r="D1019" s="881" t="s">
        <v>930</v>
      </c>
      <c r="E1019" s="882"/>
      <c r="F1019" s="883"/>
      <c r="G1019" s="887"/>
      <c r="H1019" s="876">
        <v>1385.59</v>
      </c>
      <c r="I1019" s="876">
        <f t="shared" si="329"/>
        <v>1385.59</v>
      </c>
      <c r="J1019" s="877">
        <f t="shared" si="328"/>
        <v>1693.47</v>
      </c>
      <c r="K1019" s="878" t="s">
        <v>1500</v>
      </c>
      <c r="L1019" s="879">
        <f>ROUND(SUM(ORÇAMENTO!L1019),2)</f>
        <v>0</v>
      </c>
      <c r="M1019" s="879">
        <f t="shared" si="330"/>
        <v>0</v>
      </c>
      <c r="N1019" s="868">
        <f t="shared" si="331"/>
        <v>0</v>
      </c>
      <c r="O1019" s="880"/>
      <c r="Q1019" s="317" t="str">
        <f t="shared" si="332"/>
        <v/>
      </c>
      <c r="R1019" s="317" t="str">
        <f t="shared" si="333"/>
        <v/>
      </c>
      <c r="S1019" s="317" t="str">
        <f t="shared" si="334"/>
        <v/>
      </c>
      <c r="V1019" s="314">
        <f>SUM(ORÇAMENTO!N1019)</f>
        <v>0</v>
      </c>
      <c r="W1019" s="315">
        <f t="shared" si="335"/>
        <v>0</v>
      </c>
    </row>
    <row r="1020" spans="1:23" ht="38.1" hidden="1" customHeight="1">
      <c r="A1020" s="63">
        <v>101534</v>
      </c>
      <c r="B1020" s="870">
        <v>101534</v>
      </c>
      <c r="C1020" s="871" t="s">
        <v>590</v>
      </c>
      <c r="D1020" s="881" t="s">
        <v>931</v>
      </c>
      <c r="E1020" s="882"/>
      <c r="F1020" s="883"/>
      <c r="G1020" s="887"/>
      <c r="H1020" s="876">
        <v>1621.08</v>
      </c>
      <c r="I1020" s="876">
        <f t="shared" si="329"/>
        <v>1621.08</v>
      </c>
      <c r="J1020" s="877">
        <f t="shared" si="328"/>
        <v>1981.28</v>
      </c>
      <c r="K1020" s="878" t="s">
        <v>1500</v>
      </c>
      <c r="L1020" s="879">
        <f>ROUND(SUM(ORÇAMENTO!L1020),2)</f>
        <v>0</v>
      </c>
      <c r="M1020" s="879">
        <f t="shared" si="330"/>
        <v>0</v>
      </c>
      <c r="N1020" s="868">
        <f t="shared" si="331"/>
        <v>0</v>
      </c>
      <c r="O1020" s="880"/>
      <c r="Q1020" s="317" t="str">
        <f t="shared" si="332"/>
        <v/>
      </c>
      <c r="R1020" s="317" t="str">
        <f t="shared" si="333"/>
        <v/>
      </c>
      <c r="S1020" s="317" t="str">
        <f t="shared" si="334"/>
        <v/>
      </c>
      <c r="V1020" s="314">
        <f>SUM(ORÇAMENTO!N1020)</f>
        <v>0</v>
      </c>
      <c r="W1020" s="315">
        <f t="shared" si="335"/>
        <v>0</v>
      </c>
    </row>
    <row r="1021" spans="1:23" ht="38.1" hidden="1" customHeight="1">
      <c r="A1021" s="63">
        <v>101535</v>
      </c>
      <c r="B1021" s="870">
        <v>101535</v>
      </c>
      <c r="C1021" s="871" t="s">
        <v>590</v>
      </c>
      <c r="D1021" s="881" t="s">
        <v>932</v>
      </c>
      <c r="E1021" s="882"/>
      <c r="F1021" s="883"/>
      <c r="G1021" s="887"/>
      <c r="H1021" s="876">
        <v>1687.34</v>
      </c>
      <c r="I1021" s="876">
        <f t="shared" si="329"/>
        <v>1687.34</v>
      </c>
      <c r="J1021" s="877">
        <f t="shared" si="328"/>
        <v>2062.27</v>
      </c>
      <c r="K1021" s="878" t="s">
        <v>1500</v>
      </c>
      <c r="L1021" s="879">
        <f>ROUND(SUM(ORÇAMENTO!L1021),2)</f>
        <v>0</v>
      </c>
      <c r="M1021" s="879">
        <f t="shared" si="330"/>
        <v>0</v>
      </c>
      <c r="N1021" s="868">
        <f t="shared" si="331"/>
        <v>0</v>
      </c>
      <c r="O1021" s="880"/>
      <c r="Q1021" s="317" t="str">
        <f t="shared" si="332"/>
        <v/>
      </c>
      <c r="R1021" s="317" t="str">
        <f t="shared" si="333"/>
        <v/>
      </c>
      <c r="S1021" s="317" t="str">
        <f t="shared" si="334"/>
        <v/>
      </c>
      <c r="V1021" s="314">
        <f>SUM(ORÇAMENTO!N1021)</f>
        <v>0</v>
      </c>
      <c r="W1021" s="315">
        <f t="shared" si="335"/>
        <v>0</v>
      </c>
    </row>
    <row r="1022" spans="1:23" ht="38.1" hidden="1" customHeight="1">
      <c r="A1022" s="63">
        <v>101536</v>
      </c>
      <c r="B1022" s="870">
        <v>101536</v>
      </c>
      <c r="C1022" s="871" t="s">
        <v>590</v>
      </c>
      <c r="D1022" s="881" t="s">
        <v>933</v>
      </c>
      <c r="E1022" s="882"/>
      <c r="F1022" s="883"/>
      <c r="G1022" s="887"/>
      <c r="H1022" s="876">
        <v>1959.26</v>
      </c>
      <c r="I1022" s="876">
        <f t="shared" si="329"/>
        <v>1959.26</v>
      </c>
      <c r="J1022" s="877">
        <f t="shared" si="328"/>
        <v>2394.61</v>
      </c>
      <c r="K1022" s="878" t="s">
        <v>1500</v>
      </c>
      <c r="L1022" s="879">
        <f>ROUND(SUM(ORÇAMENTO!L1022),2)</f>
        <v>0</v>
      </c>
      <c r="M1022" s="879">
        <f t="shared" si="330"/>
        <v>0</v>
      </c>
      <c r="N1022" s="868">
        <f t="shared" si="331"/>
        <v>0</v>
      </c>
      <c r="O1022" s="880"/>
      <c r="Q1022" s="317" t="str">
        <f t="shared" si="332"/>
        <v/>
      </c>
      <c r="R1022" s="317" t="str">
        <f t="shared" si="333"/>
        <v/>
      </c>
      <c r="S1022" s="317" t="str">
        <f t="shared" si="334"/>
        <v/>
      </c>
      <c r="V1022" s="314">
        <f>SUM(ORÇAMENTO!N1022)</f>
        <v>0</v>
      </c>
      <c r="W1022" s="315">
        <f t="shared" si="335"/>
        <v>0</v>
      </c>
    </row>
    <row r="1023" spans="1:23" ht="38.1" hidden="1" customHeight="1">
      <c r="A1023" s="63" t="s">
        <v>934</v>
      </c>
      <c r="B1023" s="870" t="s">
        <v>934</v>
      </c>
      <c r="C1023" s="871" t="s">
        <v>2218</v>
      </c>
      <c r="D1023" s="881" t="s">
        <v>931</v>
      </c>
      <c r="E1023" s="882"/>
      <c r="F1023" s="883"/>
      <c r="G1023" s="887"/>
      <c r="H1023" s="876">
        <v>1885.87</v>
      </c>
      <c r="I1023" s="876">
        <f t="shared" si="329"/>
        <v>1885.87</v>
      </c>
      <c r="J1023" s="877">
        <f t="shared" si="328"/>
        <v>2304.91</v>
      </c>
      <c r="K1023" s="878" t="s">
        <v>1500</v>
      </c>
      <c r="L1023" s="879">
        <f>ROUND(SUM(ORÇAMENTO!L1023),2)</f>
        <v>0</v>
      </c>
      <c r="M1023" s="879">
        <f t="shared" si="330"/>
        <v>0</v>
      </c>
      <c r="N1023" s="868">
        <f t="shared" si="331"/>
        <v>0</v>
      </c>
      <c r="O1023" s="880"/>
      <c r="Q1023" s="317" t="str">
        <f t="shared" si="332"/>
        <v/>
      </c>
      <c r="R1023" s="317" t="str">
        <f t="shared" si="333"/>
        <v/>
      </c>
      <c r="S1023" s="317" t="str">
        <f t="shared" si="334"/>
        <v/>
      </c>
      <c r="V1023" s="314">
        <f>SUM(ORÇAMENTO!N1023)</f>
        <v>0</v>
      </c>
      <c r="W1023" s="315">
        <f t="shared" si="335"/>
        <v>0</v>
      </c>
    </row>
    <row r="1024" spans="1:23" ht="38.1" hidden="1" customHeight="1">
      <c r="A1024" s="63" t="s">
        <v>935</v>
      </c>
      <c r="B1024" s="870" t="s">
        <v>935</v>
      </c>
      <c r="C1024" s="871" t="s">
        <v>2218</v>
      </c>
      <c r="D1024" s="881" t="s">
        <v>932</v>
      </c>
      <c r="E1024" s="882"/>
      <c r="F1024" s="883"/>
      <c r="G1024" s="887"/>
      <c r="H1024" s="876">
        <v>2069.96</v>
      </c>
      <c r="I1024" s="876">
        <f t="shared" si="329"/>
        <v>2069.96</v>
      </c>
      <c r="J1024" s="877">
        <f t="shared" si="328"/>
        <v>2529.91</v>
      </c>
      <c r="K1024" s="878" t="s">
        <v>1500</v>
      </c>
      <c r="L1024" s="879">
        <f>ROUND(SUM(ORÇAMENTO!L1024),2)</f>
        <v>0</v>
      </c>
      <c r="M1024" s="879">
        <f t="shared" si="330"/>
        <v>0</v>
      </c>
      <c r="N1024" s="868">
        <f t="shared" si="331"/>
        <v>0</v>
      </c>
      <c r="O1024" s="880"/>
      <c r="Q1024" s="317" t="str">
        <f t="shared" si="332"/>
        <v/>
      </c>
      <c r="R1024" s="317" t="str">
        <f t="shared" si="333"/>
        <v/>
      </c>
      <c r="S1024" s="317" t="str">
        <f t="shared" si="334"/>
        <v/>
      </c>
      <c r="V1024" s="314">
        <f>SUM(ORÇAMENTO!N1024)</f>
        <v>0</v>
      </c>
      <c r="W1024" s="315">
        <f t="shared" si="335"/>
        <v>0</v>
      </c>
    </row>
    <row r="1025" spans="1:23" ht="38.1" hidden="1" customHeight="1">
      <c r="A1025" s="63" t="s">
        <v>936</v>
      </c>
      <c r="B1025" s="870" t="s">
        <v>936</v>
      </c>
      <c r="C1025" s="871" t="s">
        <v>2218</v>
      </c>
      <c r="D1025" s="881" t="s">
        <v>933</v>
      </c>
      <c r="E1025" s="882"/>
      <c r="F1025" s="883"/>
      <c r="G1025" s="887"/>
      <c r="H1025" s="876">
        <v>2505.64</v>
      </c>
      <c r="I1025" s="876">
        <f t="shared" si="329"/>
        <v>2505.64</v>
      </c>
      <c r="J1025" s="877">
        <f t="shared" si="328"/>
        <v>3062.39</v>
      </c>
      <c r="K1025" s="878" t="s">
        <v>1500</v>
      </c>
      <c r="L1025" s="879">
        <f>ROUND(SUM(ORÇAMENTO!L1025),2)</f>
        <v>0</v>
      </c>
      <c r="M1025" s="879">
        <f t="shared" si="330"/>
        <v>0</v>
      </c>
      <c r="N1025" s="868">
        <f t="shared" si="331"/>
        <v>0</v>
      </c>
      <c r="O1025" s="880"/>
      <c r="Q1025" s="317" t="str">
        <f t="shared" si="332"/>
        <v/>
      </c>
      <c r="R1025" s="317" t="str">
        <f t="shared" si="333"/>
        <v/>
      </c>
      <c r="S1025" s="317" t="str">
        <f t="shared" si="334"/>
        <v/>
      </c>
      <c r="V1025" s="314">
        <f>SUM(ORÇAMENTO!N1025)</f>
        <v>0</v>
      </c>
      <c r="W1025" s="315">
        <f t="shared" si="335"/>
        <v>0</v>
      </c>
    </row>
    <row r="1026" spans="1:23" ht="15" hidden="1" customHeight="1">
      <c r="A1026" s="63" t="s">
        <v>937</v>
      </c>
      <c r="B1026" s="870" t="s">
        <v>937</v>
      </c>
      <c r="C1026" s="871" t="s">
        <v>2218</v>
      </c>
      <c r="D1026" s="881" t="s">
        <v>938</v>
      </c>
      <c r="E1026" s="882"/>
      <c r="F1026" s="883"/>
      <c r="G1026" s="887"/>
      <c r="H1026" s="876">
        <v>2829.71</v>
      </c>
      <c r="I1026" s="876">
        <f t="shared" si="329"/>
        <v>2829.71</v>
      </c>
      <c r="J1026" s="877">
        <f t="shared" si="328"/>
        <v>3458.47</v>
      </c>
      <c r="K1026" s="878" t="s">
        <v>1500</v>
      </c>
      <c r="L1026" s="879">
        <f>ROUND(SUM(ORÇAMENTO!L1026),2)</f>
        <v>0</v>
      </c>
      <c r="M1026" s="879">
        <f t="shared" si="330"/>
        <v>0</v>
      </c>
      <c r="N1026" s="868">
        <f t="shared" si="331"/>
        <v>0</v>
      </c>
      <c r="O1026" s="880"/>
      <c r="Q1026" s="317" t="str">
        <f t="shared" si="332"/>
        <v/>
      </c>
      <c r="R1026" s="317" t="str">
        <f t="shared" si="333"/>
        <v/>
      </c>
      <c r="S1026" s="317" t="str">
        <f t="shared" si="334"/>
        <v/>
      </c>
      <c r="V1026" s="314">
        <f>SUM(ORÇAMENTO!N1026)</f>
        <v>0</v>
      </c>
      <c r="W1026" s="315">
        <f t="shared" si="335"/>
        <v>0</v>
      </c>
    </row>
    <row r="1027" spans="1:23" ht="15" hidden="1" customHeight="1">
      <c r="A1027" s="63" t="s">
        <v>939</v>
      </c>
      <c r="B1027" s="870" t="s">
        <v>939</v>
      </c>
      <c r="C1027" s="871" t="s">
        <v>2218</v>
      </c>
      <c r="D1027" s="881" t="s">
        <v>940</v>
      </c>
      <c r="E1027" s="882"/>
      <c r="F1027" s="883"/>
      <c r="G1027" s="887"/>
      <c r="H1027" s="876">
        <v>4324.09</v>
      </c>
      <c r="I1027" s="876">
        <f t="shared" si="329"/>
        <v>4324.09</v>
      </c>
      <c r="J1027" s="877">
        <f t="shared" si="328"/>
        <v>5284.9</v>
      </c>
      <c r="K1027" s="878" t="s">
        <v>1500</v>
      </c>
      <c r="L1027" s="879">
        <f>ROUND(SUM(ORÇAMENTO!L1027),2)</f>
        <v>0</v>
      </c>
      <c r="M1027" s="879">
        <f t="shared" si="330"/>
        <v>0</v>
      </c>
      <c r="N1027" s="868">
        <f t="shared" si="331"/>
        <v>0</v>
      </c>
      <c r="O1027" s="880"/>
      <c r="Q1027" s="317" t="str">
        <f t="shared" si="332"/>
        <v/>
      </c>
      <c r="R1027" s="317" t="str">
        <f t="shared" si="333"/>
        <v/>
      </c>
      <c r="S1027" s="317" t="str">
        <f t="shared" si="334"/>
        <v/>
      </c>
      <c r="V1027" s="314">
        <f>SUM(ORÇAMENTO!N1027)</f>
        <v>0</v>
      </c>
      <c r="W1027" s="315">
        <f t="shared" si="335"/>
        <v>0</v>
      </c>
    </row>
    <row r="1028" spans="1:23" ht="15" hidden="1" customHeight="1">
      <c r="A1028" s="63" t="s">
        <v>941</v>
      </c>
      <c r="B1028" s="870" t="s">
        <v>941</v>
      </c>
      <c r="C1028" s="871" t="s">
        <v>2218</v>
      </c>
      <c r="D1028" s="881" t="s">
        <v>942</v>
      </c>
      <c r="E1028" s="882"/>
      <c r="F1028" s="883"/>
      <c r="G1028" s="887"/>
      <c r="H1028" s="876">
        <v>5277.61</v>
      </c>
      <c r="I1028" s="876">
        <f t="shared" si="329"/>
        <v>5277.61</v>
      </c>
      <c r="J1028" s="877">
        <f t="shared" si="328"/>
        <v>6450.29</v>
      </c>
      <c r="K1028" s="878" t="s">
        <v>1500</v>
      </c>
      <c r="L1028" s="879">
        <f>ROUND(SUM(ORÇAMENTO!L1028),2)</f>
        <v>0</v>
      </c>
      <c r="M1028" s="879">
        <f t="shared" si="330"/>
        <v>0</v>
      </c>
      <c r="N1028" s="868">
        <f t="shared" si="331"/>
        <v>0</v>
      </c>
      <c r="O1028" s="880"/>
      <c r="Q1028" s="317" t="str">
        <f t="shared" si="332"/>
        <v/>
      </c>
      <c r="R1028" s="317" t="str">
        <f t="shared" si="333"/>
        <v/>
      </c>
      <c r="S1028" s="317" t="str">
        <f t="shared" si="334"/>
        <v/>
      </c>
      <c r="V1028" s="314">
        <f>SUM(ORÇAMENTO!N1028)</f>
        <v>0</v>
      </c>
      <c r="W1028" s="315">
        <f t="shared" si="335"/>
        <v>0</v>
      </c>
    </row>
    <row r="1029" spans="1:23" ht="30" hidden="1" customHeight="1">
      <c r="A1029" s="63">
        <v>96984</v>
      </c>
      <c r="B1029" s="870">
        <v>96984</v>
      </c>
      <c r="C1029" s="871" t="s">
        <v>590</v>
      </c>
      <c r="D1029" s="881" t="s">
        <v>943</v>
      </c>
      <c r="E1029" s="882"/>
      <c r="F1029" s="883"/>
      <c r="G1029" s="887"/>
      <c r="H1029" s="876">
        <v>77.59</v>
      </c>
      <c r="I1029" s="876">
        <f t="shared" si="329"/>
        <v>77.59</v>
      </c>
      <c r="J1029" s="877">
        <f t="shared" si="328"/>
        <v>94.83</v>
      </c>
      <c r="K1029" s="878" t="s">
        <v>1500</v>
      </c>
      <c r="L1029" s="879">
        <f>ROUND(SUM(ORÇAMENTO!L1029),2)</f>
        <v>0</v>
      </c>
      <c r="M1029" s="879">
        <f t="shared" si="330"/>
        <v>0</v>
      </c>
      <c r="N1029" s="868">
        <f t="shared" si="331"/>
        <v>0</v>
      </c>
      <c r="O1029" s="880"/>
      <c r="Q1029" s="317" t="str">
        <f t="shared" si="332"/>
        <v/>
      </c>
      <c r="R1029" s="317" t="str">
        <f t="shared" si="333"/>
        <v/>
      </c>
      <c r="S1029" s="317" t="str">
        <f t="shared" si="334"/>
        <v/>
      </c>
      <c r="V1029" s="314">
        <f>SUM(ORÇAMENTO!N1029)</f>
        <v>0</v>
      </c>
      <c r="W1029" s="315">
        <f t="shared" si="335"/>
        <v>0</v>
      </c>
    </row>
    <row r="1030" spans="1:23" ht="30" hidden="1" customHeight="1">
      <c r="A1030" s="63">
        <v>91831</v>
      </c>
      <c r="B1030" s="870">
        <v>91831</v>
      </c>
      <c r="C1030" s="871" t="s">
        <v>590</v>
      </c>
      <c r="D1030" s="881" t="s">
        <v>944</v>
      </c>
      <c r="E1030" s="882"/>
      <c r="F1030" s="883"/>
      <c r="G1030" s="887"/>
      <c r="H1030" s="876">
        <v>10.69</v>
      </c>
      <c r="I1030" s="876">
        <f t="shared" si="329"/>
        <v>10.69</v>
      </c>
      <c r="J1030" s="877">
        <f t="shared" si="328"/>
        <v>13.07</v>
      </c>
      <c r="K1030" s="878" t="s">
        <v>62</v>
      </c>
      <c r="L1030" s="879">
        <f>ROUND(SUM(ORÇAMENTO!L1030),2)</f>
        <v>0</v>
      </c>
      <c r="M1030" s="879">
        <f t="shared" si="330"/>
        <v>0</v>
      </c>
      <c r="N1030" s="868">
        <f t="shared" si="331"/>
        <v>0</v>
      </c>
      <c r="O1030" s="880"/>
      <c r="Q1030" s="317" t="str">
        <f t="shared" si="332"/>
        <v/>
      </c>
      <c r="R1030" s="317" t="str">
        <f t="shared" si="333"/>
        <v/>
      </c>
      <c r="S1030" s="317" t="str">
        <f t="shared" si="334"/>
        <v/>
      </c>
      <c r="V1030" s="314">
        <f>SUM(ORÇAMENTO!N1030)</f>
        <v>0</v>
      </c>
      <c r="W1030" s="315">
        <f t="shared" si="335"/>
        <v>0</v>
      </c>
    </row>
    <row r="1031" spans="1:23" ht="30" hidden="1" customHeight="1">
      <c r="A1031" s="63">
        <v>91834</v>
      </c>
      <c r="B1031" s="870">
        <v>91834</v>
      </c>
      <c r="C1031" s="871" t="s">
        <v>590</v>
      </c>
      <c r="D1031" s="881" t="s">
        <v>945</v>
      </c>
      <c r="E1031" s="882"/>
      <c r="F1031" s="883"/>
      <c r="G1031" s="887"/>
      <c r="H1031" s="876">
        <v>11.9</v>
      </c>
      <c r="I1031" s="876">
        <f t="shared" si="329"/>
        <v>11.9</v>
      </c>
      <c r="J1031" s="877">
        <f t="shared" si="328"/>
        <v>14.54</v>
      </c>
      <c r="K1031" s="878" t="s">
        <v>62</v>
      </c>
      <c r="L1031" s="879">
        <f>ROUND(SUM(ORÇAMENTO!L1031),2)</f>
        <v>0</v>
      </c>
      <c r="M1031" s="879">
        <f t="shared" si="330"/>
        <v>0</v>
      </c>
      <c r="N1031" s="868">
        <f t="shared" si="331"/>
        <v>0</v>
      </c>
      <c r="O1031" s="880"/>
      <c r="Q1031" s="317" t="str">
        <f t="shared" si="332"/>
        <v/>
      </c>
      <c r="R1031" s="317" t="str">
        <f t="shared" si="333"/>
        <v/>
      </c>
      <c r="S1031" s="317" t="str">
        <f t="shared" si="334"/>
        <v/>
      </c>
      <c r="V1031" s="314">
        <f>SUM(ORÇAMENTO!N1031)</f>
        <v>0</v>
      </c>
      <c r="W1031" s="315">
        <f t="shared" si="335"/>
        <v>0</v>
      </c>
    </row>
    <row r="1032" spans="1:23" ht="30" hidden="1" customHeight="1">
      <c r="A1032" s="63">
        <v>91836</v>
      </c>
      <c r="B1032" s="870">
        <v>91836</v>
      </c>
      <c r="C1032" s="871" t="s">
        <v>590</v>
      </c>
      <c r="D1032" s="881" t="s">
        <v>946</v>
      </c>
      <c r="E1032" s="882"/>
      <c r="F1032" s="883"/>
      <c r="G1032" s="887"/>
      <c r="H1032" s="876">
        <v>15.96</v>
      </c>
      <c r="I1032" s="876">
        <f t="shared" si="329"/>
        <v>15.96</v>
      </c>
      <c r="J1032" s="877">
        <f t="shared" si="328"/>
        <v>19.510000000000002</v>
      </c>
      <c r="K1032" s="878" t="s">
        <v>62</v>
      </c>
      <c r="L1032" s="879">
        <f>ROUND(SUM(ORÇAMENTO!L1032),2)</f>
        <v>0</v>
      </c>
      <c r="M1032" s="879">
        <f t="shared" si="330"/>
        <v>0</v>
      </c>
      <c r="N1032" s="868">
        <f t="shared" si="331"/>
        <v>0</v>
      </c>
      <c r="O1032" s="880"/>
      <c r="Q1032" s="317" t="str">
        <f t="shared" si="332"/>
        <v/>
      </c>
      <c r="R1032" s="317" t="str">
        <f t="shared" si="333"/>
        <v/>
      </c>
      <c r="S1032" s="317" t="str">
        <f t="shared" si="334"/>
        <v/>
      </c>
      <c r="V1032" s="314">
        <f>SUM(ORÇAMENTO!N1032)</f>
        <v>0</v>
      </c>
      <c r="W1032" s="315">
        <f t="shared" si="335"/>
        <v>0</v>
      </c>
    </row>
    <row r="1033" spans="1:23" ht="30" hidden="1" customHeight="1">
      <c r="A1033" s="63">
        <v>91842</v>
      </c>
      <c r="B1033" s="870">
        <v>91842</v>
      </c>
      <c r="C1033" s="871" t="s">
        <v>590</v>
      </c>
      <c r="D1033" s="881" t="s">
        <v>947</v>
      </c>
      <c r="E1033" s="882"/>
      <c r="F1033" s="883"/>
      <c r="G1033" s="887"/>
      <c r="H1033" s="876">
        <v>8.0500000000000007</v>
      </c>
      <c r="I1033" s="876">
        <f t="shared" si="329"/>
        <v>8.0500000000000007</v>
      </c>
      <c r="J1033" s="877">
        <f t="shared" ref="J1033:J1096" si="336">IF(ISBLANK(H1033),0,ROUND(I1033*(1+$E$10),2))</f>
        <v>9.84</v>
      </c>
      <c r="K1033" s="878" t="s">
        <v>62</v>
      </c>
      <c r="L1033" s="879">
        <f>ROUND(SUM(ORÇAMENTO!L1033),2)</f>
        <v>0</v>
      </c>
      <c r="M1033" s="879">
        <f t="shared" si="330"/>
        <v>0</v>
      </c>
      <c r="N1033" s="868">
        <f t="shared" si="331"/>
        <v>0</v>
      </c>
      <c r="O1033" s="880"/>
      <c r="Q1033" s="317" t="str">
        <f t="shared" si="332"/>
        <v/>
      </c>
      <c r="R1033" s="317" t="str">
        <f t="shared" si="333"/>
        <v/>
      </c>
      <c r="S1033" s="317" t="str">
        <f t="shared" si="334"/>
        <v/>
      </c>
      <c r="V1033" s="314">
        <f>SUM(ORÇAMENTO!N1033)</f>
        <v>0</v>
      </c>
      <c r="W1033" s="315">
        <f t="shared" si="335"/>
        <v>0</v>
      </c>
    </row>
    <row r="1034" spans="1:23" ht="30" hidden="1" customHeight="1">
      <c r="A1034" s="63">
        <v>91844</v>
      </c>
      <c r="B1034" s="870">
        <v>91844</v>
      </c>
      <c r="C1034" s="871" t="s">
        <v>590</v>
      </c>
      <c r="D1034" s="881" t="s">
        <v>948</v>
      </c>
      <c r="E1034" s="882"/>
      <c r="F1034" s="883"/>
      <c r="G1034" s="887"/>
      <c r="H1034" s="876">
        <v>9.26</v>
      </c>
      <c r="I1034" s="876">
        <f t="shared" si="329"/>
        <v>9.26</v>
      </c>
      <c r="J1034" s="877">
        <f t="shared" si="336"/>
        <v>11.32</v>
      </c>
      <c r="K1034" s="878" t="s">
        <v>62</v>
      </c>
      <c r="L1034" s="879">
        <f>ROUND(SUM(ORÇAMENTO!L1034),2)</f>
        <v>0</v>
      </c>
      <c r="M1034" s="879">
        <f t="shared" si="330"/>
        <v>0</v>
      </c>
      <c r="N1034" s="868">
        <f t="shared" si="331"/>
        <v>0</v>
      </c>
      <c r="O1034" s="880"/>
      <c r="Q1034" s="317" t="str">
        <f t="shared" si="332"/>
        <v/>
      </c>
      <c r="R1034" s="317" t="str">
        <f t="shared" si="333"/>
        <v/>
      </c>
      <c r="S1034" s="317" t="str">
        <f t="shared" si="334"/>
        <v/>
      </c>
      <c r="V1034" s="314">
        <f>SUM(ORÇAMENTO!N1034)</f>
        <v>0</v>
      </c>
      <c r="W1034" s="315">
        <f t="shared" si="335"/>
        <v>0</v>
      </c>
    </row>
    <row r="1035" spans="1:23" ht="30" hidden="1" customHeight="1">
      <c r="A1035" s="63">
        <v>91846</v>
      </c>
      <c r="B1035" s="870">
        <v>91846</v>
      </c>
      <c r="C1035" s="871" t="s">
        <v>590</v>
      </c>
      <c r="D1035" s="881" t="s">
        <v>949</v>
      </c>
      <c r="E1035" s="882"/>
      <c r="F1035" s="883"/>
      <c r="G1035" s="887"/>
      <c r="H1035" s="876">
        <v>13.33</v>
      </c>
      <c r="I1035" s="876">
        <f t="shared" si="329"/>
        <v>13.33</v>
      </c>
      <c r="J1035" s="877">
        <f t="shared" si="336"/>
        <v>16.29</v>
      </c>
      <c r="K1035" s="878" t="s">
        <v>62</v>
      </c>
      <c r="L1035" s="879">
        <f>ROUND(SUM(ORÇAMENTO!L1035),2)</f>
        <v>0</v>
      </c>
      <c r="M1035" s="879">
        <f t="shared" si="330"/>
        <v>0</v>
      </c>
      <c r="N1035" s="868">
        <f t="shared" si="331"/>
        <v>0</v>
      </c>
      <c r="O1035" s="880"/>
      <c r="Q1035" s="317" t="str">
        <f t="shared" si="332"/>
        <v/>
      </c>
      <c r="R1035" s="317" t="str">
        <f t="shared" si="333"/>
        <v/>
      </c>
      <c r="S1035" s="317" t="str">
        <f t="shared" si="334"/>
        <v/>
      </c>
      <c r="V1035" s="314">
        <f>SUM(ORÇAMENTO!N1035)</f>
        <v>0</v>
      </c>
      <c r="W1035" s="315">
        <f t="shared" si="335"/>
        <v>0</v>
      </c>
    </row>
    <row r="1036" spans="1:23" ht="30" hidden="1" customHeight="1">
      <c r="A1036" s="63">
        <v>91852</v>
      </c>
      <c r="B1036" s="870">
        <v>91852</v>
      </c>
      <c r="C1036" s="871" t="s">
        <v>590</v>
      </c>
      <c r="D1036" s="881" t="s">
        <v>950</v>
      </c>
      <c r="E1036" s="882"/>
      <c r="F1036" s="883"/>
      <c r="G1036" s="887"/>
      <c r="H1036" s="876">
        <v>11.16</v>
      </c>
      <c r="I1036" s="876">
        <f t="shared" si="329"/>
        <v>11.16</v>
      </c>
      <c r="J1036" s="877">
        <f t="shared" si="336"/>
        <v>13.64</v>
      </c>
      <c r="K1036" s="878" t="s">
        <v>62</v>
      </c>
      <c r="L1036" s="879">
        <f>ROUND(SUM(ORÇAMENTO!L1036),2)</f>
        <v>0</v>
      </c>
      <c r="M1036" s="879">
        <f t="shared" si="330"/>
        <v>0</v>
      </c>
      <c r="N1036" s="868">
        <f t="shared" si="331"/>
        <v>0</v>
      </c>
      <c r="O1036" s="880"/>
      <c r="Q1036" s="317" t="str">
        <f t="shared" si="332"/>
        <v/>
      </c>
      <c r="R1036" s="317" t="str">
        <f t="shared" si="333"/>
        <v/>
      </c>
      <c r="S1036" s="317" t="str">
        <f t="shared" si="334"/>
        <v/>
      </c>
      <c r="V1036" s="314">
        <f>SUM(ORÇAMENTO!N1036)</f>
        <v>0</v>
      </c>
      <c r="W1036" s="315">
        <f t="shared" si="335"/>
        <v>0</v>
      </c>
    </row>
    <row r="1037" spans="1:23" ht="30" hidden="1" customHeight="1">
      <c r="A1037" s="63">
        <v>91854</v>
      </c>
      <c r="B1037" s="870">
        <v>91854</v>
      </c>
      <c r="C1037" s="871" t="s">
        <v>590</v>
      </c>
      <c r="D1037" s="881" t="s">
        <v>951</v>
      </c>
      <c r="E1037" s="882"/>
      <c r="F1037" s="883"/>
      <c r="G1037" s="887"/>
      <c r="H1037" s="876">
        <v>12.34</v>
      </c>
      <c r="I1037" s="876">
        <f t="shared" si="329"/>
        <v>12.34</v>
      </c>
      <c r="J1037" s="877">
        <f t="shared" si="336"/>
        <v>15.08</v>
      </c>
      <c r="K1037" s="878" t="s">
        <v>62</v>
      </c>
      <c r="L1037" s="879">
        <f>ROUND(SUM(ORÇAMENTO!L1037),2)</f>
        <v>0</v>
      </c>
      <c r="M1037" s="879">
        <f t="shared" si="330"/>
        <v>0</v>
      </c>
      <c r="N1037" s="868">
        <f t="shared" si="331"/>
        <v>0</v>
      </c>
      <c r="O1037" s="880"/>
      <c r="Q1037" s="317" t="str">
        <f t="shared" si="332"/>
        <v/>
      </c>
      <c r="R1037" s="317" t="str">
        <f t="shared" si="333"/>
        <v/>
      </c>
      <c r="S1037" s="317" t="str">
        <f t="shared" si="334"/>
        <v/>
      </c>
      <c r="V1037" s="314">
        <f>SUM(ORÇAMENTO!N1037)</f>
        <v>0</v>
      </c>
      <c r="W1037" s="315">
        <f t="shared" si="335"/>
        <v>0</v>
      </c>
    </row>
    <row r="1038" spans="1:23" ht="30" hidden="1" customHeight="1">
      <c r="A1038" s="63">
        <v>91856</v>
      </c>
      <c r="B1038" s="870">
        <v>91856</v>
      </c>
      <c r="C1038" s="871" t="s">
        <v>590</v>
      </c>
      <c r="D1038" s="881" t="s">
        <v>952</v>
      </c>
      <c r="E1038" s="882"/>
      <c r="F1038" s="883"/>
      <c r="G1038" s="887"/>
      <c r="H1038" s="876">
        <v>16.18</v>
      </c>
      <c r="I1038" s="876">
        <f t="shared" si="329"/>
        <v>16.18</v>
      </c>
      <c r="J1038" s="877">
        <f t="shared" si="336"/>
        <v>19.78</v>
      </c>
      <c r="K1038" s="878" t="s">
        <v>62</v>
      </c>
      <c r="L1038" s="879">
        <f>ROUND(SUM(ORÇAMENTO!L1038),2)</f>
        <v>0</v>
      </c>
      <c r="M1038" s="879">
        <f t="shared" si="330"/>
        <v>0</v>
      </c>
      <c r="N1038" s="868">
        <f t="shared" si="331"/>
        <v>0</v>
      </c>
      <c r="O1038" s="880"/>
      <c r="Q1038" s="317" t="str">
        <f t="shared" si="332"/>
        <v/>
      </c>
      <c r="R1038" s="317" t="str">
        <f t="shared" si="333"/>
        <v/>
      </c>
      <c r="S1038" s="317" t="str">
        <f t="shared" si="334"/>
        <v/>
      </c>
      <c r="V1038" s="314">
        <f>SUM(ORÇAMENTO!N1038)</f>
        <v>0</v>
      </c>
      <c r="W1038" s="315">
        <f t="shared" si="335"/>
        <v>0</v>
      </c>
    </row>
    <row r="1039" spans="1:23" ht="38.1" hidden="1" customHeight="1">
      <c r="A1039" s="63">
        <v>91833</v>
      </c>
      <c r="B1039" s="870">
        <v>91833</v>
      </c>
      <c r="C1039" s="871" t="s">
        <v>590</v>
      </c>
      <c r="D1039" s="881" t="s">
        <v>953</v>
      </c>
      <c r="E1039" s="882"/>
      <c r="F1039" s="883"/>
      <c r="G1039" s="887"/>
      <c r="H1039" s="876">
        <v>11.52</v>
      </c>
      <c r="I1039" s="876">
        <f t="shared" si="329"/>
        <v>11.52</v>
      </c>
      <c r="J1039" s="877">
        <f t="shared" si="336"/>
        <v>14.08</v>
      </c>
      <c r="K1039" s="878" t="s">
        <v>62</v>
      </c>
      <c r="L1039" s="879">
        <f>ROUND(SUM(ORÇAMENTO!L1039),2)</f>
        <v>0</v>
      </c>
      <c r="M1039" s="879">
        <f t="shared" si="330"/>
        <v>0</v>
      </c>
      <c r="N1039" s="868">
        <f t="shared" si="331"/>
        <v>0</v>
      </c>
      <c r="O1039" s="880"/>
      <c r="Q1039" s="317" t="str">
        <f t="shared" si="332"/>
        <v/>
      </c>
      <c r="R1039" s="317" t="str">
        <f t="shared" si="333"/>
        <v/>
      </c>
      <c r="S1039" s="317" t="str">
        <f t="shared" si="334"/>
        <v/>
      </c>
      <c r="V1039" s="314">
        <f>SUM(ORÇAMENTO!N1039)</f>
        <v>0</v>
      </c>
      <c r="W1039" s="315">
        <f t="shared" si="335"/>
        <v>0</v>
      </c>
    </row>
    <row r="1040" spans="1:23" ht="38.1" hidden="1" customHeight="1">
      <c r="A1040" s="63">
        <v>91835</v>
      </c>
      <c r="B1040" s="870">
        <v>91835</v>
      </c>
      <c r="C1040" s="871" t="s">
        <v>590</v>
      </c>
      <c r="D1040" s="881" t="s">
        <v>954</v>
      </c>
      <c r="E1040" s="882"/>
      <c r="F1040" s="883"/>
      <c r="G1040" s="887"/>
      <c r="H1040" s="876">
        <v>14.01</v>
      </c>
      <c r="I1040" s="876">
        <f t="shared" si="329"/>
        <v>14.01</v>
      </c>
      <c r="J1040" s="877">
        <f t="shared" si="336"/>
        <v>17.12</v>
      </c>
      <c r="K1040" s="878" t="s">
        <v>62</v>
      </c>
      <c r="L1040" s="879">
        <f>ROUND(SUM(ORÇAMENTO!L1040),2)</f>
        <v>0</v>
      </c>
      <c r="M1040" s="879">
        <f t="shared" si="330"/>
        <v>0</v>
      </c>
      <c r="N1040" s="868">
        <f t="shared" si="331"/>
        <v>0</v>
      </c>
      <c r="O1040" s="880"/>
      <c r="Q1040" s="317" t="str">
        <f t="shared" si="332"/>
        <v/>
      </c>
      <c r="R1040" s="317" t="str">
        <f t="shared" si="333"/>
        <v/>
      </c>
      <c r="S1040" s="317" t="str">
        <f t="shared" si="334"/>
        <v/>
      </c>
      <c r="V1040" s="314">
        <f>SUM(ORÇAMENTO!N1040)</f>
        <v>0</v>
      </c>
      <c r="W1040" s="315">
        <f t="shared" si="335"/>
        <v>0</v>
      </c>
    </row>
    <row r="1041" spans="1:23" ht="38.1" hidden="1" customHeight="1">
      <c r="A1041" s="63">
        <v>91837</v>
      </c>
      <c r="B1041" s="870">
        <v>91837</v>
      </c>
      <c r="C1041" s="871" t="s">
        <v>590</v>
      </c>
      <c r="D1041" s="881" t="s">
        <v>955</v>
      </c>
      <c r="E1041" s="882"/>
      <c r="F1041" s="883"/>
      <c r="G1041" s="887"/>
      <c r="H1041" s="876">
        <v>20.87</v>
      </c>
      <c r="I1041" s="876">
        <f t="shared" si="329"/>
        <v>20.87</v>
      </c>
      <c r="J1041" s="877">
        <f t="shared" si="336"/>
        <v>25.51</v>
      </c>
      <c r="K1041" s="878" t="s">
        <v>62</v>
      </c>
      <c r="L1041" s="879">
        <f>ROUND(SUM(ORÇAMENTO!L1041),2)</f>
        <v>0</v>
      </c>
      <c r="M1041" s="879">
        <f t="shared" si="330"/>
        <v>0</v>
      </c>
      <c r="N1041" s="868">
        <f t="shared" si="331"/>
        <v>0</v>
      </c>
      <c r="O1041" s="880"/>
      <c r="Q1041" s="317" t="str">
        <f t="shared" si="332"/>
        <v/>
      </c>
      <c r="R1041" s="317" t="str">
        <f t="shared" si="333"/>
        <v/>
      </c>
      <c r="S1041" s="317" t="str">
        <f t="shared" si="334"/>
        <v/>
      </c>
      <c r="V1041" s="314">
        <f>SUM(ORÇAMENTO!N1041)</f>
        <v>0</v>
      </c>
      <c r="W1041" s="315">
        <f t="shared" si="335"/>
        <v>0</v>
      </c>
    </row>
    <row r="1042" spans="1:23" ht="38.1" hidden="1" customHeight="1">
      <c r="A1042" s="63">
        <v>91843</v>
      </c>
      <c r="B1042" s="870">
        <v>91843</v>
      </c>
      <c r="C1042" s="871" t="s">
        <v>590</v>
      </c>
      <c r="D1042" s="881" t="s">
        <v>956</v>
      </c>
      <c r="E1042" s="882"/>
      <c r="F1042" s="883"/>
      <c r="G1042" s="887"/>
      <c r="H1042" s="876">
        <v>8.8800000000000008</v>
      </c>
      <c r="I1042" s="876">
        <f t="shared" ref="I1042:I1105" si="337">IF(ISBLANK(H1042),"",SUM(G1042:H1042))</f>
        <v>8.8800000000000008</v>
      </c>
      <c r="J1042" s="877">
        <f t="shared" si="336"/>
        <v>10.85</v>
      </c>
      <c r="K1042" s="878" t="s">
        <v>62</v>
      </c>
      <c r="L1042" s="879">
        <f>ROUND(SUM(ORÇAMENTO!L1042),2)</f>
        <v>0</v>
      </c>
      <c r="M1042" s="879">
        <f t="shared" ref="M1042:M1105" si="338">IF(L1042=0,0,ROUND(J1042,2))</f>
        <v>0</v>
      </c>
      <c r="N1042" s="868">
        <f t="shared" ref="N1042:N1105" si="339">IF(ISBLANK(L1042),0,ROUND(L1042*M1042,2))</f>
        <v>0</v>
      </c>
      <c r="O1042" s="880"/>
      <c r="Q1042" s="317" t="str">
        <f t="shared" ref="Q1042:Q1105" si="340">IF(P1042="X","x",IF(P1042="xx","x",IF(P1042="xy","x",IF(P1042="y","x",IF(OR(N1042&gt;0,N1042&gt;0),"x","")))))</f>
        <v/>
      </c>
      <c r="R1042" s="317" t="str">
        <f t="shared" ref="R1042:R1105" si="341">IF(P1042="X","x",IF(P1042="y","x",IF(P1042="xx","x",IF(N1042&gt;0,"x",""))))</f>
        <v/>
      </c>
      <c r="S1042" s="317" t="str">
        <f t="shared" ref="S1042:S1105" si="342">IF(P1042="X","x",IF(N1042&gt;0,"x",""))</f>
        <v/>
      </c>
      <c r="V1042" s="314">
        <f>SUM(ORÇAMENTO!N1042)</f>
        <v>0</v>
      </c>
      <c r="W1042" s="315">
        <f t="shared" si="335"/>
        <v>0</v>
      </c>
    </row>
    <row r="1043" spans="1:23" ht="38.1" hidden="1" customHeight="1">
      <c r="A1043" s="63">
        <v>91845</v>
      </c>
      <c r="B1043" s="870">
        <v>91845</v>
      </c>
      <c r="C1043" s="871" t="s">
        <v>590</v>
      </c>
      <c r="D1043" s="881" t="s">
        <v>957</v>
      </c>
      <c r="E1043" s="882"/>
      <c r="F1043" s="883"/>
      <c r="G1043" s="887"/>
      <c r="H1043" s="876">
        <v>11.37</v>
      </c>
      <c r="I1043" s="876">
        <f t="shared" si="337"/>
        <v>11.37</v>
      </c>
      <c r="J1043" s="877">
        <f t="shared" si="336"/>
        <v>13.9</v>
      </c>
      <c r="K1043" s="878" t="s">
        <v>62</v>
      </c>
      <c r="L1043" s="879">
        <f>ROUND(SUM(ORÇAMENTO!L1043),2)</f>
        <v>0</v>
      </c>
      <c r="M1043" s="879">
        <f t="shared" si="338"/>
        <v>0</v>
      </c>
      <c r="N1043" s="868">
        <f t="shared" si="339"/>
        <v>0</v>
      </c>
      <c r="O1043" s="880"/>
      <c r="Q1043" s="317" t="str">
        <f t="shared" si="340"/>
        <v/>
      </c>
      <c r="R1043" s="317" t="str">
        <f t="shared" si="341"/>
        <v/>
      </c>
      <c r="S1043" s="317" t="str">
        <f t="shared" si="342"/>
        <v/>
      </c>
      <c r="V1043" s="314">
        <f>SUM(ORÇAMENTO!N1043)</f>
        <v>0</v>
      </c>
      <c r="W1043" s="315">
        <f t="shared" si="335"/>
        <v>0</v>
      </c>
    </row>
    <row r="1044" spans="1:23" ht="38.1" hidden="1" customHeight="1">
      <c r="A1044" s="63">
        <v>91847</v>
      </c>
      <c r="B1044" s="870">
        <v>91847</v>
      </c>
      <c r="C1044" s="871" t="s">
        <v>590</v>
      </c>
      <c r="D1044" s="881" t="s">
        <v>958</v>
      </c>
      <c r="E1044" s="882"/>
      <c r="F1044" s="883"/>
      <c r="G1044" s="887"/>
      <c r="H1044" s="876">
        <v>18.239999999999998</v>
      </c>
      <c r="I1044" s="876">
        <f t="shared" si="337"/>
        <v>18.239999999999998</v>
      </c>
      <c r="J1044" s="877">
        <f t="shared" si="336"/>
        <v>22.29</v>
      </c>
      <c r="K1044" s="878" t="s">
        <v>62</v>
      </c>
      <c r="L1044" s="879">
        <f>ROUND(SUM(ORÇAMENTO!L1044),2)</f>
        <v>0</v>
      </c>
      <c r="M1044" s="879">
        <f t="shared" si="338"/>
        <v>0</v>
      </c>
      <c r="N1044" s="868">
        <f t="shared" si="339"/>
        <v>0</v>
      </c>
      <c r="O1044" s="880"/>
      <c r="Q1044" s="317" t="str">
        <f t="shared" si="340"/>
        <v/>
      </c>
      <c r="R1044" s="317" t="str">
        <f t="shared" si="341"/>
        <v/>
      </c>
      <c r="S1044" s="317" t="str">
        <f t="shared" si="342"/>
        <v/>
      </c>
      <c r="V1044" s="314">
        <f>SUM(ORÇAMENTO!N1044)</f>
        <v>0</v>
      </c>
      <c r="W1044" s="315">
        <f t="shared" si="335"/>
        <v>0</v>
      </c>
    </row>
    <row r="1045" spans="1:23" ht="38.1" hidden="1" customHeight="1">
      <c r="A1045" s="63">
        <v>91853</v>
      </c>
      <c r="B1045" s="870">
        <v>91853</v>
      </c>
      <c r="C1045" s="871" t="s">
        <v>590</v>
      </c>
      <c r="D1045" s="881" t="s">
        <v>959</v>
      </c>
      <c r="E1045" s="882"/>
      <c r="F1045" s="883"/>
      <c r="G1045" s="887"/>
      <c r="H1045" s="876">
        <v>11.93</v>
      </c>
      <c r="I1045" s="876">
        <f t="shared" si="337"/>
        <v>11.93</v>
      </c>
      <c r="J1045" s="877">
        <f t="shared" si="336"/>
        <v>14.58</v>
      </c>
      <c r="K1045" s="878" t="s">
        <v>62</v>
      </c>
      <c r="L1045" s="879">
        <f>ROUND(SUM(ORÇAMENTO!L1045),2)</f>
        <v>0</v>
      </c>
      <c r="M1045" s="879">
        <f t="shared" si="338"/>
        <v>0</v>
      </c>
      <c r="N1045" s="868">
        <f t="shared" si="339"/>
        <v>0</v>
      </c>
      <c r="O1045" s="880"/>
      <c r="Q1045" s="317" t="str">
        <f t="shared" si="340"/>
        <v/>
      </c>
      <c r="R1045" s="317" t="str">
        <f t="shared" si="341"/>
        <v/>
      </c>
      <c r="S1045" s="317" t="str">
        <f t="shared" si="342"/>
        <v/>
      </c>
      <c r="V1045" s="314">
        <f>SUM(ORÇAMENTO!N1045)</f>
        <v>0</v>
      </c>
      <c r="W1045" s="315">
        <f t="shared" ref="W1045:W1108" si="343">N1045-V1045</f>
        <v>0</v>
      </c>
    </row>
    <row r="1046" spans="1:23" ht="38.1" hidden="1" customHeight="1">
      <c r="A1046" s="63">
        <v>91855</v>
      </c>
      <c r="B1046" s="870">
        <v>91855</v>
      </c>
      <c r="C1046" s="871" t="s">
        <v>590</v>
      </c>
      <c r="D1046" s="881" t="s">
        <v>960</v>
      </c>
      <c r="E1046" s="882"/>
      <c r="F1046" s="883"/>
      <c r="G1046" s="887"/>
      <c r="H1046" s="876">
        <v>14.29</v>
      </c>
      <c r="I1046" s="876">
        <f t="shared" si="337"/>
        <v>14.29</v>
      </c>
      <c r="J1046" s="877">
        <f t="shared" si="336"/>
        <v>17.47</v>
      </c>
      <c r="K1046" s="878" t="s">
        <v>62</v>
      </c>
      <c r="L1046" s="879">
        <f>ROUND(SUM(ORÇAMENTO!L1046),2)</f>
        <v>0</v>
      </c>
      <c r="M1046" s="879">
        <f t="shared" si="338"/>
        <v>0</v>
      </c>
      <c r="N1046" s="868">
        <f t="shared" si="339"/>
        <v>0</v>
      </c>
      <c r="O1046" s="880"/>
      <c r="Q1046" s="317" t="str">
        <f t="shared" si="340"/>
        <v/>
      </c>
      <c r="R1046" s="317" t="str">
        <f t="shared" si="341"/>
        <v/>
      </c>
      <c r="S1046" s="317" t="str">
        <f t="shared" si="342"/>
        <v/>
      </c>
      <c r="V1046" s="314">
        <f>SUM(ORÇAMENTO!N1046)</f>
        <v>0</v>
      </c>
      <c r="W1046" s="315">
        <f t="shared" si="343"/>
        <v>0</v>
      </c>
    </row>
    <row r="1047" spans="1:23" ht="38.1" hidden="1" customHeight="1">
      <c r="A1047" s="63">
        <v>91857</v>
      </c>
      <c r="B1047" s="870">
        <v>91857</v>
      </c>
      <c r="C1047" s="871" t="s">
        <v>590</v>
      </c>
      <c r="D1047" s="881" t="s">
        <v>961</v>
      </c>
      <c r="E1047" s="882"/>
      <c r="F1047" s="883"/>
      <c r="G1047" s="887"/>
      <c r="H1047" s="876">
        <v>20.72</v>
      </c>
      <c r="I1047" s="876">
        <f t="shared" si="337"/>
        <v>20.72</v>
      </c>
      <c r="J1047" s="877">
        <f t="shared" si="336"/>
        <v>25.32</v>
      </c>
      <c r="K1047" s="878" t="s">
        <v>62</v>
      </c>
      <c r="L1047" s="879">
        <f>ROUND(SUM(ORÇAMENTO!L1047),2)</f>
        <v>0</v>
      </c>
      <c r="M1047" s="879">
        <f t="shared" si="338"/>
        <v>0</v>
      </c>
      <c r="N1047" s="868">
        <f t="shared" si="339"/>
        <v>0</v>
      </c>
      <c r="O1047" s="880"/>
      <c r="Q1047" s="317" t="str">
        <f t="shared" si="340"/>
        <v/>
      </c>
      <c r="R1047" s="317" t="str">
        <f t="shared" si="341"/>
        <v/>
      </c>
      <c r="S1047" s="317" t="str">
        <f t="shared" si="342"/>
        <v/>
      </c>
      <c r="V1047" s="314">
        <f>SUM(ORÇAMENTO!N1047)</f>
        <v>0</v>
      </c>
      <c r="W1047" s="315">
        <f t="shared" si="343"/>
        <v>0</v>
      </c>
    </row>
    <row r="1048" spans="1:23" ht="30" hidden="1" customHeight="1">
      <c r="A1048" s="63">
        <v>91874</v>
      </c>
      <c r="B1048" s="870">
        <v>91874</v>
      </c>
      <c r="C1048" s="871" t="s">
        <v>590</v>
      </c>
      <c r="D1048" s="881" t="s">
        <v>962</v>
      </c>
      <c r="E1048" s="882"/>
      <c r="F1048" s="883"/>
      <c r="G1048" s="887"/>
      <c r="H1048" s="876">
        <v>6.07</v>
      </c>
      <c r="I1048" s="876">
        <f t="shared" si="337"/>
        <v>6.07</v>
      </c>
      <c r="J1048" s="877">
        <f t="shared" si="336"/>
        <v>7.42</v>
      </c>
      <c r="K1048" s="878" t="s">
        <v>1500</v>
      </c>
      <c r="L1048" s="879">
        <f>ROUND(SUM(ORÇAMENTO!L1048),2)</f>
        <v>0</v>
      </c>
      <c r="M1048" s="879">
        <f t="shared" si="338"/>
        <v>0</v>
      </c>
      <c r="N1048" s="868">
        <f t="shared" si="339"/>
        <v>0</v>
      </c>
      <c r="O1048" s="880"/>
      <c r="Q1048" s="317" t="str">
        <f t="shared" si="340"/>
        <v/>
      </c>
      <c r="R1048" s="317" t="str">
        <f t="shared" si="341"/>
        <v/>
      </c>
      <c r="S1048" s="317" t="str">
        <f t="shared" si="342"/>
        <v/>
      </c>
      <c r="V1048" s="314">
        <f>SUM(ORÇAMENTO!N1048)</f>
        <v>0</v>
      </c>
      <c r="W1048" s="315">
        <f t="shared" si="343"/>
        <v>0</v>
      </c>
    </row>
    <row r="1049" spans="1:23" ht="30" hidden="1" customHeight="1">
      <c r="A1049" s="63">
        <v>91875</v>
      </c>
      <c r="B1049" s="870">
        <v>91875</v>
      </c>
      <c r="C1049" s="871" t="s">
        <v>590</v>
      </c>
      <c r="D1049" s="881" t="s">
        <v>963</v>
      </c>
      <c r="E1049" s="882"/>
      <c r="F1049" s="883"/>
      <c r="G1049" s="887"/>
      <c r="H1049" s="876">
        <v>8.0399999999999991</v>
      </c>
      <c r="I1049" s="876">
        <f t="shared" si="337"/>
        <v>8.0399999999999991</v>
      </c>
      <c r="J1049" s="877">
        <f t="shared" si="336"/>
        <v>9.83</v>
      </c>
      <c r="K1049" s="878" t="s">
        <v>1500</v>
      </c>
      <c r="L1049" s="879">
        <f>ROUND(SUM(ORÇAMENTO!L1049),2)</f>
        <v>0</v>
      </c>
      <c r="M1049" s="879">
        <f t="shared" si="338"/>
        <v>0</v>
      </c>
      <c r="N1049" s="868">
        <f t="shared" si="339"/>
        <v>0</v>
      </c>
      <c r="O1049" s="880"/>
      <c r="Q1049" s="317" t="str">
        <f t="shared" si="340"/>
        <v/>
      </c>
      <c r="R1049" s="317" t="str">
        <f t="shared" si="341"/>
        <v/>
      </c>
      <c r="S1049" s="317" t="str">
        <f t="shared" si="342"/>
        <v/>
      </c>
      <c r="V1049" s="314">
        <f>SUM(ORÇAMENTO!N1049)</f>
        <v>0</v>
      </c>
      <c r="W1049" s="315">
        <f t="shared" si="343"/>
        <v>0</v>
      </c>
    </row>
    <row r="1050" spans="1:23" ht="30" hidden="1" customHeight="1">
      <c r="A1050" s="63">
        <v>91876</v>
      </c>
      <c r="B1050" s="870">
        <v>91876</v>
      </c>
      <c r="C1050" s="871" t="s">
        <v>590</v>
      </c>
      <c r="D1050" s="881" t="s">
        <v>964</v>
      </c>
      <c r="E1050" s="882"/>
      <c r="F1050" s="883"/>
      <c r="G1050" s="887"/>
      <c r="H1050" s="876">
        <v>10.61</v>
      </c>
      <c r="I1050" s="876">
        <f t="shared" si="337"/>
        <v>10.61</v>
      </c>
      <c r="J1050" s="877">
        <f t="shared" si="336"/>
        <v>12.97</v>
      </c>
      <c r="K1050" s="878" t="s">
        <v>1500</v>
      </c>
      <c r="L1050" s="879">
        <f>ROUND(SUM(ORÇAMENTO!L1050),2)</f>
        <v>0</v>
      </c>
      <c r="M1050" s="879">
        <f t="shared" si="338"/>
        <v>0</v>
      </c>
      <c r="N1050" s="868">
        <f t="shared" si="339"/>
        <v>0</v>
      </c>
      <c r="O1050" s="880"/>
      <c r="Q1050" s="317" t="str">
        <f t="shared" si="340"/>
        <v/>
      </c>
      <c r="R1050" s="317" t="str">
        <f t="shared" si="341"/>
        <v/>
      </c>
      <c r="S1050" s="317" t="str">
        <f t="shared" si="342"/>
        <v/>
      </c>
      <c r="V1050" s="314">
        <f>SUM(ORÇAMENTO!N1050)</f>
        <v>0</v>
      </c>
      <c r="W1050" s="315">
        <f t="shared" si="343"/>
        <v>0</v>
      </c>
    </row>
    <row r="1051" spans="1:23" ht="30" hidden="1" customHeight="1">
      <c r="A1051" s="63">
        <v>91877</v>
      </c>
      <c r="B1051" s="870">
        <v>91877</v>
      </c>
      <c r="C1051" s="871" t="s">
        <v>590</v>
      </c>
      <c r="D1051" s="881" t="s">
        <v>965</v>
      </c>
      <c r="E1051" s="882"/>
      <c r="F1051" s="883"/>
      <c r="G1051" s="887"/>
      <c r="H1051" s="876">
        <v>14.08</v>
      </c>
      <c r="I1051" s="876">
        <f t="shared" si="337"/>
        <v>14.08</v>
      </c>
      <c r="J1051" s="877">
        <f t="shared" si="336"/>
        <v>17.21</v>
      </c>
      <c r="K1051" s="878" t="s">
        <v>1500</v>
      </c>
      <c r="L1051" s="879">
        <f>ROUND(SUM(ORÇAMENTO!L1051),2)</f>
        <v>0</v>
      </c>
      <c r="M1051" s="879">
        <f t="shared" si="338"/>
        <v>0</v>
      </c>
      <c r="N1051" s="868">
        <f t="shared" si="339"/>
        <v>0</v>
      </c>
      <c r="O1051" s="880"/>
      <c r="Q1051" s="317" t="str">
        <f t="shared" si="340"/>
        <v/>
      </c>
      <c r="R1051" s="317" t="str">
        <f t="shared" si="341"/>
        <v/>
      </c>
      <c r="S1051" s="317" t="str">
        <f t="shared" si="342"/>
        <v/>
      </c>
      <c r="V1051" s="314">
        <f>SUM(ORÇAMENTO!N1051)</f>
        <v>0</v>
      </c>
      <c r="W1051" s="315">
        <f t="shared" si="343"/>
        <v>0</v>
      </c>
    </row>
    <row r="1052" spans="1:23" ht="30" hidden="1" customHeight="1">
      <c r="A1052" s="63">
        <v>91878</v>
      </c>
      <c r="B1052" s="870">
        <v>91878</v>
      </c>
      <c r="C1052" s="871" t="s">
        <v>590</v>
      </c>
      <c r="D1052" s="881" t="s">
        <v>966</v>
      </c>
      <c r="E1052" s="882"/>
      <c r="F1052" s="883"/>
      <c r="G1052" s="887"/>
      <c r="H1052" s="876">
        <v>7.82</v>
      </c>
      <c r="I1052" s="876">
        <f t="shared" si="337"/>
        <v>7.82</v>
      </c>
      <c r="J1052" s="877">
        <f t="shared" si="336"/>
        <v>9.56</v>
      </c>
      <c r="K1052" s="878" t="s">
        <v>1500</v>
      </c>
      <c r="L1052" s="879">
        <f>ROUND(SUM(ORÇAMENTO!L1052),2)</f>
        <v>0</v>
      </c>
      <c r="M1052" s="879">
        <f t="shared" si="338"/>
        <v>0</v>
      </c>
      <c r="N1052" s="868">
        <f t="shared" si="339"/>
        <v>0</v>
      </c>
      <c r="O1052" s="880"/>
      <c r="Q1052" s="317" t="str">
        <f t="shared" si="340"/>
        <v/>
      </c>
      <c r="R1052" s="317" t="str">
        <f t="shared" si="341"/>
        <v/>
      </c>
      <c r="S1052" s="317" t="str">
        <f t="shared" si="342"/>
        <v/>
      </c>
      <c r="V1052" s="314">
        <f>SUM(ORÇAMENTO!N1052)</f>
        <v>0</v>
      </c>
      <c r="W1052" s="315">
        <f t="shared" si="343"/>
        <v>0</v>
      </c>
    </row>
    <row r="1053" spans="1:23" ht="30" hidden="1" customHeight="1">
      <c r="A1053" s="63">
        <v>91879</v>
      </c>
      <c r="B1053" s="870">
        <v>91879</v>
      </c>
      <c r="C1053" s="871" t="s">
        <v>590</v>
      </c>
      <c r="D1053" s="881" t="s">
        <v>967</v>
      </c>
      <c r="E1053" s="882"/>
      <c r="F1053" s="883"/>
      <c r="G1053" s="887"/>
      <c r="H1053" s="876">
        <v>9.7200000000000006</v>
      </c>
      <c r="I1053" s="876">
        <f t="shared" si="337"/>
        <v>9.7200000000000006</v>
      </c>
      <c r="J1053" s="877">
        <f t="shared" si="336"/>
        <v>11.88</v>
      </c>
      <c r="K1053" s="878" t="s">
        <v>1500</v>
      </c>
      <c r="L1053" s="879">
        <f>ROUND(SUM(ORÇAMENTO!L1053),2)</f>
        <v>0</v>
      </c>
      <c r="M1053" s="879">
        <f t="shared" si="338"/>
        <v>0</v>
      </c>
      <c r="N1053" s="868">
        <f t="shared" si="339"/>
        <v>0</v>
      </c>
      <c r="O1053" s="880"/>
      <c r="Q1053" s="317" t="str">
        <f t="shared" si="340"/>
        <v/>
      </c>
      <c r="R1053" s="317" t="str">
        <f t="shared" si="341"/>
        <v/>
      </c>
      <c r="S1053" s="317" t="str">
        <f t="shared" si="342"/>
        <v/>
      </c>
      <c r="V1053" s="314">
        <f>SUM(ORÇAMENTO!N1053)</f>
        <v>0</v>
      </c>
      <c r="W1053" s="315">
        <f t="shared" si="343"/>
        <v>0</v>
      </c>
    </row>
    <row r="1054" spans="1:23" ht="30" hidden="1" customHeight="1">
      <c r="A1054" s="63">
        <v>91880</v>
      </c>
      <c r="B1054" s="870">
        <v>91880</v>
      </c>
      <c r="C1054" s="871" t="s">
        <v>590</v>
      </c>
      <c r="D1054" s="881" t="s">
        <v>968</v>
      </c>
      <c r="E1054" s="882"/>
      <c r="F1054" s="883"/>
      <c r="G1054" s="887"/>
      <c r="H1054" s="876">
        <v>12.34</v>
      </c>
      <c r="I1054" s="876">
        <f t="shared" si="337"/>
        <v>12.34</v>
      </c>
      <c r="J1054" s="877">
        <f t="shared" si="336"/>
        <v>15.08</v>
      </c>
      <c r="K1054" s="878" t="s">
        <v>1500</v>
      </c>
      <c r="L1054" s="879">
        <f>ROUND(SUM(ORÇAMENTO!L1054),2)</f>
        <v>0</v>
      </c>
      <c r="M1054" s="879">
        <f t="shared" si="338"/>
        <v>0</v>
      </c>
      <c r="N1054" s="868">
        <f t="shared" si="339"/>
        <v>0</v>
      </c>
      <c r="O1054" s="880"/>
      <c r="Q1054" s="317" t="str">
        <f t="shared" si="340"/>
        <v/>
      </c>
      <c r="R1054" s="317" t="str">
        <f t="shared" si="341"/>
        <v/>
      </c>
      <c r="S1054" s="317" t="str">
        <f t="shared" si="342"/>
        <v/>
      </c>
      <c r="V1054" s="314">
        <f>SUM(ORÇAMENTO!N1054)</f>
        <v>0</v>
      </c>
      <c r="W1054" s="315">
        <f t="shared" si="343"/>
        <v>0</v>
      </c>
    </row>
    <row r="1055" spans="1:23" ht="30" hidden="1" customHeight="1">
      <c r="A1055" s="63">
        <v>91881</v>
      </c>
      <c r="B1055" s="870">
        <v>91881</v>
      </c>
      <c r="C1055" s="871" t="s">
        <v>590</v>
      </c>
      <c r="D1055" s="881" t="s">
        <v>969</v>
      </c>
      <c r="E1055" s="882"/>
      <c r="F1055" s="883"/>
      <c r="G1055" s="887"/>
      <c r="H1055" s="876">
        <v>15.82</v>
      </c>
      <c r="I1055" s="876">
        <f t="shared" si="337"/>
        <v>15.82</v>
      </c>
      <c r="J1055" s="877">
        <f t="shared" si="336"/>
        <v>19.34</v>
      </c>
      <c r="K1055" s="878" t="s">
        <v>1500</v>
      </c>
      <c r="L1055" s="879">
        <f>ROUND(SUM(ORÇAMENTO!L1055),2)</f>
        <v>0</v>
      </c>
      <c r="M1055" s="879">
        <f t="shared" si="338"/>
        <v>0</v>
      </c>
      <c r="N1055" s="868">
        <f t="shared" si="339"/>
        <v>0</v>
      </c>
      <c r="O1055" s="880"/>
      <c r="Q1055" s="317" t="str">
        <f t="shared" si="340"/>
        <v/>
      </c>
      <c r="R1055" s="317" t="str">
        <f t="shared" si="341"/>
        <v/>
      </c>
      <c r="S1055" s="317" t="str">
        <f t="shared" si="342"/>
        <v/>
      </c>
      <c r="V1055" s="314">
        <f>SUM(ORÇAMENTO!N1055)</f>
        <v>0</v>
      </c>
      <c r="W1055" s="315">
        <f t="shared" si="343"/>
        <v>0</v>
      </c>
    </row>
    <row r="1056" spans="1:23" ht="30" hidden="1" customHeight="1">
      <c r="A1056" s="63">
        <v>91882</v>
      </c>
      <c r="B1056" s="870">
        <v>91882</v>
      </c>
      <c r="C1056" s="871" t="s">
        <v>590</v>
      </c>
      <c r="D1056" s="881" t="s">
        <v>970</v>
      </c>
      <c r="E1056" s="882"/>
      <c r="F1056" s="883"/>
      <c r="G1056" s="887"/>
      <c r="H1056" s="876">
        <v>9.67</v>
      </c>
      <c r="I1056" s="876">
        <f t="shared" si="337"/>
        <v>9.67</v>
      </c>
      <c r="J1056" s="877">
        <f t="shared" si="336"/>
        <v>11.82</v>
      </c>
      <c r="K1056" s="878" t="s">
        <v>1500</v>
      </c>
      <c r="L1056" s="879">
        <f>ROUND(SUM(ORÇAMENTO!L1056),2)</f>
        <v>0</v>
      </c>
      <c r="M1056" s="879">
        <f t="shared" si="338"/>
        <v>0</v>
      </c>
      <c r="N1056" s="868">
        <f t="shared" si="339"/>
        <v>0</v>
      </c>
      <c r="O1056" s="880"/>
      <c r="Q1056" s="317" t="str">
        <f t="shared" si="340"/>
        <v/>
      </c>
      <c r="R1056" s="317" t="str">
        <f t="shared" si="341"/>
        <v/>
      </c>
      <c r="S1056" s="317" t="str">
        <f t="shared" si="342"/>
        <v/>
      </c>
      <c r="V1056" s="314">
        <f>SUM(ORÇAMENTO!N1056)</f>
        <v>0</v>
      </c>
      <c r="W1056" s="315">
        <f t="shared" si="343"/>
        <v>0</v>
      </c>
    </row>
    <row r="1057" spans="1:23" ht="30" hidden="1" customHeight="1">
      <c r="A1057" s="63">
        <v>91884</v>
      </c>
      <c r="B1057" s="870">
        <v>91884</v>
      </c>
      <c r="C1057" s="871" t="s">
        <v>590</v>
      </c>
      <c r="D1057" s="881" t="s">
        <v>971</v>
      </c>
      <c r="E1057" s="882"/>
      <c r="F1057" s="883"/>
      <c r="G1057" s="887"/>
      <c r="H1057" s="876">
        <v>11.16</v>
      </c>
      <c r="I1057" s="876">
        <f t="shared" si="337"/>
        <v>11.16</v>
      </c>
      <c r="J1057" s="877">
        <f t="shared" si="336"/>
        <v>13.64</v>
      </c>
      <c r="K1057" s="878" t="s">
        <v>1500</v>
      </c>
      <c r="L1057" s="879">
        <f>ROUND(SUM(ORÇAMENTO!L1057),2)</f>
        <v>0</v>
      </c>
      <c r="M1057" s="879">
        <f t="shared" si="338"/>
        <v>0</v>
      </c>
      <c r="N1057" s="868">
        <f t="shared" si="339"/>
        <v>0</v>
      </c>
      <c r="O1057" s="880"/>
      <c r="Q1057" s="317" t="str">
        <f t="shared" si="340"/>
        <v/>
      </c>
      <c r="R1057" s="317" t="str">
        <f t="shared" si="341"/>
        <v/>
      </c>
      <c r="S1057" s="317" t="str">
        <f t="shared" si="342"/>
        <v/>
      </c>
      <c r="V1057" s="314">
        <f>SUM(ORÇAMENTO!N1057)</f>
        <v>0</v>
      </c>
      <c r="W1057" s="315">
        <f t="shared" si="343"/>
        <v>0</v>
      </c>
    </row>
    <row r="1058" spans="1:23" ht="30" hidden="1" customHeight="1">
      <c r="A1058" s="63">
        <v>91885</v>
      </c>
      <c r="B1058" s="870">
        <v>91885</v>
      </c>
      <c r="C1058" s="871" t="s">
        <v>590</v>
      </c>
      <c r="D1058" s="881" t="s">
        <v>972</v>
      </c>
      <c r="E1058" s="882"/>
      <c r="F1058" s="883"/>
      <c r="G1058" s="887"/>
      <c r="H1058" s="876">
        <v>13.18</v>
      </c>
      <c r="I1058" s="876">
        <f t="shared" si="337"/>
        <v>13.18</v>
      </c>
      <c r="J1058" s="877">
        <f t="shared" si="336"/>
        <v>16.11</v>
      </c>
      <c r="K1058" s="878" t="s">
        <v>1500</v>
      </c>
      <c r="L1058" s="879">
        <f>ROUND(SUM(ORÇAMENTO!L1058),2)</f>
        <v>0</v>
      </c>
      <c r="M1058" s="879">
        <f t="shared" si="338"/>
        <v>0</v>
      </c>
      <c r="N1058" s="868">
        <f t="shared" si="339"/>
        <v>0</v>
      </c>
      <c r="O1058" s="880"/>
      <c r="Q1058" s="317" t="str">
        <f t="shared" si="340"/>
        <v/>
      </c>
      <c r="R1058" s="317" t="str">
        <f t="shared" si="341"/>
        <v/>
      </c>
      <c r="S1058" s="317" t="str">
        <f t="shared" si="342"/>
        <v/>
      </c>
      <c r="V1058" s="314">
        <f>SUM(ORÇAMENTO!N1058)</f>
        <v>0</v>
      </c>
      <c r="W1058" s="315">
        <f t="shared" si="343"/>
        <v>0</v>
      </c>
    </row>
    <row r="1059" spans="1:23" ht="30" hidden="1" customHeight="1">
      <c r="A1059" s="63">
        <v>91886</v>
      </c>
      <c r="B1059" s="870">
        <v>91886</v>
      </c>
      <c r="C1059" s="871" t="s">
        <v>590</v>
      </c>
      <c r="D1059" s="881" t="s">
        <v>973</v>
      </c>
      <c r="E1059" s="882"/>
      <c r="F1059" s="883"/>
      <c r="G1059" s="887"/>
      <c r="H1059" s="876">
        <v>16</v>
      </c>
      <c r="I1059" s="876">
        <f t="shared" si="337"/>
        <v>16</v>
      </c>
      <c r="J1059" s="877">
        <f t="shared" si="336"/>
        <v>19.559999999999999</v>
      </c>
      <c r="K1059" s="878" t="s">
        <v>1500</v>
      </c>
      <c r="L1059" s="879">
        <f>ROUND(SUM(ORÇAMENTO!L1059),2)</f>
        <v>0</v>
      </c>
      <c r="M1059" s="879">
        <f t="shared" si="338"/>
        <v>0</v>
      </c>
      <c r="N1059" s="868">
        <f t="shared" si="339"/>
        <v>0</v>
      </c>
      <c r="O1059" s="880"/>
      <c r="Q1059" s="317" t="str">
        <f t="shared" si="340"/>
        <v/>
      </c>
      <c r="R1059" s="317" t="str">
        <f t="shared" si="341"/>
        <v/>
      </c>
      <c r="S1059" s="317" t="str">
        <f t="shared" si="342"/>
        <v/>
      </c>
      <c r="V1059" s="314">
        <f>SUM(ORÇAMENTO!N1059)</f>
        <v>0</v>
      </c>
      <c r="W1059" s="315">
        <f t="shared" si="343"/>
        <v>0</v>
      </c>
    </row>
    <row r="1060" spans="1:23" ht="38.1" hidden="1" customHeight="1">
      <c r="A1060" s="63">
        <v>91887</v>
      </c>
      <c r="B1060" s="870">
        <v>91887</v>
      </c>
      <c r="C1060" s="871" t="s">
        <v>590</v>
      </c>
      <c r="D1060" s="881" t="s">
        <v>974</v>
      </c>
      <c r="E1060" s="882"/>
      <c r="F1060" s="883"/>
      <c r="G1060" s="887"/>
      <c r="H1060" s="876">
        <v>11.2</v>
      </c>
      <c r="I1060" s="876">
        <f t="shared" si="337"/>
        <v>11.2</v>
      </c>
      <c r="J1060" s="877">
        <f t="shared" si="336"/>
        <v>13.69</v>
      </c>
      <c r="K1060" s="878" t="s">
        <v>1500</v>
      </c>
      <c r="L1060" s="879">
        <f>ROUND(SUM(ORÇAMENTO!L1060),2)</f>
        <v>0</v>
      </c>
      <c r="M1060" s="879">
        <f t="shared" si="338"/>
        <v>0</v>
      </c>
      <c r="N1060" s="868">
        <f t="shared" si="339"/>
        <v>0</v>
      </c>
      <c r="O1060" s="880"/>
      <c r="Q1060" s="317" t="str">
        <f t="shared" si="340"/>
        <v/>
      </c>
      <c r="R1060" s="317" t="str">
        <f t="shared" si="341"/>
        <v/>
      </c>
      <c r="S1060" s="317" t="str">
        <f t="shared" si="342"/>
        <v/>
      </c>
      <c r="V1060" s="314">
        <f>SUM(ORÇAMENTO!N1060)</f>
        <v>0</v>
      </c>
      <c r="W1060" s="315">
        <f t="shared" si="343"/>
        <v>0</v>
      </c>
    </row>
    <row r="1061" spans="1:23" ht="38.1" hidden="1" customHeight="1">
      <c r="A1061" s="63">
        <v>91889</v>
      </c>
      <c r="B1061" s="870">
        <v>91889</v>
      </c>
      <c r="C1061" s="871" t="s">
        <v>590</v>
      </c>
      <c r="D1061" s="881" t="s">
        <v>975</v>
      </c>
      <c r="E1061" s="882"/>
      <c r="F1061" s="883"/>
      <c r="G1061" s="887"/>
      <c r="H1061" s="876">
        <v>10.8</v>
      </c>
      <c r="I1061" s="876">
        <f t="shared" si="337"/>
        <v>10.8</v>
      </c>
      <c r="J1061" s="877">
        <f t="shared" si="336"/>
        <v>13.2</v>
      </c>
      <c r="K1061" s="878" t="s">
        <v>1500</v>
      </c>
      <c r="L1061" s="879">
        <f>ROUND(SUM(ORÇAMENTO!L1061),2)</f>
        <v>0</v>
      </c>
      <c r="M1061" s="879">
        <f t="shared" si="338"/>
        <v>0</v>
      </c>
      <c r="N1061" s="868">
        <f t="shared" si="339"/>
        <v>0</v>
      </c>
      <c r="O1061" s="880"/>
      <c r="Q1061" s="317" t="str">
        <f t="shared" si="340"/>
        <v/>
      </c>
      <c r="R1061" s="317" t="str">
        <f t="shared" si="341"/>
        <v/>
      </c>
      <c r="S1061" s="317" t="str">
        <f t="shared" si="342"/>
        <v/>
      </c>
      <c r="V1061" s="314">
        <f>SUM(ORÇAMENTO!N1061)</f>
        <v>0</v>
      </c>
      <c r="W1061" s="315">
        <f t="shared" si="343"/>
        <v>0</v>
      </c>
    </row>
    <row r="1062" spans="1:23" ht="38.1" hidden="1" customHeight="1">
      <c r="A1062" s="63">
        <v>91890</v>
      </c>
      <c r="B1062" s="870">
        <v>91890</v>
      </c>
      <c r="C1062" s="871" t="s">
        <v>590</v>
      </c>
      <c r="D1062" s="881" t="s">
        <v>976</v>
      </c>
      <c r="E1062" s="882"/>
      <c r="F1062" s="883"/>
      <c r="G1062" s="887"/>
      <c r="H1062" s="876">
        <v>13.35</v>
      </c>
      <c r="I1062" s="876">
        <f t="shared" si="337"/>
        <v>13.35</v>
      </c>
      <c r="J1062" s="877">
        <f t="shared" si="336"/>
        <v>16.32</v>
      </c>
      <c r="K1062" s="878" t="s">
        <v>1500</v>
      </c>
      <c r="L1062" s="879">
        <f>ROUND(SUM(ORÇAMENTO!L1062),2)</f>
        <v>0</v>
      </c>
      <c r="M1062" s="879">
        <f t="shared" si="338"/>
        <v>0</v>
      </c>
      <c r="N1062" s="868">
        <f t="shared" si="339"/>
        <v>0</v>
      </c>
      <c r="O1062" s="880"/>
      <c r="Q1062" s="317" t="str">
        <f t="shared" si="340"/>
        <v/>
      </c>
      <c r="R1062" s="317" t="str">
        <f t="shared" si="341"/>
        <v/>
      </c>
      <c r="S1062" s="317" t="str">
        <f t="shared" si="342"/>
        <v/>
      </c>
      <c r="V1062" s="314">
        <f>SUM(ORÇAMENTO!N1062)</f>
        <v>0</v>
      </c>
      <c r="W1062" s="315">
        <f t="shared" si="343"/>
        <v>0</v>
      </c>
    </row>
    <row r="1063" spans="1:23" ht="38.1" hidden="1" customHeight="1">
      <c r="A1063" s="63">
        <v>91892</v>
      </c>
      <c r="B1063" s="870">
        <v>91892</v>
      </c>
      <c r="C1063" s="871" t="s">
        <v>590</v>
      </c>
      <c r="D1063" s="881" t="s">
        <v>977</v>
      </c>
      <c r="E1063" s="882"/>
      <c r="F1063" s="883"/>
      <c r="G1063" s="887"/>
      <c r="H1063" s="876">
        <v>16.04</v>
      </c>
      <c r="I1063" s="876">
        <f t="shared" si="337"/>
        <v>16.04</v>
      </c>
      <c r="J1063" s="877">
        <f t="shared" si="336"/>
        <v>19.600000000000001</v>
      </c>
      <c r="K1063" s="878" t="s">
        <v>1500</v>
      </c>
      <c r="L1063" s="879">
        <f>ROUND(SUM(ORÇAMENTO!L1063),2)</f>
        <v>0</v>
      </c>
      <c r="M1063" s="879">
        <f t="shared" si="338"/>
        <v>0</v>
      </c>
      <c r="N1063" s="868">
        <f t="shared" si="339"/>
        <v>0</v>
      </c>
      <c r="O1063" s="880"/>
      <c r="Q1063" s="317" t="str">
        <f t="shared" si="340"/>
        <v/>
      </c>
      <c r="R1063" s="317" t="str">
        <f t="shared" si="341"/>
        <v/>
      </c>
      <c r="S1063" s="317" t="str">
        <f t="shared" si="342"/>
        <v/>
      </c>
      <c r="V1063" s="314">
        <f>SUM(ORÇAMENTO!N1063)</f>
        <v>0</v>
      </c>
      <c r="W1063" s="315">
        <f t="shared" si="343"/>
        <v>0</v>
      </c>
    </row>
    <row r="1064" spans="1:23" ht="38.1" hidden="1" customHeight="1">
      <c r="A1064" s="63">
        <v>91893</v>
      </c>
      <c r="B1064" s="870">
        <v>91893</v>
      </c>
      <c r="C1064" s="871" t="s">
        <v>590</v>
      </c>
      <c r="D1064" s="881" t="s">
        <v>978</v>
      </c>
      <c r="E1064" s="882"/>
      <c r="F1064" s="883"/>
      <c r="G1064" s="887"/>
      <c r="H1064" s="876">
        <v>18.22</v>
      </c>
      <c r="I1064" s="876">
        <f t="shared" si="337"/>
        <v>18.22</v>
      </c>
      <c r="J1064" s="877">
        <f t="shared" si="336"/>
        <v>22.27</v>
      </c>
      <c r="K1064" s="878" t="s">
        <v>1500</v>
      </c>
      <c r="L1064" s="879">
        <f>ROUND(SUM(ORÇAMENTO!L1064),2)</f>
        <v>0</v>
      </c>
      <c r="M1064" s="879">
        <f t="shared" si="338"/>
        <v>0</v>
      </c>
      <c r="N1064" s="868">
        <f t="shared" si="339"/>
        <v>0</v>
      </c>
      <c r="O1064" s="880"/>
      <c r="Q1064" s="317" t="str">
        <f t="shared" si="340"/>
        <v/>
      </c>
      <c r="R1064" s="317" t="str">
        <f t="shared" si="341"/>
        <v/>
      </c>
      <c r="S1064" s="317" t="str">
        <f t="shared" si="342"/>
        <v/>
      </c>
      <c r="V1064" s="314">
        <f>SUM(ORÇAMENTO!N1064)</f>
        <v>0</v>
      </c>
      <c r="W1064" s="315">
        <f t="shared" si="343"/>
        <v>0</v>
      </c>
    </row>
    <row r="1065" spans="1:23" ht="38.1" hidden="1" customHeight="1">
      <c r="A1065" s="63">
        <v>91896</v>
      </c>
      <c r="B1065" s="870">
        <v>91896</v>
      </c>
      <c r="C1065" s="871" t="s">
        <v>590</v>
      </c>
      <c r="D1065" s="881" t="s">
        <v>979</v>
      </c>
      <c r="E1065" s="882"/>
      <c r="F1065" s="883"/>
      <c r="G1065" s="887"/>
      <c r="H1065" s="876">
        <v>22.26</v>
      </c>
      <c r="I1065" s="876">
        <f t="shared" si="337"/>
        <v>22.26</v>
      </c>
      <c r="J1065" s="877">
        <f t="shared" si="336"/>
        <v>27.21</v>
      </c>
      <c r="K1065" s="878" t="s">
        <v>1500</v>
      </c>
      <c r="L1065" s="879">
        <f>ROUND(SUM(ORÇAMENTO!L1065),2)</f>
        <v>0</v>
      </c>
      <c r="M1065" s="879">
        <f t="shared" si="338"/>
        <v>0</v>
      </c>
      <c r="N1065" s="868">
        <f t="shared" si="339"/>
        <v>0</v>
      </c>
      <c r="O1065" s="880"/>
      <c r="Q1065" s="317" t="str">
        <f t="shared" si="340"/>
        <v/>
      </c>
      <c r="R1065" s="317" t="str">
        <f t="shared" si="341"/>
        <v/>
      </c>
      <c r="S1065" s="317" t="str">
        <f t="shared" si="342"/>
        <v/>
      </c>
      <c r="V1065" s="314">
        <f>SUM(ORÇAMENTO!N1065)</f>
        <v>0</v>
      </c>
      <c r="W1065" s="315">
        <f t="shared" si="343"/>
        <v>0</v>
      </c>
    </row>
    <row r="1066" spans="1:23" ht="38.1" hidden="1" customHeight="1">
      <c r="A1066" s="63">
        <v>91898</v>
      </c>
      <c r="B1066" s="870">
        <v>91898</v>
      </c>
      <c r="C1066" s="871" t="s">
        <v>590</v>
      </c>
      <c r="D1066" s="881" t="s">
        <v>980</v>
      </c>
      <c r="E1066" s="882"/>
      <c r="F1066" s="883"/>
      <c r="G1066" s="887"/>
      <c r="H1066" s="876">
        <v>25.18</v>
      </c>
      <c r="I1066" s="876">
        <f t="shared" si="337"/>
        <v>25.18</v>
      </c>
      <c r="J1066" s="877">
        <f t="shared" si="336"/>
        <v>30.77</v>
      </c>
      <c r="K1066" s="878" t="s">
        <v>1500</v>
      </c>
      <c r="L1066" s="879">
        <f>ROUND(SUM(ORÇAMENTO!L1066),2)</f>
        <v>0</v>
      </c>
      <c r="M1066" s="879">
        <f t="shared" si="338"/>
        <v>0</v>
      </c>
      <c r="N1066" s="868">
        <f t="shared" si="339"/>
        <v>0</v>
      </c>
      <c r="O1066" s="880"/>
      <c r="Q1066" s="317" t="str">
        <f t="shared" si="340"/>
        <v/>
      </c>
      <c r="R1066" s="317" t="str">
        <f t="shared" si="341"/>
        <v/>
      </c>
      <c r="S1066" s="317" t="str">
        <f t="shared" si="342"/>
        <v/>
      </c>
      <c r="V1066" s="314">
        <f>SUM(ORÇAMENTO!N1066)</f>
        <v>0</v>
      </c>
      <c r="W1066" s="315">
        <f t="shared" si="343"/>
        <v>0</v>
      </c>
    </row>
    <row r="1067" spans="1:23" ht="38.1" hidden="1" customHeight="1">
      <c r="A1067" s="63">
        <v>91899</v>
      </c>
      <c r="B1067" s="870">
        <v>91899</v>
      </c>
      <c r="C1067" s="871" t="s">
        <v>590</v>
      </c>
      <c r="D1067" s="881" t="s">
        <v>981</v>
      </c>
      <c r="E1067" s="882"/>
      <c r="F1067" s="883"/>
      <c r="G1067" s="887"/>
      <c r="H1067" s="876">
        <v>13.72</v>
      </c>
      <c r="I1067" s="876">
        <f t="shared" si="337"/>
        <v>13.72</v>
      </c>
      <c r="J1067" s="877">
        <f t="shared" si="336"/>
        <v>16.77</v>
      </c>
      <c r="K1067" s="878" t="s">
        <v>1500</v>
      </c>
      <c r="L1067" s="879">
        <f>ROUND(SUM(ORÇAMENTO!L1067),2)</f>
        <v>0</v>
      </c>
      <c r="M1067" s="879">
        <f t="shared" si="338"/>
        <v>0</v>
      </c>
      <c r="N1067" s="868">
        <f t="shared" si="339"/>
        <v>0</v>
      </c>
      <c r="O1067" s="880"/>
      <c r="Q1067" s="317" t="str">
        <f t="shared" si="340"/>
        <v/>
      </c>
      <c r="R1067" s="317" t="str">
        <f t="shared" si="341"/>
        <v/>
      </c>
      <c r="S1067" s="317" t="str">
        <f t="shared" si="342"/>
        <v/>
      </c>
      <c r="V1067" s="314">
        <f>SUM(ORÇAMENTO!N1067)</f>
        <v>0</v>
      </c>
      <c r="W1067" s="315">
        <f t="shared" si="343"/>
        <v>0</v>
      </c>
    </row>
    <row r="1068" spans="1:23" ht="38.1" hidden="1" customHeight="1">
      <c r="A1068" s="63">
        <v>91901</v>
      </c>
      <c r="B1068" s="870">
        <v>91901</v>
      </c>
      <c r="C1068" s="871" t="s">
        <v>590</v>
      </c>
      <c r="D1068" s="881" t="s">
        <v>982</v>
      </c>
      <c r="E1068" s="882"/>
      <c r="F1068" s="883"/>
      <c r="G1068" s="887"/>
      <c r="H1068" s="876">
        <v>13.32</v>
      </c>
      <c r="I1068" s="876">
        <f t="shared" si="337"/>
        <v>13.32</v>
      </c>
      <c r="J1068" s="877">
        <f t="shared" si="336"/>
        <v>16.28</v>
      </c>
      <c r="K1068" s="878" t="s">
        <v>1500</v>
      </c>
      <c r="L1068" s="879">
        <f>ROUND(SUM(ORÇAMENTO!L1068),2)</f>
        <v>0</v>
      </c>
      <c r="M1068" s="879">
        <f t="shared" si="338"/>
        <v>0</v>
      </c>
      <c r="N1068" s="868">
        <f t="shared" si="339"/>
        <v>0</v>
      </c>
      <c r="O1068" s="880"/>
      <c r="Q1068" s="317" t="str">
        <f t="shared" si="340"/>
        <v/>
      </c>
      <c r="R1068" s="317" t="str">
        <f t="shared" si="341"/>
        <v/>
      </c>
      <c r="S1068" s="317" t="str">
        <f t="shared" si="342"/>
        <v/>
      </c>
      <c r="V1068" s="314">
        <f>SUM(ORÇAMENTO!N1068)</f>
        <v>0</v>
      </c>
      <c r="W1068" s="315">
        <f t="shared" si="343"/>
        <v>0</v>
      </c>
    </row>
    <row r="1069" spans="1:23" ht="38.1" hidden="1" customHeight="1">
      <c r="A1069" s="63">
        <v>91902</v>
      </c>
      <c r="B1069" s="870">
        <v>91902</v>
      </c>
      <c r="C1069" s="871" t="s">
        <v>590</v>
      </c>
      <c r="D1069" s="881" t="s">
        <v>983</v>
      </c>
      <c r="E1069" s="882"/>
      <c r="F1069" s="883"/>
      <c r="G1069" s="887"/>
      <c r="H1069" s="876">
        <v>15.87</v>
      </c>
      <c r="I1069" s="876">
        <f t="shared" si="337"/>
        <v>15.87</v>
      </c>
      <c r="J1069" s="877">
        <f t="shared" si="336"/>
        <v>19.399999999999999</v>
      </c>
      <c r="K1069" s="878" t="s">
        <v>1500</v>
      </c>
      <c r="L1069" s="879">
        <f>ROUND(SUM(ORÇAMENTO!L1069),2)</f>
        <v>0</v>
      </c>
      <c r="M1069" s="879">
        <f t="shared" si="338"/>
        <v>0</v>
      </c>
      <c r="N1069" s="868">
        <f t="shared" si="339"/>
        <v>0</v>
      </c>
      <c r="O1069" s="880"/>
      <c r="Q1069" s="317" t="str">
        <f t="shared" si="340"/>
        <v/>
      </c>
      <c r="R1069" s="317" t="str">
        <f t="shared" si="341"/>
        <v/>
      </c>
      <c r="S1069" s="317" t="str">
        <f t="shared" si="342"/>
        <v/>
      </c>
      <c r="V1069" s="314">
        <f>SUM(ORÇAMENTO!N1069)</f>
        <v>0</v>
      </c>
      <c r="W1069" s="315">
        <f t="shared" si="343"/>
        <v>0</v>
      </c>
    </row>
    <row r="1070" spans="1:23" ht="38.1" hidden="1" customHeight="1">
      <c r="A1070" s="63">
        <v>91895</v>
      </c>
      <c r="B1070" s="870">
        <v>91895</v>
      </c>
      <c r="C1070" s="871" t="s">
        <v>590</v>
      </c>
      <c r="D1070" s="881" t="s">
        <v>984</v>
      </c>
      <c r="E1070" s="882"/>
      <c r="F1070" s="883"/>
      <c r="G1070" s="887"/>
      <c r="H1070" s="876">
        <v>20.96</v>
      </c>
      <c r="I1070" s="876">
        <f t="shared" si="337"/>
        <v>20.96</v>
      </c>
      <c r="J1070" s="877">
        <f t="shared" si="336"/>
        <v>25.62</v>
      </c>
      <c r="K1070" s="878" t="s">
        <v>1500</v>
      </c>
      <c r="L1070" s="879">
        <f>ROUND(SUM(ORÇAMENTO!L1070),2)</f>
        <v>0</v>
      </c>
      <c r="M1070" s="879">
        <f t="shared" si="338"/>
        <v>0</v>
      </c>
      <c r="N1070" s="868">
        <f t="shared" si="339"/>
        <v>0</v>
      </c>
      <c r="O1070" s="880"/>
      <c r="Q1070" s="317" t="str">
        <f t="shared" si="340"/>
        <v/>
      </c>
      <c r="R1070" s="317" t="str">
        <f t="shared" si="341"/>
        <v/>
      </c>
      <c r="S1070" s="317" t="str">
        <f t="shared" si="342"/>
        <v/>
      </c>
      <c r="V1070" s="314">
        <f>SUM(ORÇAMENTO!N1070)</f>
        <v>0</v>
      </c>
      <c r="W1070" s="315">
        <f t="shared" si="343"/>
        <v>0</v>
      </c>
    </row>
    <row r="1071" spans="1:23" ht="38.1" hidden="1" customHeight="1">
      <c r="A1071" s="63">
        <v>91907</v>
      </c>
      <c r="B1071" s="870">
        <v>91907</v>
      </c>
      <c r="C1071" s="871" t="s">
        <v>590</v>
      </c>
      <c r="D1071" s="881" t="s">
        <v>985</v>
      </c>
      <c r="E1071" s="882"/>
      <c r="F1071" s="883"/>
      <c r="G1071" s="887"/>
      <c r="H1071" s="876">
        <v>23.49</v>
      </c>
      <c r="I1071" s="876">
        <f t="shared" si="337"/>
        <v>23.49</v>
      </c>
      <c r="J1071" s="877">
        <f t="shared" si="336"/>
        <v>28.71</v>
      </c>
      <c r="K1071" s="878" t="s">
        <v>1500</v>
      </c>
      <c r="L1071" s="879">
        <f>ROUND(SUM(ORÇAMENTO!L1071),2)</f>
        <v>0</v>
      </c>
      <c r="M1071" s="879">
        <f t="shared" si="338"/>
        <v>0</v>
      </c>
      <c r="N1071" s="868">
        <f t="shared" si="339"/>
        <v>0</v>
      </c>
      <c r="O1071" s="880"/>
      <c r="Q1071" s="317" t="str">
        <f t="shared" si="340"/>
        <v/>
      </c>
      <c r="R1071" s="317" t="str">
        <f t="shared" si="341"/>
        <v/>
      </c>
      <c r="S1071" s="317" t="str">
        <f t="shared" si="342"/>
        <v/>
      </c>
      <c r="V1071" s="314">
        <f>SUM(ORÇAMENTO!N1071)</f>
        <v>0</v>
      </c>
      <c r="W1071" s="315">
        <f t="shared" si="343"/>
        <v>0</v>
      </c>
    </row>
    <row r="1072" spans="1:23" ht="38.1" hidden="1" customHeight="1">
      <c r="A1072" s="63">
        <v>91919</v>
      </c>
      <c r="B1072" s="870">
        <v>91919</v>
      </c>
      <c r="C1072" s="871" t="s">
        <v>590</v>
      </c>
      <c r="D1072" s="881" t="s">
        <v>986</v>
      </c>
      <c r="E1072" s="882"/>
      <c r="F1072" s="883"/>
      <c r="G1072" s="887"/>
      <c r="H1072" s="876">
        <v>24.8</v>
      </c>
      <c r="I1072" s="876">
        <f t="shared" si="337"/>
        <v>24.8</v>
      </c>
      <c r="J1072" s="877">
        <f t="shared" si="336"/>
        <v>30.31</v>
      </c>
      <c r="K1072" s="878" t="s">
        <v>1500</v>
      </c>
      <c r="L1072" s="879">
        <f>ROUND(SUM(ORÇAMENTO!L1072),2)</f>
        <v>0</v>
      </c>
      <c r="M1072" s="879">
        <f t="shared" si="338"/>
        <v>0</v>
      </c>
      <c r="N1072" s="868">
        <f t="shared" si="339"/>
        <v>0</v>
      </c>
      <c r="O1072" s="880"/>
      <c r="Q1072" s="317" t="str">
        <f t="shared" si="340"/>
        <v/>
      </c>
      <c r="R1072" s="317" t="str">
        <f t="shared" si="341"/>
        <v/>
      </c>
      <c r="S1072" s="317" t="str">
        <f t="shared" si="342"/>
        <v/>
      </c>
      <c r="V1072" s="314">
        <f>SUM(ORÇAMENTO!N1072)</f>
        <v>0</v>
      </c>
      <c r="W1072" s="315">
        <f t="shared" si="343"/>
        <v>0</v>
      </c>
    </row>
    <row r="1073" spans="1:23" ht="38.1" hidden="1" customHeight="1">
      <c r="A1073" s="63">
        <v>91904</v>
      </c>
      <c r="B1073" s="870">
        <v>91904</v>
      </c>
      <c r="C1073" s="871" t="s">
        <v>590</v>
      </c>
      <c r="D1073" s="881" t="s">
        <v>987</v>
      </c>
      <c r="E1073" s="882"/>
      <c r="F1073" s="883"/>
      <c r="G1073" s="887"/>
      <c r="H1073" s="876">
        <v>18.559999999999999</v>
      </c>
      <c r="I1073" s="876">
        <f t="shared" si="337"/>
        <v>18.559999999999999</v>
      </c>
      <c r="J1073" s="877">
        <f t="shared" si="336"/>
        <v>22.68</v>
      </c>
      <c r="K1073" s="878" t="s">
        <v>1500</v>
      </c>
      <c r="L1073" s="879">
        <f>ROUND(SUM(ORÇAMENTO!L1073),2)</f>
        <v>0</v>
      </c>
      <c r="M1073" s="879">
        <f t="shared" si="338"/>
        <v>0</v>
      </c>
      <c r="N1073" s="868">
        <f t="shared" si="339"/>
        <v>0</v>
      </c>
      <c r="O1073" s="880"/>
      <c r="Q1073" s="317" t="str">
        <f t="shared" si="340"/>
        <v/>
      </c>
      <c r="R1073" s="317" t="str">
        <f t="shared" si="341"/>
        <v/>
      </c>
      <c r="S1073" s="317" t="str">
        <f t="shared" si="342"/>
        <v/>
      </c>
      <c r="V1073" s="314">
        <f>SUM(ORÇAMENTO!N1073)</f>
        <v>0</v>
      </c>
      <c r="W1073" s="315">
        <f t="shared" si="343"/>
        <v>0</v>
      </c>
    </row>
    <row r="1074" spans="1:23" ht="38.1" hidden="1" customHeight="1">
      <c r="A1074" s="63">
        <v>91905</v>
      </c>
      <c r="B1074" s="870">
        <v>91905</v>
      </c>
      <c r="C1074" s="871" t="s">
        <v>590</v>
      </c>
      <c r="D1074" s="881" t="s">
        <v>988</v>
      </c>
      <c r="E1074" s="882"/>
      <c r="F1074" s="883"/>
      <c r="G1074" s="887"/>
      <c r="H1074" s="876">
        <v>20.75</v>
      </c>
      <c r="I1074" s="876">
        <f t="shared" si="337"/>
        <v>20.75</v>
      </c>
      <c r="J1074" s="877">
        <f t="shared" si="336"/>
        <v>25.36</v>
      </c>
      <c r="K1074" s="878" t="s">
        <v>1500</v>
      </c>
      <c r="L1074" s="879">
        <f>ROUND(SUM(ORÇAMENTO!L1074),2)</f>
        <v>0</v>
      </c>
      <c r="M1074" s="879">
        <f t="shared" si="338"/>
        <v>0</v>
      </c>
      <c r="N1074" s="868">
        <f t="shared" si="339"/>
        <v>0</v>
      </c>
      <c r="O1074" s="880"/>
      <c r="Q1074" s="317" t="str">
        <f t="shared" si="340"/>
        <v/>
      </c>
      <c r="R1074" s="317" t="str">
        <f t="shared" si="341"/>
        <v/>
      </c>
      <c r="S1074" s="317" t="str">
        <f t="shared" si="342"/>
        <v/>
      </c>
      <c r="V1074" s="314">
        <f>SUM(ORÇAMENTO!N1074)</f>
        <v>0</v>
      </c>
      <c r="W1074" s="315">
        <f t="shared" si="343"/>
        <v>0</v>
      </c>
    </row>
    <row r="1075" spans="1:23" ht="38.1" hidden="1" customHeight="1">
      <c r="A1075" s="63">
        <v>91908</v>
      </c>
      <c r="B1075" s="870">
        <v>91908</v>
      </c>
      <c r="C1075" s="871" t="s">
        <v>590</v>
      </c>
      <c r="D1075" s="881" t="s">
        <v>989</v>
      </c>
      <c r="E1075" s="882"/>
      <c r="F1075" s="883"/>
      <c r="G1075" s="887"/>
      <c r="H1075" s="876">
        <v>24.84</v>
      </c>
      <c r="I1075" s="876">
        <f t="shared" si="337"/>
        <v>24.84</v>
      </c>
      <c r="J1075" s="877">
        <f t="shared" si="336"/>
        <v>30.36</v>
      </c>
      <c r="K1075" s="878" t="s">
        <v>1500</v>
      </c>
      <c r="L1075" s="879">
        <f>ROUND(SUM(ORÇAMENTO!L1075),2)</f>
        <v>0</v>
      </c>
      <c r="M1075" s="879">
        <f t="shared" si="338"/>
        <v>0</v>
      </c>
      <c r="N1075" s="868">
        <f t="shared" si="339"/>
        <v>0</v>
      </c>
      <c r="O1075" s="880"/>
      <c r="Q1075" s="317" t="str">
        <f t="shared" si="340"/>
        <v/>
      </c>
      <c r="R1075" s="317" t="str">
        <f t="shared" si="341"/>
        <v/>
      </c>
      <c r="S1075" s="317" t="str">
        <f t="shared" si="342"/>
        <v/>
      </c>
      <c r="V1075" s="314">
        <f>SUM(ORÇAMENTO!N1075)</f>
        <v>0</v>
      </c>
      <c r="W1075" s="315">
        <f t="shared" si="343"/>
        <v>0</v>
      </c>
    </row>
    <row r="1076" spans="1:23" ht="38.1" hidden="1" customHeight="1">
      <c r="A1076" s="63">
        <v>91910</v>
      </c>
      <c r="B1076" s="870">
        <v>91910</v>
      </c>
      <c r="C1076" s="871" t="s">
        <v>590</v>
      </c>
      <c r="D1076" s="881" t="s">
        <v>990</v>
      </c>
      <c r="E1076" s="882"/>
      <c r="F1076" s="883"/>
      <c r="G1076" s="887"/>
      <c r="H1076" s="876">
        <v>27.76</v>
      </c>
      <c r="I1076" s="876">
        <f t="shared" si="337"/>
        <v>27.76</v>
      </c>
      <c r="J1076" s="877">
        <f t="shared" si="336"/>
        <v>33.93</v>
      </c>
      <c r="K1076" s="878" t="s">
        <v>1500</v>
      </c>
      <c r="L1076" s="879">
        <f>ROUND(SUM(ORÇAMENTO!L1076),2)</f>
        <v>0</v>
      </c>
      <c r="M1076" s="879">
        <f t="shared" si="338"/>
        <v>0</v>
      </c>
      <c r="N1076" s="868">
        <f t="shared" si="339"/>
        <v>0</v>
      </c>
      <c r="O1076" s="880"/>
      <c r="Q1076" s="317" t="str">
        <f t="shared" si="340"/>
        <v/>
      </c>
      <c r="R1076" s="317" t="str">
        <f t="shared" si="341"/>
        <v/>
      </c>
      <c r="S1076" s="317" t="str">
        <f t="shared" si="342"/>
        <v/>
      </c>
      <c r="V1076" s="314">
        <f>SUM(ORÇAMENTO!N1076)</f>
        <v>0</v>
      </c>
      <c r="W1076" s="315">
        <f t="shared" si="343"/>
        <v>0</v>
      </c>
    </row>
    <row r="1077" spans="1:23" ht="38.1" hidden="1" customHeight="1">
      <c r="A1077" s="63">
        <v>91911</v>
      </c>
      <c r="B1077" s="870">
        <v>91911</v>
      </c>
      <c r="C1077" s="871" t="s">
        <v>590</v>
      </c>
      <c r="D1077" s="881" t="s">
        <v>991</v>
      </c>
      <c r="E1077" s="882"/>
      <c r="F1077" s="883"/>
      <c r="G1077" s="887"/>
      <c r="H1077" s="876">
        <v>16.600000000000001</v>
      </c>
      <c r="I1077" s="876">
        <f t="shared" si="337"/>
        <v>16.600000000000001</v>
      </c>
      <c r="J1077" s="877">
        <f t="shared" si="336"/>
        <v>20.29</v>
      </c>
      <c r="K1077" s="878" t="s">
        <v>1500</v>
      </c>
      <c r="L1077" s="879">
        <f>ROUND(SUM(ORÇAMENTO!L1077),2)</f>
        <v>0</v>
      </c>
      <c r="M1077" s="879">
        <f t="shared" si="338"/>
        <v>0</v>
      </c>
      <c r="N1077" s="868">
        <f t="shared" si="339"/>
        <v>0</v>
      </c>
      <c r="O1077" s="880"/>
      <c r="Q1077" s="317" t="str">
        <f t="shared" si="340"/>
        <v/>
      </c>
      <c r="R1077" s="317" t="str">
        <f t="shared" si="341"/>
        <v/>
      </c>
      <c r="S1077" s="317" t="str">
        <f t="shared" si="342"/>
        <v/>
      </c>
      <c r="V1077" s="314">
        <f>SUM(ORÇAMENTO!N1077)</f>
        <v>0</v>
      </c>
      <c r="W1077" s="315">
        <f t="shared" si="343"/>
        <v>0</v>
      </c>
    </row>
    <row r="1078" spans="1:23" ht="38.1" hidden="1" customHeight="1">
      <c r="A1078" s="63">
        <v>91913</v>
      </c>
      <c r="B1078" s="870">
        <v>91913</v>
      </c>
      <c r="C1078" s="871" t="s">
        <v>590</v>
      </c>
      <c r="D1078" s="881" t="s">
        <v>992</v>
      </c>
      <c r="E1078" s="882"/>
      <c r="F1078" s="883"/>
      <c r="G1078" s="887"/>
      <c r="H1078" s="876">
        <v>16.2</v>
      </c>
      <c r="I1078" s="876">
        <f t="shared" si="337"/>
        <v>16.2</v>
      </c>
      <c r="J1078" s="877">
        <f t="shared" si="336"/>
        <v>19.8</v>
      </c>
      <c r="K1078" s="878" t="s">
        <v>1500</v>
      </c>
      <c r="L1078" s="879">
        <f>ROUND(SUM(ORÇAMENTO!L1078),2)</f>
        <v>0</v>
      </c>
      <c r="M1078" s="879">
        <f t="shared" si="338"/>
        <v>0</v>
      </c>
      <c r="N1078" s="868">
        <f t="shared" si="339"/>
        <v>0</v>
      </c>
      <c r="O1078" s="880"/>
      <c r="Q1078" s="317" t="str">
        <f t="shared" si="340"/>
        <v/>
      </c>
      <c r="R1078" s="317" t="str">
        <f t="shared" si="341"/>
        <v/>
      </c>
      <c r="S1078" s="317" t="str">
        <f t="shared" si="342"/>
        <v/>
      </c>
      <c r="V1078" s="314">
        <f>SUM(ORÇAMENTO!N1078)</f>
        <v>0</v>
      </c>
      <c r="W1078" s="315">
        <f t="shared" si="343"/>
        <v>0</v>
      </c>
    </row>
    <row r="1079" spans="1:23" ht="38.1" hidden="1" customHeight="1">
      <c r="A1079" s="63">
        <v>91914</v>
      </c>
      <c r="B1079" s="870">
        <v>91914</v>
      </c>
      <c r="C1079" s="871" t="s">
        <v>590</v>
      </c>
      <c r="D1079" s="881" t="s">
        <v>993</v>
      </c>
      <c r="E1079" s="882"/>
      <c r="F1079" s="883"/>
      <c r="G1079" s="887"/>
      <c r="H1079" s="876">
        <v>18.09</v>
      </c>
      <c r="I1079" s="876">
        <f t="shared" si="337"/>
        <v>18.09</v>
      </c>
      <c r="J1079" s="877">
        <f t="shared" si="336"/>
        <v>22.11</v>
      </c>
      <c r="K1079" s="878" t="s">
        <v>1500</v>
      </c>
      <c r="L1079" s="879">
        <f>ROUND(SUM(ORÇAMENTO!L1079),2)</f>
        <v>0</v>
      </c>
      <c r="M1079" s="879">
        <f t="shared" si="338"/>
        <v>0</v>
      </c>
      <c r="N1079" s="868">
        <f t="shared" si="339"/>
        <v>0</v>
      </c>
      <c r="O1079" s="880"/>
      <c r="Q1079" s="317" t="str">
        <f t="shared" si="340"/>
        <v/>
      </c>
      <c r="R1079" s="317" t="str">
        <f t="shared" si="341"/>
        <v/>
      </c>
      <c r="S1079" s="317" t="str">
        <f t="shared" si="342"/>
        <v/>
      </c>
      <c r="V1079" s="314">
        <f>SUM(ORÇAMENTO!N1079)</f>
        <v>0</v>
      </c>
      <c r="W1079" s="315">
        <f t="shared" si="343"/>
        <v>0</v>
      </c>
    </row>
    <row r="1080" spans="1:23" ht="38.1" hidden="1" customHeight="1">
      <c r="A1080" s="63">
        <v>91916</v>
      </c>
      <c r="B1080" s="870">
        <v>91916</v>
      </c>
      <c r="C1080" s="871" t="s">
        <v>590</v>
      </c>
      <c r="D1080" s="881" t="s">
        <v>994</v>
      </c>
      <c r="E1080" s="882"/>
      <c r="F1080" s="883"/>
      <c r="G1080" s="887"/>
      <c r="H1080" s="876">
        <v>20.78</v>
      </c>
      <c r="I1080" s="876">
        <f t="shared" si="337"/>
        <v>20.78</v>
      </c>
      <c r="J1080" s="877">
        <f t="shared" si="336"/>
        <v>25.4</v>
      </c>
      <c r="K1080" s="878" t="s">
        <v>1500</v>
      </c>
      <c r="L1080" s="879">
        <f>ROUND(SUM(ORÇAMENTO!L1080),2)</f>
        <v>0</v>
      </c>
      <c r="M1080" s="879">
        <f t="shared" si="338"/>
        <v>0</v>
      </c>
      <c r="N1080" s="868">
        <f t="shared" si="339"/>
        <v>0</v>
      </c>
      <c r="O1080" s="880"/>
      <c r="Q1080" s="317" t="str">
        <f t="shared" si="340"/>
        <v/>
      </c>
      <c r="R1080" s="317" t="str">
        <f t="shared" si="341"/>
        <v/>
      </c>
      <c r="S1080" s="317" t="str">
        <f t="shared" si="342"/>
        <v/>
      </c>
      <c r="V1080" s="314">
        <f>SUM(ORÇAMENTO!N1080)</f>
        <v>0</v>
      </c>
      <c r="W1080" s="315">
        <f t="shared" si="343"/>
        <v>0</v>
      </c>
    </row>
    <row r="1081" spans="1:23" ht="38.1" hidden="1" customHeight="1">
      <c r="A1081" s="63">
        <v>91917</v>
      </c>
      <c r="B1081" s="870">
        <v>91917</v>
      </c>
      <c r="C1081" s="871" t="s">
        <v>590</v>
      </c>
      <c r="D1081" s="881" t="s">
        <v>995</v>
      </c>
      <c r="E1081" s="882"/>
      <c r="F1081" s="883"/>
      <c r="G1081" s="887"/>
      <c r="H1081" s="876">
        <v>22.06</v>
      </c>
      <c r="I1081" s="876">
        <f t="shared" si="337"/>
        <v>22.06</v>
      </c>
      <c r="J1081" s="877">
        <f t="shared" si="336"/>
        <v>26.96</v>
      </c>
      <c r="K1081" s="878" t="s">
        <v>1500</v>
      </c>
      <c r="L1081" s="879">
        <f>ROUND(SUM(ORÇAMENTO!L1081),2)</f>
        <v>0</v>
      </c>
      <c r="M1081" s="879">
        <f t="shared" si="338"/>
        <v>0</v>
      </c>
      <c r="N1081" s="868">
        <f t="shared" si="339"/>
        <v>0</v>
      </c>
      <c r="O1081" s="880"/>
      <c r="Q1081" s="317" t="str">
        <f t="shared" si="340"/>
        <v/>
      </c>
      <c r="R1081" s="317" t="str">
        <f t="shared" si="341"/>
        <v/>
      </c>
      <c r="S1081" s="317" t="str">
        <f t="shared" si="342"/>
        <v/>
      </c>
      <c r="V1081" s="314">
        <f>SUM(ORÇAMENTO!N1081)</f>
        <v>0</v>
      </c>
      <c r="W1081" s="315">
        <f t="shared" si="343"/>
        <v>0</v>
      </c>
    </row>
    <row r="1082" spans="1:23" ht="38.1" hidden="1" customHeight="1">
      <c r="A1082" s="63">
        <v>91920</v>
      </c>
      <c r="B1082" s="870">
        <v>91920</v>
      </c>
      <c r="C1082" s="871" t="s">
        <v>590</v>
      </c>
      <c r="D1082" s="881" t="s">
        <v>996</v>
      </c>
      <c r="E1082" s="882"/>
      <c r="F1082" s="883"/>
      <c r="G1082" s="887"/>
      <c r="H1082" s="876">
        <v>25.15</v>
      </c>
      <c r="I1082" s="876">
        <f t="shared" si="337"/>
        <v>25.15</v>
      </c>
      <c r="J1082" s="877">
        <f t="shared" si="336"/>
        <v>30.74</v>
      </c>
      <c r="K1082" s="878" t="s">
        <v>1500</v>
      </c>
      <c r="L1082" s="879">
        <f>ROUND(SUM(ORÇAMENTO!L1082),2)</f>
        <v>0</v>
      </c>
      <c r="M1082" s="879">
        <f t="shared" si="338"/>
        <v>0</v>
      </c>
      <c r="N1082" s="868">
        <f t="shared" si="339"/>
        <v>0</v>
      </c>
      <c r="O1082" s="880"/>
      <c r="Q1082" s="317" t="str">
        <f t="shared" si="340"/>
        <v/>
      </c>
      <c r="R1082" s="317" t="str">
        <f t="shared" si="341"/>
        <v/>
      </c>
      <c r="S1082" s="317" t="str">
        <f t="shared" si="342"/>
        <v/>
      </c>
      <c r="V1082" s="314">
        <f>SUM(ORÇAMENTO!N1082)</f>
        <v>0</v>
      </c>
      <c r="W1082" s="315">
        <f t="shared" si="343"/>
        <v>0</v>
      </c>
    </row>
    <row r="1083" spans="1:23" ht="38.1" hidden="1" customHeight="1">
      <c r="A1083" s="63">
        <v>91922</v>
      </c>
      <c r="B1083" s="870">
        <v>91922</v>
      </c>
      <c r="C1083" s="871" t="s">
        <v>590</v>
      </c>
      <c r="D1083" s="881" t="s">
        <v>997</v>
      </c>
      <c r="E1083" s="882"/>
      <c r="F1083" s="883"/>
      <c r="G1083" s="887"/>
      <c r="H1083" s="876">
        <v>28.07</v>
      </c>
      <c r="I1083" s="876">
        <f t="shared" si="337"/>
        <v>28.07</v>
      </c>
      <c r="J1083" s="877">
        <f t="shared" si="336"/>
        <v>34.31</v>
      </c>
      <c r="K1083" s="878" t="s">
        <v>1500</v>
      </c>
      <c r="L1083" s="879">
        <f>ROUND(SUM(ORÇAMENTO!L1083),2)</f>
        <v>0</v>
      </c>
      <c r="M1083" s="879">
        <f t="shared" si="338"/>
        <v>0</v>
      </c>
      <c r="N1083" s="868">
        <f t="shared" si="339"/>
        <v>0</v>
      </c>
      <c r="O1083" s="880"/>
      <c r="Q1083" s="317" t="str">
        <f t="shared" si="340"/>
        <v/>
      </c>
      <c r="R1083" s="317" t="str">
        <f t="shared" si="341"/>
        <v/>
      </c>
      <c r="S1083" s="317" t="str">
        <f t="shared" si="342"/>
        <v/>
      </c>
      <c r="V1083" s="314">
        <f>SUM(ORÇAMENTO!N1083)</f>
        <v>0</v>
      </c>
      <c r="W1083" s="315">
        <f t="shared" si="343"/>
        <v>0</v>
      </c>
    </row>
    <row r="1084" spans="1:23" ht="30" hidden="1" customHeight="1">
      <c r="A1084" s="63">
        <v>93013</v>
      </c>
      <c r="B1084" s="870">
        <v>93013</v>
      </c>
      <c r="C1084" s="871" t="s">
        <v>590</v>
      </c>
      <c r="D1084" s="881" t="s">
        <v>998</v>
      </c>
      <c r="E1084" s="882"/>
      <c r="F1084" s="883"/>
      <c r="G1084" s="887"/>
      <c r="H1084" s="876">
        <v>18.309999999999999</v>
      </c>
      <c r="I1084" s="876">
        <f t="shared" si="337"/>
        <v>18.309999999999999</v>
      </c>
      <c r="J1084" s="877">
        <f t="shared" si="336"/>
        <v>22.38</v>
      </c>
      <c r="K1084" s="878" t="s">
        <v>1500</v>
      </c>
      <c r="L1084" s="879">
        <f>ROUND(SUM(ORÇAMENTO!L1084),2)</f>
        <v>0</v>
      </c>
      <c r="M1084" s="879">
        <f t="shared" si="338"/>
        <v>0</v>
      </c>
      <c r="N1084" s="868">
        <f t="shared" si="339"/>
        <v>0</v>
      </c>
      <c r="O1084" s="880"/>
      <c r="Q1084" s="317" t="str">
        <f t="shared" si="340"/>
        <v/>
      </c>
      <c r="R1084" s="317" t="str">
        <f t="shared" si="341"/>
        <v/>
      </c>
      <c r="S1084" s="317" t="str">
        <f t="shared" si="342"/>
        <v/>
      </c>
      <c r="V1084" s="314">
        <f>SUM(ORÇAMENTO!N1084)</f>
        <v>0</v>
      </c>
      <c r="W1084" s="315">
        <f t="shared" si="343"/>
        <v>0</v>
      </c>
    </row>
    <row r="1085" spans="1:23" ht="30" hidden="1" customHeight="1">
      <c r="A1085" s="63">
        <v>93014</v>
      </c>
      <c r="B1085" s="870">
        <v>93014</v>
      </c>
      <c r="C1085" s="871" t="s">
        <v>590</v>
      </c>
      <c r="D1085" s="881" t="s">
        <v>999</v>
      </c>
      <c r="E1085" s="882"/>
      <c r="F1085" s="883"/>
      <c r="G1085" s="887"/>
      <c r="H1085" s="876">
        <v>22.49</v>
      </c>
      <c r="I1085" s="876">
        <f t="shared" si="337"/>
        <v>22.49</v>
      </c>
      <c r="J1085" s="877">
        <f t="shared" si="336"/>
        <v>27.49</v>
      </c>
      <c r="K1085" s="878" t="s">
        <v>1500</v>
      </c>
      <c r="L1085" s="879">
        <f>ROUND(SUM(ORÇAMENTO!L1085),2)</f>
        <v>0</v>
      </c>
      <c r="M1085" s="879">
        <f t="shared" si="338"/>
        <v>0</v>
      </c>
      <c r="N1085" s="868">
        <f t="shared" si="339"/>
        <v>0</v>
      </c>
      <c r="O1085" s="880"/>
      <c r="Q1085" s="317" t="str">
        <f t="shared" si="340"/>
        <v/>
      </c>
      <c r="R1085" s="317" t="str">
        <f t="shared" si="341"/>
        <v/>
      </c>
      <c r="S1085" s="317" t="str">
        <f t="shared" si="342"/>
        <v/>
      </c>
      <c r="V1085" s="314">
        <f>SUM(ORÇAMENTO!N1085)</f>
        <v>0</v>
      </c>
      <c r="W1085" s="315">
        <f t="shared" si="343"/>
        <v>0</v>
      </c>
    </row>
    <row r="1086" spans="1:23" ht="30" hidden="1" customHeight="1">
      <c r="A1086" s="63">
        <v>93015</v>
      </c>
      <c r="B1086" s="870">
        <v>93015</v>
      </c>
      <c r="C1086" s="871" t="s">
        <v>590</v>
      </c>
      <c r="D1086" s="881" t="s">
        <v>1000</v>
      </c>
      <c r="E1086" s="882"/>
      <c r="F1086" s="883"/>
      <c r="G1086" s="887"/>
      <c r="H1086" s="876">
        <v>34.130000000000003</v>
      </c>
      <c r="I1086" s="876">
        <f t="shared" si="337"/>
        <v>34.130000000000003</v>
      </c>
      <c r="J1086" s="877">
        <f t="shared" si="336"/>
        <v>41.71</v>
      </c>
      <c r="K1086" s="878" t="s">
        <v>1500</v>
      </c>
      <c r="L1086" s="879">
        <f>ROUND(SUM(ORÇAMENTO!L1086),2)</f>
        <v>0</v>
      </c>
      <c r="M1086" s="879">
        <f t="shared" si="338"/>
        <v>0</v>
      </c>
      <c r="N1086" s="868">
        <f t="shared" si="339"/>
        <v>0</v>
      </c>
      <c r="O1086" s="880"/>
      <c r="Q1086" s="317" t="str">
        <f t="shared" si="340"/>
        <v/>
      </c>
      <c r="R1086" s="317" t="str">
        <f t="shared" si="341"/>
        <v/>
      </c>
      <c r="S1086" s="317" t="str">
        <f t="shared" si="342"/>
        <v/>
      </c>
      <c r="V1086" s="314">
        <f>SUM(ORÇAMENTO!N1086)</f>
        <v>0</v>
      </c>
      <c r="W1086" s="315">
        <f t="shared" si="343"/>
        <v>0</v>
      </c>
    </row>
    <row r="1087" spans="1:23" ht="30" hidden="1" customHeight="1">
      <c r="A1087" s="63">
        <v>93016</v>
      </c>
      <c r="B1087" s="870">
        <v>93016</v>
      </c>
      <c r="C1087" s="871" t="s">
        <v>590</v>
      </c>
      <c r="D1087" s="881" t="s">
        <v>1001</v>
      </c>
      <c r="E1087" s="882"/>
      <c r="F1087" s="883"/>
      <c r="G1087" s="887"/>
      <c r="H1087" s="876">
        <v>41.5</v>
      </c>
      <c r="I1087" s="876">
        <f t="shared" si="337"/>
        <v>41.5</v>
      </c>
      <c r="J1087" s="877">
        <f t="shared" si="336"/>
        <v>50.72</v>
      </c>
      <c r="K1087" s="878" t="s">
        <v>1500</v>
      </c>
      <c r="L1087" s="879">
        <f>ROUND(SUM(ORÇAMENTO!L1087),2)</f>
        <v>0</v>
      </c>
      <c r="M1087" s="879">
        <f t="shared" si="338"/>
        <v>0</v>
      </c>
      <c r="N1087" s="868">
        <f t="shared" si="339"/>
        <v>0</v>
      </c>
      <c r="O1087" s="880"/>
      <c r="Q1087" s="317" t="str">
        <f t="shared" si="340"/>
        <v/>
      </c>
      <c r="R1087" s="317" t="str">
        <f t="shared" si="341"/>
        <v/>
      </c>
      <c r="S1087" s="317" t="str">
        <f t="shared" si="342"/>
        <v/>
      </c>
      <c r="V1087" s="314">
        <f>SUM(ORÇAMENTO!N1087)</f>
        <v>0</v>
      </c>
      <c r="W1087" s="315">
        <f t="shared" si="343"/>
        <v>0</v>
      </c>
    </row>
    <row r="1088" spans="1:23" ht="30" hidden="1" customHeight="1">
      <c r="A1088" s="63">
        <v>93017</v>
      </c>
      <c r="B1088" s="870">
        <v>93017</v>
      </c>
      <c r="C1088" s="871" t="s">
        <v>590</v>
      </c>
      <c r="D1088" s="881" t="s">
        <v>1002</v>
      </c>
      <c r="E1088" s="882"/>
      <c r="F1088" s="883"/>
      <c r="G1088" s="887"/>
      <c r="H1088" s="876">
        <v>62.43</v>
      </c>
      <c r="I1088" s="876">
        <f t="shared" si="337"/>
        <v>62.43</v>
      </c>
      <c r="J1088" s="877">
        <f t="shared" si="336"/>
        <v>76.3</v>
      </c>
      <c r="K1088" s="878" t="s">
        <v>1500</v>
      </c>
      <c r="L1088" s="879">
        <f>ROUND(SUM(ORÇAMENTO!L1088),2)</f>
        <v>0</v>
      </c>
      <c r="M1088" s="879">
        <f t="shared" si="338"/>
        <v>0</v>
      </c>
      <c r="N1088" s="868">
        <f t="shared" si="339"/>
        <v>0</v>
      </c>
      <c r="O1088" s="880"/>
      <c r="Q1088" s="317" t="str">
        <f t="shared" si="340"/>
        <v/>
      </c>
      <c r="R1088" s="317" t="str">
        <f t="shared" si="341"/>
        <v/>
      </c>
      <c r="S1088" s="317" t="str">
        <f t="shared" si="342"/>
        <v/>
      </c>
      <c r="V1088" s="314">
        <f>SUM(ORÇAMENTO!N1088)</f>
        <v>0</v>
      </c>
      <c r="W1088" s="315">
        <f t="shared" si="343"/>
        <v>0</v>
      </c>
    </row>
    <row r="1089" spans="1:23" ht="30" hidden="1" customHeight="1">
      <c r="A1089" s="63">
        <v>93018</v>
      </c>
      <c r="B1089" s="870">
        <v>93018</v>
      </c>
      <c r="C1089" s="871" t="s">
        <v>590</v>
      </c>
      <c r="D1089" s="881" t="s">
        <v>1003</v>
      </c>
      <c r="E1089" s="882"/>
      <c r="F1089" s="883"/>
      <c r="G1089" s="887"/>
      <c r="H1089" s="876">
        <v>27.96</v>
      </c>
      <c r="I1089" s="876">
        <f t="shared" si="337"/>
        <v>27.96</v>
      </c>
      <c r="J1089" s="877">
        <f t="shared" si="336"/>
        <v>34.17</v>
      </c>
      <c r="K1089" s="878" t="s">
        <v>1500</v>
      </c>
      <c r="L1089" s="879">
        <f>ROUND(SUM(ORÇAMENTO!L1089),2)</f>
        <v>0</v>
      </c>
      <c r="M1089" s="879">
        <f t="shared" si="338"/>
        <v>0</v>
      </c>
      <c r="N1089" s="868">
        <f t="shared" si="339"/>
        <v>0</v>
      </c>
      <c r="O1089" s="880"/>
      <c r="Q1089" s="317" t="str">
        <f t="shared" si="340"/>
        <v/>
      </c>
      <c r="R1089" s="317" t="str">
        <f t="shared" si="341"/>
        <v/>
      </c>
      <c r="S1089" s="317" t="str">
        <f t="shared" si="342"/>
        <v/>
      </c>
      <c r="V1089" s="314">
        <f>SUM(ORÇAMENTO!N1089)</f>
        <v>0</v>
      </c>
      <c r="W1089" s="315">
        <f t="shared" si="343"/>
        <v>0</v>
      </c>
    </row>
    <row r="1090" spans="1:23" ht="30" hidden="1" customHeight="1">
      <c r="A1090" s="63">
        <v>93020</v>
      </c>
      <c r="B1090" s="870">
        <v>93020</v>
      </c>
      <c r="C1090" s="871" t="s">
        <v>590</v>
      </c>
      <c r="D1090" s="881" t="s">
        <v>1004</v>
      </c>
      <c r="E1090" s="882"/>
      <c r="F1090" s="883"/>
      <c r="G1090" s="887"/>
      <c r="H1090" s="876">
        <v>35.840000000000003</v>
      </c>
      <c r="I1090" s="876">
        <f t="shared" si="337"/>
        <v>35.840000000000003</v>
      </c>
      <c r="J1090" s="877">
        <f t="shared" si="336"/>
        <v>43.8</v>
      </c>
      <c r="K1090" s="878" t="s">
        <v>1500</v>
      </c>
      <c r="L1090" s="879">
        <f>ROUND(SUM(ORÇAMENTO!L1090),2)</f>
        <v>0</v>
      </c>
      <c r="M1090" s="879">
        <f t="shared" si="338"/>
        <v>0</v>
      </c>
      <c r="N1090" s="868">
        <f t="shared" si="339"/>
        <v>0</v>
      </c>
      <c r="O1090" s="880"/>
      <c r="Q1090" s="317" t="str">
        <f t="shared" si="340"/>
        <v/>
      </c>
      <c r="R1090" s="317" t="str">
        <f t="shared" si="341"/>
        <v/>
      </c>
      <c r="S1090" s="317" t="str">
        <f t="shared" si="342"/>
        <v/>
      </c>
      <c r="V1090" s="314">
        <f>SUM(ORÇAMENTO!N1090)</f>
        <v>0</v>
      </c>
      <c r="W1090" s="315">
        <f t="shared" si="343"/>
        <v>0</v>
      </c>
    </row>
    <row r="1091" spans="1:23" ht="30" hidden="1" customHeight="1">
      <c r="A1091" s="63">
        <v>93022</v>
      </c>
      <c r="B1091" s="870">
        <v>93022</v>
      </c>
      <c r="C1091" s="871" t="s">
        <v>590</v>
      </c>
      <c r="D1091" s="881" t="s">
        <v>1005</v>
      </c>
      <c r="E1091" s="882"/>
      <c r="F1091" s="883"/>
      <c r="G1091" s="887"/>
      <c r="H1091" s="876">
        <v>60</v>
      </c>
      <c r="I1091" s="876">
        <f t="shared" si="337"/>
        <v>60</v>
      </c>
      <c r="J1091" s="877">
        <f t="shared" si="336"/>
        <v>73.33</v>
      </c>
      <c r="K1091" s="878" t="s">
        <v>1500</v>
      </c>
      <c r="L1091" s="879">
        <f>ROUND(SUM(ORÇAMENTO!L1091),2)</f>
        <v>0</v>
      </c>
      <c r="M1091" s="879">
        <f t="shared" si="338"/>
        <v>0</v>
      </c>
      <c r="N1091" s="868">
        <f t="shared" si="339"/>
        <v>0</v>
      </c>
      <c r="O1091" s="880"/>
      <c r="Q1091" s="317" t="str">
        <f t="shared" si="340"/>
        <v/>
      </c>
      <c r="R1091" s="317" t="str">
        <f t="shared" si="341"/>
        <v/>
      </c>
      <c r="S1091" s="317" t="str">
        <f t="shared" si="342"/>
        <v/>
      </c>
      <c r="V1091" s="314">
        <f>SUM(ORÇAMENTO!N1091)</f>
        <v>0</v>
      </c>
      <c r="W1091" s="315">
        <f t="shared" si="343"/>
        <v>0</v>
      </c>
    </row>
    <row r="1092" spans="1:23" ht="30" hidden="1" customHeight="1">
      <c r="A1092" s="63">
        <v>93024</v>
      </c>
      <c r="B1092" s="870">
        <v>93024</v>
      </c>
      <c r="C1092" s="871" t="s">
        <v>590</v>
      </c>
      <c r="D1092" s="881" t="s">
        <v>1006</v>
      </c>
      <c r="E1092" s="882"/>
      <c r="F1092" s="883"/>
      <c r="G1092" s="887"/>
      <c r="H1092" s="876">
        <v>63.08</v>
      </c>
      <c r="I1092" s="876">
        <f t="shared" si="337"/>
        <v>63.08</v>
      </c>
      <c r="J1092" s="877">
        <f t="shared" si="336"/>
        <v>77.099999999999994</v>
      </c>
      <c r="K1092" s="878" t="s">
        <v>1500</v>
      </c>
      <c r="L1092" s="879">
        <f>ROUND(SUM(ORÇAMENTO!L1092),2)</f>
        <v>0</v>
      </c>
      <c r="M1092" s="879">
        <f t="shared" si="338"/>
        <v>0</v>
      </c>
      <c r="N1092" s="868">
        <f t="shared" si="339"/>
        <v>0</v>
      </c>
      <c r="O1092" s="880"/>
      <c r="Q1092" s="317" t="str">
        <f t="shared" si="340"/>
        <v/>
      </c>
      <c r="R1092" s="317" t="str">
        <f t="shared" si="341"/>
        <v/>
      </c>
      <c r="S1092" s="317" t="str">
        <f t="shared" si="342"/>
        <v/>
      </c>
      <c r="V1092" s="314">
        <f>SUM(ORÇAMENTO!N1092)</f>
        <v>0</v>
      </c>
      <c r="W1092" s="315">
        <f t="shared" si="343"/>
        <v>0</v>
      </c>
    </row>
    <row r="1093" spans="1:23" ht="30" hidden="1" customHeight="1">
      <c r="A1093" s="63">
        <v>93026</v>
      </c>
      <c r="B1093" s="870">
        <v>93026</v>
      </c>
      <c r="C1093" s="871" t="s">
        <v>590</v>
      </c>
      <c r="D1093" s="881" t="s">
        <v>1007</v>
      </c>
      <c r="E1093" s="882"/>
      <c r="F1093" s="883"/>
      <c r="G1093" s="887"/>
      <c r="H1093" s="876">
        <v>103.23</v>
      </c>
      <c r="I1093" s="876">
        <f t="shared" si="337"/>
        <v>103.23</v>
      </c>
      <c r="J1093" s="877">
        <f t="shared" si="336"/>
        <v>126.17</v>
      </c>
      <c r="K1093" s="878" t="s">
        <v>1500</v>
      </c>
      <c r="L1093" s="879">
        <f>ROUND(SUM(ORÇAMENTO!L1093),2)</f>
        <v>0</v>
      </c>
      <c r="M1093" s="879">
        <f t="shared" si="338"/>
        <v>0</v>
      </c>
      <c r="N1093" s="868">
        <f t="shared" si="339"/>
        <v>0</v>
      </c>
      <c r="O1093" s="880"/>
      <c r="Q1093" s="317" t="str">
        <f t="shared" si="340"/>
        <v/>
      </c>
      <c r="R1093" s="317" t="str">
        <f t="shared" si="341"/>
        <v/>
      </c>
      <c r="S1093" s="317" t="str">
        <f t="shared" si="342"/>
        <v/>
      </c>
      <c r="V1093" s="314">
        <f>SUM(ORÇAMENTO!N1093)</f>
        <v>0</v>
      </c>
      <c r="W1093" s="315">
        <f t="shared" si="343"/>
        <v>0</v>
      </c>
    </row>
    <row r="1094" spans="1:23" ht="38.1" hidden="1" customHeight="1">
      <c r="A1094" s="63">
        <v>97559</v>
      </c>
      <c r="B1094" s="870">
        <v>97559</v>
      </c>
      <c r="C1094" s="871" t="s">
        <v>590</v>
      </c>
      <c r="D1094" s="881" t="s">
        <v>1008</v>
      </c>
      <c r="E1094" s="882"/>
      <c r="F1094" s="883"/>
      <c r="G1094" s="887"/>
      <c r="H1094" s="876">
        <v>13.05</v>
      </c>
      <c r="I1094" s="876">
        <f t="shared" si="337"/>
        <v>13.05</v>
      </c>
      <c r="J1094" s="877">
        <f t="shared" si="336"/>
        <v>15.95</v>
      </c>
      <c r="K1094" s="878" t="s">
        <v>1500</v>
      </c>
      <c r="L1094" s="879">
        <f>ROUND(SUM(ORÇAMENTO!L1094),2)</f>
        <v>0</v>
      </c>
      <c r="M1094" s="879">
        <f t="shared" si="338"/>
        <v>0</v>
      </c>
      <c r="N1094" s="868">
        <f t="shared" si="339"/>
        <v>0</v>
      </c>
      <c r="O1094" s="880"/>
      <c r="Q1094" s="317" t="str">
        <f t="shared" si="340"/>
        <v/>
      </c>
      <c r="R1094" s="317" t="str">
        <f t="shared" si="341"/>
        <v/>
      </c>
      <c r="S1094" s="317" t="str">
        <f t="shared" si="342"/>
        <v/>
      </c>
      <c r="V1094" s="314">
        <f>SUM(ORÇAMENTO!N1094)</f>
        <v>0</v>
      </c>
      <c r="W1094" s="315">
        <f t="shared" si="343"/>
        <v>0</v>
      </c>
    </row>
    <row r="1095" spans="1:23" ht="38.1" hidden="1" customHeight="1">
      <c r="A1095" s="63">
        <v>97562</v>
      </c>
      <c r="B1095" s="870">
        <v>97562</v>
      </c>
      <c r="C1095" s="871" t="s">
        <v>590</v>
      </c>
      <c r="D1095" s="881" t="s">
        <v>1009</v>
      </c>
      <c r="E1095" s="882"/>
      <c r="F1095" s="883"/>
      <c r="G1095" s="887"/>
      <c r="H1095" s="876">
        <v>15.57</v>
      </c>
      <c r="I1095" s="876">
        <f t="shared" si="337"/>
        <v>15.57</v>
      </c>
      <c r="J1095" s="877">
        <f t="shared" si="336"/>
        <v>19.03</v>
      </c>
      <c r="K1095" s="878" t="s">
        <v>1500</v>
      </c>
      <c r="L1095" s="879">
        <f>ROUND(SUM(ORÇAMENTO!L1095),2)</f>
        <v>0</v>
      </c>
      <c r="M1095" s="879">
        <f t="shared" si="338"/>
        <v>0</v>
      </c>
      <c r="N1095" s="868">
        <f t="shared" si="339"/>
        <v>0</v>
      </c>
      <c r="O1095" s="880"/>
      <c r="Q1095" s="317" t="str">
        <f t="shared" si="340"/>
        <v/>
      </c>
      <c r="R1095" s="317" t="str">
        <f t="shared" si="341"/>
        <v/>
      </c>
      <c r="S1095" s="317" t="str">
        <f t="shared" si="342"/>
        <v/>
      </c>
      <c r="V1095" s="314">
        <f>SUM(ORÇAMENTO!N1095)</f>
        <v>0</v>
      </c>
      <c r="W1095" s="315">
        <f t="shared" si="343"/>
        <v>0</v>
      </c>
    </row>
    <row r="1096" spans="1:23" ht="38.1" hidden="1" customHeight="1">
      <c r="A1096" s="63">
        <v>97564</v>
      </c>
      <c r="B1096" s="870">
        <v>97564</v>
      </c>
      <c r="C1096" s="871" t="s">
        <v>590</v>
      </c>
      <c r="D1096" s="881" t="s">
        <v>1010</v>
      </c>
      <c r="E1096" s="882"/>
      <c r="F1096" s="883"/>
      <c r="G1096" s="887"/>
      <c r="H1096" s="876">
        <v>17.79</v>
      </c>
      <c r="I1096" s="876">
        <f t="shared" si="337"/>
        <v>17.79</v>
      </c>
      <c r="J1096" s="877">
        <f t="shared" si="336"/>
        <v>21.74</v>
      </c>
      <c r="K1096" s="878" t="s">
        <v>1500</v>
      </c>
      <c r="L1096" s="879">
        <f>ROUND(SUM(ORÇAMENTO!L1096),2)</f>
        <v>0</v>
      </c>
      <c r="M1096" s="879">
        <f t="shared" si="338"/>
        <v>0</v>
      </c>
      <c r="N1096" s="868">
        <f t="shared" si="339"/>
        <v>0</v>
      </c>
      <c r="O1096" s="880"/>
      <c r="Q1096" s="317" t="str">
        <f t="shared" si="340"/>
        <v/>
      </c>
      <c r="R1096" s="317" t="str">
        <f t="shared" si="341"/>
        <v/>
      </c>
      <c r="S1096" s="317" t="str">
        <f t="shared" si="342"/>
        <v/>
      </c>
      <c r="V1096" s="314">
        <f>SUM(ORÇAMENTO!N1096)</f>
        <v>0</v>
      </c>
      <c r="W1096" s="315">
        <f t="shared" si="343"/>
        <v>0</v>
      </c>
    </row>
    <row r="1097" spans="1:23" ht="30" hidden="1" customHeight="1">
      <c r="A1097" s="63">
        <v>91862</v>
      </c>
      <c r="B1097" s="870">
        <v>91862</v>
      </c>
      <c r="C1097" s="871" t="s">
        <v>590</v>
      </c>
      <c r="D1097" s="881" t="s">
        <v>1011</v>
      </c>
      <c r="E1097" s="882"/>
      <c r="F1097" s="883"/>
      <c r="G1097" s="887"/>
      <c r="H1097" s="876">
        <v>13.26</v>
      </c>
      <c r="I1097" s="876">
        <f t="shared" si="337"/>
        <v>13.26</v>
      </c>
      <c r="J1097" s="877">
        <f t="shared" ref="J1097:J1160" si="344">IF(ISBLANK(H1097),0,ROUND(I1097*(1+$E$10),2))</f>
        <v>16.21</v>
      </c>
      <c r="K1097" s="878" t="s">
        <v>62</v>
      </c>
      <c r="L1097" s="879">
        <f>ROUND(SUM(ORÇAMENTO!L1097),2)</f>
        <v>0</v>
      </c>
      <c r="M1097" s="879">
        <f t="shared" si="338"/>
        <v>0</v>
      </c>
      <c r="N1097" s="868">
        <f t="shared" si="339"/>
        <v>0</v>
      </c>
      <c r="O1097" s="880"/>
      <c r="Q1097" s="317" t="str">
        <f t="shared" si="340"/>
        <v/>
      </c>
      <c r="R1097" s="317" t="str">
        <f t="shared" si="341"/>
        <v/>
      </c>
      <c r="S1097" s="317" t="str">
        <f t="shared" si="342"/>
        <v/>
      </c>
      <c r="V1097" s="314">
        <f>SUM(ORÇAMENTO!N1097)</f>
        <v>0</v>
      </c>
      <c r="W1097" s="315">
        <f t="shared" si="343"/>
        <v>0</v>
      </c>
    </row>
    <row r="1098" spans="1:23" ht="30" hidden="1" customHeight="1">
      <c r="A1098" s="63">
        <v>91863</v>
      </c>
      <c r="B1098" s="870">
        <v>91863</v>
      </c>
      <c r="C1098" s="871" t="s">
        <v>590</v>
      </c>
      <c r="D1098" s="881" t="s">
        <v>1012</v>
      </c>
      <c r="E1098" s="882"/>
      <c r="F1098" s="883"/>
      <c r="G1098" s="887"/>
      <c r="H1098" s="876">
        <v>15.67</v>
      </c>
      <c r="I1098" s="876">
        <f t="shared" si="337"/>
        <v>15.67</v>
      </c>
      <c r="J1098" s="877">
        <f t="shared" si="344"/>
        <v>19.149999999999999</v>
      </c>
      <c r="K1098" s="878" t="s">
        <v>62</v>
      </c>
      <c r="L1098" s="879">
        <f>ROUND(SUM(ORÇAMENTO!L1098),2)</f>
        <v>0</v>
      </c>
      <c r="M1098" s="879">
        <f t="shared" si="338"/>
        <v>0</v>
      </c>
      <c r="N1098" s="868">
        <f t="shared" si="339"/>
        <v>0</v>
      </c>
      <c r="O1098" s="880"/>
      <c r="Q1098" s="317" t="str">
        <f t="shared" si="340"/>
        <v/>
      </c>
      <c r="R1098" s="317" t="str">
        <f t="shared" si="341"/>
        <v/>
      </c>
      <c r="S1098" s="317" t="str">
        <f t="shared" si="342"/>
        <v/>
      </c>
      <c r="V1098" s="314">
        <f>SUM(ORÇAMENTO!N1098)</f>
        <v>0</v>
      </c>
      <c r="W1098" s="315">
        <f t="shared" si="343"/>
        <v>0</v>
      </c>
    </row>
    <row r="1099" spans="1:23" ht="30" hidden="1" customHeight="1">
      <c r="A1099" s="63">
        <v>91864</v>
      </c>
      <c r="B1099" s="870">
        <v>91864</v>
      </c>
      <c r="C1099" s="871" t="s">
        <v>590</v>
      </c>
      <c r="D1099" s="881" t="s">
        <v>1013</v>
      </c>
      <c r="E1099" s="882"/>
      <c r="F1099" s="883"/>
      <c r="G1099" s="887"/>
      <c r="H1099" s="876">
        <v>21.09</v>
      </c>
      <c r="I1099" s="876">
        <f t="shared" si="337"/>
        <v>21.09</v>
      </c>
      <c r="J1099" s="877">
        <f t="shared" si="344"/>
        <v>25.78</v>
      </c>
      <c r="K1099" s="878" t="s">
        <v>62</v>
      </c>
      <c r="L1099" s="879">
        <f>ROUND(SUM(ORÇAMENTO!L1099),2)</f>
        <v>0</v>
      </c>
      <c r="M1099" s="879">
        <f t="shared" si="338"/>
        <v>0</v>
      </c>
      <c r="N1099" s="868">
        <f t="shared" si="339"/>
        <v>0</v>
      </c>
      <c r="O1099" s="880"/>
      <c r="Q1099" s="317" t="str">
        <f t="shared" si="340"/>
        <v/>
      </c>
      <c r="R1099" s="317" t="str">
        <f t="shared" si="341"/>
        <v/>
      </c>
      <c r="S1099" s="317" t="str">
        <f t="shared" si="342"/>
        <v/>
      </c>
      <c r="V1099" s="314">
        <f>SUM(ORÇAMENTO!N1099)</f>
        <v>0</v>
      </c>
      <c r="W1099" s="315">
        <f t="shared" si="343"/>
        <v>0</v>
      </c>
    </row>
    <row r="1100" spans="1:23" ht="30" hidden="1" customHeight="1">
      <c r="A1100" s="63">
        <v>91865</v>
      </c>
      <c r="B1100" s="870">
        <v>91865</v>
      </c>
      <c r="C1100" s="871" t="s">
        <v>590</v>
      </c>
      <c r="D1100" s="881" t="s">
        <v>1014</v>
      </c>
      <c r="E1100" s="882"/>
      <c r="F1100" s="883"/>
      <c r="G1100" s="887"/>
      <c r="H1100" s="876">
        <v>26.43</v>
      </c>
      <c r="I1100" s="876">
        <f t="shared" si="337"/>
        <v>26.43</v>
      </c>
      <c r="J1100" s="877">
        <f t="shared" si="344"/>
        <v>32.299999999999997</v>
      </c>
      <c r="K1100" s="878" t="s">
        <v>62</v>
      </c>
      <c r="L1100" s="879">
        <f>ROUND(SUM(ORÇAMENTO!L1100),2)</f>
        <v>0</v>
      </c>
      <c r="M1100" s="879">
        <f t="shared" si="338"/>
        <v>0</v>
      </c>
      <c r="N1100" s="868">
        <f t="shared" si="339"/>
        <v>0</v>
      </c>
      <c r="O1100" s="880"/>
      <c r="Q1100" s="317" t="str">
        <f t="shared" si="340"/>
        <v/>
      </c>
      <c r="R1100" s="317" t="str">
        <f t="shared" si="341"/>
        <v/>
      </c>
      <c r="S1100" s="317" t="str">
        <f t="shared" si="342"/>
        <v/>
      </c>
      <c r="V1100" s="314">
        <f>SUM(ORÇAMENTO!N1100)</f>
        <v>0</v>
      </c>
      <c r="W1100" s="315">
        <f t="shared" si="343"/>
        <v>0</v>
      </c>
    </row>
    <row r="1101" spans="1:23" ht="30" hidden="1" customHeight="1">
      <c r="A1101" s="63">
        <v>91866</v>
      </c>
      <c r="B1101" s="870">
        <v>91866</v>
      </c>
      <c r="C1101" s="871" t="s">
        <v>590</v>
      </c>
      <c r="D1101" s="881" t="s">
        <v>1015</v>
      </c>
      <c r="E1101" s="882"/>
      <c r="F1101" s="883"/>
      <c r="G1101" s="887"/>
      <c r="H1101" s="876">
        <v>10.81</v>
      </c>
      <c r="I1101" s="876">
        <f t="shared" si="337"/>
        <v>10.81</v>
      </c>
      <c r="J1101" s="877">
        <f t="shared" si="344"/>
        <v>13.21</v>
      </c>
      <c r="K1101" s="878" t="s">
        <v>62</v>
      </c>
      <c r="L1101" s="879">
        <f>ROUND(SUM(ORÇAMENTO!L1101),2)</f>
        <v>0</v>
      </c>
      <c r="M1101" s="879">
        <f t="shared" si="338"/>
        <v>0</v>
      </c>
      <c r="N1101" s="868">
        <f t="shared" si="339"/>
        <v>0</v>
      </c>
      <c r="O1101" s="880"/>
      <c r="Q1101" s="317" t="str">
        <f t="shared" si="340"/>
        <v/>
      </c>
      <c r="R1101" s="317" t="str">
        <f t="shared" si="341"/>
        <v/>
      </c>
      <c r="S1101" s="317" t="str">
        <f t="shared" si="342"/>
        <v/>
      </c>
      <c r="V1101" s="314">
        <f>SUM(ORÇAMENTO!N1101)</f>
        <v>0</v>
      </c>
      <c r="W1101" s="315">
        <f t="shared" si="343"/>
        <v>0</v>
      </c>
    </row>
    <row r="1102" spans="1:23" ht="30" hidden="1" customHeight="1">
      <c r="A1102" s="63">
        <v>91867</v>
      </c>
      <c r="B1102" s="870">
        <v>91867</v>
      </c>
      <c r="C1102" s="871" t="s">
        <v>590</v>
      </c>
      <c r="D1102" s="881" t="s">
        <v>1016</v>
      </c>
      <c r="E1102" s="882"/>
      <c r="F1102" s="883"/>
      <c r="G1102" s="887"/>
      <c r="H1102" s="876">
        <v>13.22</v>
      </c>
      <c r="I1102" s="876">
        <f t="shared" si="337"/>
        <v>13.22</v>
      </c>
      <c r="J1102" s="877">
        <f t="shared" si="344"/>
        <v>16.16</v>
      </c>
      <c r="K1102" s="878" t="s">
        <v>62</v>
      </c>
      <c r="L1102" s="879">
        <f>ROUND(SUM(ORÇAMENTO!L1102),2)</f>
        <v>0</v>
      </c>
      <c r="M1102" s="879">
        <f t="shared" si="338"/>
        <v>0</v>
      </c>
      <c r="N1102" s="868">
        <f t="shared" si="339"/>
        <v>0</v>
      </c>
      <c r="O1102" s="880"/>
      <c r="Q1102" s="317" t="str">
        <f t="shared" si="340"/>
        <v/>
      </c>
      <c r="R1102" s="317" t="str">
        <f t="shared" si="341"/>
        <v/>
      </c>
      <c r="S1102" s="317" t="str">
        <f t="shared" si="342"/>
        <v/>
      </c>
      <c r="V1102" s="314">
        <f>SUM(ORÇAMENTO!N1102)</f>
        <v>0</v>
      </c>
      <c r="W1102" s="315">
        <f t="shared" si="343"/>
        <v>0</v>
      </c>
    </row>
    <row r="1103" spans="1:23" ht="30" hidden="1" customHeight="1">
      <c r="A1103" s="63">
        <v>91868</v>
      </c>
      <c r="B1103" s="870">
        <v>91868</v>
      </c>
      <c r="C1103" s="871" t="s">
        <v>590</v>
      </c>
      <c r="D1103" s="881" t="s">
        <v>1017</v>
      </c>
      <c r="E1103" s="882"/>
      <c r="F1103" s="883"/>
      <c r="G1103" s="887"/>
      <c r="H1103" s="876">
        <v>18.64</v>
      </c>
      <c r="I1103" s="876">
        <f t="shared" si="337"/>
        <v>18.64</v>
      </c>
      <c r="J1103" s="877">
        <f t="shared" si="344"/>
        <v>22.78</v>
      </c>
      <c r="K1103" s="878" t="s">
        <v>62</v>
      </c>
      <c r="L1103" s="879">
        <f>ROUND(SUM(ORÇAMENTO!L1103),2)</f>
        <v>0</v>
      </c>
      <c r="M1103" s="879">
        <f t="shared" si="338"/>
        <v>0</v>
      </c>
      <c r="N1103" s="868">
        <f t="shared" si="339"/>
        <v>0</v>
      </c>
      <c r="O1103" s="880"/>
      <c r="Q1103" s="317" t="str">
        <f t="shared" si="340"/>
        <v/>
      </c>
      <c r="R1103" s="317" t="str">
        <f t="shared" si="341"/>
        <v/>
      </c>
      <c r="S1103" s="317" t="str">
        <f t="shared" si="342"/>
        <v/>
      </c>
      <c r="V1103" s="314">
        <f>SUM(ORÇAMENTO!N1103)</f>
        <v>0</v>
      </c>
      <c r="W1103" s="315">
        <f t="shared" si="343"/>
        <v>0</v>
      </c>
    </row>
    <row r="1104" spans="1:23" ht="30" hidden="1" customHeight="1">
      <c r="A1104" s="63">
        <v>91869</v>
      </c>
      <c r="B1104" s="870">
        <v>91869</v>
      </c>
      <c r="C1104" s="871" t="s">
        <v>590</v>
      </c>
      <c r="D1104" s="881" t="s">
        <v>1018</v>
      </c>
      <c r="E1104" s="882"/>
      <c r="F1104" s="883"/>
      <c r="G1104" s="887"/>
      <c r="H1104" s="876">
        <v>23.99</v>
      </c>
      <c r="I1104" s="876">
        <f t="shared" si="337"/>
        <v>23.99</v>
      </c>
      <c r="J1104" s="877">
        <f t="shared" si="344"/>
        <v>29.32</v>
      </c>
      <c r="K1104" s="878" t="s">
        <v>62</v>
      </c>
      <c r="L1104" s="879">
        <f>ROUND(SUM(ORÇAMENTO!L1104),2)</f>
        <v>0</v>
      </c>
      <c r="M1104" s="879">
        <f t="shared" si="338"/>
        <v>0</v>
      </c>
      <c r="N1104" s="868">
        <f t="shared" si="339"/>
        <v>0</v>
      </c>
      <c r="O1104" s="880"/>
      <c r="Q1104" s="317" t="str">
        <f t="shared" si="340"/>
        <v/>
      </c>
      <c r="R1104" s="317" t="str">
        <f t="shared" si="341"/>
        <v/>
      </c>
      <c r="S1104" s="317" t="str">
        <f t="shared" si="342"/>
        <v/>
      </c>
      <c r="V1104" s="314">
        <f>SUM(ORÇAMENTO!N1104)</f>
        <v>0</v>
      </c>
      <c r="W1104" s="315">
        <f t="shared" si="343"/>
        <v>0</v>
      </c>
    </row>
    <row r="1105" spans="1:23" ht="30" hidden="1" customHeight="1">
      <c r="A1105" s="63">
        <v>91870</v>
      </c>
      <c r="B1105" s="870">
        <v>91870</v>
      </c>
      <c r="C1105" s="871" t="s">
        <v>590</v>
      </c>
      <c r="D1105" s="881" t="s">
        <v>1019</v>
      </c>
      <c r="E1105" s="882"/>
      <c r="F1105" s="883"/>
      <c r="G1105" s="887"/>
      <c r="H1105" s="876">
        <v>14.78</v>
      </c>
      <c r="I1105" s="876">
        <f t="shared" si="337"/>
        <v>14.78</v>
      </c>
      <c r="J1105" s="877">
        <f t="shared" si="344"/>
        <v>18.059999999999999</v>
      </c>
      <c r="K1105" s="878" t="s">
        <v>62</v>
      </c>
      <c r="L1105" s="879">
        <f>ROUND(SUM(ORÇAMENTO!L1105),2)</f>
        <v>0</v>
      </c>
      <c r="M1105" s="879">
        <f t="shared" si="338"/>
        <v>0</v>
      </c>
      <c r="N1105" s="868">
        <f t="shared" si="339"/>
        <v>0</v>
      </c>
      <c r="O1105" s="880"/>
      <c r="Q1105" s="317" t="str">
        <f t="shared" si="340"/>
        <v/>
      </c>
      <c r="R1105" s="317" t="str">
        <f t="shared" si="341"/>
        <v/>
      </c>
      <c r="S1105" s="317" t="str">
        <f t="shared" si="342"/>
        <v/>
      </c>
      <c r="V1105" s="314">
        <f>SUM(ORÇAMENTO!N1105)</f>
        <v>0</v>
      </c>
      <c r="W1105" s="315">
        <f t="shared" si="343"/>
        <v>0</v>
      </c>
    </row>
    <row r="1106" spans="1:23" ht="30" hidden="1" customHeight="1">
      <c r="A1106" s="63">
        <v>91871</v>
      </c>
      <c r="B1106" s="870">
        <v>91871</v>
      </c>
      <c r="C1106" s="871" t="s">
        <v>590</v>
      </c>
      <c r="D1106" s="881" t="s">
        <v>1020</v>
      </c>
      <c r="E1106" s="882"/>
      <c r="F1106" s="883"/>
      <c r="G1106" s="887"/>
      <c r="H1106" s="876">
        <v>17.260000000000002</v>
      </c>
      <c r="I1106" s="876">
        <f t="shared" ref="I1106:I1162" si="345">IF(ISBLANK(H1106),"",SUM(G1106:H1106))</f>
        <v>17.260000000000002</v>
      </c>
      <c r="J1106" s="877">
        <f t="shared" si="344"/>
        <v>21.1</v>
      </c>
      <c r="K1106" s="878" t="s">
        <v>62</v>
      </c>
      <c r="L1106" s="879">
        <f>ROUND(SUM(ORÇAMENTO!L1106),2)</f>
        <v>0</v>
      </c>
      <c r="M1106" s="879">
        <f t="shared" ref="M1106:M1169" si="346">IF(L1106=0,0,ROUND(J1106,2))</f>
        <v>0</v>
      </c>
      <c r="N1106" s="868">
        <f t="shared" ref="N1106:N1169" si="347">IF(ISBLANK(L1106),0,ROUND(L1106*M1106,2))</f>
        <v>0</v>
      </c>
      <c r="O1106" s="880"/>
      <c r="Q1106" s="317" t="str">
        <f t="shared" ref="Q1106:Q1169" si="348">IF(P1106="X","x",IF(P1106="xx","x",IF(P1106="xy","x",IF(P1106="y","x",IF(OR(N1106&gt;0,N1106&gt;0),"x","")))))</f>
        <v/>
      </c>
      <c r="R1106" s="317" t="str">
        <f t="shared" ref="R1106:R1169" si="349">IF(P1106="X","x",IF(P1106="y","x",IF(P1106="xx","x",IF(N1106&gt;0,"x",""))))</f>
        <v/>
      </c>
      <c r="S1106" s="317" t="str">
        <f t="shared" ref="S1106:S1169" si="350">IF(P1106="X","x",IF(N1106&gt;0,"x",""))</f>
        <v/>
      </c>
      <c r="V1106" s="314">
        <f>SUM(ORÇAMENTO!N1106)</f>
        <v>0</v>
      </c>
      <c r="W1106" s="315">
        <f t="shared" si="343"/>
        <v>0</v>
      </c>
    </row>
    <row r="1107" spans="1:23" ht="30" hidden="1" customHeight="1">
      <c r="A1107" s="63">
        <v>91872</v>
      </c>
      <c r="B1107" s="870">
        <v>91872</v>
      </c>
      <c r="C1107" s="871" t="s">
        <v>590</v>
      </c>
      <c r="D1107" s="881" t="s">
        <v>1021</v>
      </c>
      <c r="E1107" s="882"/>
      <c r="F1107" s="883"/>
      <c r="G1107" s="887"/>
      <c r="H1107" s="876">
        <v>22.67</v>
      </c>
      <c r="I1107" s="876">
        <f t="shared" si="345"/>
        <v>22.67</v>
      </c>
      <c r="J1107" s="877">
        <f t="shared" si="344"/>
        <v>27.71</v>
      </c>
      <c r="K1107" s="878" t="s">
        <v>62</v>
      </c>
      <c r="L1107" s="879">
        <f>ROUND(SUM(ORÇAMENTO!L1107),2)</f>
        <v>0</v>
      </c>
      <c r="M1107" s="879">
        <f t="shared" si="346"/>
        <v>0</v>
      </c>
      <c r="N1107" s="868">
        <f t="shared" si="347"/>
        <v>0</v>
      </c>
      <c r="O1107" s="880"/>
      <c r="Q1107" s="317" t="str">
        <f t="shared" si="348"/>
        <v/>
      </c>
      <c r="R1107" s="317" t="str">
        <f t="shared" si="349"/>
        <v/>
      </c>
      <c r="S1107" s="317" t="str">
        <f t="shared" si="350"/>
        <v/>
      </c>
      <c r="V1107" s="314">
        <f>SUM(ORÇAMENTO!N1107)</f>
        <v>0</v>
      </c>
      <c r="W1107" s="315">
        <f t="shared" si="343"/>
        <v>0</v>
      </c>
    </row>
    <row r="1108" spans="1:23" ht="30" hidden="1" customHeight="1">
      <c r="A1108" s="63">
        <v>91873</v>
      </c>
      <c r="B1108" s="870">
        <v>91873</v>
      </c>
      <c r="C1108" s="871" t="s">
        <v>590</v>
      </c>
      <c r="D1108" s="881" t="s">
        <v>1022</v>
      </c>
      <c r="E1108" s="882"/>
      <c r="F1108" s="883"/>
      <c r="G1108" s="887"/>
      <c r="H1108" s="876">
        <v>27.96</v>
      </c>
      <c r="I1108" s="876">
        <f t="shared" si="345"/>
        <v>27.96</v>
      </c>
      <c r="J1108" s="877">
        <f t="shared" si="344"/>
        <v>34.17</v>
      </c>
      <c r="K1108" s="878" t="s">
        <v>62</v>
      </c>
      <c r="L1108" s="879">
        <f>ROUND(SUM(ORÇAMENTO!L1108),2)</f>
        <v>0</v>
      </c>
      <c r="M1108" s="879">
        <f t="shared" si="346"/>
        <v>0</v>
      </c>
      <c r="N1108" s="868">
        <f t="shared" si="347"/>
        <v>0</v>
      </c>
      <c r="O1108" s="880"/>
      <c r="Q1108" s="317" t="str">
        <f t="shared" si="348"/>
        <v/>
      </c>
      <c r="R1108" s="317" t="str">
        <f t="shared" si="349"/>
        <v/>
      </c>
      <c r="S1108" s="317" t="str">
        <f t="shared" si="350"/>
        <v/>
      </c>
      <c r="V1108" s="314">
        <f>SUM(ORÇAMENTO!N1108)</f>
        <v>0</v>
      </c>
      <c r="W1108" s="315">
        <f t="shared" si="343"/>
        <v>0</v>
      </c>
    </row>
    <row r="1109" spans="1:23" ht="30" hidden="1" customHeight="1">
      <c r="A1109" s="63">
        <v>93008</v>
      </c>
      <c r="B1109" s="870">
        <v>93008</v>
      </c>
      <c r="C1109" s="871" t="s">
        <v>590</v>
      </c>
      <c r="D1109" s="881" t="s">
        <v>1023</v>
      </c>
      <c r="E1109" s="882"/>
      <c r="F1109" s="883"/>
      <c r="G1109" s="887"/>
      <c r="H1109" s="876">
        <v>24.19</v>
      </c>
      <c r="I1109" s="876">
        <f t="shared" si="345"/>
        <v>24.19</v>
      </c>
      <c r="J1109" s="877">
        <f t="shared" si="344"/>
        <v>29.57</v>
      </c>
      <c r="K1109" s="878" t="s">
        <v>62</v>
      </c>
      <c r="L1109" s="879">
        <f>ROUND(SUM(ORÇAMENTO!L1109),2)</f>
        <v>0</v>
      </c>
      <c r="M1109" s="879">
        <f t="shared" si="346"/>
        <v>0</v>
      </c>
      <c r="N1109" s="868">
        <f t="shared" si="347"/>
        <v>0</v>
      </c>
      <c r="O1109" s="880"/>
      <c r="Q1109" s="317" t="str">
        <f t="shared" si="348"/>
        <v/>
      </c>
      <c r="R1109" s="317" t="str">
        <f t="shared" si="349"/>
        <v/>
      </c>
      <c r="S1109" s="317" t="str">
        <f t="shared" si="350"/>
        <v/>
      </c>
      <c r="V1109" s="314">
        <f>SUM(ORÇAMENTO!N1109)</f>
        <v>0</v>
      </c>
      <c r="W1109" s="315">
        <f t="shared" ref="W1109:W1172" si="351">N1109-V1109</f>
        <v>0</v>
      </c>
    </row>
    <row r="1110" spans="1:23" ht="30" hidden="1" customHeight="1">
      <c r="A1110" s="63">
        <v>93009</v>
      </c>
      <c r="B1110" s="870">
        <v>93009</v>
      </c>
      <c r="C1110" s="871" t="s">
        <v>590</v>
      </c>
      <c r="D1110" s="881" t="s">
        <v>1024</v>
      </c>
      <c r="E1110" s="882"/>
      <c r="F1110" s="883"/>
      <c r="G1110" s="887"/>
      <c r="H1110" s="876">
        <v>36.299999999999997</v>
      </c>
      <c r="I1110" s="876">
        <f t="shared" si="345"/>
        <v>36.299999999999997</v>
      </c>
      <c r="J1110" s="877">
        <f t="shared" si="344"/>
        <v>44.37</v>
      </c>
      <c r="K1110" s="878" t="s">
        <v>62</v>
      </c>
      <c r="L1110" s="879">
        <f>ROUND(SUM(ORÇAMENTO!L1110),2)</f>
        <v>0</v>
      </c>
      <c r="M1110" s="879">
        <f t="shared" si="346"/>
        <v>0</v>
      </c>
      <c r="N1110" s="868">
        <f t="shared" si="347"/>
        <v>0</v>
      </c>
      <c r="O1110" s="880"/>
      <c r="Q1110" s="317" t="str">
        <f t="shared" si="348"/>
        <v/>
      </c>
      <c r="R1110" s="317" t="str">
        <f t="shared" si="349"/>
        <v/>
      </c>
      <c r="S1110" s="317" t="str">
        <f t="shared" si="350"/>
        <v/>
      </c>
      <c r="V1110" s="314">
        <f>SUM(ORÇAMENTO!N1110)</f>
        <v>0</v>
      </c>
      <c r="W1110" s="315">
        <f t="shared" si="351"/>
        <v>0</v>
      </c>
    </row>
    <row r="1111" spans="1:23" ht="30" hidden="1" customHeight="1">
      <c r="A1111" s="63">
        <v>93010</v>
      </c>
      <c r="B1111" s="870">
        <v>93010</v>
      </c>
      <c r="C1111" s="871" t="s">
        <v>590</v>
      </c>
      <c r="D1111" s="881" t="s">
        <v>1025</v>
      </c>
      <c r="E1111" s="882"/>
      <c r="F1111" s="883"/>
      <c r="G1111" s="887"/>
      <c r="H1111" s="876">
        <v>50.91</v>
      </c>
      <c r="I1111" s="876">
        <f t="shared" si="345"/>
        <v>50.91</v>
      </c>
      <c r="J1111" s="877">
        <f t="shared" si="344"/>
        <v>62.22</v>
      </c>
      <c r="K1111" s="878" t="s">
        <v>62</v>
      </c>
      <c r="L1111" s="879">
        <f>ROUND(SUM(ORÇAMENTO!L1111),2)</f>
        <v>0</v>
      </c>
      <c r="M1111" s="879">
        <f t="shared" si="346"/>
        <v>0</v>
      </c>
      <c r="N1111" s="868">
        <f t="shared" si="347"/>
        <v>0</v>
      </c>
      <c r="O1111" s="880"/>
      <c r="Q1111" s="317" t="str">
        <f t="shared" si="348"/>
        <v/>
      </c>
      <c r="R1111" s="317" t="str">
        <f t="shared" si="349"/>
        <v/>
      </c>
      <c r="S1111" s="317" t="str">
        <f t="shared" si="350"/>
        <v/>
      </c>
      <c r="V1111" s="314">
        <f>SUM(ORÇAMENTO!N1111)</f>
        <v>0</v>
      </c>
      <c r="W1111" s="315">
        <f t="shared" si="351"/>
        <v>0</v>
      </c>
    </row>
    <row r="1112" spans="1:23" ht="30" hidden="1" customHeight="1">
      <c r="A1112" s="63">
        <v>93011</v>
      </c>
      <c r="B1112" s="870">
        <v>93011</v>
      </c>
      <c r="C1112" s="871" t="s">
        <v>590</v>
      </c>
      <c r="D1112" s="881" t="s">
        <v>1026</v>
      </c>
      <c r="E1112" s="882"/>
      <c r="F1112" s="883"/>
      <c r="G1112" s="887"/>
      <c r="H1112" s="876">
        <v>62.51</v>
      </c>
      <c r="I1112" s="876">
        <f t="shared" si="345"/>
        <v>62.51</v>
      </c>
      <c r="J1112" s="877">
        <f t="shared" si="344"/>
        <v>76.400000000000006</v>
      </c>
      <c r="K1112" s="878" t="s">
        <v>62</v>
      </c>
      <c r="L1112" s="879">
        <f>ROUND(SUM(ORÇAMENTO!L1112),2)</f>
        <v>0</v>
      </c>
      <c r="M1112" s="879">
        <f t="shared" si="346"/>
        <v>0</v>
      </c>
      <c r="N1112" s="868">
        <f t="shared" si="347"/>
        <v>0</v>
      </c>
      <c r="O1112" s="880"/>
      <c r="Q1112" s="317" t="str">
        <f t="shared" si="348"/>
        <v/>
      </c>
      <c r="R1112" s="317" t="str">
        <f t="shared" si="349"/>
        <v/>
      </c>
      <c r="S1112" s="317" t="str">
        <f t="shared" si="350"/>
        <v/>
      </c>
      <c r="V1112" s="314">
        <f>SUM(ORÇAMENTO!N1112)</f>
        <v>0</v>
      </c>
      <c r="W1112" s="315">
        <f t="shared" si="351"/>
        <v>0</v>
      </c>
    </row>
    <row r="1113" spans="1:23" ht="30" hidden="1" customHeight="1">
      <c r="A1113" s="63">
        <v>93012</v>
      </c>
      <c r="B1113" s="870">
        <v>93012</v>
      </c>
      <c r="C1113" s="871" t="s">
        <v>590</v>
      </c>
      <c r="D1113" s="881" t="s">
        <v>1027</v>
      </c>
      <c r="E1113" s="882"/>
      <c r="F1113" s="883"/>
      <c r="G1113" s="887"/>
      <c r="H1113" s="876">
        <v>95.11</v>
      </c>
      <c r="I1113" s="876">
        <f t="shared" si="345"/>
        <v>95.11</v>
      </c>
      <c r="J1113" s="877">
        <f t="shared" si="344"/>
        <v>116.24</v>
      </c>
      <c r="K1113" s="878" t="s">
        <v>62</v>
      </c>
      <c r="L1113" s="879">
        <f>ROUND(SUM(ORÇAMENTO!L1113),2)</f>
        <v>0</v>
      </c>
      <c r="M1113" s="879">
        <f t="shared" si="346"/>
        <v>0</v>
      </c>
      <c r="N1113" s="868">
        <f t="shared" si="347"/>
        <v>0</v>
      </c>
      <c r="O1113" s="880"/>
      <c r="Q1113" s="317" t="str">
        <f t="shared" si="348"/>
        <v/>
      </c>
      <c r="R1113" s="317" t="str">
        <f t="shared" si="349"/>
        <v/>
      </c>
      <c r="S1113" s="317" t="str">
        <f t="shared" si="350"/>
        <v/>
      </c>
      <c r="V1113" s="314">
        <f>SUM(ORÇAMENTO!N1113)</f>
        <v>0</v>
      </c>
      <c r="W1113" s="315">
        <f t="shared" si="351"/>
        <v>0</v>
      </c>
    </row>
    <row r="1114" spans="1:23" ht="30" hidden="1" customHeight="1">
      <c r="A1114" s="63">
        <v>95726</v>
      </c>
      <c r="B1114" s="870">
        <v>95726</v>
      </c>
      <c r="C1114" s="871" t="s">
        <v>590</v>
      </c>
      <c r="D1114" s="881" t="s">
        <v>1028</v>
      </c>
      <c r="E1114" s="882"/>
      <c r="F1114" s="883"/>
      <c r="G1114" s="887"/>
      <c r="H1114" s="876">
        <v>10.94</v>
      </c>
      <c r="I1114" s="876">
        <f t="shared" si="345"/>
        <v>10.94</v>
      </c>
      <c r="J1114" s="877">
        <f t="shared" si="344"/>
        <v>13.37</v>
      </c>
      <c r="K1114" s="878" t="s">
        <v>62</v>
      </c>
      <c r="L1114" s="879">
        <f>ROUND(SUM(ORÇAMENTO!L1114),2)</f>
        <v>0</v>
      </c>
      <c r="M1114" s="879">
        <f t="shared" si="346"/>
        <v>0</v>
      </c>
      <c r="N1114" s="868">
        <f t="shared" si="347"/>
        <v>0</v>
      </c>
      <c r="O1114" s="880"/>
      <c r="Q1114" s="317" t="str">
        <f t="shared" si="348"/>
        <v/>
      </c>
      <c r="R1114" s="317" t="str">
        <f t="shared" si="349"/>
        <v/>
      </c>
      <c r="S1114" s="317" t="str">
        <f t="shared" si="350"/>
        <v/>
      </c>
      <c r="V1114" s="314">
        <f>SUM(ORÇAMENTO!N1114)</f>
        <v>0</v>
      </c>
      <c r="W1114" s="315">
        <f t="shared" si="351"/>
        <v>0</v>
      </c>
    </row>
    <row r="1115" spans="1:23" ht="30" hidden="1" customHeight="1">
      <c r="A1115" s="63">
        <v>95727</v>
      </c>
      <c r="B1115" s="870">
        <v>95727</v>
      </c>
      <c r="C1115" s="871" t="s">
        <v>590</v>
      </c>
      <c r="D1115" s="881" t="s">
        <v>1029</v>
      </c>
      <c r="E1115" s="882"/>
      <c r="F1115" s="883"/>
      <c r="G1115" s="887"/>
      <c r="H1115" s="876">
        <v>15.28</v>
      </c>
      <c r="I1115" s="876">
        <f t="shared" si="345"/>
        <v>15.28</v>
      </c>
      <c r="J1115" s="877">
        <f t="shared" si="344"/>
        <v>18.68</v>
      </c>
      <c r="K1115" s="878" t="s">
        <v>62</v>
      </c>
      <c r="L1115" s="879">
        <f>ROUND(SUM(ORÇAMENTO!L1115),2)</f>
        <v>0</v>
      </c>
      <c r="M1115" s="879">
        <f t="shared" si="346"/>
        <v>0</v>
      </c>
      <c r="N1115" s="868">
        <f t="shared" si="347"/>
        <v>0</v>
      </c>
      <c r="O1115" s="880"/>
      <c r="Q1115" s="317" t="str">
        <f t="shared" si="348"/>
        <v/>
      </c>
      <c r="R1115" s="317" t="str">
        <f t="shared" si="349"/>
        <v/>
      </c>
      <c r="S1115" s="317" t="str">
        <f t="shared" si="350"/>
        <v/>
      </c>
      <c r="V1115" s="314">
        <f>SUM(ORÇAMENTO!N1115)</f>
        <v>0</v>
      </c>
      <c r="W1115" s="315">
        <f t="shared" si="351"/>
        <v>0</v>
      </c>
    </row>
    <row r="1116" spans="1:23" ht="30" hidden="1" customHeight="1">
      <c r="A1116" s="63">
        <v>95728</v>
      </c>
      <c r="B1116" s="870">
        <v>95728</v>
      </c>
      <c r="C1116" s="871" t="s">
        <v>590</v>
      </c>
      <c r="D1116" s="881" t="s">
        <v>1030</v>
      </c>
      <c r="E1116" s="882"/>
      <c r="F1116" s="883"/>
      <c r="G1116" s="887"/>
      <c r="H1116" s="876">
        <v>22.47</v>
      </c>
      <c r="I1116" s="876">
        <f t="shared" si="345"/>
        <v>22.47</v>
      </c>
      <c r="J1116" s="877">
        <f t="shared" si="344"/>
        <v>27.46</v>
      </c>
      <c r="K1116" s="878" t="s">
        <v>62</v>
      </c>
      <c r="L1116" s="879">
        <f>ROUND(SUM(ORÇAMENTO!L1116),2)</f>
        <v>0</v>
      </c>
      <c r="M1116" s="879">
        <f t="shared" si="346"/>
        <v>0</v>
      </c>
      <c r="N1116" s="868">
        <f t="shared" si="347"/>
        <v>0</v>
      </c>
      <c r="O1116" s="880"/>
      <c r="Q1116" s="317" t="str">
        <f t="shared" si="348"/>
        <v/>
      </c>
      <c r="R1116" s="317" t="str">
        <f t="shared" si="349"/>
        <v/>
      </c>
      <c r="S1116" s="317" t="str">
        <f t="shared" si="350"/>
        <v/>
      </c>
      <c r="V1116" s="314">
        <f>SUM(ORÇAMENTO!N1116)</f>
        <v>0</v>
      </c>
      <c r="W1116" s="315">
        <f t="shared" si="351"/>
        <v>0</v>
      </c>
    </row>
    <row r="1117" spans="1:23" ht="30" hidden="1" customHeight="1">
      <c r="A1117" s="63">
        <v>95729</v>
      </c>
      <c r="B1117" s="870">
        <v>95729</v>
      </c>
      <c r="C1117" s="871" t="s">
        <v>590</v>
      </c>
      <c r="D1117" s="881" t="s">
        <v>1031</v>
      </c>
      <c r="E1117" s="882"/>
      <c r="F1117" s="883"/>
      <c r="G1117" s="887"/>
      <c r="H1117" s="876">
        <v>10.130000000000001</v>
      </c>
      <c r="I1117" s="876">
        <f t="shared" si="345"/>
        <v>10.130000000000001</v>
      </c>
      <c r="J1117" s="877">
        <f t="shared" si="344"/>
        <v>12.38</v>
      </c>
      <c r="K1117" s="878" t="s">
        <v>62</v>
      </c>
      <c r="L1117" s="879">
        <f>ROUND(SUM(ORÇAMENTO!L1117),2)</f>
        <v>0</v>
      </c>
      <c r="M1117" s="879">
        <f t="shared" si="346"/>
        <v>0</v>
      </c>
      <c r="N1117" s="868">
        <f t="shared" si="347"/>
        <v>0</v>
      </c>
      <c r="O1117" s="880"/>
      <c r="Q1117" s="317" t="str">
        <f t="shared" si="348"/>
        <v/>
      </c>
      <c r="R1117" s="317" t="str">
        <f t="shared" si="349"/>
        <v/>
      </c>
      <c r="S1117" s="317" t="str">
        <f t="shared" si="350"/>
        <v/>
      </c>
      <c r="V1117" s="314">
        <f>SUM(ORÇAMENTO!N1117)</f>
        <v>0</v>
      </c>
      <c r="W1117" s="315">
        <f t="shared" si="351"/>
        <v>0</v>
      </c>
    </row>
    <row r="1118" spans="1:23" ht="30" hidden="1" customHeight="1">
      <c r="A1118" s="63">
        <v>95730</v>
      </c>
      <c r="B1118" s="870">
        <v>95730</v>
      </c>
      <c r="C1118" s="871" t="s">
        <v>590</v>
      </c>
      <c r="D1118" s="881" t="s">
        <v>1032</v>
      </c>
      <c r="E1118" s="882"/>
      <c r="F1118" s="883"/>
      <c r="G1118" s="887"/>
      <c r="H1118" s="876">
        <v>11.31</v>
      </c>
      <c r="I1118" s="876">
        <f t="shared" si="345"/>
        <v>11.31</v>
      </c>
      <c r="J1118" s="877">
        <f t="shared" si="344"/>
        <v>13.82</v>
      </c>
      <c r="K1118" s="878" t="s">
        <v>62</v>
      </c>
      <c r="L1118" s="879">
        <f>ROUND(SUM(ORÇAMENTO!L1118),2)</f>
        <v>0</v>
      </c>
      <c r="M1118" s="879">
        <f t="shared" si="346"/>
        <v>0</v>
      </c>
      <c r="N1118" s="868">
        <f t="shared" si="347"/>
        <v>0</v>
      </c>
      <c r="O1118" s="880"/>
      <c r="Q1118" s="317" t="str">
        <f t="shared" si="348"/>
        <v/>
      </c>
      <c r="R1118" s="317" t="str">
        <f t="shared" si="349"/>
        <v/>
      </c>
      <c r="S1118" s="317" t="str">
        <f t="shared" si="350"/>
        <v/>
      </c>
      <c r="V1118" s="314">
        <f>SUM(ORÇAMENTO!N1118)</f>
        <v>0</v>
      </c>
      <c r="W1118" s="315">
        <f t="shared" si="351"/>
        <v>0</v>
      </c>
    </row>
    <row r="1119" spans="1:23" ht="30" hidden="1" customHeight="1">
      <c r="A1119" s="63">
        <v>95731</v>
      </c>
      <c r="B1119" s="870">
        <v>95731</v>
      </c>
      <c r="C1119" s="871" t="s">
        <v>590</v>
      </c>
      <c r="D1119" s="881" t="s">
        <v>1033</v>
      </c>
      <c r="E1119" s="882"/>
      <c r="F1119" s="883"/>
      <c r="G1119" s="887"/>
      <c r="H1119" s="876">
        <v>13.96</v>
      </c>
      <c r="I1119" s="876">
        <f t="shared" si="345"/>
        <v>13.96</v>
      </c>
      <c r="J1119" s="877">
        <f t="shared" si="344"/>
        <v>17.059999999999999</v>
      </c>
      <c r="K1119" s="878" t="s">
        <v>62</v>
      </c>
      <c r="L1119" s="879">
        <f>ROUND(SUM(ORÇAMENTO!L1119),2)</f>
        <v>0</v>
      </c>
      <c r="M1119" s="879">
        <f t="shared" si="346"/>
        <v>0</v>
      </c>
      <c r="N1119" s="868">
        <f t="shared" si="347"/>
        <v>0</v>
      </c>
      <c r="O1119" s="880"/>
      <c r="Q1119" s="317" t="str">
        <f t="shared" si="348"/>
        <v/>
      </c>
      <c r="R1119" s="317" t="str">
        <f t="shared" si="349"/>
        <v/>
      </c>
      <c r="S1119" s="317" t="str">
        <f t="shared" si="350"/>
        <v/>
      </c>
      <c r="V1119" s="314">
        <f>SUM(ORÇAMENTO!N1119)</f>
        <v>0</v>
      </c>
      <c r="W1119" s="315">
        <f t="shared" si="351"/>
        <v>0</v>
      </c>
    </row>
    <row r="1120" spans="1:23" ht="30" hidden="1" customHeight="1">
      <c r="A1120" s="63">
        <v>95733</v>
      </c>
      <c r="B1120" s="870">
        <v>95733</v>
      </c>
      <c r="C1120" s="871" t="s">
        <v>590</v>
      </c>
      <c r="D1120" s="881" t="s">
        <v>1034</v>
      </c>
      <c r="E1120" s="882"/>
      <c r="F1120" s="883"/>
      <c r="G1120" s="887"/>
      <c r="H1120" s="876">
        <v>6.78</v>
      </c>
      <c r="I1120" s="876">
        <f t="shared" si="345"/>
        <v>6.78</v>
      </c>
      <c r="J1120" s="877">
        <f t="shared" si="344"/>
        <v>8.2899999999999991</v>
      </c>
      <c r="K1120" s="878" t="s">
        <v>1500</v>
      </c>
      <c r="L1120" s="879">
        <f>ROUND(SUM(ORÇAMENTO!L1120),2)</f>
        <v>0</v>
      </c>
      <c r="M1120" s="879">
        <f t="shared" si="346"/>
        <v>0</v>
      </c>
      <c r="N1120" s="868">
        <f t="shared" si="347"/>
        <v>0</v>
      </c>
      <c r="O1120" s="880"/>
      <c r="Q1120" s="317" t="str">
        <f t="shared" si="348"/>
        <v/>
      </c>
      <c r="R1120" s="317" t="str">
        <f t="shared" si="349"/>
        <v/>
      </c>
      <c r="S1120" s="317" t="str">
        <f t="shared" si="350"/>
        <v/>
      </c>
      <c r="V1120" s="314">
        <f>SUM(ORÇAMENTO!N1120)</f>
        <v>0</v>
      </c>
      <c r="W1120" s="315">
        <f t="shared" si="351"/>
        <v>0</v>
      </c>
    </row>
    <row r="1121" spans="1:23" ht="30" hidden="1" customHeight="1">
      <c r="A1121" s="63">
        <v>95734</v>
      </c>
      <c r="B1121" s="870">
        <v>95734</v>
      </c>
      <c r="C1121" s="871" t="s">
        <v>590</v>
      </c>
      <c r="D1121" s="881" t="s">
        <v>1035</v>
      </c>
      <c r="E1121" s="882"/>
      <c r="F1121" s="883"/>
      <c r="G1121" s="887"/>
      <c r="H1121" s="876">
        <v>9.0299999999999994</v>
      </c>
      <c r="I1121" s="876">
        <f t="shared" si="345"/>
        <v>9.0299999999999994</v>
      </c>
      <c r="J1121" s="877">
        <f t="shared" si="344"/>
        <v>11.04</v>
      </c>
      <c r="K1121" s="878" t="s">
        <v>1500</v>
      </c>
      <c r="L1121" s="879">
        <f>ROUND(SUM(ORÇAMENTO!L1121),2)</f>
        <v>0</v>
      </c>
      <c r="M1121" s="879">
        <f t="shared" si="346"/>
        <v>0</v>
      </c>
      <c r="N1121" s="868">
        <f t="shared" si="347"/>
        <v>0</v>
      </c>
      <c r="O1121" s="880"/>
      <c r="Q1121" s="317" t="str">
        <f t="shared" si="348"/>
        <v/>
      </c>
      <c r="R1121" s="317" t="str">
        <f t="shared" si="349"/>
        <v/>
      </c>
      <c r="S1121" s="317" t="str">
        <f t="shared" si="350"/>
        <v/>
      </c>
      <c r="V1121" s="314">
        <f>SUM(ORÇAMENTO!N1121)</f>
        <v>0</v>
      </c>
      <c r="W1121" s="315">
        <f t="shared" si="351"/>
        <v>0</v>
      </c>
    </row>
    <row r="1122" spans="1:23" ht="30" hidden="1" customHeight="1">
      <c r="A1122" s="63">
        <v>95735</v>
      </c>
      <c r="B1122" s="870">
        <v>95735</v>
      </c>
      <c r="C1122" s="871" t="s">
        <v>590</v>
      </c>
      <c r="D1122" s="881" t="s">
        <v>1036</v>
      </c>
      <c r="E1122" s="882"/>
      <c r="F1122" s="883"/>
      <c r="G1122" s="887"/>
      <c r="H1122" s="876">
        <v>7.48</v>
      </c>
      <c r="I1122" s="876">
        <f t="shared" si="345"/>
        <v>7.48</v>
      </c>
      <c r="J1122" s="877">
        <f t="shared" si="344"/>
        <v>9.14</v>
      </c>
      <c r="K1122" s="878" t="s">
        <v>1500</v>
      </c>
      <c r="L1122" s="879">
        <f>ROUND(SUM(ORÇAMENTO!L1122),2)</f>
        <v>0</v>
      </c>
      <c r="M1122" s="879">
        <f t="shared" si="346"/>
        <v>0</v>
      </c>
      <c r="N1122" s="868">
        <f t="shared" si="347"/>
        <v>0</v>
      </c>
      <c r="O1122" s="880"/>
      <c r="Q1122" s="317" t="str">
        <f t="shared" si="348"/>
        <v/>
      </c>
      <c r="R1122" s="317" t="str">
        <f t="shared" si="349"/>
        <v/>
      </c>
      <c r="S1122" s="317" t="str">
        <f t="shared" si="350"/>
        <v/>
      </c>
      <c r="V1122" s="314">
        <f>SUM(ORÇAMENTO!N1122)</f>
        <v>0</v>
      </c>
      <c r="W1122" s="315">
        <f t="shared" si="351"/>
        <v>0</v>
      </c>
    </row>
    <row r="1123" spans="1:23" ht="30" hidden="1" customHeight="1">
      <c r="A1123" s="63">
        <v>95736</v>
      </c>
      <c r="B1123" s="870">
        <v>95736</v>
      </c>
      <c r="C1123" s="871" t="s">
        <v>590</v>
      </c>
      <c r="D1123" s="881" t="s">
        <v>1037</v>
      </c>
      <c r="E1123" s="882"/>
      <c r="F1123" s="883"/>
      <c r="G1123" s="887"/>
      <c r="H1123" s="876">
        <v>8.85</v>
      </c>
      <c r="I1123" s="876">
        <f t="shared" si="345"/>
        <v>8.85</v>
      </c>
      <c r="J1123" s="877">
        <f t="shared" si="344"/>
        <v>10.82</v>
      </c>
      <c r="K1123" s="878" t="s">
        <v>1500</v>
      </c>
      <c r="L1123" s="879">
        <f>ROUND(SUM(ORÇAMENTO!L1123),2)</f>
        <v>0</v>
      </c>
      <c r="M1123" s="879">
        <f t="shared" si="346"/>
        <v>0</v>
      </c>
      <c r="N1123" s="868">
        <f t="shared" si="347"/>
        <v>0</v>
      </c>
      <c r="O1123" s="880"/>
      <c r="Q1123" s="317" t="str">
        <f t="shared" si="348"/>
        <v/>
      </c>
      <c r="R1123" s="317" t="str">
        <f t="shared" si="349"/>
        <v/>
      </c>
      <c r="S1123" s="317" t="str">
        <f t="shared" si="350"/>
        <v/>
      </c>
      <c r="V1123" s="314">
        <f>SUM(ORÇAMENTO!N1123)</f>
        <v>0</v>
      </c>
      <c r="W1123" s="315">
        <f t="shared" si="351"/>
        <v>0</v>
      </c>
    </row>
    <row r="1124" spans="1:23" ht="30" hidden="1" customHeight="1">
      <c r="A1124" s="63">
        <v>95738</v>
      </c>
      <c r="B1124" s="870">
        <v>95738</v>
      </c>
      <c r="C1124" s="871" t="s">
        <v>590</v>
      </c>
      <c r="D1124" s="881" t="s">
        <v>1038</v>
      </c>
      <c r="E1124" s="882"/>
      <c r="F1124" s="883"/>
      <c r="G1124" s="887"/>
      <c r="H1124" s="876">
        <v>10.71</v>
      </c>
      <c r="I1124" s="876">
        <f t="shared" si="345"/>
        <v>10.71</v>
      </c>
      <c r="J1124" s="877">
        <f t="shared" si="344"/>
        <v>13.09</v>
      </c>
      <c r="K1124" s="878" t="s">
        <v>1500</v>
      </c>
      <c r="L1124" s="879">
        <f>ROUND(SUM(ORÇAMENTO!L1124),2)</f>
        <v>0</v>
      </c>
      <c r="M1124" s="879">
        <f t="shared" si="346"/>
        <v>0</v>
      </c>
      <c r="N1124" s="868">
        <f t="shared" si="347"/>
        <v>0</v>
      </c>
      <c r="O1124" s="880"/>
      <c r="Q1124" s="317" t="str">
        <f t="shared" si="348"/>
        <v/>
      </c>
      <c r="R1124" s="317" t="str">
        <f t="shared" si="349"/>
        <v/>
      </c>
      <c r="S1124" s="317" t="str">
        <f t="shared" si="350"/>
        <v/>
      </c>
      <c r="V1124" s="314">
        <f>SUM(ORÇAMENTO!N1124)</f>
        <v>0</v>
      </c>
      <c r="W1124" s="315">
        <f t="shared" si="351"/>
        <v>0</v>
      </c>
    </row>
    <row r="1125" spans="1:23" ht="30" hidden="1" customHeight="1">
      <c r="A1125" s="63">
        <v>95732</v>
      </c>
      <c r="B1125" s="870">
        <v>95732</v>
      </c>
      <c r="C1125" s="871" t="s">
        <v>590</v>
      </c>
      <c r="D1125" s="881" t="s">
        <v>1039</v>
      </c>
      <c r="E1125" s="882"/>
      <c r="F1125" s="883"/>
      <c r="G1125" s="887"/>
      <c r="H1125" s="876">
        <v>5.14</v>
      </c>
      <c r="I1125" s="876">
        <f t="shared" si="345"/>
        <v>5.14</v>
      </c>
      <c r="J1125" s="877">
        <f t="shared" si="344"/>
        <v>6.28</v>
      </c>
      <c r="K1125" s="878" t="s">
        <v>1500</v>
      </c>
      <c r="L1125" s="879">
        <f>ROUND(SUM(ORÇAMENTO!L1125),2)</f>
        <v>0</v>
      </c>
      <c r="M1125" s="879">
        <f t="shared" si="346"/>
        <v>0</v>
      </c>
      <c r="N1125" s="868">
        <f t="shared" si="347"/>
        <v>0</v>
      </c>
      <c r="O1125" s="880"/>
      <c r="Q1125" s="317" t="str">
        <f t="shared" si="348"/>
        <v/>
      </c>
      <c r="R1125" s="317" t="str">
        <f t="shared" si="349"/>
        <v/>
      </c>
      <c r="S1125" s="317" t="str">
        <f t="shared" si="350"/>
        <v/>
      </c>
      <c r="V1125" s="314">
        <f>SUM(ORÇAMENTO!N1125)</f>
        <v>0</v>
      </c>
      <c r="W1125" s="315">
        <f t="shared" si="351"/>
        <v>0</v>
      </c>
    </row>
    <row r="1126" spans="1:23" ht="30" hidden="1" customHeight="1">
      <c r="A1126" s="63">
        <v>95745</v>
      </c>
      <c r="B1126" s="870">
        <v>95745</v>
      </c>
      <c r="C1126" s="871" t="s">
        <v>590</v>
      </c>
      <c r="D1126" s="881" t="s">
        <v>1040</v>
      </c>
      <c r="E1126" s="882"/>
      <c r="F1126" s="883"/>
      <c r="G1126" s="887"/>
      <c r="H1126" s="876">
        <v>23.89</v>
      </c>
      <c r="I1126" s="876">
        <f t="shared" si="345"/>
        <v>23.89</v>
      </c>
      <c r="J1126" s="877">
        <f t="shared" si="344"/>
        <v>29.2</v>
      </c>
      <c r="K1126" s="878" t="s">
        <v>62</v>
      </c>
      <c r="L1126" s="879">
        <f>ROUND(SUM(ORÇAMENTO!L1126),2)</f>
        <v>0</v>
      </c>
      <c r="M1126" s="879">
        <f t="shared" si="346"/>
        <v>0</v>
      </c>
      <c r="N1126" s="868">
        <f t="shared" si="347"/>
        <v>0</v>
      </c>
      <c r="O1126" s="880"/>
      <c r="Q1126" s="317" t="str">
        <f t="shared" si="348"/>
        <v/>
      </c>
      <c r="R1126" s="317" t="str">
        <f t="shared" si="349"/>
        <v/>
      </c>
      <c r="S1126" s="317" t="str">
        <f t="shared" si="350"/>
        <v/>
      </c>
      <c r="V1126" s="314">
        <f>SUM(ORÇAMENTO!N1126)</f>
        <v>0</v>
      </c>
      <c r="W1126" s="315">
        <f t="shared" si="351"/>
        <v>0</v>
      </c>
    </row>
    <row r="1127" spans="1:23" ht="30" hidden="1" customHeight="1">
      <c r="A1127" s="63">
        <v>95746</v>
      </c>
      <c r="B1127" s="870">
        <v>95746</v>
      </c>
      <c r="C1127" s="871" t="s">
        <v>590</v>
      </c>
      <c r="D1127" s="881" t="s">
        <v>1041</v>
      </c>
      <c r="E1127" s="882"/>
      <c r="F1127" s="883"/>
      <c r="G1127" s="887"/>
      <c r="H1127" s="876">
        <v>29.71</v>
      </c>
      <c r="I1127" s="876">
        <f t="shared" si="345"/>
        <v>29.71</v>
      </c>
      <c r="J1127" s="877">
        <f t="shared" si="344"/>
        <v>36.31</v>
      </c>
      <c r="K1127" s="878" t="s">
        <v>62</v>
      </c>
      <c r="L1127" s="879">
        <f>ROUND(SUM(ORÇAMENTO!L1127),2)</f>
        <v>0</v>
      </c>
      <c r="M1127" s="879">
        <f t="shared" si="346"/>
        <v>0</v>
      </c>
      <c r="N1127" s="868">
        <f t="shared" si="347"/>
        <v>0</v>
      </c>
      <c r="O1127" s="880"/>
      <c r="Q1127" s="317" t="str">
        <f t="shared" si="348"/>
        <v/>
      </c>
      <c r="R1127" s="317" t="str">
        <f t="shared" si="349"/>
        <v/>
      </c>
      <c r="S1127" s="317" t="str">
        <f t="shared" si="350"/>
        <v/>
      </c>
      <c r="V1127" s="314">
        <f>SUM(ORÇAMENTO!N1127)</f>
        <v>0</v>
      </c>
      <c r="W1127" s="315">
        <f t="shared" si="351"/>
        <v>0</v>
      </c>
    </row>
    <row r="1128" spans="1:23" ht="30" hidden="1" customHeight="1">
      <c r="A1128" s="63">
        <v>95747</v>
      </c>
      <c r="B1128" s="870">
        <v>95747</v>
      </c>
      <c r="C1128" s="871" t="s">
        <v>590</v>
      </c>
      <c r="D1128" s="881" t="s">
        <v>1042</v>
      </c>
      <c r="E1128" s="882"/>
      <c r="F1128" s="883"/>
      <c r="G1128" s="887"/>
      <c r="H1128" s="876">
        <v>49.07</v>
      </c>
      <c r="I1128" s="876">
        <f t="shared" si="345"/>
        <v>49.07</v>
      </c>
      <c r="J1128" s="877">
        <f t="shared" si="344"/>
        <v>59.97</v>
      </c>
      <c r="K1128" s="878" t="s">
        <v>62</v>
      </c>
      <c r="L1128" s="879">
        <f>ROUND(SUM(ORÇAMENTO!L1128),2)</f>
        <v>0</v>
      </c>
      <c r="M1128" s="879">
        <f t="shared" si="346"/>
        <v>0</v>
      </c>
      <c r="N1128" s="868">
        <f t="shared" si="347"/>
        <v>0</v>
      </c>
      <c r="O1128" s="880"/>
      <c r="Q1128" s="317" t="str">
        <f t="shared" si="348"/>
        <v/>
      </c>
      <c r="R1128" s="317" t="str">
        <f t="shared" si="349"/>
        <v/>
      </c>
      <c r="S1128" s="317" t="str">
        <f t="shared" si="350"/>
        <v/>
      </c>
      <c r="V1128" s="314">
        <f>SUM(ORÇAMENTO!N1128)</f>
        <v>0</v>
      </c>
      <c r="W1128" s="315">
        <f t="shared" si="351"/>
        <v>0</v>
      </c>
    </row>
    <row r="1129" spans="1:23" ht="30" hidden="1" customHeight="1">
      <c r="A1129" s="63">
        <v>95748</v>
      </c>
      <c r="B1129" s="870">
        <v>95748</v>
      </c>
      <c r="C1129" s="871" t="s">
        <v>590</v>
      </c>
      <c r="D1129" s="881" t="s">
        <v>1043</v>
      </c>
      <c r="E1129" s="882"/>
      <c r="F1129" s="883"/>
      <c r="G1129" s="887"/>
      <c r="H1129" s="876">
        <v>53.05</v>
      </c>
      <c r="I1129" s="876">
        <f t="shared" si="345"/>
        <v>53.05</v>
      </c>
      <c r="J1129" s="877">
        <f t="shared" si="344"/>
        <v>64.84</v>
      </c>
      <c r="K1129" s="878" t="s">
        <v>62</v>
      </c>
      <c r="L1129" s="879">
        <f>ROUND(SUM(ORÇAMENTO!L1129),2)</f>
        <v>0</v>
      </c>
      <c r="M1129" s="879">
        <f t="shared" si="346"/>
        <v>0</v>
      </c>
      <c r="N1129" s="868">
        <f t="shared" si="347"/>
        <v>0</v>
      </c>
      <c r="O1129" s="880"/>
      <c r="Q1129" s="317" t="str">
        <f t="shared" si="348"/>
        <v/>
      </c>
      <c r="R1129" s="317" t="str">
        <f t="shared" si="349"/>
        <v/>
      </c>
      <c r="S1129" s="317" t="str">
        <f t="shared" si="350"/>
        <v/>
      </c>
      <c r="V1129" s="314">
        <f>SUM(ORÇAMENTO!N1129)</f>
        <v>0</v>
      </c>
      <c r="W1129" s="315">
        <f t="shared" si="351"/>
        <v>0</v>
      </c>
    </row>
    <row r="1130" spans="1:23" ht="30" hidden="1" customHeight="1">
      <c r="A1130" s="63">
        <v>95749</v>
      </c>
      <c r="B1130" s="870">
        <v>95749</v>
      </c>
      <c r="C1130" s="871" t="s">
        <v>590</v>
      </c>
      <c r="D1130" s="881" t="s">
        <v>1044</v>
      </c>
      <c r="E1130" s="882"/>
      <c r="F1130" s="883"/>
      <c r="G1130" s="887"/>
      <c r="H1130" s="876">
        <v>31.18</v>
      </c>
      <c r="I1130" s="876">
        <f t="shared" si="345"/>
        <v>31.18</v>
      </c>
      <c r="J1130" s="877">
        <f t="shared" si="344"/>
        <v>38.11</v>
      </c>
      <c r="K1130" s="878" t="s">
        <v>62</v>
      </c>
      <c r="L1130" s="879">
        <f>ROUND(SUM(ORÇAMENTO!L1130),2)</f>
        <v>0</v>
      </c>
      <c r="M1130" s="879">
        <f t="shared" si="346"/>
        <v>0</v>
      </c>
      <c r="N1130" s="868">
        <f t="shared" si="347"/>
        <v>0</v>
      </c>
      <c r="O1130" s="880"/>
      <c r="Q1130" s="317" t="str">
        <f t="shared" si="348"/>
        <v/>
      </c>
      <c r="R1130" s="317" t="str">
        <f t="shared" si="349"/>
        <v/>
      </c>
      <c r="S1130" s="317" t="str">
        <f t="shared" si="350"/>
        <v/>
      </c>
      <c r="V1130" s="314">
        <f>SUM(ORÇAMENTO!N1130)</f>
        <v>0</v>
      </c>
      <c r="W1130" s="315">
        <f t="shared" si="351"/>
        <v>0</v>
      </c>
    </row>
    <row r="1131" spans="1:23" ht="30" hidden="1" customHeight="1">
      <c r="A1131" s="63">
        <v>95750</v>
      </c>
      <c r="B1131" s="870">
        <v>95750</v>
      </c>
      <c r="C1131" s="871" t="s">
        <v>590</v>
      </c>
      <c r="D1131" s="881" t="s">
        <v>1045</v>
      </c>
      <c r="E1131" s="882"/>
      <c r="F1131" s="883"/>
      <c r="G1131" s="887"/>
      <c r="H1131" s="876">
        <v>36.840000000000003</v>
      </c>
      <c r="I1131" s="876">
        <f t="shared" si="345"/>
        <v>36.840000000000003</v>
      </c>
      <c r="J1131" s="877">
        <f t="shared" si="344"/>
        <v>45.03</v>
      </c>
      <c r="K1131" s="878" t="s">
        <v>62</v>
      </c>
      <c r="L1131" s="879">
        <f>ROUND(SUM(ORÇAMENTO!L1131),2)</f>
        <v>0</v>
      </c>
      <c r="M1131" s="879">
        <f t="shared" si="346"/>
        <v>0</v>
      </c>
      <c r="N1131" s="868">
        <f t="shared" si="347"/>
        <v>0</v>
      </c>
      <c r="O1131" s="880"/>
      <c r="Q1131" s="317" t="str">
        <f t="shared" si="348"/>
        <v/>
      </c>
      <c r="R1131" s="317" t="str">
        <f t="shared" si="349"/>
        <v/>
      </c>
      <c r="S1131" s="317" t="str">
        <f t="shared" si="350"/>
        <v/>
      </c>
      <c r="V1131" s="314">
        <f>SUM(ORÇAMENTO!N1131)</f>
        <v>0</v>
      </c>
      <c r="W1131" s="315">
        <f t="shared" si="351"/>
        <v>0</v>
      </c>
    </row>
    <row r="1132" spans="1:23" ht="30" hidden="1" customHeight="1">
      <c r="A1132" s="63">
        <v>95751</v>
      </c>
      <c r="B1132" s="870">
        <v>95751</v>
      </c>
      <c r="C1132" s="871" t="s">
        <v>590</v>
      </c>
      <c r="D1132" s="881" t="s">
        <v>1046</v>
      </c>
      <c r="E1132" s="882"/>
      <c r="F1132" s="883"/>
      <c r="G1132" s="887"/>
      <c r="H1132" s="876">
        <v>55.99</v>
      </c>
      <c r="I1132" s="876">
        <f t="shared" si="345"/>
        <v>55.99</v>
      </c>
      <c r="J1132" s="877">
        <f t="shared" si="344"/>
        <v>68.430000000000007</v>
      </c>
      <c r="K1132" s="878" t="s">
        <v>62</v>
      </c>
      <c r="L1132" s="879">
        <f>ROUND(SUM(ORÇAMENTO!L1132),2)</f>
        <v>0</v>
      </c>
      <c r="M1132" s="879">
        <f t="shared" si="346"/>
        <v>0</v>
      </c>
      <c r="N1132" s="868">
        <f t="shared" si="347"/>
        <v>0</v>
      </c>
      <c r="O1132" s="880"/>
      <c r="Q1132" s="317" t="str">
        <f t="shared" si="348"/>
        <v/>
      </c>
      <c r="R1132" s="317" t="str">
        <f t="shared" si="349"/>
        <v/>
      </c>
      <c r="S1132" s="317" t="str">
        <f t="shared" si="350"/>
        <v/>
      </c>
      <c r="V1132" s="314">
        <f>SUM(ORÇAMENTO!N1132)</f>
        <v>0</v>
      </c>
      <c r="W1132" s="315">
        <f t="shared" si="351"/>
        <v>0</v>
      </c>
    </row>
    <row r="1133" spans="1:23" ht="30" hidden="1" customHeight="1">
      <c r="A1133" s="63">
        <v>95752</v>
      </c>
      <c r="B1133" s="870">
        <v>95752</v>
      </c>
      <c r="C1133" s="871" t="s">
        <v>590</v>
      </c>
      <c r="D1133" s="881" t="s">
        <v>1047</v>
      </c>
      <c r="E1133" s="882"/>
      <c r="F1133" s="883"/>
      <c r="G1133" s="887"/>
      <c r="H1133" s="876">
        <v>59.7</v>
      </c>
      <c r="I1133" s="876">
        <f t="shared" si="345"/>
        <v>59.7</v>
      </c>
      <c r="J1133" s="877">
        <f t="shared" si="344"/>
        <v>72.97</v>
      </c>
      <c r="K1133" s="878" t="s">
        <v>62</v>
      </c>
      <c r="L1133" s="879">
        <f>ROUND(SUM(ORÇAMENTO!L1133),2)</f>
        <v>0</v>
      </c>
      <c r="M1133" s="879">
        <f t="shared" si="346"/>
        <v>0</v>
      </c>
      <c r="N1133" s="868">
        <f t="shared" si="347"/>
        <v>0</v>
      </c>
      <c r="O1133" s="880"/>
      <c r="Q1133" s="317" t="str">
        <f t="shared" si="348"/>
        <v/>
      </c>
      <c r="R1133" s="317" t="str">
        <f t="shared" si="349"/>
        <v/>
      </c>
      <c r="S1133" s="317" t="str">
        <f t="shared" si="350"/>
        <v/>
      </c>
      <c r="V1133" s="314">
        <f>SUM(ORÇAMENTO!N1133)</f>
        <v>0</v>
      </c>
      <c r="W1133" s="315">
        <f t="shared" si="351"/>
        <v>0</v>
      </c>
    </row>
    <row r="1134" spans="1:23" ht="30" hidden="1" customHeight="1">
      <c r="A1134" s="63">
        <v>95753</v>
      </c>
      <c r="B1134" s="870">
        <v>95753</v>
      </c>
      <c r="C1134" s="871" t="s">
        <v>590</v>
      </c>
      <c r="D1134" s="881" t="s">
        <v>1048</v>
      </c>
      <c r="E1134" s="882"/>
      <c r="F1134" s="883"/>
      <c r="G1134" s="887"/>
      <c r="H1134" s="876">
        <v>7.96</v>
      </c>
      <c r="I1134" s="876">
        <f t="shared" si="345"/>
        <v>7.96</v>
      </c>
      <c r="J1134" s="877">
        <f t="shared" si="344"/>
        <v>9.73</v>
      </c>
      <c r="K1134" s="878" t="s">
        <v>1500</v>
      </c>
      <c r="L1134" s="879">
        <f>ROUND(SUM(ORÇAMENTO!L1134),2)</f>
        <v>0</v>
      </c>
      <c r="M1134" s="879">
        <f t="shared" si="346"/>
        <v>0</v>
      </c>
      <c r="N1134" s="868">
        <f t="shared" si="347"/>
        <v>0</v>
      </c>
      <c r="O1134" s="880"/>
      <c r="Q1134" s="317" t="str">
        <f t="shared" si="348"/>
        <v/>
      </c>
      <c r="R1134" s="317" t="str">
        <f t="shared" si="349"/>
        <v/>
      </c>
      <c r="S1134" s="317" t="str">
        <f t="shared" si="350"/>
        <v/>
      </c>
      <c r="V1134" s="314">
        <f>SUM(ORÇAMENTO!N1134)</f>
        <v>0</v>
      </c>
      <c r="W1134" s="315">
        <f t="shared" si="351"/>
        <v>0</v>
      </c>
    </row>
    <row r="1135" spans="1:23" ht="30" hidden="1" customHeight="1">
      <c r="A1135" s="63">
        <v>95754</v>
      </c>
      <c r="B1135" s="870">
        <v>95754</v>
      </c>
      <c r="C1135" s="871" t="s">
        <v>590</v>
      </c>
      <c r="D1135" s="881" t="s">
        <v>1049</v>
      </c>
      <c r="E1135" s="882"/>
      <c r="F1135" s="883"/>
      <c r="G1135" s="887"/>
      <c r="H1135" s="876">
        <v>9.91</v>
      </c>
      <c r="I1135" s="876">
        <f t="shared" si="345"/>
        <v>9.91</v>
      </c>
      <c r="J1135" s="877">
        <f t="shared" si="344"/>
        <v>12.11</v>
      </c>
      <c r="K1135" s="878" t="s">
        <v>1500</v>
      </c>
      <c r="L1135" s="879">
        <f>ROUND(SUM(ORÇAMENTO!L1135),2)</f>
        <v>0</v>
      </c>
      <c r="M1135" s="879">
        <f t="shared" si="346"/>
        <v>0</v>
      </c>
      <c r="N1135" s="868">
        <f t="shared" si="347"/>
        <v>0</v>
      </c>
      <c r="O1135" s="880"/>
      <c r="Q1135" s="317" t="str">
        <f t="shared" si="348"/>
        <v/>
      </c>
      <c r="R1135" s="317" t="str">
        <f t="shared" si="349"/>
        <v/>
      </c>
      <c r="S1135" s="317" t="str">
        <f t="shared" si="350"/>
        <v/>
      </c>
      <c r="V1135" s="314">
        <f>SUM(ORÇAMENTO!N1135)</f>
        <v>0</v>
      </c>
      <c r="W1135" s="315">
        <f t="shared" si="351"/>
        <v>0</v>
      </c>
    </row>
    <row r="1136" spans="1:23" ht="30" hidden="1" customHeight="1">
      <c r="A1136" s="63">
        <v>95755</v>
      </c>
      <c r="B1136" s="870">
        <v>95755</v>
      </c>
      <c r="C1136" s="871" t="s">
        <v>590</v>
      </c>
      <c r="D1136" s="881" t="s">
        <v>1050</v>
      </c>
      <c r="E1136" s="882"/>
      <c r="F1136" s="883"/>
      <c r="G1136" s="887"/>
      <c r="H1136" s="876">
        <v>14.25</v>
      </c>
      <c r="I1136" s="876">
        <f t="shared" si="345"/>
        <v>14.25</v>
      </c>
      <c r="J1136" s="877">
        <f t="shared" si="344"/>
        <v>17.420000000000002</v>
      </c>
      <c r="K1136" s="878" t="s">
        <v>1500</v>
      </c>
      <c r="L1136" s="879">
        <f>ROUND(SUM(ORÇAMENTO!L1136),2)</f>
        <v>0</v>
      </c>
      <c r="M1136" s="879">
        <f t="shared" si="346"/>
        <v>0</v>
      </c>
      <c r="N1136" s="868">
        <f t="shared" si="347"/>
        <v>0</v>
      </c>
      <c r="O1136" s="880"/>
      <c r="Q1136" s="317" t="str">
        <f t="shared" si="348"/>
        <v/>
      </c>
      <c r="R1136" s="317" t="str">
        <f t="shared" si="349"/>
        <v/>
      </c>
      <c r="S1136" s="317" t="str">
        <f t="shared" si="350"/>
        <v/>
      </c>
      <c r="V1136" s="314">
        <f>SUM(ORÇAMENTO!N1136)</f>
        <v>0</v>
      </c>
      <c r="W1136" s="315">
        <f t="shared" si="351"/>
        <v>0</v>
      </c>
    </row>
    <row r="1137" spans="1:23" ht="30" hidden="1" customHeight="1">
      <c r="A1137" s="63">
        <v>95756</v>
      </c>
      <c r="B1137" s="870">
        <v>95756</v>
      </c>
      <c r="C1137" s="871" t="s">
        <v>590</v>
      </c>
      <c r="D1137" s="881" t="s">
        <v>1051</v>
      </c>
      <c r="E1137" s="882"/>
      <c r="F1137" s="883"/>
      <c r="G1137" s="887"/>
      <c r="H1137" s="876">
        <v>18.989999999999998</v>
      </c>
      <c r="I1137" s="876">
        <f t="shared" si="345"/>
        <v>18.989999999999998</v>
      </c>
      <c r="J1137" s="877">
        <f t="shared" si="344"/>
        <v>23.21</v>
      </c>
      <c r="K1137" s="878" t="s">
        <v>1500</v>
      </c>
      <c r="L1137" s="879">
        <f>ROUND(SUM(ORÇAMENTO!L1137),2)</f>
        <v>0</v>
      </c>
      <c r="M1137" s="879">
        <f t="shared" si="346"/>
        <v>0</v>
      </c>
      <c r="N1137" s="868">
        <f t="shared" si="347"/>
        <v>0</v>
      </c>
      <c r="O1137" s="880"/>
      <c r="Q1137" s="317" t="str">
        <f t="shared" si="348"/>
        <v/>
      </c>
      <c r="R1137" s="317" t="str">
        <f t="shared" si="349"/>
        <v/>
      </c>
      <c r="S1137" s="317" t="str">
        <f t="shared" si="350"/>
        <v/>
      </c>
      <c r="V1137" s="314">
        <f>SUM(ORÇAMENTO!N1137)</f>
        <v>0</v>
      </c>
      <c r="W1137" s="315">
        <f t="shared" si="351"/>
        <v>0</v>
      </c>
    </row>
    <row r="1138" spans="1:23" ht="30" hidden="1" customHeight="1">
      <c r="A1138" s="63">
        <v>95757</v>
      </c>
      <c r="B1138" s="870">
        <v>95757</v>
      </c>
      <c r="C1138" s="871" t="s">
        <v>590</v>
      </c>
      <c r="D1138" s="881" t="s">
        <v>1052</v>
      </c>
      <c r="E1138" s="882"/>
      <c r="F1138" s="883"/>
      <c r="G1138" s="887"/>
      <c r="H1138" s="876">
        <v>12.01</v>
      </c>
      <c r="I1138" s="876">
        <f t="shared" si="345"/>
        <v>12.01</v>
      </c>
      <c r="J1138" s="877">
        <f t="shared" si="344"/>
        <v>14.68</v>
      </c>
      <c r="K1138" s="878" t="s">
        <v>1500</v>
      </c>
      <c r="L1138" s="879">
        <f>ROUND(SUM(ORÇAMENTO!L1138),2)</f>
        <v>0</v>
      </c>
      <c r="M1138" s="879">
        <f t="shared" si="346"/>
        <v>0</v>
      </c>
      <c r="N1138" s="868">
        <f t="shared" si="347"/>
        <v>0</v>
      </c>
      <c r="O1138" s="880"/>
      <c r="Q1138" s="317" t="str">
        <f t="shared" si="348"/>
        <v/>
      </c>
      <c r="R1138" s="317" t="str">
        <f t="shared" si="349"/>
        <v/>
      </c>
      <c r="S1138" s="317" t="str">
        <f t="shared" si="350"/>
        <v/>
      </c>
      <c r="V1138" s="314">
        <f>SUM(ORÇAMENTO!N1138)</f>
        <v>0</v>
      </c>
      <c r="W1138" s="315">
        <f t="shared" si="351"/>
        <v>0</v>
      </c>
    </row>
    <row r="1139" spans="1:23" ht="30" hidden="1" customHeight="1">
      <c r="A1139" s="63">
        <v>95758</v>
      </c>
      <c r="B1139" s="870">
        <v>95758</v>
      </c>
      <c r="C1139" s="871" t="s">
        <v>590</v>
      </c>
      <c r="D1139" s="881" t="s">
        <v>1053</v>
      </c>
      <c r="E1139" s="882"/>
      <c r="F1139" s="883"/>
      <c r="G1139" s="887"/>
      <c r="H1139" s="876">
        <v>13.5</v>
      </c>
      <c r="I1139" s="876">
        <f t="shared" si="345"/>
        <v>13.5</v>
      </c>
      <c r="J1139" s="877">
        <f t="shared" si="344"/>
        <v>16.5</v>
      </c>
      <c r="K1139" s="878" t="s">
        <v>1500</v>
      </c>
      <c r="L1139" s="879">
        <f>ROUND(SUM(ORÇAMENTO!L1139),2)</f>
        <v>0</v>
      </c>
      <c r="M1139" s="879">
        <f t="shared" si="346"/>
        <v>0</v>
      </c>
      <c r="N1139" s="868">
        <f t="shared" si="347"/>
        <v>0</v>
      </c>
      <c r="O1139" s="880"/>
      <c r="Q1139" s="317" t="str">
        <f t="shared" si="348"/>
        <v/>
      </c>
      <c r="R1139" s="317" t="str">
        <f t="shared" si="349"/>
        <v/>
      </c>
      <c r="S1139" s="317" t="str">
        <f t="shared" si="350"/>
        <v/>
      </c>
      <c r="V1139" s="314">
        <f>SUM(ORÇAMENTO!N1139)</f>
        <v>0</v>
      </c>
      <c r="W1139" s="315">
        <f t="shared" si="351"/>
        <v>0</v>
      </c>
    </row>
    <row r="1140" spans="1:23" ht="30" hidden="1" customHeight="1">
      <c r="A1140" s="63">
        <v>95759</v>
      </c>
      <c r="B1140" s="870">
        <v>95759</v>
      </c>
      <c r="C1140" s="871" t="s">
        <v>590</v>
      </c>
      <c r="D1140" s="881" t="s">
        <v>1054</v>
      </c>
      <c r="E1140" s="882"/>
      <c r="F1140" s="883"/>
      <c r="G1140" s="887"/>
      <c r="H1140" s="876">
        <v>17.16</v>
      </c>
      <c r="I1140" s="876">
        <f t="shared" si="345"/>
        <v>17.16</v>
      </c>
      <c r="J1140" s="877">
        <f t="shared" si="344"/>
        <v>20.97</v>
      </c>
      <c r="K1140" s="878" t="s">
        <v>1500</v>
      </c>
      <c r="L1140" s="879">
        <f>ROUND(SUM(ORÇAMENTO!L1140),2)</f>
        <v>0</v>
      </c>
      <c r="M1140" s="879">
        <f t="shared" si="346"/>
        <v>0</v>
      </c>
      <c r="N1140" s="868">
        <f t="shared" si="347"/>
        <v>0</v>
      </c>
      <c r="O1140" s="880"/>
      <c r="Q1140" s="317" t="str">
        <f t="shared" si="348"/>
        <v/>
      </c>
      <c r="R1140" s="317" t="str">
        <f t="shared" si="349"/>
        <v/>
      </c>
      <c r="S1140" s="317" t="str">
        <f t="shared" si="350"/>
        <v/>
      </c>
      <c r="V1140" s="314">
        <f>SUM(ORÇAMENTO!N1140)</f>
        <v>0</v>
      </c>
      <c r="W1140" s="315">
        <f t="shared" si="351"/>
        <v>0</v>
      </c>
    </row>
    <row r="1141" spans="1:23" ht="30" hidden="1" customHeight="1">
      <c r="A1141" s="63">
        <v>95760</v>
      </c>
      <c r="B1141" s="870">
        <v>95760</v>
      </c>
      <c r="C1141" s="871" t="s">
        <v>590</v>
      </c>
      <c r="D1141" s="881" t="s">
        <v>1055</v>
      </c>
      <c r="E1141" s="882"/>
      <c r="F1141" s="883"/>
      <c r="G1141" s="887"/>
      <c r="H1141" s="876">
        <v>21.11</v>
      </c>
      <c r="I1141" s="876">
        <f t="shared" si="345"/>
        <v>21.11</v>
      </c>
      <c r="J1141" s="877">
        <f t="shared" si="344"/>
        <v>25.8</v>
      </c>
      <c r="K1141" s="878" t="s">
        <v>1500</v>
      </c>
      <c r="L1141" s="879">
        <f>ROUND(SUM(ORÇAMENTO!L1141),2)</f>
        <v>0</v>
      </c>
      <c r="M1141" s="879">
        <f t="shared" si="346"/>
        <v>0</v>
      </c>
      <c r="N1141" s="868">
        <f t="shared" si="347"/>
        <v>0</v>
      </c>
      <c r="O1141" s="880"/>
      <c r="Q1141" s="317" t="str">
        <f t="shared" si="348"/>
        <v/>
      </c>
      <c r="R1141" s="317" t="str">
        <f t="shared" si="349"/>
        <v/>
      </c>
      <c r="S1141" s="317" t="str">
        <f t="shared" si="350"/>
        <v/>
      </c>
      <c r="V1141" s="314">
        <f>SUM(ORÇAMENTO!N1141)</f>
        <v>0</v>
      </c>
      <c r="W1141" s="315">
        <f t="shared" si="351"/>
        <v>0</v>
      </c>
    </row>
    <row r="1142" spans="1:23" ht="30" hidden="1" customHeight="1">
      <c r="A1142" s="63">
        <v>91839</v>
      </c>
      <c r="B1142" s="870">
        <v>91839</v>
      </c>
      <c r="C1142" s="871" t="s">
        <v>590</v>
      </c>
      <c r="D1142" s="881" t="s">
        <v>1056</v>
      </c>
      <c r="E1142" s="882"/>
      <c r="F1142" s="883"/>
      <c r="G1142" s="887"/>
      <c r="H1142" s="876">
        <v>12.12</v>
      </c>
      <c r="I1142" s="876">
        <f t="shared" si="345"/>
        <v>12.12</v>
      </c>
      <c r="J1142" s="877">
        <f t="shared" si="344"/>
        <v>14.81</v>
      </c>
      <c r="K1142" s="878" t="s">
        <v>62</v>
      </c>
      <c r="L1142" s="879">
        <f>ROUND(SUM(ORÇAMENTO!L1142),2)</f>
        <v>0</v>
      </c>
      <c r="M1142" s="879">
        <f t="shared" si="346"/>
        <v>0</v>
      </c>
      <c r="N1142" s="868">
        <f t="shared" si="347"/>
        <v>0</v>
      </c>
      <c r="O1142" s="880"/>
      <c r="Q1142" s="317" t="str">
        <f t="shared" si="348"/>
        <v/>
      </c>
      <c r="R1142" s="317" t="str">
        <f t="shared" si="349"/>
        <v/>
      </c>
      <c r="S1142" s="317" t="str">
        <f t="shared" si="350"/>
        <v/>
      </c>
      <c r="V1142" s="314">
        <f>SUM(ORÇAMENTO!N1142)</f>
        <v>0</v>
      </c>
      <c r="W1142" s="315">
        <f t="shared" si="351"/>
        <v>0</v>
      </c>
    </row>
    <row r="1143" spans="1:23" ht="30" hidden="1" customHeight="1">
      <c r="A1143" s="63">
        <v>91840</v>
      </c>
      <c r="B1143" s="870">
        <v>91840</v>
      </c>
      <c r="C1143" s="871" t="s">
        <v>590</v>
      </c>
      <c r="D1143" s="881" t="s">
        <v>1057</v>
      </c>
      <c r="E1143" s="882"/>
      <c r="F1143" s="883"/>
      <c r="G1143" s="887"/>
      <c r="H1143" s="876">
        <v>15.07</v>
      </c>
      <c r="I1143" s="876">
        <f t="shared" si="345"/>
        <v>15.07</v>
      </c>
      <c r="J1143" s="877">
        <f t="shared" si="344"/>
        <v>18.420000000000002</v>
      </c>
      <c r="K1143" s="878" t="s">
        <v>62</v>
      </c>
      <c r="L1143" s="879">
        <f>ROUND(SUM(ORÇAMENTO!L1143),2)</f>
        <v>0</v>
      </c>
      <c r="M1143" s="879">
        <f t="shared" si="346"/>
        <v>0</v>
      </c>
      <c r="N1143" s="868">
        <f t="shared" si="347"/>
        <v>0</v>
      </c>
      <c r="O1143" s="880"/>
      <c r="Q1143" s="317" t="str">
        <f t="shared" si="348"/>
        <v/>
      </c>
      <c r="R1143" s="317" t="str">
        <f t="shared" si="349"/>
        <v/>
      </c>
      <c r="S1143" s="317" t="str">
        <f t="shared" si="350"/>
        <v/>
      </c>
      <c r="V1143" s="314">
        <f>SUM(ORÇAMENTO!N1143)</f>
        <v>0</v>
      </c>
      <c r="W1143" s="315">
        <f t="shared" si="351"/>
        <v>0</v>
      </c>
    </row>
    <row r="1144" spans="1:23" ht="30" hidden="1" customHeight="1">
      <c r="A1144" s="63">
        <v>91841</v>
      </c>
      <c r="B1144" s="870">
        <v>91841</v>
      </c>
      <c r="C1144" s="871" t="s">
        <v>590</v>
      </c>
      <c r="D1144" s="881" t="s">
        <v>1058</v>
      </c>
      <c r="E1144" s="882"/>
      <c r="F1144" s="883"/>
      <c r="G1144" s="887"/>
      <c r="H1144" s="876">
        <v>14.37</v>
      </c>
      <c r="I1144" s="876">
        <f t="shared" si="345"/>
        <v>14.37</v>
      </c>
      <c r="J1144" s="877">
        <f t="shared" si="344"/>
        <v>17.559999999999999</v>
      </c>
      <c r="K1144" s="878" t="s">
        <v>62</v>
      </c>
      <c r="L1144" s="879">
        <f>ROUND(SUM(ORÇAMENTO!L1144),2)</f>
        <v>0</v>
      </c>
      <c r="M1144" s="879">
        <f t="shared" si="346"/>
        <v>0</v>
      </c>
      <c r="N1144" s="868">
        <f t="shared" si="347"/>
        <v>0</v>
      </c>
      <c r="O1144" s="880"/>
      <c r="Q1144" s="317" t="str">
        <f t="shared" si="348"/>
        <v/>
      </c>
      <c r="R1144" s="317" t="str">
        <f t="shared" si="349"/>
        <v/>
      </c>
      <c r="S1144" s="317" t="str">
        <f t="shared" si="350"/>
        <v/>
      </c>
      <c r="V1144" s="314">
        <f>SUM(ORÇAMENTO!N1144)</f>
        <v>0</v>
      </c>
      <c r="W1144" s="315">
        <f t="shared" si="351"/>
        <v>0</v>
      </c>
    </row>
    <row r="1145" spans="1:23" ht="30" hidden="1" customHeight="1">
      <c r="A1145" s="63">
        <v>91849</v>
      </c>
      <c r="B1145" s="870">
        <v>91849</v>
      </c>
      <c r="C1145" s="871" t="s">
        <v>590</v>
      </c>
      <c r="D1145" s="881" t="s">
        <v>1059</v>
      </c>
      <c r="E1145" s="882"/>
      <c r="F1145" s="883"/>
      <c r="G1145" s="887"/>
      <c r="H1145" s="876">
        <v>9.49</v>
      </c>
      <c r="I1145" s="876">
        <f t="shared" si="345"/>
        <v>9.49</v>
      </c>
      <c r="J1145" s="877">
        <f t="shared" si="344"/>
        <v>11.6</v>
      </c>
      <c r="K1145" s="878" t="s">
        <v>62</v>
      </c>
      <c r="L1145" s="879">
        <f>ROUND(SUM(ORÇAMENTO!L1145),2)</f>
        <v>0</v>
      </c>
      <c r="M1145" s="879">
        <f t="shared" si="346"/>
        <v>0</v>
      </c>
      <c r="N1145" s="868">
        <f t="shared" si="347"/>
        <v>0</v>
      </c>
      <c r="O1145" s="880"/>
      <c r="Q1145" s="317" t="str">
        <f t="shared" si="348"/>
        <v/>
      </c>
      <c r="R1145" s="317" t="str">
        <f t="shared" si="349"/>
        <v/>
      </c>
      <c r="S1145" s="317" t="str">
        <f t="shared" si="350"/>
        <v/>
      </c>
      <c r="V1145" s="314">
        <f>SUM(ORÇAMENTO!N1145)</f>
        <v>0</v>
      </c>
      <c r="W1145" s="315">
        <f t="shared" si="351"/>
        <v>0</v>
      </c>
    </row>
    <row r="1146" spans="1:23" ht="30" hidden="1" customHeight="1">
      <c r="A1146" s="63">
        <v>91850</v>
      </c>
      <c r="B1146" s="870">
        <v>91850</v>
      </c>
      <c r="C1146" s="871" t="s">
        <v>590</v>
      </c>
      <c r="D1146" s="881" t="s">
        <v>1060</v>
      </c>
      <c r="E1146" s="882"/>
      <c r="F1146" s="883"/>
      <c r="G1146" s="887"/>
      <c r="H1146" s="876">
        <v>12.51</v>
      </c>
      <c r="I1146" s="876">
        <f t="shared" si="345"/>
        <v>12.51</v>
      </c>
      <c r="J1146" s="877">
        <f t="shared" si="344"/>
        <v>15.29</v>
      </c>
      <c r="K1146" s="878" t="s">
        <v>62</v>
      </c>
      <c r="L1146" s="879">
        <f>ROUND(SUM(ORÇAMENTO!L1146),2)</f>
        <v>0</v>
      </c>
      <c r="M1146" s="879">
        <f t="shared" si="346"/>
        <v>0</v>
      </c>
      <c r="N1146" s="868">
        <f t="shared" si="347"/>
        <v>0</v>
      </c>
      <c r="O1146" s="880"/>
      <c r="Q1146" s="317" t="str">
        <f t="shared" si="348"/>
        <v/>
      </c>
      <c r="R1146" s="317" t="str">
        <f t="shared" si="349"/>
        <v/>
      </c>
      <c r="S1146" s="317" t="str">
        <f t="shared" si="350"/>
        <v/>
      </c>
      <c r="V1146" s="314">
        <f>SUM(ORÇAMENTO!N1146)</f>
        <v>0</v>
      </c>
      <c r="W1146" s="315">
        <f t="shared" si="351"/>
        <v>0</v>
      </c>
    </row>
    <row r="1147" spans="1:23" ht="30" hidden="1" customHeight="1">
      <c r="A1147" s="63">
        <v>91851</v>
      </c>
      <c r="B1147" s="870">
        <v>91851</v>
      </c>
      <c r="C1147" s="871" t="s">
        <v>590</v>
      </c>
      <c r="D1147" s="881" t="s">
        <v>1061</v>
      </c>
      <c r="E1147" s="882"/>
      <c r="F1147" s="883"/>
      <c r="G1147" s="887"/>
      <c r="H1147" s="876">
        <v>11.81</v>
      </c>
      <c r="I1147" s="876">
        <f t="shared" si="345"/>
        <v>11.81</v>
      </c>
      <c r="J1147" s="877">
        <f t="shared" si="344"/>
        <v>14.43</v>
      </c>
      <c r="K1147" s="878" t="s">
        <v>62</v>
      </c>
      <c r="L1147" s="879">
        <f>ROUND(SUM(ORÇAMENTO!L1147),2)</f>
        <v>0</v>
      </c>
      <c r="M1147" s="879">
        <f t="shared" si="346"/>
        <v>0</v>
      </c>
      <c r="N1147" s="868">
        <f t="shared" si="347"/>
        <v>0</v>
      </c>
      <c r="O1147" s="880"/>
      <c r="Q1147" s="317" t="str">
        <f t="shared" si="348"/>
        <v/>
      </c>
      <c r="R1147" s="317" t="str">
        <f t="shared" si="349"/>
        <v/>
      </c>
      <c r="S1147" s="317" t="str">
        <f t="shared" si="350"/>
        <v/>
      </c>
      <c r="V1147" s="314">
        <f>SUM(ORÇAMENTO!N1147)</f>
        <v>0</v>
      </c>
      <c r="W1147" s="315">
        <f t="shared" si="351"/>
        <v>0</v>
      </c>
    </row>
    <row r="1148" spans="1:23" ht="30" hidden="1" customHeight="1">
      <c r="A1148" s="63">
        <v>91859</v>
      </c>
      <c r="B1148" s="870">
        <v>91859</v>
      </c>
      <c r="C1148" s="871" t="s">
        <v>590</v>
      </c>
      <c r="D1148" s="881" t="s">
        <v>1062</v>
      </c>
      <c r="E1148" s="882"/>
      <c r="F1148" s="883"/>
      <c r="G1148" s="887"/>
      <c r="H1148" s="876">
        <v>12.63</v>
      </c>
      <c r="I1148" s="876">
        <f t="shared" si="345"/>
        <v>12.63</v>
      </c>
      <c r="J1148" s="877">
        <f t="shared" si="344"/>
        <v>15.44</v>
      </c>
      <c r="K1148" s="878" t="s">
        <v>62</v>
      </c>
      <c r="L1148" s="879">
        <f>ROUND(SUM(ORÇAMENTO!L1148),2)</f>
        <v>0</v>
      </c>
      <c r="M1148" s="879">
        <f t="shared" si="346"/>
        <v>0</v>
      </c>
      <c r="N1148" s="868">
        <f t="shared" si="347"/>
        <v>0</v>
      </c>
      <c r="O1148" s="880"/>
      <c r="Q1148" s="317" t="str">
        <f t="shared" si="348"/>
        <v/>
      </c>
      <c r="R1148" s="317" t="str">
        <f t="shared" si="349"/>
        <v/>
      </c>
      <c r="S1148" s="317" t="str">
        <f t="shared" si="350"/>
        <v/>
      </c>
      <c r="V1148" s="314">
        <f>SUM(ORÇAMENTO!N1148)</f>
        <v>0</v>
      </c>
      <c r="W1148" s="315">
        <f t="shared" si="351"/>
        <v>0</v>
      </c>
    </row>
    <row r="1149" spans="1:23" ht="30" hidden="1" customHeight="1">
      <c r="A1149" s="63">
        <v>91860</v>
      </c>
      <c r="B1149" s="870">
        <v>91860</v>
      </c>
      <c r="C1149" s="871" t="s">
        <v>590</v>
      </c>
      <c r="D1149" s="881" t="s">
        <v>1063</v>
      </c>
      <c r="E1149" s="882"/>
      <c r="F1149" s="883"/>
      <c r="G1149" s="887"/>
      <c r="H1149" s="876">
        <v>15.53</v>
      </c>
      <c r="I1149" s="876">
        <f t="shared" si="345"/>
        <v>15.53</v>
      </c>
      <c r="J1149" s="877">
        <f t="shared" si="344"/>
        <v>18.98</v>
      </c>
      <c r="K1149" s="878" t="s">
        <v>62</v>
      </c>
      <c r="L1149" s="879">
        <f>ROUND(SUM(ORÇAMENTO!L1149),2)</f>
        <v>0</v>
      </c>
      <c r="M1149" s="879">
        <f t="shared" si="346"/>
        <v>0</v>
      </c>
      <c r="N1149" s="868">
        <f t="shared" si="347"/>
        <v>0</v>
      </c>
      <c r="O1149" s="880"/>
      <c r="Q1149" s="317" t="str">
        <f t="shared" si="348"/>
        <v/>
      </c>
      <c r="R1149" s="317" t="str">
        <f t="shared" si="349"/>
        <v/>
      </c>
      <c r="S1149" s="317" t="str">
        <f t="shared" si="350"/>
        <v/>
      </c>
      <c r="V1149" s="314">
        <f>SUM(ORÇAMENTO!N1149)</f>
        <v>0</v>
      </c>
      <c r="W1149" s="315">
        <f t="shared" si="351"/>
        <v>0</v>
      </c>
    </row>
    <row r="1150" spans="1:23" ht="30" hidden="1" customHeight="1">
      <c r="A1150" s="63">
        <v>91861</v>
      </c>
      <c r="B1150" s="870">
        <v>91861</v>
      </c>
      <c r="C1150" s="871" t="s">
        <v>590</v>
      </c>
      <c r="D1150" s="881" t="s">
        <v>1064</v>
      </c>
      <c r="E1150" s="882"/>
      <c r="F1150" s="883"/>
      <c r="G1150" s="887"/>
      <c r="H1150" s="876">
        <v>14.88</v>
      </c>
      <c r="I1150" s="876">
        <f t="shared" si="345"/>
        <v>14.88</v>
      </c>
      <c r="J1150" s="877">
        <f t="shared" si="344"/>
        <v>18.190000000000001</v>
      </c>
      <c r="K1150" s="878" t="s">
        <v>62</v>
      </c>
      <c r="L1150" s="879">
        <f>ROUND(SUM(ORÇAMENTO!L1150),2)</f>
        <v>0</v>
      </c>
      <c r="M1150" s="879">
        <f t="shared" si="346"/>
        <v>0</v>
      </c>
      <c r="N1150" s="868">
        <f t="shared" si="347"/>
        <v>0</v>
      </c>
      <c r="O1150" s="880"/>
      <c r="Q1150" s="317" t="str">
        <f t="shared" si="348"/>
        <v/>
      </c>
      <c r="R1150" s="317" t="str">
        <f t="shared" si="349"/>
        <v/>
      </c>
      <c r="S1150" s="317" t="str">
        <f t="shared" si="350"/>
        <v/>
      </c>
      <c r="V1150" s="314">
        <f>SUM(ORÇAMENTO!N1150)</f>
        <v>0</v>
      </c>
      <c r="W1150" s="315">
        <f t="shared" si="351"/>
        <v>0</v>
      </c>
    </row>
    <row r="1151" spans="1:23" ht="30" hidden="1" customHeight="1">
      <c r="A1151" s="63">
        <v>97667</v>
      </c>
      <c r="B1151" s="870">
        <v>97667</v>
      </c>
      <c r="C1151" s="871" t="s">
        <v>590</v>
      </c>
      <c r="D1151" s="881" t="s">
        <v>1065</v>
      </c>
      <c r="E1151" s="882"/>
      <c r="F1151" s="883"/>
      <c r="G1151" s="887"/>
      <c r="H1151" s="876">
        <v>9.3000000000000007</v>
      </c>
      <c r="I1151" s="876">
        <f t="shared" si="345"/>
        <v>9.3000000000000007</v>
      </c>
      <c r="J1151" s="877">
        <f t="shared" si="344"/>
        <v>11.37</v>
      </c>
      <c r="K1151" s="878" t="s">
        <v>62</v>
      </c>
      <c r="L1151" s="879">
        <f>ROUND(SUM(ORÇAMENTO!L1151),2)</f>
        <v>0</v>
      </c>
      <c r="M1151" s="879">
        <f t="shared" si="346"/>
        <v>0</v>
      </c>
      <c r="N1151" s="868">
        <f t="shared" si="347"/>
        <v>0</v>
      </c>
      <c r="O1151" s="880"/>
      <c r="Q1151" s="317" t="str">
        <f t="shared" si="348"/>
        <v/>
      </c>
      <c r="R1151" s="317" t="str">
        <f t="shared" si="349"/>
        <v/>
      </c>
      <c r="S1151" s="317" t="str">
        <f t="shared" si="350"/>
        <v/>
      </c>
      <c r="V1151" s="314">
        <f>SUM(ORÇAMENTO!N1151)</f>
        <v>0</v>
      </c>
      <c r="W1151" s="315">
        <f t="shared" si="351"/>
        <v>0</v>
      </c>
    </row>
    <row r="1152" spans="1:23" ht="30" hidden="1" customHeight="1">
      <c r="A1152" s="63">
        <v>97668</v>
      </c>
      <c r="B1152" s="870">
        <v>97668</v>
      </c>
      <c r="C1152" s="871" t="s">
        <v>590</v>
      </c>
      <c r="D1152" s="881" t="s">
        <v>1066</v>
      </c>
      <c r="E1152" s="882"/>
      <c r="F1152" s="883"/>
      <c r="G1152" s="887"/>
      <c r="H1152" s="876">
        <v>13.25</v>
      </c>
      <c r="I1152" s="876">
        <f t="shared" si="345"/>
        <v>13.25</v>
      </c>
      <c r="J1152" s="877">
        <f t="shared" si="344"/>
        <v>16.190000000000001</v>
      </c>
      <c r="K1152" s="878" t="s">
        <v>62</v>
      </c>
      <c r="L1152" s="879">
        <f>ROUND(SUM(ORÇAMENTO!L1152),2)</f>
        <v>0</v>
      </c>
      <c r="M1152" s="879">
        <f t="shared" si="346"/>
        <v>0</v>
      </c>
      <c r="N1152" s="868">
        <f t="shared" si="347"/>
        <v>0</v>
      </c>
      <c r="O1152" s="880"/>
      <c r="Q1152" s="317" t="str">
        <f t="shared" si="348"/>
        <v/>
      </c>
      <c r="R1152" s="317" t="str">
        <f t="shared" si="349"/>
        <v/>
      </c>
      <c r="S1152" s="317" t="str">
        <f t="shared" si="350"/>
        <v/>
      </c>
      <c r="V1152" s="314">
        <f>SUM(ORÇAMENTO!N1152)</f>
        <v>0</v>
      </c>
      <c r="W1152" s="315">
        <f t="shared" si="351"/>
        <v>0</v>
      </c>
    </row>
    <row r="1153" spans="1:23" ht="30" hidden="1" customHeight="1">
      <c r="A1153" s="63">
        <v>97669</v>
      </c>
      <c r="B1153" s="870">
        <v>97669</v>
      </c>
      <c r="C1153" s="871" t="s">
        <v>590</v>
      </c>
      <c r="D1153" s="881" t="s">
        <v>1067</v>
      </c>
      <c r="E1153" s="882"/>
      <c r="F1153" s="883"/>
      <c r="G1153" s="887"/>
      <c r="H1153" s="876">
        <v>19.670000000000002</v>
      </c>
      <c r="I1153" s="876">
        <f t="shared" si="345"/>
        <v>19.670000000000002</v>
      </c>
      <c r="J1153" s="877">
        <f t="shared" si="344"/>
        <v>24.04</v>
      </c>
      <c r="K1153" s="878" t="s">
        <v>62</v>
      </c>
      <c r="L1153" s="879">
        <f>ROUND(SUM(ORÇAMENTO!L1153),2)</f>
        <v>0</v>
      </c>
      <c r="M1153" s="879">
        <f t="shared" si="346"/>
        <v>0</v>
      </c>
      <c r="N1153" s="868">
        <f t="shared" si="347"/>
        <v>0</v>
      </c>
      <c r="O1153" s="880"/>
      <c r="Q1153" s="317" t="str">
        <f t="shared" si="348"/>
        <v/>
      </c>
      <c r="R1153" s="317" t="str">
        <f t="shared" si="349"/>
        <v/>
      </c>
      <c r="S1153" s="317" t="str">
        <f t="shared" si="350"/>
        <v/>
      </c>
      <c r="V1153" s="314">
        <f>SUM(ORÇAMENTO!N1153)</f>
        <v>0</v>
      </c>
      <c r="W1153" s="315">
        <f t="shared" si="351"/>
        <v>0</v>
      </c>
    </row>
    <row r="1154" spans="1:23" ht="30" hidden="1" customHeight="1">
      <c r="A1154" s="63">
        <v>97670</v>
      </c>
      <c r="B1154" s="870">
        <v>97670</v>
      </c>
      <c r="C1154" s="871" t="s">
        <v>590</v>
      </c>
      <c r="D1154" s="881" t="s">
        <v>1068</v>
      </c>
      <c r="E1154" s="882"/>
      <c r="F1154" s="883"/>
      <c r="G1154" s="887"/>
      <c r="H1154" s="876">
        <v>25.13</v>
      </c>
      <c r="I1154" s="876">
        <f t="shared" si="345"/>
        <v>25.13</v>
      </c>
      <c r="J1154" s="877">
        <f t="shared" si="344"/>
        <v>30.71</v>
      </c>
      <c r="K1154" s="878" t="s">
        <v>62</v>
      </c>
      <c r="L1154" s="879">
        <f>ROUND(SUM(ORÇAMENTO!L1154),2)</f>
        <v>0</v>
      </c>
      <c r="M1154" s="879">
        <f t="shared" si="346"/>
        <v>0</v>
      </c>
      <c r="N1154" s="868">
        <f t="shared" si="347"/>
        <v>0</v>
      </c>
      <c r="O1154" s="880"/>
      <c r="Q1154" s="317" t="str">
        <f t="shared" si="348"/>
        <v/>
      </c>
      <c r="R1154" s="317" t="str">
        <f t="shared" si="349"/>
        <v/>
      </c>
      <c r="S1154" s="317" t="str">
        <f t="shared" si="350"/>
        <v/>
      </c>
      <c r="V1154" s="314">
        <f>SUM(ORÇAMENTO!N1154)</f>
        <v>0</v>
      </c>
      <c r="W1154" s="315">
        <f t="shared" si="351"/>
        <v>0</v>
      </c>
    </row>
    <row r="1155" spans="1:23" ht="30" hidden="1" customHeight="1">
      <c r="A1155" s="63">
        <v>91924</v>
      </c>
      <c r="B1155" s="870">
        <v>91924</v>
      </c>
      <c r="C1155" s="871" t="s">
        <v>590</v>
      </c>
      <c r="D1155" s="881" t="s">
        <v>1069</v>
      </c>
      <c r="E1155" s="882"/>
      <c r="F1155" s="883"/>
      <c r="G1155" s="887"/>
      <c r="H1155" s="876">
        <v>3.11</v>
      </c>
      <c r="I1155" s="876">
        <f t="shared" si="345"/>
        <v>3.11</v>
      </c>
      <c r="J1155" s="877">
        <f t="shared" si="344"/>
        <v>3.8</v>
      </c>
      <c r="K1155" s="878" t="s">
        <v>62</v>
      </c>
      <c r="L1155" s="879">
        <f>ROUND(SUM(ORÇAMENTO!L1155),2)</f>
        <v>0</v>
      </c>
      <c r="M1155" s="879">
        <f t="shared" si="346"/>
        <v>0</v>
      </c>
      <c r="N1155" s="868">
        <f t="shared" si="347"/>
        <v>0</v>
      </c>
      <c r="O1155" s="880"/>
      <c r="Q1155" s="317" t="str">
        <f t="shared" si="348"/>
        <v/>
      </c>
      <c r="R1155" s="317" t="str">
        <f t="shared" si="349"/>
        <v/>
      </c>
      <c r="S1155" s="317" t="str">
        <f t="shared" si="350"/>
        <v/>
      </c>
      <c r="V1155" s="314">
        <f>SUM(ORÇAMENTO!N1155)</f>
        <v>0</v>
      </c>
      <c r="W1155" s="315">
        <f t="shared" si="351"/>
        <v>0</v>
      </c>
    </row>
    <row r="1156" spans="1:23" ht="30" hidden="1" customHeight="1">
      <c r="A1156" s="63">
        <v>91926</v>
      </c>
      <c r="B1156" s="870">
        <v>91926</v>
      </c>
      <c r="C1156" s="871" t="s">
        <v>590</v>
      </c>
      <c r="D1156" s="881" t="s">
        <v>1070</v>
      </c>
      <c r="E1156" s="882"/>
      <c r="F1156" s="883"/>
      <c r="G1156" s="887"/>
      <c r="H1156" s="876">
        <v>4.42</v>
      </c>
      <c r="I1156" s="876">
        <f t="shared" si="345"/>
        <v>4.42</v>
      </c>
      <c r="J1156" s="877">
        <f t="shared" si="344"/>
        <v>5.4</v>
      </c>
      <c r="K1156" s="878" t="s">
        <v>62</v>
      </c>
      <c r="L1156" s="879">
        <f>ROUND(SUM(ORÇAMENTO!L1156),2)</f>
        <v>0</v>
      </c>
      <c r="M1156" s="879">
        <f t="shared" si="346"/>
        <v>0</v>
      </c>
      <c r="N1156" s="868">
        <f t="shared" si="347"/>
        <v>0</v>
      </c>
      <c r="O1156" s="880"/>
      <c r="Q1156" s="317" t="str">
        <f t="shared" si="348"/>
        <v/>
      </c>
      <c r="R1156" s="317" t="str">
        <f t="shared" si="349"/>
        <v/>
      </c>
      <c r="S1156" s="317" t="str">
        <f t="shared" si="350"/>
        <v/>
      </c>
      <c r="V1156" s="314">
        <f>SUM(ORÇAMENTO!N1156)</f>
        <v>0</v>
      </c>
      <c r="W1156" s="315">
        <f t="shared" si="351"/>
        <v>0</v>
      </c>
    </row>
    <row r="1157" spans="1:23" ht="30" hidden="1" customHeight="1">
      <c r="A1157" s="63">
        <v>91928</v>
      </c>
      <c r="B1157" s="870">
        <v>91928</v>
      </c>
      <c r="C1157" s="871" t="s">
        <v>590</v>
      </c>
      <c r="D1157" s="881" t="s">
        <v>1071</v>
      </c>
      <c r="E1157" s="882"/>
      <c r="F1157" s="883"/>
      <c r="G1157" s="887"/>
      <c r="H1157" s="876">
        <v>6.72</v>
      </c>
      <c r="I1157" s="876">
        <f t="shared" si="345"/>
        <v>6.72</v>
      </c>
      <c r="J1157" s="877">
        <f t="shared" si="344"/>
        <v>8.2100000000000009</v>
      </c>
      <c r="K1157" s="878" t="s">
        <v>62</v>
      </c>
      <c r="L1157" s="879">
        <f>ROUND(SUM(ORÇAMENTO!L1157),2)</f>
        <v>0</v>
      </c>
      <c r="M1157" s="879">
        <f t="shared" si="346"/>
        <v>0</v>
      </c>
      <c r="N1157" s="868">
        <f t="shared" si="347"/>
        <v>0</v>
      </c>
      <c r="O1157" s="880"/>
      <c r="Q1157" s="317" t="str">
        <f t="shared" si="348"/>
        <v/>
      </c>
      <c r="R1157" s="317" t="str">
        <f t="shared" si="349"/>
        <v/>
      </c>
      <c r="S1157" s="317" t="str">
        <f t="shared" si="350"/>
        <v/>
      </c>
      <c r="V1157" s="314">
        <f>SUM(ORÇAMENTO!N1157)</f>
        <v>0</v>
      </c>
      <c r="W1157" s="315">
        <f t="shared" si="351"/>
        <v>0</v>
      </c>
    </row>
    <row r="1158" spans="1:23" ht="30" hidden="1" customHeight="1">
      <c r="A1158" s="63">
        <v>91930</v>
      </c>
      <c r="B1158" s="870">
        <v>91930</v>
      </c>
      <c r="C1158" s="871" t="s">
        <v>590</v>
      </c>
      <c r="D1158" s="881" t="s">
        <v>1072</v>
      </c>
      <c r="E1158" s="882"/>
      <c r="F1158" s="883"/>
      <c r="G1158" s="887"/>
      <c r="H1158" s="876">
        <v>9.31</v>
      </c>
      <c r="I1158" s="876">
        <f t="shared" si="345"/>
        <v>9.31</v>
      </c>
      <c r="J1158" s="877">
        <f t="shared" si="344"/>
        <v>11.38</v>
      </c>
      <c r="K1158" s="878" t="s">
        <v>62</v>
      </c>
      <c r="L1158" s="879">
        <f>ROUND(SUM(ORÇAMENTO!L1158),2)</f>
        <v>0</v>
      </c>
      <c r="M1158" s="879">
        <f t="shared" si="346"/>
        <v>0</v>
      </c>
      <c r="N1158" s="868">
        <f t="shared" si="347"/>
        <v>0</v>
      </c>
      <c r="O1158" s="880"/>
      <c r="Q1158" s="317" t="str">
        <f t="shared" si="348"/>
        <v/>
      </c>
      <c r="R1158" s="317" t="str">
        <f t="shared" si="349"/>
        <v/>
      </c>
      <c r="S1158" s="317" t="str">
        <f t="shared" si="350"/>
        <v/>
      </c>
      <c r="V1158" s="314">
        <f>SUM(ORÇAMENTO!N1158)</f>
        <v>0</v>
      </c>
      <c r="W1158" s="315">
        <f t="shared" si="351"/>
        <v>0</v>
      </c>
    </row>
    <row r="1159" spans="1:23" ht="30" hidden="1" customHeight="1">
      <c r="A1159" s="63">
        <v>91932</v>
      </c>
      <c r="B1159" s="870">
        <v>91932</v>
      </c>
      <c r="C1159" s="871" t="s">
        <v>590</v>
      </c>
      <c r="D1159" s="881" t="s">
        <v>1073</v>
      </c>
      <c r="E1159" s="882"/>
      <c r="F1159" s="883"/>
      <c r="G1159" s="887"/>
      <c r="H1159" s="876">
        <v>16.420000000000002</v>
      </c>
      <c r="I1159" s="876">
        <f t="shared" si="345"/>
        <v>16.420000000000002</v>
      </c>
      <c r="J1159" s="877">
        <f t="shared" si="344"/>
        <v>20.07</v>
      </c>
      <c r="K1159" s="878" t="s">
        <v>62</v>
      </c>
      <c r="L1159" s="879">
        <f>ROUND(SUM(ORÇAMENTO!L1159),2)</f>
        <v>0</v>
      </c>
      <c r="M1159" s="879">
        <f t="shared" si="346"/>
        <v>0</v>
      </c>
      <c r="N1159" s="868">
        <f t="shared" si="347"/>
        <v>0</v>
      </c>
      <c r="O1159" s="880"/>
      <c r="Q1159" s="317" t="str">
        <f t="shared" si="348"/>
        <v/>
      </c>
      <c r="R1159" s="317" t="str">
        <f t="shared" si="349"/>
        <v/>
      </c>
      <c r="S1159" s="317" t="str">
        <f t="shared" si="350"/>
        <v/>
      </c>
      <c r="V1159" s="314">
        <f>SUM(ORÇAMENTO!N1159)</f>
        <v>0</v>
      </c>
      <c r="W1159" s="315">
        <f t="shared" si="351"/>
        <v>0</v>
      </c>
    </row>
    <row r="1160" spans="1:23" ht="30" hidden="1" customHeight="1">
      <c r="A1160" s="63">
        <v>91934</v>
      </c>
      <c r="B1160" s="870">
        <v>91934</v>
      </c>
      <c r="C1160" s="871" t="s">
        <v>590</v>
      </c>
      <c r="D1160" s="881" t="s">
        <v>1074</v>
      </c>
      <c r="E1160" s="882"/>
      <c r="F1160" s="883"/>
      <c r="G1160" s="887"/>
      <c r="H1160" s="876">
        <v>23.75</v>
      </c>
      <c r="I1160" s="876">
        <f t="shared" si="345"/>
        <v>23.75</v>
      </c>
      <c r="J1160" s="877">
        <f t="shared" si="344"/>
        <v>29.03</v>
      </c>
      <c r="K1160" s="878" t="s">
        <v>62</v>
      </c>
      <c r="L1160" s="879">
        <f>ROUND(SUM(ORÇAMENTO!L1160),2)</f>
        <v>0</v>
      </c>
      <c r="M1160" s="879">
        <f t="shared" si="346"/>
        <v>0</v>
      </c>
      <c r="N1160" s="868">
        <f t="shared" si="347"/>
        <v>0</v>
      </c>
      <c r="O1160" s="880"/>
      <c r="Q1160" s="317" t="str">
        <f t="shared" si="348"/>
        <v/>
      </c>
      <c r="R1160" s="317" t="str">
        <f t="shared" si="349"/>
        <v/>
      </c>
      <c r="S1160" s="317" t="str">
        <f t="shared" si="350"/>
        <v/>
      </c>
      <c r="V1160" s="314">
        <f>SUM(ORÇAMENTO!N1160)</f>
        <v>0</v>
      </c>
      <c r="W1160" s="315">
        <f t="shared" si="351"/>
        <v>0</v>
      </c>
    </row>
    <row r="1161" spans="1:23" ht="30" hidden="1" customHeight="1">
      <c r="A1161" s="63">
        <v>92979</v>
      </c>
      <c r="B1161" s="870">
        <v>92979</v>
      </c>
      <c r="C1161" s="871" t="s">
        <v>590</v>
      </c>
      <c r="D1161" s="881" t="s">
        <v>1075</v>
      </c>
      <c r="E1161" s="882"/>
      <c r="F1161" s="883"/>
      <c r="G1161" s="887"/>
      <c r="H1161" s="876">
        <v>10.73</v>
      </c>
      <c r="I1161" s="876">
        <f t="shared" si="345"/>
        <v>10.73</v>
      </c>
      <c r="J1161" s="877">
        <f t="shared" ref="J1161:J1224" si="352">IF(ISBLANK(H1161),0,ROUND(I1161*(1+$E$10),2))</f>
        <v>13.11</v>
      </c>
      <c r="K1161" s="878" t="s">
        <v>62</v>
      </c>
      <c r="L1161" s="879">
        <f>ROUND(SUM(ORÇAMENTO!L1161),2)</f>
        <v>0</v>
      </c>
      <c r="M1161" s="879">
        <f t="shared" si="346"/>
        <v>0</v>
      </c>
      <c r="N1161" s="868">
        <f t="shared" si="347"/>
        <v>0</v>
      </c>
      <c r="O1161" s="880"/>
      <c r="Q1161" s="317" t="str">
        <f t="shared" si="348"/>
        <v/>
      </c>
      <c r="R1161" s="317" t="str">
        <f t="shared" si="349"/>
        <v/>
      </c>
      <c r="S1161" s="317" t="str">
        <f t="shared" si="350"/>
        <v/>
      </c>
      <c r="V1161" s="314">
        <f>SUM(ORÇAMENTO!N1161)</f>
        <v>0</v>
      </c>
      <c r="W1161" s="315">
        <f t="shared" si="351"/>
        <v>0</v>
      </c>
    </row>
    <row r="1162" spans="1:23" ht="30" hidden="1" customHeight="1">
      <c r="A1162" s="63">
        <v>92981</v>
      </c>
      <c r="B1162" s="870">
        <v>92981</v>
      </c>
      <c r="C1162" s="871" t="s">
        <v>590</v>
      </c>
      <c r="D1162" s="881" t="s">
        <v>1076</v>
      </c>
      <c r="E1162" s="882"/>
      <c r="F1162" s="883"/>
      <c r="G1162" s="887"/>
      <c r="H1162" s="876">
        <v>15.33</v>
      </c>
      <c r="I1162" s="876">
        <f t="shared" si="345"/>
        <v>15.33</v>
      </c>
      <c r="J1162" s="877">
        <f t="shared" si="352"/>
        <v>18.739999999999998</v>
      </c>
      <c r="K1162" s="878" t="s">
        <v>62</v>
      </c>
      <c r="L1162" s="879">
        <f>ROUND(SUM(ORÇAMENTO!L1162),2)</f>
        <v>0</v>
      </c>
      <c r="M1162" s="879">
        <f t="shared" si="346"/>
        <v>0</v>
      </c>
      <c r="N1162" s="868">
        <f t="shared" si="347"/>
        <v>0</v>
      </c>
      <c r="O1162" s="880"/>
      <c r="Q1162" s="317" t="str">
        <f t="shared" si="348"/>
        <v/>
      </c>
      <c r="R1162" s="317" t="str">
        <f t="shared" si="349"/>
        <v/>
      </c>
      <c r="S1162" s="317" t="str">
        <f t="shared" si="350"/>
        <v/>
      </c>
      <c r="V1162" s="314">
        <f>SUM(ORÇAMENTO!N1162)</f>
        <v>0</v>
      </c>
      <c r="W1162" s="315">
        <f t="shared" si="351"/>
        <v>0</v>
      </c>
    </row>
    <row r="1163" spans="1:23" ht="30" hidden="1" customHeight="1">
      <c r="A1163" s="63">
        <v>91925</v>
      </c>
      <c r="B1163" s="870">
        <v>91925</v>
      </c>
      <c r="C1163" s="871" t="s">
        <v>590</v>
      </c>
      <c r="D1163" s="881" t="s">
        <v>1077</v>
      </c>
      <c r="E1163" s="882"/>
      <c r="F1163" s="883"/>
      <c r="G1163" s="887"/>
      <c r="H1163" s="876">
        <v>3.68</v>
      </c>
      <c r="I1163" s="876">
        <f t="shared" ref="I1163:I1223" si="353">IF(ISBLANK(H1163),"",SUM(G1163:H1163))</f>
        <v>3.68</v>
      </c>
      <c r="J1163" s="877">
        <f t="shared" si="352"/>
        <v>4.5</v>
      </c>
      <c r="K1163" s="878" t="s">
        <v>62</v>
      </c>
      <c r="L1163" s="879">
        <f>ROUND(SUM(ORÇAMENTO!L1163),2)</f>
        <v>0</v>
      </c>
      <c r="M1163" s="879">
        <f t="shared" si="346"/>
        <v>0</v>
      </c>
      <c r="N1163" s="868">
        <f t="shared" si="347"/>
        <v>0</v>
      </c>
      <c r="O1163" s="880"/>
      <c r="Q1163" s="317" t="str">
        <f t="shared" si="348"/>
        <v/>
      </c>
      <c r="R1163" s="317" t="str">
        <f t="shared" si="349"/>
        <v/>
      </c>
      <c r="S1163" s="317" t="str">
        <f t="shared" si="350"/>
        <v/>
      </c>
      <c r="V1163" s="314">
        <f>SUM(ORÇAMENTO!N1163)</f>
        <v>0</v>
      </c>
      <c r="W1163" s="315">
        <f t="shared" si="351"/>
        <v>0</v>
      </c>
    </row>
    <row r="1164" spans="1:23" ht="30" hidden="1" customHeight="1">
      <c r="A1164" s="63">
        <v>91927</v>
      </c>
      <c r="B1164" s="870">
        <v>91927</v>
      </c>
      <c r="C1164" s="871" t="s">
        <v>590</v>
      </c>
      <c r="D1164" s="881" t="s">
        <v>1078</v>
      </c>
      <c r="E1164" s="882"/>
      <c r="F1164" s="883"/>
      <c r="G1164" s="887"/>
      <c r="H1164" s="876">
        <v>4.91</v>
      </c>
      <c r="I1164" s="876">
        <f t="shared" si="353"/>
        <v>4.91</v>
      </c>
      <c r="J1164" s="877">
        <f t="shared" si="352"/>
        <v>6</v>
      </c>
      <c r="K1164" s="878" t="s">
        <v>62</v>
      </c>
      <c r="L1164" s="879">
        <f>ROUND(SUM(ORÇAMENTO!L1164),2)</f>
        <v>0</v>
      </c>
      <c r="M1164" s="879">
        <f t="shared" si="346"/>
        <v>0</v>
      </c>
      <c r="N1164" s="868">
        <f t="shared" si="347"/>
        <v>0</v>
      </c>
      <c r="O1164" s="880"/>
      <c r="Q1164" s="317" t="str">
        <f t="shared" si="348"/>
        <v/>
      </c>
      <c r="R1164" s="317" t="str">
        <f t="shared" si="349"/>
        <v/>
      </c>
      <c r="S1164" s="317" t="str">
        <f t="shared" si="350"/>
        <v/>
      </c>
      <c r="V1164" s="314">
        <f>SUM(ORÇAMENTO!N1164)</f>
        <v>0</v>
      </c>
      <c r="W1164" s="315">
        <f t="shared" si="351"/>
        <v>0</v>
      </c>
    </row>
    <row r="1165" spans="1:23" ht="30" hidden="1" customHeight="1">
      <c r="A1165" s="63">
        <v>91929</v>
      </c>
      <c r="B1165" s="870">
        <v>91929</v>
      </c>
      <c r="C1165" s="871" t="s">
        <v>590</v>
      </c>
      <c r="D1165" s="881" t="s">
        <v>1079</v>
      </c>
      <c r="E1165" s="882"/>
      <c r="F1165" s="883"/>
      <c r="G1165" s="887"/>
      <c r="H1165" s="876">
        <v>7.14</v>
      </c>
      <c r="I1165" s="876">
        <f t="shared" si="353"/>
        <v>7.14</v>
      </c>
      <c r="J1165" s="877">
        <f t="shared" si="352"/>
        <v>8.73</v>
      </c>
      <c r="K1165" s="878" t="s">
        <v>62</v>
      </c>
      <c r="L1165" s="879">
        <f>ROUND(SUM(ORÇAMENTO!L1165),2)</f>
        <v>0</v>
      </c>
      <c r="M1165" s="879">
        <f t="shared" si="346"/>
        <v>0</v>
      </c>
      <c r="N1165" s="868">
        <f t="shared" si="347"/>
        <v>0</v>
      </c>
      <c r="O1165" s="880"/>
      <c r="Q1165" s="317" t="str">
        <f t="shared" si="348"/>
        <v/>
      </c>
      <c r="R1165" s="317" t="str">
        <f t="shared" si="349"/>
        <v/>
      </c>
      <c r="S1165" s="317" t="str">
        <f t="shared" si="350"/>
        <v/>
      </c>
      <c r="V1165" s="314">
        <f>SUM(ORÇAMENTO!N1165)</f>
        <v>0</v>
      </c>
      <c r="W1165" s="315">
        <f t="shared" si="351"/>
        <v>0</v>
      </c>
    </row>
    <row r="1166" spans="1:23" ht="30" hidden="1" customHeight="1">
      <c r="A1166" s="63">
        <v>91931</v>
      </c>
      <c r="B1166" s="870">
        <v>91931</v>
      </c>
      <c r="C1166" s="871" t="s">
        <v>590</v>
      </c>
      <c r="D1166" s="881" t="s">
        <v>1080</v>
      </c>
      <c r="E1166" s="882"/>
      <c r="F1166" s="883"/>
      <c r="G1166" s="887"/>
      <c r="H1166" s="876">
        <v>10</v>
      </c>
      <c r="I1166" s="876">
        <f t="shared" si="353"/>
        <v>10</v>
      </c>
      <c r="J1166" s="877">
        <f t="shared" si="352"/>
        <v>12.22</v>
      </c>
      <c r="K1166" s="878" t="s">
        <v>62</v>
      </c>
      <c r="L1166" s="879">
        <f>ROUND(SUM(ORÇAMENTO!L1166),2)</f>
        <v>0</v>
      </c>
      <c r="M1166" s="879">
        <f t="shared" si="346"/>
        <v>0</v>
      </c>
      <c r="N1166" s="868">
        <f t="shared" si="347"/>
        <v>0</v>
      </c>
      <c r="O1166" s="880"/>
      <c r="Q1166" s="317" t="str">
        <f t="shared" si="348"/>
        <v/>
      </c>
      <c r="R1166" s="317" t="str">
        <f t="shared" si="349"/>
        <v/>
      </c>
      <c r="S1166" s="317" t="str">
        <f t="shared" si="350"/>
        <v/>
      </c>
      <c r="V1166" s="314">
        <f>SUM(ORÇAMENTO!N1166)</f>
        <v>0</v>
      </c>
      <c r="W1166" s="315">
        <f t="shared" si="351"/>
        <v>0</v>
      </c>
    </row>
    <row r="1167" spans="1:23" ht="30" hidden="1" customHeight="1">
      <c r="A1167" s="63">
        <v>91933</v>
      </c>
      <c r="B1167" s="870">
        <v>91933</v>
      </c>
      <c r="C1167" s="871" t="s">
        <v>590</v>
      </c>
      <c r="D1167" s="881" t="s">
        <v>1081</v>
      </c>
      <c r="E1167" s="882"/>
      <c r="F1167" s="883"/>
      <c r="G1167" s="887"/>
      <c r="H1167" s="876">
        <v>15.88</v>
      </c>
      <c r="I1167" s="876">
        <f t="shared" si="353"/>
        <v>15.88</v>
      </c>
      <c r="J1167" s="877">
        <f t="shared" si="352"/>
        <v>19.41</v>
      </c>
      <c r="K1167" s="878" t="s">
        <v>62</v>
      </c>
      <c r="L1167" s="879">
        <f>ROUND(SUM(ORÇAMENTO!L1167),2)</f>
        <v>0</v>
      </c>
      <c r="M1167" s="879">
        <f t="shared" si="346"/>
        <v>0</v>
      </c>
      <c r="N1167" s="868">
        <f t="shared" si="347"/>
        <v>0</v>
      </c>
      <c r="O1167" s="880"/>
      <c r="Q1167" s="317" t="str">
        <f t="shared" si="348"/>
        <v/>
      </c>
      <c r="R1167" s="317" t="str">
        <f t="shared" si="349"/>
        <v/>
      </c>
      <c r="S1167" s="317" t="str">
        <f t="shared" si="350"/>
        <v/>
      </c>
      <c r="V1167" s="314">
        <f>SUM(ORÇAMENTO!N1167)</f>
        <v>0</v>
      </c>
      <c r="W1167" s="315">
        <f t="shared" si="351"/>
        <v>0</v>
      </c>
    </row>
    <row r="1168" spans="1:23" ht="30" hidden="1" customHeight="1">
      <c r="A1168" s="63">
        <v>91935</v>
      </c>
      <c r="B1168" s="870">
        <v>91935</v>
      </c>
      <c r="C1168" s="871" t="s">
        <v>590</v>
      </c>
      <c r="D1168" s="881" t="s">
        <v>1082</v>
      </c>
      <c r="E1168" s="882"/>
      <c r="F1168" s="883"/>
      <c r="G1168" s="887"/>
      <c r="H1168" s="876">
        <v>24.8</v>
      </c>
      <c r="I1168" s="876">
        <f t="shared" si="353"/>
        <v>24.8</v>
      </c>
      <c r="J1168" s="877">
        <f t="shared" si="352"/>
        <v>30.31</v>
      </c>
      <c r="K1168" s="878" t="s">
        <v>62</v>
      </c>
      <c r="L1168" s="879">
        <f>ROUND(SUM(ORÇAMENTO!L1168),2)</f>
        <v>0</v>
      </c>
      <c r="M1168" s="879">
        <f t="shared" si="346"/>
        <v>0</v>
      </c>
      <c r="N1168" s="868">
        <f t="shared" si="347"/>
        <v>0</v>
      </c>
      <c r="O1168" s="880"/>
      <c r="Q1168" s="317" t="str">
        <f t="shared" si="348"/>
        <v/>
      </c>
      <c r="R1168" s="317" t="str">
        <f t="shared" si="349"/>
        <v/>
      </c>
      <c r="S1168" s="317" t="str">
        <f t="shared" si="350"/>
        <v/>
      </c>
      <c r="V1168" s="314">
        <f>SUM(ORÇAMENTO!N1168)</f>
        <v>0</v>
      </c>
      <c r="W1168" s="315">
        <f t="shared" si="351"/>
        <v>0</v>
      </c>
    </row>
    <row r="1169" spans="1:23" ht="30" hidden="1" customHeight="1">
      <c r="A1169" s="63">
        <v>92980</v>
      </c>
      <c r="B1169" s="870">
        <v>92980</v>
      </c>
      <c r="C1169" s="871" t="s">
        <v>590</v>
      </c>
      <c r="D1169" s="881" t="s">
        <v>1083</v>
      </c>
      <c r="E1169" s="882"/>
      <c r="F1169" s="883"/>
      <c r="G1169" s="887"/>
      <c r="H1169" s="876">
        <v>10.26</v>
      </c>
      <c r="I1169" s="876">
        <f t="shared" si="353"/>
        <v>10.26</v>
      </c>
      <c r="J1169" s="877">
        <f t="shared" si="352"/>
        <v>12.54</v>
      </c>
      <c r="K1169" s="878" t="s">
        <v>62</v>
      </c>
      <c r="L1169" s="879">
        <f>ROUND(SUM(ORÇAMENTO!L1169),2)</f>
        <v>0</v>
      </c>
      <c r="M1169" s="879">
        <f t="shared" si="346"/>
        <v>0</v>
      </c>
      <c r="N1169" s="868">
        <f t="shared" si="347"/>
        <v>0</v>
      </c>
      <c r="O1169" s="880"/>
      <c r="Q1169" s="317" t="str">
        <f t="shared" si="348"/>
        <v/>
      </c>
      <c r="R1169" s="317" t="str">
        <f t="shared" si="349"/>
        <v/>
      </c>
      <c r="S1169" s="317" t="str">
        <f t="shared" si="350"/>
        <v/>
      </c>
      <c r="V1169" s="314">
        <f>SUM(ORÇAMENTO!N1169)</f>
        <v>0</v>
      </c>
      <c r="W1169" s="315">
        <f t="shared" si="351"/>
        <v>0</v>
      </c>
    </row>
    <row r="1170" spans="1:23" ht="30" hidden="1" customHeight="1">
      <c r="A1170" s="63">
        <v>92982</v>
      </c>
      <c r="B1170" s="870">
        <v>92982</v>
      </c>
      <c r="C1170" s="871" t="s">
        <v>590</v>
      </c>
      <c r="D1170" s="881" t="s">
        <v>1084</v>
      </c>
      <c r="E1170" s="882"/>
      <c r="F1170" s="883"/>
      <c r="G1170" s="887"/>
      <c r="H1170" s="876">
        <v>16.23</v>
      </c>
      <c r="I1170" s="876">
        <f t="shared" si="353"/>
        <v>16.23</v>
      </c>
      <c r="J1170" s="877">
        <f t="shared" si="352"/>
        <v>19.84</v>
      </c>
      <c r="K1170" s="878" t="s">
        <v>62</v>
      </c>
      <c r="L1170" s="879">
        <f>ROUND(SUM(ORÇAMENTO!L1170),2)</f>
        <v>0</v>
      </c>
      <c r="M1170" s="879">
        <f t="shared" ref="M1170:M1233" si="354">IF(L1170=0,0,ROUND(J1170,2))</f>
        <v>0</v>
      </c>
      <c r="N1170" s="868">
        <f t="shared" ref="N1170:N1233" si="355">IF(ISBLANK(L1170),0,ROUND(L1170*M1170,2))</f>
        <v>0</v>
      </c>
      <c r="O1170" s="880"/>
      <c r="Q1170" s="317" t="str">
        <f t="shared" ref="Q1170:Q1233" si="356">IF(P1170="X","x",IF(P1170="xx","x",IF(P1170="xy","x",IF(P1170="y","x",IF(OR(N1170&gt;0,N1170&gt;0),"x","")))))</f>
        <v/>
      </c>
      <c r="R1170" s="317" t="str">
        <f t="shared" ref="R1170:R1233" si="357">IF(P1170="X","x",IF(P1170="y","x",IF(P1170="xx","x",IF(N1170&gt;0,"x",""))))</f>
        <v/>
      </c>
      <c r="S1170" s="317" t="str">
        <f t="shared" ref="S1170:S1233" si="358">IF(P1170="X","x",IF(N1170&gt;0,"x",""))</f>
        <v/>
      </c>
      <c r="V1170" s="314">
        <f>SUM(ORÇAMENTO!N1170)</f>
        <v>0</v>
      </c>
      <c r="W1170" s="315">
        <f t="shared" si="351"/>
        <v>0</v>
      </c>
    </row>
    <row r="1171" spans="1:23" ht="30" hidden="1" customHeight="1">
      <c r="A1171" s="63">
        <v>92984</v>
      </c>
      <c r="B1171" s="870">
        <v>92984</v>
      </c>
      <c r="C1171" s="871" t="s">
        <v>590</v>
      </c>
      <c r="D1171" s="881" t="s">
        <v>1085</v>
      </c>
      <c r="E1171" s="882"/>
      <c r="F1171" s="883"/>
      <c r="G1171" s="887"/>
      <c r="H1171" s="876">
        <v>27.31</v>
      </c>
      <c r="I1171" s="876">
        <f t="shared" si="353"/>
        <v>27.31</v>
      </c>
      <c r="J1171" s="877">
        <f t="shared" si="352"/>
        <v>33.380000000000003</v>
      </c>
      <c r="K1171" s="878" t="s">
        <v>62</v>
      </c>
      <c r="L1171" s="879">
        <f>ROUND(SUM(ORÇAMENTO!L1171),2)</f>
        <v>0</v>
      </c>
      <c r="M1171" s="879">
        <f t="shared" si="354"/>
        <v>0</v>
      </c>
      <c r="N1171" s="868">
        <f t="shared" si="355"/>
        <v>0</v>
      </c>
      <c r="O1171" s="880"/>
      <c r="Q1171" s="317" t="str">
        <f t="shared" si="356"/>
        <v/>
      </c>
      <c r="R1171" s="317" t="str">
        <f t="shared" si="357"/>
        <v/>
      </c>
      <c r="S1171" s="317" t="str">
        <f t="shared" si="358"/>
        <v/>
      </c>
      <c r="V1171" s="314">
        <f>SUM(ORÇAMENTO!N1171)</f>
        <v>0</v>
      </c>
      <c r="W1171" s="315">
        <f t="shared" si="351"/>
        <v>0</v>
      </c>
    </row>
    <row r="1172" spans="1:23" ht="30" hidden="1" customHeight="1">
      <c r="A1172" s="63">
        <v>92986</v>
      </c>
      <c r="B1172" s="870">
        <v>92986</v>
      </c>
      <c r="C1172" s="871" t="s">
        <v>590</v>
      </c>
      <c r="D1172" s="881" t="s">
        <v>1086</v>
      </c>
      <c r="E1172" s="882"/>
      <c r="F1172" s="883"/>
      <c r="G1172" s="887"/>
      <c r="H1172" s="876">
        <v>37.61</v>
      </c>
      <c r="I1172" s="876">
        <f t="shared" si="353"/>
        <v>37.61</v>
      </c>
      <c r="J1172" s="877">
        <f t="shared" si="352"/>
        <v>45.97</v>
      </c>
      <c r="K1172" s="878" t="s">
        <v>62</v>
      </c>
      <c r="L1172" s="879">
        <f>ROUND(SUM(ORÇAMENTO!L1172),2)</f>
        <v>0</v>
      </c>
      <c r="M1172" s="879">
        <f t="shared" si="354"/>
        <v>0</v>
      </c>
      <c r="N1172" s="868">
        <f t="shared" si="355"/>
        <v>0</v>
      </c>
      <c r="O1172" s="880"/>
      <c r="Q1172" s="317" t="str">
        <f t="shared" si="356"/>
        <v/>
      </c>
      <c r="R1172" s="317" t="str">
        <f t="shared" si="357"/>
        <v/>
      </c>
      <c r="S1172" s="317" t="str">
        <f t="shared" si="358"/>
        <v/>
      </c>
      <c r="V1172" s="314">
        <f>SUM(ORÇAMENTO!N1172)</f>
        <v>0</v>
      </c>
      <c r="W1172" s="315">
        <f t="shared" si="351"/>
        <v>0</v>
      </c>
    </row>
    <row r="1173" spans="1:23" ht="30" hidden="1" customHeight="1">
      <c r="A1173" s="63">
        <v>92988</v>
      </c>
      <c r="B1173" s="870">
        <v>92988</v>
      </c>
      <c r="C1173" s="871" t="s">
        <v>590</v>
      </c>
      <c r="D1173" s="881" t="s">
        <v>1087</v>
      </c>
      <c r="E1173" s="882"/>
      <c r="F1173" s="883"/>
      <c r="G1173" s="887"/>
      <c r="H1173" s="876">
        <v>54.4</v>
      </c>
      <c r="I1173" s="876">
        <f t="shared" si="353"/>
        <v>54.4</v>
      </c>
      <c r="J1173" s="877">
        <f t="shared" si="352"/>
        <v>66.489999999999995</v>
      </c>
      <c r="K1173" s="878" t="s">
        <v>62</v>
      </c>
      <c r="L1173" s="879">
        <f>ROUND(SUM(ORÇAMENTO!L1173),2)</f>
        <v>0</v>
      </c>
      <c r="M1173" s="879">
        <f t="shared" si="354"/>
        <v>0</v>
      </c>
      <c r="N1173" s="868">
        <f t="shared" si="355"/>
        <v>0</v>
      </c>
      <c r="O1173" s="880"/>
      <c r="Q1173" s="317" t="str">
        <f t="shared" si="356"/>
        <v/>
      </c>
      <c r="R1173" s="317" t="str">
        <f t="shared" si="357"/>
        <v/>
      </c>
      <c r="S1173" s="317" t="str">
        <f t="shared" si="358"/>
        <v/>
      </c>
      <c r="V1173" s="314">
        <f>SUM(ORÇAMENTO!N1173)</f>
        <v>0</v>
      </c>
      <c r="W1173" s="315">
        <f t="shared" ref="W1173:W1236" si="359">N1173-V1173</f>
        <v>0</v>
      </c>
    </row>
    <row r="1174" spans="1:23" ht="30" hidden="1" customHeight="1">
      <c r="A1174" s="63">
        <v>92990</v>
      </c>
      <c r="B1174" s="870">
        <v>92990</v>
      </c>
      <c r="C1174" s="871" t="s">
        <v>590</v>
      </c>
      <c r="D1174" s="881" t="s">
        <v>1088</v>
      </c>
      <c r="E1174" s="882"/>
      <c r="F1174" s="883"/>
      <c r="G1174" s="887"/>
      <c r="H1174" s="876">
        <v>75.17</v>
      </c>
      <c r="I1174" s="876">
        <f t="shared" si="353"/>
        <v>75.17</v>
      </c>
      <c r="J1174" s="877">
        <f t="shared" si="352"/>
        <v>91.87</v>
      </c>
      <c r="K1174" s="878" t="s">
        <v>62</v>
      </c>
      <c r="L1174" s="879">
        <f>ROUND(SUM(ORÇAMENTO!L1174),2)</f>
        <v>0</v>
      </c>
      <c r="M1174" s="879">
        <f t="shared" si="354"/>
        <v>0</v>
      </c>
      <c r="N1174" s="868">
        <f t="shared" si="355"/>
        <v>0</v>
      </c>
      <c r="O1174" s="880"/>
      <c r="Q1174" s="317" t="str">
        <f t="shared" si="356"/>
        <v/>
      </c>
      <c r="R1174" s="317" t="str">
        <f t="shared" si="357"/>
        <v/>
      </c>
      <c r="S1174" s="317" t="str">
        <f t="shared" si="358"/>
        <v/>
      </c>
      <c r="V1174" s="314">
        <f>SUM(ORÇAMENTO!N1174)</f>
        <v>0</v>
      </c>
      <c r="W1174" s="315">
        <f t="shared" si="359"/>
        <v>0</v>
      </c>
    </row>
    <row r="1175" spans="1:23" ht="30" hidden="1" customHeight="1">
      <c r="A1175" s="63">
        <v>92992</v>
      </c>
      <c r="B1175" s="870">
        <v>92992</v>
      </c>
      <c r="C1175" s="871" t="s">
        <v>590</v>
      </c>
      <c r="D1175" s="881" t="s">
        <v>1089</v>
      </c>
      <c r="E1175" s="882"/>
      <c r="F1175" s="883"/>
      <c r="G1175" s="887"/>
      <c r="H1175" s="876">
        <v>97.11</v>
      </c>
      <c r="I1175" s="876">
        <f t="shared" si="353"/>
        <v>97.11</v>
      </c>
      <c r="J1175" s="877">
        <f t="shared" si="352"/>
        <v>118.69</v>
      </c>
      <c r="K1175" s="878" t="s">
        <v>62</v>
      </c>
      <c r="L1175" s="879">
        <f>ROUND(SUM(ORÇAMENTO!L1175),2)</f>
        <v>0</v>
      </c>
      <c r="M1175" s="879">
        <f t="shared" si="354"/>
        <v>0</v>
      </c>
      <c r="N1175" s="868">
        <f t="shared" si="355"/>
        <v>0</v>
      </c>
      <c r="O1175" s="880"/>
      <c r="Q1175" s="317" t="str">
        <f t="shared" si="356"/>
        <v/>
      </c>
      <c r="R1175" s="317" t="str">
        <f t="shared" si="357"/>
        <v/>
      </c>
      <c r="S1175" s="317" t="str">
        <f t="shared" si="358"/>
        <v/>
      </c>
      <c r="V1175" s="314">
        <f>SUM(ORÇAMENTO!N1175)</f>
        <v>0</v>
      </c>
      <c r="W1175" s="315">
        <f t="shared" si="359"/>
        <v>0</v>
      </c>
    </row>
    <row r="1176" spans="1:23" ht="30" hidden="1" customHeight="1">
      <c r="A1176" s="63">
        <v>92994</v>
      </c>
      <c r="B1176" s="870">
        <v>92994</v>
      </c>
      <c r="C1176" s="871" t="s">
        <v>590</v>
      </c>
      <c r="D1176" s="881" t="s">
        <v>1090</v>
      </c>
      <c r="E1176" s="882"/>
      <c r="F1176" s="883"/>
      <c r="G1176" s="887"/>
      <c r="H1176" s="876">
        <v>126.04</v>
      </c>
      <c r="I1176" s="876">
        <f t="shared" si="353"/>
        <v>126.04</v>
      </c>
      <c r="J1176" s="877">
        <f t="shared" si="352"/>
        <v>154.05000000000001</v>
      </c>
      <c r="K1176" s="878" t="s">
        <v>62</v>
      </c>
      <c r="L1176" s="879">
        <f>ROUND(SUM(ORÇAMENTO!L1176),2)</f>
        <v>0</v>
      </c>
      <c r="M1176" s="879">
        <f t="shared" si="354"/>
        <v>0</v>
      </c>
      <c r="N1176" s="868">
        <f t="shared" si="355"/>
        <v>0</v>
      </c>
      <c r="O1176" s="880"/>
      <c r="Q1176" s="317" t="str">
        <f t="shared" si="356"/>
        <v/>
      </c>
      <c r="R1176" s="317" t="str">
        <f t="shared" si="357"/>
        <v/>
      </c>
      <c r="S1176" s="317" t="str">
        <f t="shared" si="358"/>
        <v/>
      </c>
      <c r="V1176" s="314">
        <f>SUM(ORÇAMENTO!N1176)</f>
        <v>0</v>
      </c>
      <c r="W1176" s="315">
        <f t="shared" si="359"/>
        <v>0</v>
      </c>
    </row>
    <row r="1177" spans="1:23" ht="30" hidden="1" customHeight="1">
      <c r="A1177" s="63">
        <v>92996</v>
      </c>
      <c r="B1177" s="870">
        <v>92996</v>
      </c>
      <c r="C1177" s="871" t="s">
        <v>590</v>
      </c>
      <c r="D1177" s="881" t="s">
        <v>1091</v>
      </c>
      <c r="E1177" s="882"/>
      <c r="F1177" s="883"/>
      <c r="G1177" s="887"/>
      <c r="H1177" s="876">
        <v>152.46</v>
      </c>
      <c r="I1177" s="876">
        <f t="shared" si="353"/>
        <v>152.46</v>
      </c>
      <c r="J1177" s="877">
        <f t="shared" si="352"/>
        <v>186.34</v>
      </c>
      <c r="K1177" s="878" t="s">
        <v>62</v>
      </c>
      <c r="L1177" s="879">
        <f>ROUND(SUM(ORÇAMENTO!L1177),2)</f>
        <v>0</v>
      </c>
      <c r="M1177" s="879">
        <f t="shared" si="354"/>
        <v>0</v>
      </c>
      <c r="N1177" s="868">
        <f t="shared" si="355"/>
        <v>0</v>
      </c>
      <c r="O1177" s="880"/>
      <c r="Q1177" s="317" t="str">
        <f t="shared" si="356"/>
        <v/>
      </c>
      <c r="R1177" s="317" t="str">
        <f t="shared" si="357"/>
        <v/>
      </c>
      <c r="S1177" s="317" t="str">
        <f t="shared" si="358"/>
        <v/>
      </c>
      <c r="V1177" s="314">
        <f>SUM(ORÇAMENTO!N1177)</f>
        <v>0</v>
      </c>
      <c r="W1177" s="315">
        <f t="shared" si="359"/>
        <v>0</v>
      </c>
    </row>
    <row r="1178" spans="1:23" ht="30" hidden="1" customHeight="1">
      <c r="A1178" s="63">
        <v>92998</v>
      </c>
      <c r="B1178" s="870">
        <v>92998</v>
      </c>
      <c r="C1178" s="871" t="s">
        <v>590</v>
      </c>
      <c r="D1178" s="881" t="s">
        <v>1092</v>
      </c>
      <c r="E1178" s="882"/>
      <c r="F1178" s="883"/>
      <c r="G1178" s="887"/>
      <c r="H1178" s="876">
        <v>186.74</v>
      </c>
      <c r="I1178" s="876">
        <f t="shared" si="353"/>
        <v>186.74</v>
      </c>
      <c r="J1178" s="877">
        <f t="shared" si="352"/>
        <v>228.23</v>
      </c>
      <c r="K1178" s="878" t="s">
        <v>62</v>
      </c>
      <c r="L1178" s="879">
        <f>ROUND(SUM(ORÇAMENTO!L1178),2)</f>
        <v>0</v>
      </c>
      <c r="M1178" s="879">
        <f t="shared" si="354"/>
        <v>0</v>
      </c>
      <c r="N1178" s="868">
        <f t="shared" si="355"/>
        <v>0</v>
      </c>
      <c r="O1178" s="880"/>
      <c r="Q1178" s="317" t="str">
        <f t="shared" si="356"/>
        <v/>
      </c>
      <c r="R1178" s="317" t="str">
        <f t="shared" si="357"/>
        <v/>
      </c>
      <c r="S1178" s="317" t="str">
        <f t="shared" si="358"/>
        <v/>
      </c>
      <c r="V1178" s="314">
        <f>SUM(ORÇAMENTO!N1178)</f>
        <v>0</v>
      </c>
      <c r="W1178" s="315">
        <f t="shared" si="359"/>
        <v>0</v>
      </c>
    </row>
    <row r="1179" spans="1:23" ht="30" hidden="1" customHeight="1">
      <c r="A1179" s="63">
        <v>93000</v>
      </c>
      <c r="B1179" s="870">
        <v>93000</v>
      </c>
      <c r="C1179" s="871" t="s">
        <v>590</v>
      </c>
      <c r="D1179" s="881" t="s">
        <v>1093</v>
      </c>
      <c r="E1179" s="882"/>
      <c r="F1179" s="883"/>
      <c r="G1179" s="887"/>
      <c r="H1179" s="876">
        <v>247.07</v>
      </c>
      <c r="I1179" s="876">
        <f t="shared" si="353"/>
        <v>247.07</v>
      </c>
      <c r="J1179" s="877">
        <f t="shared" si="352"/>
        <v>301.97000000000003</v>
      </c>
      <c r="K1179" s="878" t="s">
        <v>62</v>
      </c>
      <c r="L1179" s="879">
        <f>ROUND(SUM(ORÇAMENTO!L1179),2)</f>
        <v>0</v>
      </c>
      <c r="M1179" s="879">
        <f t="shared" si="354"/>
        <v>0</v>
      </c>
      <c r="N1179" s="868">
        <f t="shared" si="355"/>
        <v>0</v>
      </c>
      <c r="O1179" s="880"/>
      <c r="Q1179" s="317" t="str">
        <f t="shared" si="356"/>
        <v/>
      </c>
      <c r="R1179" s="317" t="str">
        <f t="shared" si="357"/>
        <v/>
      </c>
      <c r="S1179" s="317" t="str">
        <f t="shared" si="358"/>
        <v/>
      </c>
      <c r="V1179" s="314">
        <f>SUM(ORÇAMENTO!N1179)</f>
        <v>0</v>
      </c>
      <c r="W1179" s="315">
        <f t="shared" si="359"/>
        <v>0</v>
      </c>
    </row>
    <row r="1180" spans="1:23" ht="30" hidden="1" customHeight="1">
      <c r="A1180" s="63">
        <v>93002</v>
      </c>
      <c r="B1180" s="870">
        <v>93002</v>
      </c>
      <c r="C1180" s="871" t="s">
        <v>590</v>
      </c>
      <c r="D1180" s="881" t="s">
        <v>1094</v>
      </c>
      <c r="E1180" s="882"/>
      <c r="F1180" s="883"/>
      <c r="G1180" s="887"/>
      <c r="H1180" s="876">
        <v>319.27</v>
      </c>
      <c r="I1180" s="876">
        <f t="shared" si="353"/>
        <v>319.27</v>
      </c>
      <c r="J1180" s="877">
        <f t="shared" si="352"/>
        <v>390.21</v>
      </c>
      <c r="K1180" s="878" t="s">
        <v>62</v>
      </c>
      <c r="L1180" s="879">
        <f>ROUND(SUM(ORÇAMENTO!L1180),2)</f>
        <v>0</v>
      </c>
      <c r="M1180" s="879">
        <f t="shared" si="354"/>
        <v>0</v>
      </c>
      <c r="N1180" s="868">
        <f t="shared" si="355"/>
        <v>0</v>
      </c>
      <c r="O1180" s="880"/>
      <c r="Q1180" s="317" t="str">
        <f t="shared" si="356"/>
        <v/>
      </c>
      <c r="R1180" s="317" t="str">
        <f t="shared" si="357"/>
        <v/>
      </c>
      <c r="S1180" s="317" t="str">
        <f t="shared" si="358"/>
        <v/>
      </c>
      <c r="V1180" s="314">
        <f>SUM(ORÇAMENTO!N1180)</f>
        <v>0</v>
      </c>
      <c r="W1180" s="315">
        <f t="shared" si="359"/>
        <v>0</v>
      </c>
    </row>
    <row r="1181" spans="1:23" ht="30" hidden="1" customHeight="1">
      <c r="A1181" s="63">
        <v>101884</v>
      </c>
      <c r="B1181" s="870">
        <v>101884</v>
      </c>
      <c r="C1181" s="871" t="s">
        <v>590</v>
      </c>
      <c r="D1181" s="881" t="s">
        <v>1095</v>
      </c>
      <c r="E1181" s="882"/>
      <c r="F1181" s="883"/>
      <c r="G1181" s="887"/>
      <c r="H1181" s="876">
        <v>10.42</v>
      </c>
      <c r="I1181" s="876">
        <f t="shared" si="353"/>
        <v>10.42</v>
      </c>
      <c r="J1181" s="877">
        <f t="shared" si="352"/>
        <v>12.74</v>
      </c>
      <c r="K1181" s="878" t="s">
        <v>62</v>
      </c>
      <c r="L1181" s="879">
        <f>ROUND(SUM(ORÇAMENTO!L1181),2)</f>
        <v>0</v>
      </c>
      <c r="M1181" s="879">
        <f t="shared" si="354"/>
        <v>0</v>
      </c>
      <c r="N1181" s="868">
        <f t="shared" si="355"/>
        <v>0</v>
      </c>
      <c r="O1181" s="880"/>
      <c r="Q1181" s="317" t="str">
        <f t="shared" si="356"/>
        <v/>
      </c>
      <c r="R1181" s="317" t="str">
        <f t="shared" si="357"/>
        <v/>
      </c>
      <c r="S1181" s="317" t="str">
        <f t="shared" si="358"/>
        <v/>
      </c>
      <c r="V1181" s="314">
        <f>SUM(ORÇAMENTO!N1181)</f>
        <v>0</v>
      </c>
      <c r="W1181" s="315">
        <f t="shared" si="359"/>
        <v>0</v>
      </c>
    </row>
    <row r="1182" spans="1:23" ht="30" hidden="1" customHeight="1">
      <c r="A1182" s="63">
        <v>101885</v>
      </c>
      <c r="B1182" s="870">
        <v>101885</v>
      </c>
      <c r="C1182" s="871" t="s">
        <v>590</v>
      </c>
      <c r="D1182" s="881" t="s">
        <v>1096</v>
      </c>
      <c r="E1182" s="882"/>
      <c r="F1182" s="883"/>
      <c r="G1182" s="887"/>
      <c r="H1182" s="876">
        <v>9.9499999999999993</v>
      </c>
      <c r="I1182" s="876">
        <f t="shared" si="353"/>
        <v>9.9499999999999993</v>
      </c>
      <c r="J1182" s="877">
        <f t="shared" si="352"/>
        <v>12.16</v>
      </c>
      <c r="K1182" s="878" t="s">
        <v>62</v>
      </c>
      <c r="L1182" s="879">
        <f>ROUND(SUM(ORÇAMENTO!L1182),2)</f>
        <v>0</v>
      </c>
      <c r="M1182" s="879">
        <f t="shared" si="354"/>
        <v>0</v>
      </c>
      <c r="N1182" s="868">
        <f t="shared" si="355"/>
        <v>0</v>
      </c>
      <c r="O1182" s="880"/>
      <c r="Q1182" s="317" t="str">
        <f t="shared" si="356"/>
        <v/>
      </c>
      <c r="R1182" s="317" t="str">
        <f t="shared" si="357"/>
        <v/>
      </c>
      <c r="S1182" s="317" t="str">
        <f t="shared" si="358"/>
        <v/>
      </c>
      <c r="V1182" s="314">
        <f>SUM(ORÇAMENTO!N1182)</f>
        <v>0</v>
      </c>
      <c r="W1182" s="315">
        <f t="shared" si="359"/>
        <v>0</v>
      </c>
    </row>
    <row r="1183" spans="1:23" ht="30" hidden="1" customHeight="1">
      <c r="A1183" s="63">
        <v>101886</v>
      </c>
      <c r="B1183" s="870">
        <v>101886</v>
      </c>
      <c r="C1183" s="871" t="s">
        <v>590</v>
      </c>
      <c r="D1183" s="881" t="s">
        <v>1097</v>
      </c>
      <c r="E1183" s="882"/>
      <c r="F1183" s="883"/>
      <c r="G1183" s="887"/>
      <c r="H1183" s="876">
        <v>14.98</v>
      </c>
      <c r="I1183" s="876">
        <f t="shared" si="353"/>
        <v>14.98</v>
      </c>
      <c r="J1183" s="877">
        <f t="shared" si="352"/>
        <v>18.309999999999999</v>
      </c>
      <c r="K1183" s="878" t="s">
        <v>62</v>
      </c>
      <c r="L1183" s="879">
        <f>ROUND(SUM(ORÇAMENTO!L1183),2)</f>
        <v>0</v>
      </c>
      <c r="M1183" s="879">
        <f t="shared" si="354"/>
        <v>0</v>
      </c>
      <c r="N1183" s="868">
        <f t="shared" si="355"/>
        <v>0</v>
      </c>
      <c r="O1183" s="880"/>
      <c r="Q1183" s="317" t="str">
        <f t="shared" si="356"/>
        <v/>
      </c>
      <c r="R1183" s="317" t="str">
        <f t="shared" si="357"/>
        <v/>
      </c>
      <c r="S1183" s="317" t="str">
        <f t="shared" si="358"/>
        <v/>
      </c>
      <c r="V1183" s="314">
        <f>SUM(ORÇAMENTO!N1183)</f>
        <v>0</v>
      </c>
      <c r="W1183" s="315">
        <f t="shared" si="359"/>
        <v>0</v>
      </c>
    </row>
    <row r="1184" spans="1:23" ht="30" hidden="1" customHeight="1">
      <c r="A1184" s="63">
        <v>101887</v>
      </c>
      <c r="B1184" s="870">
        <v>101887</v>
      </c>
      <c r="C1184" s="871" t="s">
        <v>590</v>
      </c>
      <c r="D1184" s="881" t="s">
        <v>1098</v>
      </c>
      <c r="E1184" s="882"/>
      <c r="F1184" s="883"/>
      <c r="G1184" s="887"/>
      <c r="H1184" s="876">
        <v>15.88</v>
      </c>
      <c r="I1184" s="876">
        <f t="shared" si="353"/>
        <v>15.88</v>
      </c>
      <c r="J1184" s="877">
        <f t="shared" si="352"/>
        <v>19.41</v>
      </c>
      <c r="K1184" s="878" t="s">
        <v>62</v>
      </c>
      <c r="L1184" s="879">
        <f>ROUND(SUM(ORÇAMENTO!L1184),2)</f>
        <v>0</v>
      </c>
      <c r="M1184" s="879">
        <f t="shared" si="354"/>
        <v>0</v>
      </c>
      <c r="N1184" s="868">
        <f t="shared" si="355"/>
        <v>0</v>
      </c>
      <c r="O1184" s="880"/>
      <c r="Q1184" s="317" t="str">
        <f t="shared" si="356"/>
        <v/>
      </c>
      <c r="R1184" s="317" t="str">
        <f t="shared" si="357"/>
        <v/>
      </c>
      <c r="S1184" s="317" t="str">
        <f t="shared" si="358"/>
        <v/>
      </c>
      <c r="V1184" s="314">
        <f>SUM(ORÇAMENTO!N1184)</f>
        <v>0</v>
      </c>
      <c r="W1184" s="315">
        <f t="shared" si="359"/>
        <v>0</v>
      </c>
    </row>
    <row r="1185" spans="1:23" ht="30" hidden="1" customHeight="1">
      <c r="A1185" s="63">
        <v>101888</v>
      </c>
      <c r="B1185" s="870">
        <v>101888</v>
      </c>
      <c r="C1185" s="871" t="s">
        <v>590</v>
      </c>
      <c r="D1185" s="881" t="s">
        <v>1099</v>
      </c>
      <c r="E1185" s="882"/>
      <c r="F1185" s="883"/>
      <c r="G1185" s="887"/>
      <c r="H1185" s="876">
        <v>23.48</v>
      </c>
      <c r="I1185" s="876">
        <f t="shared" si="353"/>
        <v>23.48</v>
      </c>
      <c r="J1185" s="877">
        <f t="shared" si="352"/>
        <v>28.7</v>
      </c>
      <c r="K1185" s="878" t="s">
        <v>62</v>
      </c>
      <c r="L1185" s="879">
        <f>ROUND(SUM(ORÇAMENTO!L1185),2)</f>
        <v>0</v>
      </c>
      <c r="M1185" s="879">
        <f t="shared" si="354"/>
        <v>0</v>
      </c>
      <c r="N1185" s="868">
        <f t="shared" si="355"/>
        <v>0</v>
      </c>
      <c r="O1185" s="880"/>
      <c r="Q1185" s="317" t="str">
        <f t="shared" si="356"/>
        <v/>
      </c>
      <c r="R1185" s="317" t="str">
        <f t="shared" si="357"/>
        <v/>
      </c>
      <c r="S1185" s="317" t="str">
        <f t="shared" si="358"/>
        <v/>
      </c>
      <c r="V1185" s="314">
        <f>SUM(ORÇAMENTO!N1185)</f>
        <v>0</v>
      </c>
      <c r="W1185" s="315">
        <f t="shared" si="359"/>
        <v>0</v>
      </c>
    </row>
    <row r="1186" spans="1:23" ht="23.25" hidden="1" thickBot="1">
      <c r="A1186" s="63">
        <v>101889</v>
      </c>
      <c r="B1186" s="870">
        <v>101889</v>
      </c>
      <c r="C1186" s="871" t="s">
        <v>590</v>
      </c>
      <c r="D1186" s="881" t="s">
        <v>1100</v>
      </c>
      <c r="E1186" s="882"/>
      <c r="F1186" s="883"/>
      <c r="G1186" s="887"/>
      <c r="H1186" s="876">
        <v>24.66</v>
      </c>
      <c r="I1186" s="876">
        <f t="shared" si="353"/>
        <v>24.66</v>
      </c>
      <c r="J1186" s="877">
        <f t="shared" si="352"/>
        <v>30.14</v>
      </c>
      <c r="K1186" s="878" t="s">
        <v>62</v>
      </c>
      <c r="L1186" s="879">
        <f>ROUND(SUM(ORÇAMENTO!L1186),2)</f>
        <v>0</v>
      </c>
      <c r="M1186" s="879">
        <f t="shared" si="354"/>
        <v>0</v>
      </c>
      <c r="N1186" s="868">
        <f t="shared" si="355"/>
        <v>0</v>
      </c>
      <c r="O1186" s="880"/>
      <c r="Q1186" s="317" t="str">
        <f t="shared" si="356"/>
        <v/>
      </c>
      <c r="R1186" s="317" t="str">
        <f t="shared" si="357"/>
        <v/>
      </c>
      <c r="S1186" s="317" t="str">
        <f t="shared" si="358"/>
        <v/>
      </c>
      <c r="V1186" s="314">
        <f>SUM(ORÇAMENTO!N1186)</f>
        <v>0</v>
      </c>
      <c r="W1186" s="315">
        <f t="shared" si="359"/>
        <v>0</v>
      </c>
    </row>
    <row r="1187" spans="1:23" ht="39" hidden="1" customHeight="1">
      <c r="A1187" s="63">
        <v>101560</v>
      </c>
      <c r="B1187" s="870">
        <v>101560</v>
      </c>
      <c r="C1187" s="871" t="s">
        <v>590</v>
      </c>
      <c r="D1187" s="881" t="s">
        <v>1101</v>
      </c>
      <c r="E1187" s="882"/>
      <c r="F1187" s="883"/>
      <c r="G1187" s="887"/>
      <c r="H1187" s="876">
        <v>9.89</v>
      </c>
      <c r="I1187" s="876">
        <f t="shared" si="353"/>
        <v>9.89</v>
      </c>
      <c r="J1187" s="877">
        <f t="shared" si="352"/>
        <v>12.09</v>
      </c>
      <c r="K1187" s="878" t="s">
        <v>62</v>
      </c>
      <c r="L1187" s="879">
        <f>ROUND(SUM(ORÇAMENTO!L1187),2)</f>
        <v>0</v>
      </c>
      <c r="M1187" s="879">
        <f t="shared" si="354"/>
        <v>0</v>
      </c>
      <c r="N1187" s="868">
        <f t="shared" si="355"/>
        <v>0</v>
      </c>
      <c r="O1187" s="880"/>
      <c r="Q1187" s="317" t="str">
        <f t="shared" si="356"/>
        <v/>
      </c>
      <c r="R1187" s="317" t="str">
        <f t="shared" si="357"/>
        <v/>
      </c>
      <c r="S1187" s="317" t="str">
        <f t="shared" si="358"/>
        <v/>
      </c>
      <c r="V1187" s="314">
        <f>SUM(ORÇAMENTO!N1187)</f>
        <v>0</v>
      </c>
      <c r="W1187" s="315">
        <f t="shared" si="359"/>
        <v>0</v>
      </c>
    </row>
    <row r="1188" spans="1:23" ht="39" hidden="1" customHeight="1">
      <c r="A1188" s="63">
        <v>101561</v>
      </c>
      <c r="B1188" s="870">
        <v>101561</v>
      </c>
      <c r="C1188" s="871" t="s">
        <v>590</v>
      </c>
      <c r="D1188" s="881" t="s">
        <v>1102</v>
      </c>
      <c r="E1188" s="882"/>
      <c r="F1188" s="883"/>
      <c r="G1188" s="887"/>
      <c r="H1188" s="876">
        <v>15.7</v>
      </c>
      <c r="I1188" s="876">
        <f t="shared" si="353"/>
        <v>15.7</v>
      </c>
      <c r="J1188" s="877">
        <f t="shared" si="352"/>
        <v>19.190000000000001</v>
      </c>
      <c r="K1188" s="878" t="s">
        <v>62</v>
      </c>
      <c r="L1188" s="879">
        <f>ROUND(SUM(ORÇAMENTO!L1188),2)</f>
        <v>0</v>
      </c>
      <c r="M1188" s="879">
        <f t="shared" si="354"/>
        <v>0</v>
      </c>
      <c r="N1188" s="868">
        <f t="shared" si="355"/>
        <v>0</v>
      </c>
      <c r="O1188" s="880"/>
      <c r="Q1188" s="317" t="str">
        <f t="shared" si="356"/>
        <v/>
      </c>
      <c r="R1188" s="317" t="str">
        <f t="shared" si="357"/>
        <v/>
      </c>
      <c r="S1188" s="317" t="str">
        <f t="shared" si="358"/>
        <v/>
      </c>
      <c r="V1188" s="314">
        <f>SUM(ORÇAMENTO!N1188)</f>
        <v>0</v>
      </c>
      <c r="W1188" s="315">
        <f t="shared" si="359"/>
        <v>0</v>
      </c>
    </row>
    <row r="1189" spans="1:23" ht="39" hidden="1" customHeight="1">
      <c r="A1189" s="63">
        <v>101562</v>
      </c>
      <c r="B1189" s="870">
        <v>101562</v>
      </c>
      <c r="C1189" s="871" t="s">
        <v>590</v>
      </c>
      <c r="D1189" s="881" t="s">
        <v>1103</v>
      </c>
      <c r="E1189" s="882"/>
      <c r="F1189" s="883"/>
      <c r="G1189" s="887"/>
      <c r="H1189" s="876">
        <v>24.3</v>
      </c>
      <c r="I1189" s="876">
        <f t="shared" si="353"/>
        <v>24.3</v>
      </c>
      <c r="J1189" s="877">
        <f t="shared" si="352"/>
        <v>29.7</v>
      </c>
      <c r="K1189" s="878" t="s">
        <v>62</v>
      </c>
      <c r="L1189" s="879">
        <f>ROUND(SUM(ORÇAMENTO!L1189),2)</f>
        <v>0</v>
      </c>
      <c r="M1189" s="879">
        <f t="shared" si="354"/>
        <v>0</v>
      </c>
      <c r="N1189" s="868">
        <f t="shared" si="355"/>
        <v>0</v>
      </c>
      <c r="O1189" s="880"/>
      <c r="Q1189" s="317" t="str">
        <f t="shared" si="356"/>
        <v/>
      </c>
      <c r="R1189" s="317" t="str">
        <f t="shared" si="357"/>
        <v/>
      </c>
      <c r="S1189" s="317" t="str">
        <f t="shared" si="358"/>
        <v/>
      </c>
      <c r="V1189" s="314">
        <f>SUM(ORÇAMENTO!N1189)</f>
        <v>0</v>
      </c>
      <c r="W1189" s="315">
        <f t="shared" si="359"/>
        <v>0</v>
      </c>
    </row>
    <row r="1190" spans="1:23" ht="39" hidden="1" customHeight="1">
      <c r="A1190" s="63">
        <v>101563</v>
      </c>
      <c r="B1190" s="870">
        <v>101563</v>
      </c>
      <c r="C1190" s="871" t="s">
        <v>590</v>
      </c>
      <c r="D1190" s="881" t="s">
        <v>1104</v>
      </c>
      <c r="E1190" s="882"/>
      <c r="F1190" s="883"/>
      <c r="G1190" s="887"/>
      <c r="H1190" s="876">
        <v>34.299999999999997</v>
      </c>
      <c r="I1190" s="876">
        <f t="shared" si="353"/>
        <v>34.299999999999997</v>
      </c>
      <c r="J1190" s="877">
        <f t="shared" si="352"/>
        <v>41.92</v>
      </c>
      <c r="K1190" s="878" t="s">
        <v>62</v>
      </c>
      <c r="L1190" s="879">
        <f>ROUND(SUM(ORÇAMENTO!L1190),2)</f>
        <v>0</v>
      </c>
      <c r="M1190" s="879">
        <f t="shared" si="354"/>
        <v>0</v>
      </c>
      <c r="N1190" s="868">
        <f t="shared" si="355"/>
        <v>0</v>
      </c>
      <c r="O1190" s="880"/>
      <c r="Q1190" s="317" t="str">
        <f t="shared" si="356"/>
        <v/>
      </c>
      <c r="R1190" s="317" t="str">
        <f t="shared" si="357"/>
        <v/>
      </c>
      <c r="S1190" s="317" t="str">
        <f t="shared" si="358"/>
        <v/>
      </c>
      <c r="V1190" s="314">
        <f>SUM(ORÇAMENTO!N1190)</f>
        <v>0</v>
      </c>
      <c r="W1190" s="315">
        <f t="shared" si="359"/>
        <v>0</v>
      </c>
    </row>
    <row r="1191" spans="1:23" ht="39" hidden="1" customHeight="1">
      <c r="A1191" s="63">
        <v>101564</v>
      </c>
      <c r="B1191" s="870">
        <v>101564</v>
      </c>
      <c r="C1191" s="871" t="s">
        <v>590</v>
      </c>
      <c r="D1191" s="881" t="s">
        <v>1105</v>
      </c>
      <c r="E1191" s="882"/>
      <c r="F1191" s="883"/>
      <c r="G1191" s="887"/>
      <c r="H1191" s="876">
        <v>50.7</v>
      </c>
      <c r="I1191" s="876">
        <f t="shared" si="353"/>
        <v>50.7</v>
      </c>
      <c r="J1191" s="877">
        <f t="shared" si="352"/>
        <v>61.97</v>
      </c>
      <c r="K1191" s="878" t="s">
        <v>62</v>
      </c>
      <c r="L1191" s="879">
        <f>ROUND(SUM(ORÇAMENTO!L1191),2)</f>
        <v>0</v>
      </c>
      <c r="M1191" s="879">
        <f t="shared" si="354"/>
        <v>0</v>
      </c>
      <c r="N1191" s="868">
        <f t="shared" si="355"/>
        <v>0</v>
      </c>
      <c r="O1191" s="880"/>
      <c r="Q1191" s="317" t="str">
        <f t="shared" si="356"/>
        <v/>
      </c>
      <c r="R1191" s="317" t="str">
        <f t="shared" si="357"/>
        <v/>
      </c>
      <c r="S1191" s="317" t="str">
        <f t="shared" si="358"/>
        <v/>
      </c>
      <c r="V1191" s="314">
        <f>SUM(ORÇAMENTO!N1191)</f>
        <v>0</v>
      </c>
      <c r="W1191" s="315">
        <f t="shared" si="359"/>
        <v>0</v>
      </c>
    </row>
    <row r="1192" spans="1:23" ht="39" hidden="1" customHeight="1">
      <c r="A1192" s="63">
        <v>101565</v>
      </c>
      <c r="B1192" s="870">
        <v>101565</v>
      </c>
      <c r="C1192" s="871" t="s">
        <v>590</v>
      </c>
      <c r="D1192" s="881" t="s">
        <v>1106</v>
      </c>
      <c r="E1192" s="882"/>
      <c r="F1192" s="883"/>
      <c r="G1192" s="887"/>
      <c r="H1192" s="876">
        <v>70.89</v>
      </c>
      <c r="I1192" s="876">
        <f t="shared" si="353"/>
        <v>70.89</v>
      </c>
      <c r="J1192" s="877">
        <f t="shared" si="352"/>
        <v>86.64</v>
      </c>
      <c r="K1192" s="878" t="s">
        <v>62</v>
      </c>
      <c r="L1192" s="879">
        <f>ROUND(SUM(ORÇAMENTO!L1192),2)</f>
        <v>0</v>
      </c>
      <c r="M1192" s="879">
        <f t="shared" si="354"/>
        <v>0</v>
      </c>
      <c r="N1192" s="868">
        <f t="shared" si="355"/>
        <v>0</v>
      </c>
      <c r="O1192" s="880"/>
      <c r="Q1192" s="317" t="str">
        <f t="shared" si="356"/>
        <v/>
      </c>
      <c r="R1192" s="317" t="str">
        <f t="shared" si="357"/>
        <v/>
      </c>
      <c r="S1192" s="317" t="str">
        <f t="shared" si="358"/>
        <v/>
      </c>
      <c r="V1192" s="314">
        <f>SUM(ORÇAMENTO!N1192)</f>
        <v>0</v>
      </c>
      <c r="W1192" s="315">
        <f t="shared" si="359"/>
        <v>0</v>
      </c>
    </row>
    <row r="1193" spans="1:23" ht="39" hidden="1" customHeight="1">
      <c r="A1193" s="63">
        <v>101567</v>
      </c>
      <c r="B1193" s="870">
        <v>101567</v>
      </c>
      <c r="C1193" s="871" t="s">
        <v>590</v>
      </c>
      <c r="D1193" s="881" t="s">
        <v>1107</v>
      </c>
      <c r="E1193" s="882"/>
      <c r="F1193" s="883"/>
      <c r="G1193" s="887"/>
      <c r="H1193" s="876">
        <v>92.02</v>
      </c>
      <c r="I1193" s="876">
        <f t="shared" si="353"/>
        <v>92.02</v>
      </c>
      <c r="J1193" s="877">
        <f t="shared" si="352"/>
        <v>112.47</v>
      </c>
      <c r="K1193" s="878" t="s">
        <v>62</v>
      </c>
      <c r="L1193" s="879">
        <f>ROUND(SUM(ORÇAMENTO!L1193),2)</f>
        <v>0</v>
      </c>
      <c r="M1193" s="879">
        <f t="shared" si="354"/>
        <v>0</v>
      </c>
      <c r="N1193" s="868">
        <f t="shared" si="355"/>
        <v>0</v>
      </c>
      <c r="O1193" s="880"/>
      <c r="Q1193" s="317" t="str">
        <f t="shared" si="356"/>
        <v/>
      </c>
      <c r="R1193" s="317" t="str">
        <f t="shared" si="357"/>
        <v/>
      </c>
      <c r="S1193" s="317" t="str">
        <f t="shared" si="358"/>
        <v/>
      </c>
      <c r="V1193" s="314">
        <f>SUM(ORÇAMENTO!N1193)</f>
        <v>0</v>
      </c>
      <c r="W1193" s="315">
        <f t="shared" si="359"/>
        <v>0</v>
      </c>
    </row>
    <row r="1194" spans="1:23" ht="39" hidden="1" customHeight="1">
      <c r="A1194" s="63">
        <v>101568</v>
      </c>
      <c r="B1194" s="870">
        <v>101568</v>
      </c>
      <c r="C1194" s="871" t="s">
        <v>590</v>
      </c>
      <c r="D1194" s="881" t="s">
        <v>1108</v>
      </c>
      <c r="E1194" s="882"/>
      <c r="F1194" s="883"/>
      <c r="G1194" s="887"/>
      <c r="H1194" s="876">
        <v>120.3</v>
      </c>
      <c r="I1194" s="876">
        <f t="shared" si="353"/>
        <v>120.3</v>
      </c>
      <c r="J1194" s="877">
        <f t="shared" si="352"/>
        <v>147.03</v>
      </c>
      <c r="K1194" s="878" t="s">
        <v>62</v>
      </c>
      <c r="L1194" s="879">
        <f>ROUND(SUM(ORÇAMENTO!L1194),2)</f>
        <v>0</v>
      </c>
      <c r="M1194" s="879">
        <f t="shared" si="354"/>
        <v>0</v>
      </c>
      <c r="N1194" s="868">
        <f t="shared" si="355"/>
        <v>0</v>
      </c>
      <c r="O1194" s="880"/>
      <c r="Q1194" s="317" t="str">
        <f t="shared" si="356"/>
        <v/>
      </c>
      <c r="R1194" s="317" t="str">
        <f t="shared" si="357"/>
        <v/>
      </c>
      <c r="S1194" s="317" t="str">
        <f t="shared" si="358"/>
        <v/>
      </c>
      <c r="V1194" s="314">
        <f>SUM(ORÇAMENTO!N1194)</f>
        <v>0</v>
      </c>
      <c r="W1194" s="315">
        <f t="shared" si="359"/>
        <v>0</v>
      </c>
    </row>
    <row r="1195" spans="1:23" ht="30" hidden="1" customHeight="1">
      <c r="A1195" s="63">
        <v>95777</v>
      </c>
      <c r="B1195" s="870">
        <v>95777</v>
      </c>
      <c r="C1195" s="871" t="s">
        <v>590</v>
      </c>
      <c r="D1195" s="881" t="s">
        <v>1109</v>
      </c>
      <c r="E1195" s="882"/>
      <c r="F1195" s="883"/>
      <c r="G1195" s="887"/>
      <c r="H1195" s="876">
        <v>28.73</v>
      </c>
      <c r="I1195" s="876">
        <f t="shared" si="353"/>
        <v>28.73</v>
      </c>
      <c r="J1195" s="877">
        <f t="shared" si="352"/>
        <v>35.11</v>
      </c>
      <c r="K1195" s="878" t="s">
        <v>1500</v>
      </c>
      <c r="L1195" s="879">
        <f>ROUND(SUM(ORÇAMENTO!L1195),2)</f>
        <v>0</v>
      </c>
      <c r="M1195" s="879">
        <f t="shared" si="354"/>
        <v>0</v>
      </c>
      <c r="N1195" s="868">
        <f t="shared" si="355"/>
        <v>0</v>
      </c>
      <c r="O1195" s="880"/>
      <c r="Q1195" s="317" t="str">
        <f t="shared" si="356"/>
        <v/>
      </c>
      <c r="R1195" s="317" t="str">
        <f t="shared" si="357"/>
        <v/>
      </c>
      <c r="S1195" s="317" t="str">
        <f t="shared" si="358"/>
        <v/>
      </c>
      <c r="V1195" s="314">
        <f>SUM(ORÇAMENTO!N1195)</f>
        <v>0</v>
      </c>
      <c r="W1195" s="315">
        <f t="shared" si="359"/>
        <v>0</v>
      </c>
    </row>
    <row r="1196" spans="1:23" ht="30" hidden="1" customHeight="1">
      <c r="A1196" s="63">
        <v>95778</v>
      </c>
      <c r="B1196" s="870">
        <v>95778</v>
      </c>
      <c r="C1196" s="871" t="s">
        <v>590</v>
      </c>
      <c r="D1196" s="881" t="s">
        <v>1110</v>
      </c>
      <c r="E1196" s="882"/>
      <c r="F1196" s="883"/>
      <c r="G1196" s="887"/>
      <c r="H1196" s="876">
        <v>32.130000000000003</v>
      </c>
      <c r="I1196" s="876">
        <f t="shared" si="353"/>
        <v>32.130000000000003</v>
      </c>
      <c r="J1196" s="877">
        <f t="shared" si="352"/>
        <v>39.270000000000003</v>
      </c>
      <c r="K1196" s="878" t="s">
        <v>1500</v>
      </c>
      <c r="L1196" s="879">
        <f>ROUND(SUM(ORÇAMENTO!L1196),2)</f>
        <v>0</v>
      </c>
      <c r="M1196" s="879">
        <f t="shared" si="354"/>
        <v>0</v>
      </c>
      <c r="N1196" s="868">
        <f t="shared" si="355"/>
        <v>0</v>
      </c>
      <c r="O1196" s="880"/>
      <c r="Q1196" s="317" t="str">
        <f t="shared" si="356"/>
        <v/>
      </c>
      <c r="R1196" s="317" t="str">
        <f t="shared" si="357"/>
        <v/>
      </c>
      <c r="S1196" s="317" t="str">
        <f t="shared" si="358"/>
        <v/>
      </c>
      <c r="V1196" s="314">
        <f>SUM(ORÇAMENTO!N1196)</f>
        <v>0</v>
      </c>
      <c r="W1196" s="315">
        <f t="shared" si="359"/>
        <v>0</v>
      </c>
    </row>
    <row r="1197" spans="1:23" ht="30" hidden="1" customHeight="1">
      <c r="A1197" s="63">
        <v>95779</v>
      </c>
      <c r="B1197" s="870">
        <v>95779</v>
      </c>
      <c r="C1197" s="871" t="s">
        <v>590</v>
      </c>
      <c r="D1197" s="881" t="s">
        <v>1111</v>
      </c>
      <c r="E1197" s="882"/>
      <c r="F1197" s="883"/>
      <c r="G1197" s="887"/>
      <c r="H1197" s="876">
        <v>26.72</v>
      </c>
      <c r="I1197" s="876">
        <f t="shared" si="353"/>
        <v>26.72</v>
      </c>
      <c r="J1197" s="877">
        <f t="shared" si="352"/>
        <v>32.659999999999997</v>
      </c>
      <c r="K1197" s="878" t="s">
        <v>1500</v>
      </c>
      <c r="L1197" s="879">
        <f>ROUND(SUM(ORÇAMENTO!L1197),2)</f>
        <v>0</v>
      </c>
      <c r="M1197" s="879">
        <f t="shared" si="354"/>
        <v>0</v>
      </c>
      <c r="N1197" s="868">
        <f t="shared" si="355"/>
        <v>0</v>
      </c>
      <c r="O1197" s="880"/>
      <c r="Q1197" s="317" t="str">
        <f t="shared" si="356"/>
        <v/>
      </c>
      <c r="R1197" s="317" t="str">
        <f t="shared" si="357"/>
        <v/>
      </c>
      <c r="S1197" s="317" t="str">
        <f t="shared" si="358"/>
        <v/>
      </c>
      <c r="V1197" s="314">
        <f>SUM(ORÇAMENTO!N1197)</f>
        <v>0</v>
      </c>
      <c r="W1197" s="315">
        <f t="shared" si="359"/>
        <v>0</v>
      </c>
    </row>
    <row r="1198" spans="1:23" ht="30" hidden="1" customHeight="1">
      <c r="A1198" s="63">
        <v>95780</v>
      </c>
      <c r="B1198" s="870">
        <v>95780</v>
      </c>
      <c r="C1198" s="871" t="s">
        <v>590</v>
      </c>
      <c r="D1198" s="881" t="s">
        <v>1112</v>
      </c>
      <c r="E1198" s="882"/>
      <c r="F1198" s="883"/>
      <c r="G1198" s="887"/>
      <c r="H1198" s="876">
        <v>34.22</v>
      </c>
      <c r="I1198" s="876">
        <f t="shared" si="353"/>
        <v>34.22</v>
      </c>
      <c r="J1198" s="877">
        <f t="shared" si="352"/>
        <v>41.82</v>
      </c>
      <c r="K1198" s="878" t="s">
        <v>1500</v>
      </c>
      <c r="L1198" s="879">
        <f>ROUND(SUM(ORÇAMENTO!L1198),2)</f>
        <v>0</v>
      </c>
      <c r="M1198" s="879">
        <f t="shared" si="354"/>
        <v>0</v>
      </c>
      <c r="N1198" s="868">
        <f t="shared" si="355"/>
        <v>0</v>
      </c>
      <c r="O1198" s="880"/>
      <c r="Q1198" s="317" t="str">
        <f t="shared" si="356"/>
        <v/>
      </c>
      <c r="R1198" s="317" t="str">
        <f t="shared" si="357"/>
        <v/>
      </c>
      <c r="S1198" s="317" t="str">
        <f t="shared" si="358"/>
        <v/>
      </c>
      <c r="V1198" s="314">
        <f>SUM(ORÇAMENTO!N1198)</f>
        <v>0</v>
      </c>
      <c r="W1198" s="315">
        <f t="shared" si="359"/>
        <v>0</v>
      </c>
    </row>
    <row r="1199" spans="1:23" ht="30" hidden="1" customHeight="1">
      <c r="A1199" s="63">
        <v>95781</v>
      </c>
      <c r="B1199" s="870">
        <v>95781</v>
      </c>
      <c r="C1199" s="871" t="s">
        <v>590</v>
      </c>
      <c r="D1199" s="881" t="s">
        <v>1113</v>
      </c>
      <c r="E1199" s="882"/>
      <c r="F1199" s="883"/>
      <c r="G1199" s="887"/>
      <c r="H1199" s="876">
        <v>38.9</v>
      </c>
      <c r="I1199" s="876">
        <f t="shared" si="353"/>
        <v>38.9</v>
      </c>
      <c r="J1199" s="877">
        <f t="shared" si="352"/>
        <v>47.54</v>
      </c>
      <c r="K1199" s="878" t="s">
        <v>1500</v>
      </c>
      <c r="L1199" s="879">
        <f>ROUND(SUM(ORÇAMENTO!L1199),2)</f>
        <v>0</v>
      </c>
      <c r="M1199" s="879">
        <f t="shared" si="354"/>
        <v>0</v>
      </c>
      <c r="N1199" s="868">
        <f t="shared" si="355"/>
        <v>0</v>
      </c>
      <c r="O1199" s="880"/>
      <c r="Q1199" s="317" t="str">
        <f t="shared" si="356"/>
        <v/>
      </c>
      <c r="R1199" s="317" t="str">
        <f t="shared" si="357"/>
        <v/>
      </c>
      <c r="S1199" s="317" t="str">
        <f t="shared" si="358"/>
        <v/>
      </c>
      <c r="V1199" s="314">
        <f>SUM(ORÇAMENTO!N1199)</f>
        <v>0</v>
      </c>
      <c r="W1199" s="315">
        <f t="shared" si="359"/>
        <v>0</v>
      </c>
    </row>
    <row r="1200" spans="1:23" ht="30" hidden="1" customHeight="1">
      <c r="A1200" s="63">
        <v>95782</v>
      </c>
      <c r="B1200" s="870">
        <v>95782</v>
      </c>
      <c r="C1200" s="871" t="s">
        <v>590</v>
      </c>
      <c r="D1200" s="881" t="s">
        <v>1114</v>
      </c>
      <c r="E1200" s="882"/>
      <c r="F1200" s="883"/>
      <c r="G1200" s="887"/>
      <c r="H1200" s="876">
        <v>36.520000000000003</v>
      </c>
      <c r="I1200" s="876">
        <f t="shared" si="353"/>
        <v>36.520000000000003</v>
      </c>
      <c r="J1200" s="877">
        <f t="shared" si="352"/>
        <v>44.63</v>
      </c>
      <c r="K1200" s="878" t="s">
        <v>1500</v>
      </c>
      <c r="L1200" s="879">
        <f>ROUND(SUM(ORÇAMENTO!L1200),2)</f>
        <v>0</v>
      </c>
      <c r="M1200" s="879">
        <f t="shared" si="354"/>
        <v>0</v>
      </c>
      <c r="N1200" s="868">
        <f t="shared" si="355"/>
        <v>0</v>
      </c>
      <c r="O1200" s="880"/>
      <c r="Q1200" s="317" t="str">
        <f t="shared" si="356"/>
        <v/>
      </c>
      <c r="R1200" s="317" t="str">
        <f t="shared" si="357"/>
        <v/>
      </c>
      <c r="S1200" s="317" t="str">
        <f t="shared" si="358"/>
        <v/>
      </c>
      <c r="V1200" s="314">
        <f>SUM(ORÇAMENTO!N1200)</f>
        <v>0</v>
      </c>
      <c r="W1200" s="315">
        <f t="shared" si="359"/>
        <v>0</v>
      </c>
    </row>
    <row r="1201" spans="1:23" ht="30" hidden="1" customHeight="1">
      <c r="A1201" s="63">
        <v>95785</v>
      </c>
      <c r="B1201" s="870">
        <v>95785</v>
      </c>
      <c r="C1201" s="871" t="s">
        <v>590</v>
      </c>
      <c r="D1201" s="881" t="s">
        <v>1115</v>
      </c>
      <c r="E1201" s="882"/>
      <c r="F1201" s="883"/>
      <c r="G1201" s="887"/>
      <c r="H1201" s="876">
        <v>43.24</v>
      </c>
      <c r="I1201" s="876">
        <f t="shared" si="353"/>
        <v>43.24</v>
      </c>
      <c r="J1201" s="877">
        <f t="shared" si="352"/>
        <v>52.85</v>
      </c>
      <c r="K1201" s="878" t="s">
        <v>1500</v>
      </c>
      <c r="L1201" s="879">
        <f>ROUND(SUM(ORÇAMENTO!L1201),2)</f>
        <v>0</v>
      </c>
      <c r="M1201" s="879">
        <f t="shared" si="354"/>
        <v>0</v>
      </c>
      <c r="N1201" s="868">
        <f t="shared" si="355"/>
        <v>0</v>
      </c>
      <c r="O1201" s="880"/>
      <c r="Q1201" s="317" t="str">
        <f t="shared" si="356"/>
        <v/>
      </c>
      <c r="R1201" s="317" t="str">
        <f t="shared" si="357"/>
        <v/>
      </c>
      <c r="S1201" s="317" t="str">
        <f t="shared" si="358"/>
        <v/>
      </c>
      <c r="V1201" s="314">
        <f>SUM(ORÇAMENTO!N1201)</f>
        <v>0</v>
      </c>
      <c r="W1201" s="315">
        <f t="shared" si="359"/>
        <v>0</v>
      </c>
    </row>
    <row r="1202" spans="1:23" ht="30" hidden="1" customHeight="1">
      <c r="A1202" s="63">
        <v>95787</v>
      </c>
      <c r="B1202" s="870">
        <v>95787</v>
      </c>
      <c r="C1202" s="871" t="s">
        <v>590</v>
      </c>
      <c r="D1202" s="881" t="s">
        <v>1116</v>
      </c>
      <c r="E1202" s="882"/>
      <c r="F1202" s="883"/>
      <c r="G1202" s="887"/>
      <c r="H1202" s="876">
        <v>32.24</v>
      </c>
      <c r="I1202" s="876">
        <f t="shared" si="353"/>
        <v>32.24</v>
      </c>
      <c r="J1202" s="877">
        <f t="shared" si="352"/>
        <v>39.4</v>
      </c>
      <c r="K1202" s="878" t="s">
        <v>1500</v>
      </c>
      <c r="L1202" s="879">
        <f>ROUND(SUM(ORÇAMENTO!L1202),2)</f>
        <v>0</v>
      </c>
      <c r="M1202" s="879">
        <f t="shared" si="354"/>
        <v>0</v>
      </c>
      <c r="N1202" s="868">
        <f t="shared" si="355"/>
        <v>0</v>
      </c>
      <c r="O1202" s="880"/>
      <c r="Q1202" s="317" t="str">
        <f t="shared" si="356"/>
        <v/>
      </c>
      <c r="R1202" s="317" t="str">
        <f t="shared" si="357"/>
        <v/>
      </c>
      <c r="S1202" s="317" t="str">
        <f t="shared" si="358"/>
        <v/>
      </c>
      <c r="V1202" s="314">
        <f>SUM(ORÇAMENTO!N1202)</f>
        <v>0</v>
      </c>
      <c r="W1202" s="315">
        <f t="shared" si="359"/>
        <v>0</v>
      </c>
    </row>
    <row r="1203" spans="1:23" ht="30" hidden="1" customHeight="1">
      <c r="A1203" s="63">
        <v>95789</v>
      </c>
      <c r="B1203" s="870">
        <v>95789</v>
      </c>
      <c r="C1203" s="871" t="s">
        <v>590</v>
      </c>
      <c r="D1203" s="881" t="s">
        <v>1117</v>
      </c>
      <c r="E1203" s="882"/>
      <c r="F1203" s="883"/>
      <c r="G1203" s="887"/>
      <c r="H1203" s="876">
        <v>43.94</v>
      </c>
      <c r="I1203" s="876">
        <f t="shared" si="353"/>
        <v>43.94</v>
      </c>
      <c r="J1203" s="877">
        <f t="shared" si="352"/>
        <v>53.7</v>
      </c>
      <c r="K1203" s="878" t="s">
        <v>1500</v>
      </c>
      <c r="L1203" s="879">
        <f>ROUND(SUM(ORÇAMENTO!L1203),2)</f>
        <v>0</v>
      </c>
      <c r="M1203" s="879">
        <f t="shared" si="354"/>
        <v>0</v>
      </c>
      <c r="N1203" s="868">
        <f t="shared" si="355"/>
        <v>0</v>
      </c>
      <c r="O1203" s="880"/>
      <c r="Q1203" s="317" t="str">
        <f t="shared" si="356"/>
        <v/>
      </c>
      <c r="R1203" s="317" t="str">
        <f t="shared" si="357"/>
        <v/>
      </c>
      <c r="S1203" s="317" t="str">
        <f t="shared" si="358"/>
        <v/>
      </c>
      <c r="V1203" s="314">
        <f>SUM(ORÇAMENTO!N1203)</f>
        <v>0</v>
      </c>
      <c r="W1203" s="315">
        <f t="shared" si="359"/>
        <v>0</v>
      </c>
    </row>
    <row r="1204" spans="1:23" ht="30" hidden="1" customHeight="1">
      <c r="A1204" s="63">
        <v>95791</v>
      </c>
      <c r="B1204" s="870">
        <v>95791</v>
      </c>
      <c r="C1204" s="871" t="s">
        <v>590</v>
      </c>
      <c r="D1204" s="881" t="s">
        <v>1118</v>
      </c>
      <c r="E1204" s="882"/>
      <c r="F1204" s="883"/>
      <c r="G1204" s="887"/>
      <c r="H1204" s="876">
        <v>61.1</v>
      </c>
      <c r="I1204" s="876">
        <f t="shared" si="353"/>
        <v>61.1</v>
      </c>
      <c r="J1204" s="877">
        <f t="shared" si="352"/>
        <v>74.680000000000007</v>
      </c>
      <c r="K1204" s="878" t="s">
        <v>1500</v>
      </c>
      <c r="L1204" s="879">
        <f>ROUND(SUM(ORÇAMENTO!L1204),2)</f>
        <v>0</v>
      </c>
      <c r="M1204" s="879">
        <f t="shared" si="354"/>
        <v>0</v>
      </c>
      <c r="N1204" s="868">
        <f t="shared" si="355"/>
        <v>0</v>
      </c>
      <c r="O1204" s="880"/>
      <c r="Q1204" s="317" t="str">
        <f t="shared" si="356"/>
        <v/>
      </c>
      <c r="R1204" s="317" t="str">
        <f t="shared" si="357"/>
        <v/>
      </c>
      <c r="S1204" s="317" t="str">
        <f t="shared" si="358"/>
        <v/>
      </c>
      <c r="V1204" s="314">
        <f>SUM(ORÇAMENTO!N1204)</f>
        <v>0</v>
      </c>
      <c r="W1204" s="315">
        <f t="shared" si="359"/>
        <v>0</v>
      </c>
    </row>
    <row r="1205" spans="1:23" ht="30" hidden="1" customHeight="1">
      <c r="A1205" s="63">
        <v>95795</v>
      </c>
      <c r="B1205" s="870">
        <v>95795</v>
      </c>
      <c r="C1205" s="871" t="s">
        <v>590</v>
      </c>
      <c r="D1205" s="881" t="s">
        <v>1119</v>
      </c>
      <c r="E1205" s="882"/>
      <c r="F1205" s="883"/>
      <c r="G1205" s="887"/>
      <c r="H1205" s="876">
        <v>36.74</v>
      </c>
      <c r="I1205" s="876">
        <f t="shared" si="353"/>
        <v>36.74</v>
      </c>
      <c r="J1205" s="877">
        <f t="shared" si="352"/>
        <v>44.9</v>
      </c>
      <c r="K1205" s="878" t="s">
        <v>1500</v>
      </c>
      <c r="L1205" s="879">
        <f>ROUND(SUM(ORÇAMENTO!L1205),2)</f>
        <v>0</v>
      </c>
      <c r="M1205" s="879">
        <f t="shared" si="354"/>
        <v>0</v>
      </c>
      <c r="N1205" s="868">
        <f t="shared" si="355"/>
        <v>0</v>
      </c>
      <c r="O1205" s="880"/>
      <c r="Q1205" s="317" t="str">
        <f t="shared" si="356"/>
        <v/>
      </c>
      <c r="R1205" s="317" t="str">
        <f t="shared" si="357"/>
        <v/>
      </c>
      <c r="S1205" s="317" t="str">
        <f t="shared" si="358"/>
        <v/>
      </c>
      <c r="V1205" s="314">
        <f>SUM(ORÇAMENTO!N1205)</f>
        <v>0</v>
      </c>
      <c r="W1205" s="315">
        <f t="shared" si="359"/>
        <v>0</v>
      </c>
    </row>
    <row r="1206" spans="1:23" ht="30" hidden="1" customHeight="1">
      <c r="A1206" s="63">
        <v>95796</v>
      </c>
      <c r="B1206" s="870">
        <v>95796</v>
      </c>
      <c r="C1206" s="871" t="s">
        <v>590</v>
      </c>
      <c r="D1206" s="881" t="s">
        <v>1120</v>
      </c>
      <c r="E1206" s="882"/>
      <c r="F1206" s="883"/>
      <c r="G1206" s="887"/>
      <c r="H1206" s="876">
        <v>51.6</v>
      </c>
      <c r="I1206" s="876">
        <f t="shared" si="353"/>
        <v>51.6</v>
      </c>
      <c r="J1206" s="877">
        <f t="shared" si="352"/>
        <v>63.07</v>
      </c>
      <c r="K1206" s="878" t="s">
        <v>1500</v>
      </c>
      <c r="L1206" s="879">
        <f>ROUND(SUM(ORÇAMENTO!L1206),2)</f>
        <v>0</v>
      </c>
      <c r="M1206" s="879">
        <f t="shared" si="354"/>
        <v>0</v>
      </c>
      <c r="N1206" s="868">
        <f t="shared" si="355"/>
        <v>0</v>
      </c>
      <c r="O1206" s="880"/>
      <c r="Q1206" s="317" t="str">
        <f t="shared" si="356"/>
        <v/>
      </c>
      <c r="R1206" s="317" t="str">
        <f t="shared" si="357"/>
        <v/>
      </c>
      <c r="S1206" s="317" t="str">
        <f t="shared" si="358"/>
        <v/>
      </c>
      <c r="V1206" s="314">
        <f>SUM(ORÇAMENTO!N1206)</f>
        <v>0</v>
      </c>
      <c r="W1206" s="315">
        <f t="shared" si="359"/>
        <v>0</v>
      </c>
    </row>
    <row r="1207" spans="1:23" ht="30" hidden="1" customHeight="1">
      <c r="A1207" s="63">
        <v>95797</v>
      </c>
      <c r="B1207" s="870">
        <v>95797</v>
      </c>
      <c r="C1207" s="871" t="s">
        <v>590</v>
      </c>
      <c r="D1207" s="881" t="s">
        <v>1121</v>
      </c>
      <c r="E1207" s="882"/>
      <c r="F1207" s="883"/>
      <c r="G1207" s="887"/>
      <c r="H1207" s="876">
        <v>71.37</v>
      </c>
      <c r="I1207" s="876">
        <f t="shared" si="353"/>
        <v>71.37</v>
      </c>
      <c r="J1207" s="877">
        <f t="shared" si="352"/>
        <v>87.23</v>
      </c>
      <c r="K1207" s="878" t="s">
        <v>1500</v>
      </c>
      <c r="L1207" s="879">
        <f>ROUND(SUM(ORÇAMENTO!L1207),2)</f>
        <v>0</v>
      </c>
      <c r="M1207" s="879">
        <f t="shared" si="354"/>
        <v>0</v>
      </c>
      <c r="N1207" s="868">
        <f t="shared" si="355"/>
        <v>0</v>
      </c>
      <c r="O1207" s="880"/>
      <c r="Q1207" s="317" t="str">
        <f t="shared" si="356"/>
        <v/>
      </c>
      <c r="R1207" s="317" t="str">
        <f t="shared" si="357"/>
        <v/>
      </c>
      <c r="S1207" s="317" t="str">
        <f t="shared" si="358"/>
        <v/>
      </c>
      <c r="V1207" s="314">
        <f>SUM(ORÇAMENTO!N1207)</f>
        <v>0</v>
      </c>
      <c r="W1207" s="315">
        <f t="shared" si="359"/>
        <v>0</v>
      </c>
    </row>
    <row r="1208" spans="1:23" ht="30" hidden="1" customHeight="1">
      <c r="A1208" s="63">
        <v>95801</v>
      </c>
      <c r="B1208" s="870">
        <v>95801</v>
      </c>
      <c r="C1208" s="871" t="s">
        <v>590</v>
      </c>
      <c r="D1208" s="881" t="s">
        <v>1122</v>
      </c>
      <c r="E1208" s="882"/>
      <c r="F1208" s="883"/>
      <c r="G1208" s="887"/>
      <c r="H1208" s="876">
        <v>43.96</v>
      </c>
      <c r="I1208" s="876">
        <f t="shared" si="353"/>
        <v>43.96</v>
      </c>
      <c r="J1208" s="877">
        <f t="shared" si="352"/>
        <v>53.73</v>
      </c>
      <c r="K1208" s="878" t="s">
        <v>1500</v>
      </c>
      <c r="L1208" s="879">
        <f>ROUND(SUM(ORÇAMENTO!L1208),2)</f>
        <v>0</v>
      </c>
      <c r="M1208" s="879">
        <f t="shared" si="354"/>
        <v>0</v>
      </c>
      <c r="N1208" s="868">
        <f t="shared" si="355"/>
        <v>0</v>
      </c>
      <c r="O1208" s="880"/>
      <c r="Q1208" s="317" t="str">
        <f t="shared" si="356"/>
        <v/>
      </c>
      <c r="R1208" s="317" t="str">
        <f t="shared" si="357"/>
        <v/>
      </c>
      <c r="S1208" s="317" t="str">
        <f t="shared" si="358"/>
        <v/>
      </c>
      <c r="V1208" s="314">
        <f>SUM(ORÇAMENTO!N1208)</f>
        <v>0</v>
      </c>
      <c r="W1208" s="315">
        <f t="shared" si="359"/>
        <v>0</v>
      </c>
    </row>
    <row r="1209" spans="1:23" ht="30" hidden="1" customHeight="1">
      <c r="A1209" s="63">
        <v>95802</v>
      </c>
      <c r="B1209" s="870">
        <v>95802</v>
      </c>
      <c r="C1209" s="871" t="s">
        <v>590</v>
      </c>
      <c r="D1209" s="881" t="s">
        <v>1123</v>
      </c>
      <c r="E1209" s="882"/>
      <c r="F1209" s="883"/>
      <c r="G1209" s="887"/>
      <c r="H1209" s="876">
        <v>54.65</v>
      </c>
      <c r="I1209" s="876">
        <f t="shared" si="353"/>
        <v>54.65</v>
      </c>
      <c r="J1209" s="877">
        <f t="shared" si="352"/>
        <v>66.790000000000006</v>
      </c>
      <c r="K1209" s="878" t="s">
        <v>1500</v>
      </c>
      <c r="L1209" s="879">
        <f>ROUND(SUM(ORÇAMENTO!L1209),2)</f>
        <v>0</v>
      </c>
      <c r="M1209" s="879">
        <f t="shared" si="354"/>
        <v>0</v>
      </c>
      <c r="N1209" s="868">
        <f t="shared" si="355"/>
        <v>0</v>
      </c>
      <c r="O1209" s="880"/>
      <c r="Q1209" s="317" t="str">
        <f t="shared" si="356"/>
        <v/>
      </c>
      <c r="R1209" s="317" t="str">
        <f t="shared" si="357"/>
        <v/>
      </c>
      <c r="S1209" s="317" t="str">
        <f t="shared" si="358"/>
        <v/>
      </c>
      <c r="V1209" s="314">
        <f>SUM(ORÇAMENTO!N1209)</f>
        <v>0</v>
      </c>
      <c r="W1209" s="315">
        <f t="shared" si="359"/>
        <v>0</v>
      </c>
    </row>
    <row r="1210" spans="1:23" ht="30" hidden="1" customHeight="1">
      <c r="A1210" s="63">
        <v>95803</v>
      </c>
      <c r="B1210" s="870">
        <v>95803</v>
      </c>
      <c r="C1210" s="871" t="s">
        <v>590</v>
      </c>
      <c r="D1210" s="881" t="s">
        <v>1124</v>
      </c>
      <c r="E1210" s="882"/>
      <c r="F1210" s="883"/>
      <c r="G1210" s="887"/>
      <c r="H1210" s="876">
        <v>79.510000000000005</v>
      </c>
      <c r="I1210" s="876">
        <f t="shared" si="353"/>
        <v>79.510000000000005</v>
      </c>
      <c r="J1210" s="877">
        <f t="shared" si="352"/>
        <v>97.18</v>
      </c>
      <c r="K1210" s="878" t="s">
        <v>1500</v>
      </c>
      <c r="L1210" s="879">
        <f>ROUND(SUM(ORÇAMENTO!L1210),2)</f>
        <v>0</v>
      </c>
      <c r="M1210" s="879">
        <f t="shared" si="354"/>
        <v>0</v>
      </c>
      <c r="N1210" s="868">
        <f t="shared" si="355"/>
        <v>0</v>
      </c>
      <c r="O1210" s="880"/>
      <c r="Q1210" s="317" t="str">
        <f t="shared" si="356"/>
        <v/>
      </c>
      <c r="R1210" s="317" t="str">
        <f t="shared" si="357"/>
        <v/>
      </c>
      <c r="S1210" s="317" t="str">
        <f t="shared" si="358"/>
        <v/>
      </c>
      <c r="V1210" s="314">
        <f>SUM(ORÇAMENTO!N1210)</f>
        <v>0</v>
      </c>
      <c r="W1210" s="315">
        <f t="shared" si="359"/>
        <v>0</v>
      </c>
    </row>
    <row r="1211" spans="1:23" ht="30" hidden="1" customHeight="1">
      <c r="A1211" s="63">
        <v>95804</v>
      </c>
      <c r="B1211" s="870">
        <v>95804</v>
      </c>
      <c r="C1211" s="871" t="s">
        <v>590</v>
      </c>
      <c r="D1211" s="881" t="s">
        <v>1125</v>
      </c>
      <c r="E1211" s="882"/>
      <c r="F1211" s="883"/>
      <c r="G1211" s="887"/>
      <c r="H1211" s="876">
        <v>27.21</v>
      </c>
      <c r="I1211" s="876">
        <f t="shared" si="353"/>
        <v>27.21</v>
      </c>
      <c r="J1211" s="877">
        <f t="shared" si="352"/>
        <v>33.26</v>
      </c>
      <c r="K1211" s="878" t="s">
        <v>1500</v>
      </c>
      <c r="L1211" s="879">
        <f>ROUND(SUM(ORÇAMENTO!L1211),2)</f>
        <v>0</v>
      </c>
      <c r="M1211" s="879">
        <f t="shared" si="354"/>
        <v>0</v>
      </c>
      <c r="N1211" s="868">
        <f t="shared" si="355"/>
        <v>0</v>
      </c>
      <c r="O1211" s="880"/>
      <c r="Q1211" s="317" t="str">
        <f t="shared" si="356"/>
        <v/>
      </c>
      <c r="R1211" s="317" t="str">
        <f t="shared" si="357"/>
        <v/>
      </c>
      <c r="S1211" s="317" t="str">
        <f t="shared" si="358"/>
        <v/>
      </c>
      <c r="V1211" s="314">
        <f>SUM(ORÇAMENTO!N1211)</f>
        <v>0</v>
      </c>
      <c r="W1211" s="315">
        <f t="shared" si="359"/>
        <v>0</v>
      </c>
    </row>
    <row r="1212" spans="1:23" ht="30" hidden="1" customHeight="1">
      <c r="A1212" s="63">
        <v>95805</v>
      </c>
      <c r="B1212" s="870">
        <v>95805</v>
      </c>
      <c r="C1212" s="871" t="s">
        <v>590</v>
      </c>
      <c r="D1212" s="881" t="s">
        <v>1126</v>
      </c>
      <c r="E1212" s="882"/>
      <c r="F1212" s="883"/>
      <c r="G1212" s="887"/>
      <c r="H1212" s="876">
        <v>28.7</v>
      </c>
      <c r="I1212" s="876">
        <f t="shared" si="353"/>
        <v>28.7</v>
      </c>
      <c r="J1212" s="877">
        <f t="shared" si="352"/>
        <v>35.08</v>
      </c>
      <c r="K1212" s="878" t="s">
        <v>1500</v>
      </c>
      <c r="L1212" s="879">
        <f>ROUND(SUM(ORÇAMENTO!L1212),2)</f>
        <v>0</v>
      </c>
      <c r="M1212" s="879">
        <f t="shared" si="354"/>
        <v>0</v>
      </c>
      <c r="N1212" s="868">
        <f t="shared" si="355"/>
        <v>0</v>
      </c>
      <c r="O1212" s="880"/>
      <c r="Q1212" s="317" t="str">
        <f t="shared" si="356"/>
        <v/>
      </c>
      <c r="R1212" s="317" t="str">
        <f t="shared" si="357"/>
        <v/>
      </c>
      <c r="S1212" s="317" t="str">
        <f t="shared" si="358"/>
        <v/>
      </c>
      <c r="V1212" s="314">
        <f>SUM(ORÇAMENTO!N1212)</f>
        <v>0</v>
      </c>
      <c r="W1212" s="315">
        <f t="shared" si="359"/>
        <v>0</v>
      </c>
    </row>
    <row r="1213" spans="1:23" ht="30" hidden="1" customHeight="1">
      <c r="A1213" s="63">
        <v>95806</v>
      </c>
      <c r="B1213" s="870">
        <v>95806</v>
      </c>
      <c r="C1213" s="871" t="s">
        <v>590</v>
      </c>
      <c r="D1213" s="881" t="s">
        <v>1127</v>
      </c>
      <c r="E1213" s="882"/>
      <c r="F1213" s="883"/>
      <c r="G1213" s="887"/>
      <c r="H1213" s="876">
        <v>31.42</v>
      </c>
      <c r="I1213" s="876">
        <f t="shared" si="353"/>
        <v>31.42</v>
      </c>
      <c r="J1213" s="877">
        <f t="shared" si="352"/>
        <v>38.4</v>
      </c>
      <c r="K1213" s="878" t="s">
        <v>1500</v>
      </c>
      <c r="L1213" s="879">
        <f>ROUND(SUM(ORÇAMENTO!L1213),2)</f>
        <v>0</v>
      </c>
      <c r="M1213" s="879">
        <f t="shared" si="354"/>
        <v>0</v>
      </c>
      <c r="N1213" s="868">
        <f t="shared" si="355"/>
        <v>0</v>
      </c>
      <c r="O1213" s="880"/>
      <c r="Q1213" s="317" t="str">
        <f t="shared" si="356"/>
        <v/>
      </c>
      <c r="R1213" s="317" t="str">
        <f t="shared" si="357"/>
        <v/>
      </c>
      <c r="S1213" s="317" t="str">
        <f t="shared" si="358"/>
        <v/>
      </c>
      <c r="V1213" s="314">
        <f>SUM(ORÇAMENTO!N1213)</f>
        <v>0</v>
      </c>
      <c r="W1213" s="315">
        <f t="shared" si="359"/>
        <v>0</v>
      </c>
    </row>
    <row r="1214" spans="1:23" ht="30" hidden="1" customHeight="1">
      <c r="A1214" s="63">
        <v>95807</v>
      </c>
      <c r="B1214" s="870">
        <v>95807</v>
      </c>
      <c r="C1214" s="871" t="s">
        <v>590</v>
      </c>
      <c r="D1214" s="881" t="s">
        <v>1128</v>
      </c>
      <c r="E1214" s="882"/>
      <c r="F1214" s="883"/>
      <c r="G1214" s="887"/>
      <c r="H1214" s="876">
        <v>31.89</v>
      </c>
      <c r="I1214" s="876">
        <f t="shared" si="353"/>
        <v>31.89</v>
      </c>
      <c r="J1214" s="877">
        <f t="shared" si="352"/>
        <v>38.979999999999997</v>
      </c>
      <c r="K1214" s="878" t="s">
        <v>1500</v>
      </c>
      <c r="L1214" s="879">
        <f>ROUND(SUM(ORÇAMENTO!L1214),2)</f>
        <v>0</v>
      </c>
      <c r="M1214" s="879">
        <f t="shared" si="354"/>
        <v>0</v>
      </c>
      <c r="N1214" s="868">
        <f t="shared" si="355"/>
        <v>0</v>
      </c>
      <c r="O1214" s="880"/>
      <c r="Q1214" s="317" t="str">
        <f t="shared" si="356"/>
        <v/>
      </c>
      <c r="R1214" s="317" t="str">
        <f t="shared" si="357"/>
        <v/>
      </c>
      <c r="S1214" s="317" t="str">
        <f t="shared" si="358"/>
        <v/>
      </c>
      <c r="V1214" s="314">
        <f>SUM(ORÇAMENTO!N1214)</f>
        <v>0</v>
      </c>
      <c r="W1214" s="315">
        <f t="shared" si="359"/>
        <v>0</v>
      </c>
    </row>
    <row r="1215" spans="1:23" ht="30" hidden="1" customHeight="1">
      <c r="A1215" s="63">
        <v>95808</v>
      </c>
      <c r="B1215" s="870">
        <v>95808</v>
      </c>
      <c r="C1215" s="871" t="s">
        <v>590</v>
      </c>
      <c r="D1215" s="881" t="s">
        <v>1129</v>
      </c>
      <c r="E1215" s="882"/>
      <c r="F1215" s="883"/>
      <c r="G1215" s="887"/>
      <c r="H1215" s="876">
        <v>36.369999999999997</v>
      </c>
      <c r="I1215" s="876">
        <f t="shared" si="353"/>
        <v>36.369999999999997</v>
      </c>
      <c r="J1215" s="877">
        <f t="shared" si="352"/>
        <v>44.45</v>
      </c>
      <c r="K1215" s="878" t="s">
        <v>1500</v>
      </c>
      <c r="L1215" s="879">
        <f>ROUND(SUM(ORÇAMENTO!L1215),2)</f>
        <v>0</v>
      </c>
      <c r="M1215" s="879">
        <f t="shared" si="354"/>
        <v>0</v>
      </c>
      <c r="N1215" s="868">
        <f t="shared" si="355"/>
        <v>0</v>
      </c>
      <c r="O1215" s="880"/>
      <c r="Q1215" s="317" t="str">
        <f t="shared" si="356"/>
        <v/>
      </c>
      <c r="R1215" s="317" t="str">
        <f t="shared" si="357"/>
        <v/>
      </c>
      <c r="S1215" s="317" t="str">
        <f t="shared" si="358"/>
        <v/>
      </c>
      <c r="V1215" s="314">
        <f>SUM(ORÇAMENTO!N1215)</f>
        <v>0</v>
      </c>
      <c r="W1215" s="315">
        <f t="shared" si="359"/>
        <v>0</v>
      </c>
    </row>
    <row r="1216" spans="1:23" ht="30" hidden="1" customHeight="1">
      <c r="A1216" s="63">
        <v>95809</v>
      </c>
      <c r="B1216" s="870">
        <v>95809</v>
      </c>
      <c r="C1216" s="871" t="s">
        <v>590</v>
      </c>
      <c r="D1216" s="881" t="s">
        <v>1130</v>
      </c>
      <c r="E1216" s="882"/>
      <c r="F1216" s="883"/>
      <c r="G1216" s="887"/>
      <c r="H1216" s="876">
        <v>45.11</v>
      </c>
      <c r="I1216" s="876">
        <f t="shared" si="353"/>
        <v>45.11</v>
      </c>
      <c r="J1216" s="877">
        <f t="shared" si="352"/>
        <v>55.13</v>
      </c>
      <c r="K1216" s="878" t="s">
        <v>1500</v>
      </c>
      <c r="L1216" s="879">
        <f>ROUND(SUM(ORÇAMENTO!L1216),2)</f>
        <v>0</v>
      </c>
      <c r="M1216" s="879">
        <f t="shared" si="354"/>
        <v>0</v>
      </c>
      <c r="N1216" s="868">
        <f t="shared" si="355"/>
        <v>0</v>
      </c>
      <c r="O1216" s="880"/>
      <c r="Q1216" s="317" t="str">
        <f t="shared" si="356"/>
        <v/>
      </c>
      <c r="R1216" s="317" t="str">
        <f t="shared" si="357"/>
        <v/>
      </c>
      <c r="S1216" s="317" t="str">
        <f t="shared" si="358"/>
        <v/>
      </c>
      <c r="V1216" s="314">
        <f>SUM(ORÇAMENTO!N1216)</f>
        <v>0</v>
      </c>
      <c r="W1216" s="315">
        <f t="shared" si="359"/>
        <v>0</v>
      </c>
    </row>
    <row r="1217" spans="1:23" ht="30" hidden="1" customHeight="1">
      <c r="A1217" s="63">
        <v>95810</v>
      </c>
      <c r="B1217" s="870">
        <v>95810</v>
      </c>
      <c r="C1217" s="871" t="s">
        <v>590</v>
      </c>
      <c r="D1217" s="881" t="s">
        <v>1131</v>
      </c>
      <c r="E1217" s="882"/>
      <c r="F1217" s="883"/>
      <c r="G1217" s="887"/>
      <c r="H1217" s="876">
        <v>19.940000000000001</v>
      </c>
      <c r="I1217" s="876">
        <f t="shared" si="353"/>
        <v>19.940000000000001</v>
      </c>
      <c r="J1217" s="877">
        <f t="shared" si="352"/>
        <v>24.37</v>
      </c>
      <c r="K1217" s="878" t="s">
        <v>1500</v>
      </c>
      <c r="L1217" s="879">
        <f>ROUND(SUM(ORÇAMENTO!L1217),2)</f>
        <v>0</v>
      </c>
      <c r="M1217" s="879">
        <f t="shared" si="354"/>
        <v>0</v>
      </c>
      <c r="N1217" s="868">
        <f t="shared" si="355"/>
        <v>0</v>
      </c>
      <c r="O1217" s="880"/>
      <c r="Q1217" s="317" t="str">
        <f t="shared" si="356"/>
        <v/>
      </c>
      <c r="R1217" s="317" t="str">
        <f t="shared" si="357"/>
        <v/>
      </c>
      <c r="S1217" s="317" t="str">
        <f t="shared" si="358"/>
        <v/>
      </c>
      <c r="V1217" s="314">
        <f>SUM(ORÇAMENTO!N1217)</f>
        <v>0</v>
      </c>
      <c r="W1217" s="315">
        <f t="shared" si="359"/>
        <v>0</v>
      </c>
    </row>
    <row r="1218" spans="1:23" ht="30" hidden="1" customHeight="1">
      <c r="A1218" s="63">
        <v>95811</v>
      </c>
      <c r="B1218" s="870">
        <v>95811</v>
      </c>
      <c r="C1218" s="871" t="s">
        <v>590</v>
      </c>
      <c r="D1218" s="881" t="s">
        <v>1132</v>
      </c>
      <c r="E1218" s="882"/>
      <c r="F1218" s="883"/>
      <c r="G1218" s="887"/>
      <c r="H1218" s="876">
        <v>24.43</v>
      </c>
      <c r="I1218" s="876">
        <f t="shared" si="353"/>
        <v>24.43</v>
      </c>
      <c r="J1218" s="877">
        <f t="shared" si="352"/>
        <v>29.86</v>
      </c>
      <c r="K1218" s="878" t="s">
        <v>1500</v>
      </c>
      <c r="L1218" s="879">
        <f>ROUND(SUM(ORÇAMENTO!L1218),2)</f>
        <v>0</v>
      </c>
      <c r="M1218" s="879">
        <f t="shared" si="354"/>
        <v>0</v>
      </c>
      <c r="N1218" s="868">
        <f t="shared" si="355"/>
        <v>0</v>
      </c>
      <c r="O1218" s="880"/>
      <c r="Q1218" s="317" t="str">
        <f t="shared" si="356"/>
        <v/>
      </c>
      <c r="R1218" s="317" t="str">
        <f t="shared" si="357"/>
        <v/>
      </c>
      <c r="S1218" s="317" t="str">
        <f t="shared" si="358"/>
        <v/>
      </c>
      <c r="V1218" s="314">
        <f>SUM(ORÇAMENTO!N1218)</f>
        <v>0</v>
      </c>
      <c r="W1218" s="315">
        <f t="shared" si="359"/>
        <v>0</v>
      </c>
    </row>
    <row r="1219" spans="1:23" ht="30" hidden="1" customHeight="1">
      <c r="A1219" s="63">
        <v>95812</v>
      </c>
      <c r="B1219" s="870">
        <v>95812</v>
      </c>
      <c r="C1219" s="871" t="s">
        <v>590</v>
      </c>
      <c r="D1219" s="881" t="s">
        <v>1133</v>
      </c>
      <c r="E1219" s="882"/>
      <c r="F1219" s="883"/>
      <c r="G1219" s="887"/>
      <c r="H1219" s="876">
        <v>33.159999999999997</v>
      </c>
      <c r="I1219" s="876">
        <f t="shared" si="353"/>
        <v>33.159999999999997</v>
      </c>
      <c r="J1219" s="877">
        <f t="shared" si="352"/>
        <v>40.53</v>
      </c>
      <c r="K1219" s="878" t="s">
        <v>1500</v>
      </c>
      <c r="L1219" s="879">
        <f>ROUND(SUM(ORÇAMENTO!L1219),2)</f>
        <v>0</v>
      </c>
      <c r="M1219" s="879">
        <f t="shared" si="354"/>
        <v>0</v>
      </c>
      <c r="N1219" s="868">
        <f t="shared" si="355"/>
        <v>0</v>
      </c>
      <c r="O1219" s="880"/>
      <c r="Q1219" s="317" t="str">
        <f t="shared" si="356"/>
        <v/>
      </c>
      <c r="R1219" s="317" t="str">
        <f t="shared" si="357"/>
        <v/>
      </c>
      <c r="S1219" s="317" t="str">
        <f t="shared" si="358"/>
        <v/>
      </c>
      <c r="V1219" s="314">
        <f>SUM(ORÇAMENTO!N1219)</f>
        <v>0</v>
      </c>
      <c r="W1219" s="315">
        <f t="shared" si="359"/>
        <v>0</v>
      </c>
    </row>
    <row r="1220" spans="1:23" ht="30" hidden="1" customHeight="1">
      <c r="A1220" s="63">
        <v>95813</v>
      </c>
      <c r="B1220" s="870">
        <v>95813</v>
      </c>
      <c r="C1220" s="871" t="s">
        <v>590</v>
      </c>
      <c r="D1220" s="881" t="s">
        <v>1134</v>
      </c>
      <c r="E1220" s="882"/>
      <c r="F1220" s="883"/>
      <c r="G1220" s="887"/>
      <c r="H1220" s="876">
        <v>23.14</v>
      </c>
      <c r="I1220" s="876">
        <f t="shared" si="353"/>
        <v>23.14</v>
      </c>
      <c r="J1220" s="877">
        <f t="shared" si="352"/>
        <v>28.28</v>
      </c>
      <c r="K1220" s="878" t="s">
        <v>1500</v>
      </c>
      <c r="L1220" s="879">
        <f>ROUND(SUM(ORÇAMENTO!L1220),2)</f>
        <v>0</v>
      </c>
      <c r="M1220" s="879">
        <f t="shared" si="354"/>
        <v>0</v>
      </c>
      <c r="N1220" s="868">
        <f t="shared" si="355"/>
        <v>0</v>
      </c>
      <c r="O1220" s="880"/>
      <c r="Q1220" s="317" t="str">
        <f t="shared" si="356"/>
        <v/>
      </c>
      <c r="R1220" s="317" t="str">
        <f t="shared" si="357"/>
        <v/>
      </c>
      <c r="S1220" s="317" t="str">
        <f t="shared" si="358"/>
        <v/>
      </c>
      <c r="V1220" s="314">
        <f>SUM(ORÇAMENTO!N1220)</f>
        <v>0</v>
      </c>
      <c r="W1220" s="315">
        <f t="shared" si="359"/>
        <v>0</v>
      </c>
    </row>
    <row r="1221" spans="1:23" ht="30" hidden="1" customHeight="1">
      <c r="A1221" s="63">
        <v>95814</v>
      </c>
      <c r="B1221" s="870">
        <v>95814</v>
      </c>
      <c r="C1221" s="871" t="s">
        <v>590</v>
      </c>
      <c r="D1221" s="881" t="s">
        <v>1135</v>
      </c>
      <c r="E1221" s="882"/>
      <c r="F1221" s="883"/>
      <c r="G1221" s="887"/>
      <c r="H1221" s="876">
        <v>29.12</v>
      </c>
      <c r="I1221" s="876">
        <f t="shared" si="353"/>
        <v>29.12</v>
      </c>
      <c r="J1221" s="877">
        <f t="shared" si="352"/>
        <v>35.590000000000003</v>
      </c>
      <c r="K1221" s="878" t="s">
        <v>1500</v>
      </c>
      <c r="L1221" s="879">
        <f>ROUND(SUM(ORÇAMENTO!L1221),2)</f>
        <v>0</v>
      </c>
      <c r="M1221" s="879">
        <f t="shared" si="354"/>
        <v>0</v>
      </c>
      <c r="N1221" s="868">
        <f t="shared" si="355"/>
        <v>0</v>
      </c>
      <c r="O1221" s="880"/>
      <c r="Q1221" s="317" t="str">
        <f t="shared" si="356"/>
        <v/>
      </c>
      <c r="R1221" s="317" t="str">
        <f t="shared" si="357"/>
        <v/>
      </c>
      <c r="S1221" s="317" t="str">
        <f t="shared" si="358"/>
        <v/>
      </c>
      <c r="V1221" s="314">
        <f>SUM(ORÇAMENTO!N1221)</f>
        <v>0</v>
      </c>
      <c r="W1221" s="315">
        <f t="shared" si="359"/>
        <v>0</v>
      </c>
    </row>
    <row r="1222" spans="1:23" ht="30" hidden="1" customHeight="1">
      <c r="A1222" s="63">
        <v>95815</v>
      </c>
      <c r="B1222" s="870">
        <v>95815</v>
      </c>
      <c r="C1222" s="871" t="s">
        <v>590</v>
      </c>
      <c r="D1222" s="881" t="s">
        <v>1136</v>
      </c>
      <c r="E1222" s="882"/>
      <c r="F1222" s="883"/>
      <c r="G1222" s="887"/>
      <c r="H1222" s="876">
        <v>42.77</v>
      </c>
      <c r="I1222" s="876">
        <f t="shared" si="353"/>
        <v>42.77</v>
      </c>
      <c r="J1222" s="877">
        <f t="shared" si="352"/>
        <v>52.27</v>
      </c>
      <c r="K1222" s="878" t="s">
        <v>1500</v>
      </c>
      <c r="L1222" s="879">
        <f>ROUND(SUM(ORÇAMENTO!L1222),2)</f>
        <v>0</v>
      </c>
      <c r="M1222" s="879">
        <f t="shared" si="354"/>
        <v>0</v>
      </c>
      <c r="N1222" s="868">
        <f t="shared" si="355"/>
        <v>0</v>
      </c>
      <c r="O1222" s="880"/>
      <c r="Q1222" s="317" t="str">
        <f t="shared" si="356"/>
        <v/>
      </c>
      <c r="R1222" s="317" t="str">
        <f t="shared" si="357"/>
        <v/>
      </c>
      <c r="S1222" s="317" t="str">
        <f t="shared" si="358"/>
        <v/>
      </c>
      <c r="V1222" s="314">
        <f>SUM(ORÇAMENTO!N1222)</f>
        <v>0</v>
      </c>
      <c r="W1222" s="315">
        <f t="shared" si="359"/>
        <v>0</v>
      </c>
    </row>
    <row r="1223" spans="1:23" ht="30" hidden="1" customHeight="1">
      <c r="A1223" s="63">
        <v>95816</v>
      </c>
      <c r="B1223" s="870">
        <v>95816</v>
      </c>
      <c r="C1223" s="871" t="s">
        <v>590</v>
      </c>
      <c r="D1223" s="881" t="s">
        <v>1137</v>
      </c>
      <c r="E1223" s="882"/>
      <c r="F1223" s="883"/>
      <c r="G1223" s="887"/>
      <c r="H1223" s="876">
        <v>38.6</v>
      </c>
      <c r="I1223" s="876">
        <f t="shared" si="353"/>
        <v>38.6</v>
      </c>
      <c r="J1223" s="877">
        <f t="shared" si="352"/>
        <v>47.18</v>
      </c>
      <c r="K1223" s="878" t="s">
        <v>1500</v>
      </c>
      <c r="L1223" s="879">
        <f>ROUND(SUM(ORÇAMENTO!L1223),2)</f>
        <v>0</v>
      </c>
      <c r="M1223" s="879">
        <f t="shared" si="354"/>
        <v>0</v>
      </c>
      <c r="N1223" s="868">
        <f t="shared" si="355"/>
        <v>0</v>
      </c>
      <c r="O1223" s="880"/>
      <c r="Q1223" s="317" t="str">
        <f t="shared" si="356"/>
        <v/>
      </c>
      <c r="R1223" s="317" t="str">
        <f t="shared" si="357"/>
        <v/>
      </c>
      <c r="S1223" s="317" t="str">
        <f t="shared" si="358"/>
        <v/>
      </c>
      <c r="V1223" s="314">
        <f>SUM(ORÇAMENTO!N1223)</f>
        <v>0</v>
      </c>
      <c r="W1223" s="315">
        <f t="shared" si="359"/>
        <v>0</v>
      </c>
    </row>
    <row r="1224" spans="1:23" ht="30" hidden="1" customHeight="1">
      <c r="A1224" s="63">
        <v>95817</v>
      </c>
      <c r="B1224" s="870">
        <v>95817</v>
      </c>
      <c r="C1224" s="871" t="s">
        <v>590</v>
      </c>
      <c r="D1224" s="881" t="s">
        <v>1138</v>
      </c>
      <c r="E1224" s="882"/>
      <c r="F1224" s="883"/>
      <c r="G1224" s="887"/>
      <c r="H1224" s="876">
        <v>45.47</v>
      </c>
      <c r="I1224" s="876">
        <f t="shared" ref="I1224:I1283" si="360">IF(ISBLANK(H1224),"",SUM(G1224:H1224))</f>
        <v>45.47</v>
      </c>
      <c r="J1224" s="877">
        <f t="shared" si="352"/>
        <v>55.57</v>
      </c>
      <c r="K1224" s="878" t="s">
        <v>1500</v>
      </c>
      <c r="L1224" s="879">
        <f>ROUND(SUM(ORÇAMENTO!L1224),2)</f>
        <v>0</v>
      </c>
      <c r="M1224" s="879">
        <f t="shared" si="354"/>
        <v>0</v>
      </c>
      <c r="N1224" s="868">
        <f t="shared" si="355"/>
        <v>0</v>
      </c>
      <c r="O1224" s="880"/>
      <c r="Q1224" s="317" t="str">
        <f t="shared" si="356"/>
        <v/>
      </c>
      <c r="R1224" s="317" t="str">
        <f t="shared" si="357"/>
        <v/>
      </c>
      <c r="S1224" s="317" t="str">
        <f t="shared" si="358"/>
        <v/>
      </c>
      <c r="V1224" s="314">
        <f>SUM(ORÇAMENTO!N1224)</f>
        <v>0</v>
      </c>
      <c r="W1224" s="315">
        <f t="shared" si="359"/>
        <v>0</v>
      </c>
    </row>
    <row r="1225" spans="1:23" ht="30" hidden="1" customHeight="1">
      <c r="A1225" s="63">
        <v>95818</v>
      </c>
      <c r="B1225" s="870">
        <v>95818</v>
      </c>
      <c r="C1225" s="871" t="s">
        <v>590</v>
      </c>
      <c r="D1225" s="881" t="s">
        <v>1139</v>
      </c>
      <c r="E1225" s="882"/>
      <c r="F1225" s="883"/>
      <c r="G1225" s="887"/>
      <c r="H1225" s="876">
        <v>63.06</v>
      </c>
      <c r="I1225" s="876">
        <f t="shared" si="360"/>
        <v>63.06</v>
      </c>
      <c r="J1225" s="877">
        <f t="shared" ref="J1225:J1288" si="361">IF(ISBLANK(H1225),0,ROUND(I1225*(1+$E$10),2))</f>
        <v>77.069999999999993</v>
      </c>
      <c r="K1225" s="878" t="s">
        <v>1500</v>
      </c>
      <c r="L1225" s="879">
        <f>ROUND(SUM(ORÇAMENTO!L1225),2)</f>
        <v>0</v>
      </c>
      <c r="M1225" s="879">
        <f t="shared" si="354"/>
        <v>0</v>
      </c>
      <c r="N1225" s="868">
        <f t="shared" si="355"/>
        <v>0</v>
      </c>
      <c r="O1225" s="880"/>
      <c r="Q1225" s="317" t="str">
        <f t="shared" si="356"/>
        <v/>
      </c>
      <c r="R1225" s="317" t="str">
        <f t="shared" si="357"/>
        <v/>
      </c>
      <c r="S1225" s="317" t="str">
        <f t="shared" si="358"/>
        <v/>
      </c>
      <c r="V1225" s="314">
        <f>SUM(ORÇAMENTO!N1225)</f>
        <v>0</v>
      </c>
      <c r="W1225" s="315">
        <f t="shared" si="359"/>
        <v>0</v>
      </c>
    </row>
    <row r="1226" spans="1:23" ht="30" hidden="1" customHeight="1">
      <c r="A1226" s="63">
        <v>91936</v>
      </c>
      <c r="B1226" s="870">
        <v>91936</v>
      </c>
      <c r="C1226" s="871" t="s">
        <v>590</v>
      </c>
      <c r="D1226" s="881" t="s">
        <v>1140</v>
      </c>
      <c r="E1226" s="882"/>
      <c r="F1226" s="883"/>
      <c r="G1226" s="887"/>
      <c r="H1226" s="876">
        <v>16.95</v>
      </c>
      <c r="I1226" s="876">
        <f t="shared" si="360"/>
        <v>16.95</v>
      </c>
      <c r="J1226" s="877">
        <f t="shared" si="361"/>
        <v>20.72</v>
      </c>
      <c r="K1226" s="878" t="s">
        <v>1500</v>
      </c>
      <c r="L1226" s="879">
        <f>ROUND(SUM(ORÇAMENTO!L1226),2)</f>
        <v>0</v>
      </c>
      <c r="M1226" s="879">
        <f t="shared" si="354"/>
        <v>0</v>
      </c>
      <c r="N1226" s="868">
        <f t="shared" si="355"/>
        <v>0</v>
      </c>
      <c r="O1226" s="880"/>
      <c r="Q1226" s="317" t="str">
        <f t="shared" si="356"/>
        <v/>
      </c>
      <c r="R1226" s="317" t="str">
        <f t="shared" si="357"/>
        <v/>
      </c>
      <c r="S1226" s="317" t="str">
        <f t="shared" si="358"/>
        <v/>
      </c>
      <c r="V1226" s="314">
        <f>SUM(ORÇAMENTO!N1226)</f>
        <v>0</v>
      </c>
      <c r="W1226" s="315">
        <f t="shared" si="359"/>
        <v>0</v>
      </c>
    </row>
    <row r="1227" spans="1:23" ht="30" hidden="1" customHeight="1">
      <c r="A1227" s="63">
        <v>91937</v>
      </c>
      <c r="B1227" s="870">
        <v>91937</v>
      </c>
      <c r="C1227" s="871" t="s">
        <v>590</v>
      </c>
      <c r="D1227" s="881" t="s">
        <v>1141</v>
      </c>
      <c r="E1227" s="882"/>
      <c r="F1227" s="883"/>
      <c r="G1227" s="887"/>
      <c r="H1227" s="876">
        <v>14.37</v>
      </c>
      <c r="I1227" s="876">
        <f t="shared" si="360"/>
        <v>14.37</v>
      </c>
      <c r="J1227" s="877">
        <f t="shared" si="361"/>
        <v>17.559999999999999</v>
      </c>
      <c r="K1227" s="878" t="s">
        <v>1500</v>
      </c>
      <c r="L1227" s="879">
        <f>ROUND(SUM(ORÇAMENTO!L1227),2)</f>
        <v>0</v>
      </c>
      <c r="M1227" s="879">
        <f t="shared" si="354"/>
        <v>0</v>
      </c>
      <c r="N1227" s="868">
        <f t="shared" si="355"/>
        <v>0</v>
      </c>
      <c r="O1227" s="880"/>
      <c r="Q1227" s="317" t="str">
        <f t="shared" si="356"/>
        <v/>
      </c>
      <c r="R1227" s="317" t="str">
        <f t="shared" si="357"/>
        <v/>
      </c>
      <c r="S1227" s="317" t="str">
        <f t="shared" si="358"/>
        <v/>
      </c>
      <c r="V1227" s="314">
        <f>SUM(ORÇAMENTO!N1227)</f>
        <v>0</v>
      </c>
      <c r="W1227" s="315">
        <f t="shared" si="359"/>
        <v>0</v>
      </c>
    </row>
    <row r="1228" spans="1:23" ht="30" hidden="1" customHeight="1">
      <c r="A1228" s="63">
        <v>91939</v>
      </c>
      <c r="B1228" s="870">
        <v>91939</v>
      </c>
      <c r="C1228" s="871" t="s">
        <v>590</v>
      </c>
      <c r="D1228" s="881" t="s">
        <v>1142</v>
      </c>
      <c r="E1228" s="882"/>
      <c r="F1228" s="883"/>
      <c r="G1228" s="887"/>
      <c r="H1228" s="876">
        <v>34.94</v>
      </c>
      <c r="I1228" s="876">
        <f t="shared" si="360"/>
        <v>34.94</v>
      </c>
      <c r="J1228" s="877">
        <f t="shared" si="361"/>
        <v>42.7</v>
      </c>
      <c r="K1228" s="878" t="s">
        <v>1500</v>
      </c>
      <c r="L1228" s="879">
        <f>ROUND(SUM(ORÇAMENTO!L1228),2)</f>
        <v>0</v>
      </c>
      <c r="M1228" s="879">
        <f t="shared" si="354"/>
        <v>0</v>
      </c>
      <c r="N1228" s="868">
        <f t="shared" si="355"/>
        <v>0</v>
      </c>
      <c r="O1228" s="880"/>
      <c r="Q1228" s="317" t="str">
        <f t="shared" si="356"/>
        <v/>
      </c>
      <c r="R1228" s="317" t="str">
        <f t="shared" si="357"/>
        <v/>
      </c>
      <c r="S1228" s="317" t="str">
        <f t="shared" si="358"/>
        <v/>
      </c>
      <c r="V1228" s="314">
        <f>SUM(ORÇAMENTO!N1228)</f>
        <v>0</v>
      </c>
      <c r="W1228" s="315">
        <f t="shared" si="359"/>
        <v>0</v>
      </c>
    </row>
    <row r="1229" spans="1:23" ht="30" hidden="1" customHeight="1">
      <c r="A1229" s="63">
        <v>91940</v>
      </c>
      <c r="B1229" s="870">
        <v>91940</v>
      </c>
      <c r="C1229" s="871" t="s">
        <v>590</v>
      </c>
      <c r="D1229" s="881" t="s">
        <v>1143</v>
      </c>
      <c r="E1229" s="882"/>
      <c r="F1229" s="883"/>
      <c r="G1229" s="887"/>
      <c r="H1229" s="876">
        <v>18.61</v>
      </c>
      <c r="I1229" s="876">
        <f t="shared" si="360"/>
        <v>18.61</v>
      </c>
      <c r="J1229" s="877">
        <f t="shared" si="361"/>
        <v>22.75</v>
      </c>
      <c r="K1229" s="878" t="s">
        <v>1500</v>
      </c>
      <c r="L1229" s="879">
        <f>ROUND(SUM(ORÇAMENTO!L1229),2)</f>
        <v>0</v>
      </c>
      <c r="M1229" s="879">
        <f t="shared" si="354"/>
        <v>0</v>
      </c>
      <c r="N1229" s="868">
        <f t="shared" si="355"/>
        <v>0</v>
      </c>
      <c r="O1229" s="880"/>
      <c r="Q1229" s="317" t="str">
        <f t="shared" si="356"/>
        <v/>
      </c>
      <c r="R1229" s="317" t="str">
        <f t="shared" si="357"/>
        <v/>
      </c>
      <c r="S1229" s="317" t="str">
        <f t="shared" si="358"/>
        <v/>
      </c>
      <c r="V1229" s="314">
        <f>SUM(ORÇAMENTO!N1229)</f>
        <v>0</v>
      </c>
      <c r="W1229" s="315">
        <f t="shared" si="359"/>
        <v>0</v>
      </c>
    </row>
    <row r="1230" spans="1:23" ht="30" hidden="1" customHeight="1">
      <c r="A1230" s="63">
        <v>91941</v>
      </c>
      <c r="B1230" s="870">
        <v>91941</v>
      </c>
      <c r="C1230" s="871" t="s">
        <v>590</v>
      </c>
      <c r="D1230" s="881" t="s">
        <v>1144</v>
      </c>
      <c r="E1230" s="882"/>
      <c r="F1230" s="883"/>
      <c r="G1230" s="887"/>
      <c r="H1230" s="876">
        <v>12.49</v>
      </c>
      <c r="I1230" s="876">
        <f t="shared" si="360"/>
        <v>12.49</v>
      </c>
      <c r="J1230" s="877">
        <f t="shared" si="361"/>
        <v>15.27</v>
      </c>
      <c r="K1230" s="878" t="s">
        <v>1500</v>
      </c>
      <c r="L1230" s="879">
        <f>ROUND(SUM(ORÇAMENTO!L1230),2)</f>
        <v>0</v>
      </c>
      <c r="M1230" s="879">
        <f t="shared" si="354"/>
        <v>0</v>
      </c>
      <c r="N1230" s="868">
        <f t="shared" si="355"/>
        <v>0</v>
      </c>
      <c r="O1230" s="880"/>
      <c r="Q1230" s="317" t="str">
        <f t="shared" si="356"/>
        <v/>
      </c>
      <c r="R1230" s="317" t="str">
        <f t="shared" si="357"/>
        <v/>
      </c>
      <c r="S1230" s="317" t="str">
        <f t="shared" si="358"/>
        <v/>
      </c>
      <c r="V1230" s="314">
        <f>SUM(ORÇAMENTO!N1230)</f>
        <v>0</v>
      </c>
      <c r="W1230" s="315">
        <f t="shared" si="359"/>
        <v>0</v>
      </c>
    </row>
    <row r="1231" spans="1:23" ht="30" hidden="1" customHeight="1">
      <c r="A1231" s="63">
        <v>91942</v>
      </c>
      <c r="B1231" s="870">
        <v>91942</v>
      </c>
      <c r="C1231" s="871" t="s">
        <v>590</v>
      </c>
      <c r="D1231" s="881" t="s">
        <v>1145</v>
      </c>
      <c r="E1231" s="882"/>
      <c r="F1231" s="883"/>
      <c r="G1231" s="887"/>
      <c r="H1231" s="876">
        <v>42.95</v>
      </c>
      <c r="I1231" s="876">
        <f t="shared" si="360"/>
        <v>42.95</v>
      </c>
      <c r="J1231" s="877">
        <f t="shared" si="361"/>
        <v>52.49</v>
      </c>
      <c r="K1231" s="878" t="s">
        <v>1500</v>
      </c>
      <c r="L1231" s="879">
        <f>ROUND(SUM(ORÇAMENTO!L1231),2)</f>
        <v>0</v>
      </c>
      <c r="M1231" s="879">
        <f t="shared" si="354"/>
        <v>0</v>
      </c>
      <c r="N1231" s="868">
        <f t="shared" si="355"/>
        <v>0</v>
      </c>
      <c r="O1231" s="880"/>
      <c r="Q1231" s="317" t="str">
        <f t="shared" si="356"/>
        <v/>
      </c>
      <c r="R1231" s="317" t="str">
        <f t="shared" si="357"/>
        <v/>
      </c>
      <c r="S1231" s="317" t="str">
        <f t="shared" si="358"/>
        <v/>
      </c>
      <c r="V1231" s="314">
        <f>SUM(ORÇAMENTO!N1231)</f>
        <v>0</v>
      </c>
      <c r="W1231" s="315">
        <f t="shared" si="359"/>
        <v>0</v>
      </c>
    </row>
    <row r="1232" spans="1:23" ht="30" hidden="1" customHeight="1">
      <c r="A1232" s="63">
        <v>91943</v>
      </c>
      <c r="B1232" s="870">
        <v>91943</v>
      </c>
      <c r="C1232" s="871" t="s">
        <v>590</v>
      </c>
      <c r="D1232" s="881" t="s">
        <v>1146</v>
      </c>
      <c r="E1232" s="882"/>
      <c r="F1232" s="883"/>
      <c r="G1232" s="887"/>
      <c r="H1232" s="876">
        <v>24.17</v>
      </c>
      <c r="I1232" s="876">
        <f t="shared" si="360"/>
        <v>24.17</v>
      </c>
      <c r="J1232" s="877">
        <f t="shared" si="361"/>
        <v>29.54</v>
      </c>
      <c r="K1232" s="878" t="s">
        <v>1500</v>
      </c>
      <c r="L1232" s="879">
        <f>ROUND(SUM(ORÇAMENTO!L1232),2)</f>
        <v>0</v>
      </c>
      <c r="M1232" s="879">
        <f t="shared" si="354"/>
        <v>0</v>
      </c>
      <c r="N1232" s="868">
        <f t="shared" si="355"/>
        <v>0</v>
      </c>
      <c r="O1232" s="880"/>
      <c r="Q1232" s="317" t="str">
        <f t="shared" si="356"/>
        <v/>
      </c>
      <c r="R1232" s="317" t="str">
        <f t="shared" si="357"/>
        <v/>
      </c>
      <c r="S1232" s="317" t="str">
        <f t="shared" si="358"/>
        <v/>
      </c>
      <c r="V1232" s="314">
        <f>SUM(ORÇAMENTO!N1232)</f>
        <v>0</v>
      </c>
      <c r="W1232" s="315">
        <f t="shared" si="359"/>
        <v>0</v>
      </c>
    </row>
    <row r="1233" spans="1:23" ht="30" hidden="1" customHeight="1">
      <c r="A1233" s="63">
        <v>91944</v>
      </c>
      <c r="B1233" s="870">
        <v>91944</v>
      </c>
      <c r="C1233" s="871" t="s">
        <v>590</v>
      </c>
      <c r="D1233" s="881" t="s">
        <v>1147</v>
      </c>
      <c r="E1233" s="882"/>
      <c r="F1233" s="883"/>
      <c r="G1233" s="887"/>
      <c r="H1233" s="876">
        <v>17.149999999999999</v>
      </c>
      <c r="I1233" s="876">
        <f t="shared" si="360"/>
        <v>17.149999999999999</v>
      </c>
      <c r="J1233" s="877">
        <f t="shared" si="361"/>
        <v>20.96</v>
      </c>
      <c r="K1233" s="878" t="s">
        <v>1500</v>
      </c>
      <c r="L1233" s="879">
        <f>ROUND(SUM(ORÇAMENTO!L1233),2)</f>
        <v>0</v>
      </c>
      <c r="M1233" s="879">
        <f t="shared" si="354"/>
        <v>0</v>
      </c>
      <c r="N1233" s="868">
        <f t="shared" si="355"/>
        <v>0</v>
      </c>
      <c r="O1233" s="880"/>
      <c r="Q1233" s="317" t="str">
        <f t="shared" si="356"/>
        <v/>
      </c>
      <c r="R1233" s="317" t="str">
        <f t="shared" si="357"/>
        <v/>
      </c>
      <c r="S1233" s="317" t="str">
        <f t="shared" si="358"/>
        <v/>
      </c>
      <c r="V1233" s="314">
        <f>SUM(ORÇAMENTO!N1233)</f>
        <v>0</v>
      </c>
      <c r="W1233" s="315">
        <f t="shared" si="359"/>
        <v>0</v>
      </c>
    </row>
    <row r="1234" spans="1:23" ht="30" hidden="1" customHeight="1">
      <c r="A1234" s="63">
        <v>92865</v>
      </c>
      <c r="B1234" s="870">
        <v>92865</v>
      </c>
      <c r="C1234" s="871" t="s">
        <v>590</v>
      </c>
      <c r="D1234" s="881" t="s">
        <v>1148</v>
      </c>
      <c r="E1234" s="882"/>
      <c r="F1234" s="883"/>
      <c r="G1234" s="887"/>
      <c r="H1234" s="876">
        <v>13.15</v>
      </c>
      <c r="I1234" s="876">
        <f t="shared" si="360"/>
        <v>13.15</v>
      </c>
      <c r="J1234" s="877">
        <f t="shared" si="361"/>
        <v>16.07</v>
      </c>
      <c r="K1234" s="878" t="s">
        <v>1500</v>
      </c>
      <c r="L1234" s="879">
        <f>ROUND(SUM(ORÇAMENTO!L1234),2)</f>
        <v>0</v>
      </c>
      <c r="M1234" s="879">
        <f t="shared" ref="M1234:M1297" si="362">IF(L1234=0,0,ROUND(J1234,2))</f>
        <v>0</v>
      </c>
      <c r="N1234" s="868">
        <f t="shared" ref="N1234:N1297" si="363">IF(ISBLANK(L1234),0,ROUND(L1234*M1234,2))</f>
        <v>0</v>
      </c>
      <c r="O1234" s="880"/>
      <c r="Q1234" s="317" t="str">
        <f t="shared" ref="Q1234:Q1297" si="364">IF(P1234="X","x",IF(P1234="xx","x",IF(P1234="xy","x",IF(P1234="y","x",IF(OR(N1234&gt;0,N1234&gt;0),"x","")))))</f>
        <v/>
      </c>
      <c r="R1234" s="317" t="str">
        <f t="shared" ref="R1234:R1297" si="365">IF(P1234="X","x",IF(P1234="y","x",IF(P1234="xx","x",IF(N1234&gt;0,"x",""))))</f>
        <v/>
      </c>
      <c r="S1234" s="317" t="str">
        <f t="shared" ref="S1234:S1297" si="366">IF(P1234="X","x",IF(N1234&gt;0,"x",""))</f>
        <v/>
      </c>
      <c r="V1234" s="314">
        <f>SUM(ORÇAMENTO!N1234)</f>
        <v>0</v>
      </c>
      <c r="W1234" s="315">
        <f t="shared" si="359"/>
        <v>0</v>
      </c>
    </row>
    <row r="1235" spans="1:23" ht="30" hidden="1" customHeight="1">
      <c r="A1235" s="63">
        <v>92866</v>
      </c>
      <c r="B1235" s="870">
        <v>92866</v>
      </c>
      <c r="C1235" s="871" t="s">
        <v>590</v>
      </c>
      <c r="D1235" s="881" t="s">
        <v>1149</v>
      </c>
      <c r="E1235" s="882"/>
      <c r="F1235" s="883"/>
      <c r="G1235" s="887"/>
      <c r="H1235" s="876">
        <v>10.67</v>
      </c>
      <c r="I1235" s="876">
        <f t="shared" si="360"/>
        <v>10.67</v>
      </c>
      <c r="J1235" s="877">
        <f t="shared" si="361"/>
        <v>13.04</v>
      </c>
      <c r="K1235" s="878" t="s">
        <v>1500</v>
      </c>
      <c r="L1235" s="879">
        <f>ROUND(SUM(ORÇAMENTO!L1235),2)</f>
        <v>0</v>
      </c>
      <c r="M1235" s="879">
        <f t="shared" si="362"/>
        <v>0</v>
      </c>
      <c r="N1235" s="868">
        <f t="shared" si="363"/>
        <v>0</v>
      </c>
      <c r="O1235" s="880"/>
      <c r="Q1235" s="317" t="str">
        <f t="shared" si="364"/>
        <v/>
      </c>
      <c r="R1235" s="317" t="str">
        <f t="shared" si="365"/>
        <v/>
      </c>
      <c r="S1235" s="317" t="str">
        <f t="shared" si="366"/>
        <v/>
      </c>
      <c r="V1235" s="314">
        <f>SUM(ORÇAMENTO!N1235)</f>
        <v>0</v>
      </c>
      <c r="W1235" s="315">
        <f t="shared" si="359"/>
        <v>0</v>
      </c>
    </row>
    <row r="1236" spans="1:23" ht="30" hidden="1" customHeight="1">
      <c r="A1236" s="63">
        <v>92867</v>
      </c>
      <c r="B1236" s="870">
        <v>92867</v>
      </c>
      <c r="C1236" s="871" t="s">
        <v>590</v>
      </c>
      <c r="D1236" s="881" t="s">
        <v>1150</v>
      </c>
      <c r="E1236" s="882"/>
      <c r="F1236" s="883"/>
      <c r="G1236" s="887"/>
      <c r="H1236" s="876">
        <v>33.869999999999997</v>
      </c>
      <c r="I1236" s="876">
        <f t="shared" si="360"/>
        <v>33.869999999999997</v>
      </c>
      <c r="J1236" s="877">
        <f t="shared" si="361"/>
        <v>41.4</v>
      </c>
      <c r="K1236" s="878" t="s">
        <v>1500</v>
      </c>
      <c r="L1236" s="879">
        <f>ROUND(SUM(ORÇAMENTO!L1236),2)</f>
        <v>0</v>
      </c>
      <c r="M1236" s="879">
        <f t="shared" si="362"/>
        <v>0</v>
      </c>
      <c r="N1236" s="868">
        <f t="shared" si="363"/>
        <v>0</v>
      </c>
      <c r="O1236" s="880"/>
      <c r="Q1236" s="317" t="str">
        <f t="shared" si="364"/>
        <v/>
      </c>
      <c r="R1236" s="317" t="str">
        <f t="shared" si="365"/>
        <v/>
      </c>
      <c r="S1236" s="317" t="str">
        <f t="shared" si="366"/>
        <v/>
      </c>
      <c r="V1236" s="314">
        <f>SUM(ORÇAMENTO!N1236)</f>
        <v>0</v>
      </c>
      <c r="W1236" s="315">
        <f t="shared" si="359"/>
        <v>0</v>
      </c>
    </row>
    <row r="1237" spans="1:23" ht="30" hidden="1" customHeight="1">
      <c r="A1237" s="63">
        <v>92868</v>
      </c>
      <c r="B1237" s="870">
        <v>92868</v>
      </c>
      <c r="C1237" s="871" t="s">
        <v>590</v>
      </c>
      <c r="D1237" s="881" t="s">
        <v>1151</v>
      </c>
      <c r="E1237" s="882"/>
      <c r="F1237" s="883"/>
      <c r="G1237" s="887"/>
      <c r="H1237" s="876">
        <v>17.54</v>
      </c>
      <c r="I1237" s="876">
        <f t="shared" si="360"/>
        <v>17.54</v>
      </c>
      <c r="J1237" s="877">
        <f t="shared" si="361"/>
        <v>21.44</v>
      </c>
      <c r="K1237" s="878" t="s">
        <v>1500</v>
      </c>
      <c r="L1237" s="879">
        <f>ROUND(SUM(ORÇAMENTO!L1237),2)</f>
        <v>0</v>
      </c>
      <c r="M1237" s="879">
        <f t="shared" si="362"/>
        <v>0</v>
      </c>
      <c r="N1237" s="868">
        <f t="shared" si="363"/>
        <v>0</v>
      </c>
      <c r="O1237" s="880"/>
      <c r="Q1237" s="317" t="str">
        <f t="shared" si="364"/>
        <v/>
      </c>
      <c r="R1237" s="317" t="str">
        <f t="shared" si="365"/>
        <v/>
      </c>
      <c r="S1237" s="317" t="str">
        <f t="shared" si="366"/>
        <v/>
      </c>
      <c r="V1237" s="314">
        <f>SUM(ORÇAMENTO!N1237)</f>
        <v>0</v>
      </c>
      <c r="W1237" s="315">
        <f t="shared" ref="W1237:W1300" si="367">N1237-V1237</f>
        <v>0</v>
      </c>
    </row>
    <row r="1238" spans="1:23" ht="30" hidden="1" customHeight="1">
      <c r="A1238" s="63">
        <v>92869</v>
      </c>
      <c r="B1238" s="870">
        <v>92869</v>
      </c>
      <c r="C1238" s="871" t="s">
        <v>590</v>
      </c>
      <c r="D1238" s="881" t="s">
        <v>1152</v>
      </c>
      <c r="E1238" s="882"/>
      <c r="F1238" s="883"/>
      <c r="G1238" s="887"/>
      <c r="H1238" s="876">
        <v>11.42</v>
      </c>
      <c r="I1238" s="876">
        <f t="shared" si="360"/>
        <v>11.42</v>
      </c>
      <c r="J1238" s="877">
        <f t="shared" si="361"/>
        <v>13.96</v>
      </c>
      <c r="K1238" s="878" t="s">
        <v>1500</v>
      </c>
      <c r="L1238" s="879">
        <f>ROUND(SUM(ORÇAMENTO!L1238),2)</f>
        <v>0</v>
      </c>
      <c r="M1238" s="879">
        <f t="shared" si="362"/>
        <v>0</v>
      </c>
      <c r="N1238" s="868">
        <f t="shared" si="363"/>
        <v>0</v>
      </c>
      <c r="O1238" s="880"/>
      <c r="Q1238" s="317" t="str">
        <f t="shared" si="364"/>
        <v/>
      </c>
      <c r="R1238" s="317" t="str">
        <f t="shared" si="365"/>
        <v/>
      </c>
      <c r="S1238" s="317" t="str">
        <f t="shared" si="366"/>
        <v/>
      </c>
      <c r="V1238" s="314">
        <f>SUM(ORÇAMENTO!N1238)</f>
        <v>0</v>
      </c>
      <c r="W1238" s="315">
        <f t="shared" si="367"/>
        <v>0</v>
      </c>
    </row>
    <row r="1239" spans="1:23" ht="30" hidden="1" customHeight="1">
      <c r="A1239" s="63">
        <v>92870</v>
      </c>
      <c r="B1239" s="870">
        <v>92870</v>
      </c>
      <c r="C1239" s="871" t="s">
        <v>590</v>
      </c>
      <c r="D1239" s="881" t="s">
        <v>1153</v>
      </c>
      <c r="E1239" s="882"/>
      <c r="F1239" s="883"/>
      <c r="G1239" s="887"/>
      <c r="H1239" s="876">
        <v>41.08</v>
      </c>
      <c r="I1239" s="876">
        <f t="shared" si="360"/>
        <v>41.08</v>
      </c>
      <c r="J1239" s="877">
        <f t="shared" si="361"/>
        <v>50.21</v>
      </c>
      <c r="K1239" s="878" t="s">
        <v>1500</v>
      </c>
      <c r="L1239" s="879">
        <f>ROUND(SUM(ORÇAMENTO!L1239),2)</f>
        <v>0</v>
      </c>
      <c r="M1239" s="879">
        <f t="shared" si="362"/>
        <v>0</v>
      </c>
      <c r="N1239" s="868">
        <f t="shared" si="363"/>
        <v>0</v>
      </c>
      <c r="O1239" s="880"/>
      <c r="Q1239" s="317" t="str">
        <f t="shared" si="364"/>
        <v/>
      </c>
      <c r="R1239" s="317" t="str">
        <f t="shared" si="365"/>
        <v/>
      </c>
      <c r="S1239" s="317" t="str">
        <f t="shared" si="366"/>
        <v/>
      </c>
      <c r="V1239" s="314">
        <f>SUM(ORÇAMENTO!N1239)</f>
        <v>0</v>
      </c>
      <c r="W1239" s="315">
        <f t="shared" si="367"/>
        <v>0</v>
      </c>
    </row>
    <row r="1240" spans="1:23" ht="30" hidden="1" customHeight="1">
      <c r="A1240" s="63">
        <v>92871</v>
      </c>
      <c r="B1240" s="870">
        <v>92871</v>
      </c>
      <c r="C1240" s="871" t="s">
        <v>590</v>
      </c>
      <c r="D1240" s="881" t="s">
        <v>1154</v>
      </c>
      <c r="E1240" s="882"/>
      <c r="F1240" s="883"/>
      <c r="G1240" s="887"/>
      <c r="H1240" s="876">
        <v>22.3</v>
      </c>
      <c r="I1240" s="876">
        <f t="shared" si="360"/>
        <v>22.3</v>
      </c>
      <c r="J1240" s="877">
        <f t="shared" si="361"/>
        <v>27.26</v>
      </c>
      <c r="K1240" s="878" t="s">
        <v>1500</v>
      </c>
      <c r="L1240" s="879">
        <f>ROUND(SUM(ORÇAMENTO!L1240),2)</f>
        <v>0</v>
      </c>
      <c r="M1240" s="879">
        <f t="shared" si="362"/>
        <v>0</v>
      </c>
      <c r="N1240" s="868">
        <f t="shared" si="363"/>
        <v>0</v>
      </c>
      <c r="O1240" s="880"/>
      <c r="Q1240" s="317" t="str">
        <f t="shared" si="364"/>
        <v/>
      </c>
      <c r="R1240" s="317" t="str">
        <f t="shared" si="365"/>
        <v/>
      </c>
      <c r="S1240" s="317" t="str">
        <f t="shared" si="366"/>
        <v/>
      </c>
      <c r="V1240" s="314">
        <f>SUM(ORÇAMENTO!N1240)</f>
        <v>0</v>
      </c>
      <c r="W1240" s="315">
        <f t="shared" si="367"/>
        <v>0</v>
      </c>
    </row>
    <row r="1241" spans="1:23" ht="30" hidden="1" customHeight="1">
      <c r="A1241" s="63">
        <v>92872</v>
      </c>
      <c r="B1241" s="870">
        <v>92872</v>
      </c>
      <c r="C1241" s="871" t="s">
        <v>590</v>
      </c>
      <c r="D1241" s="881" t="s">
        <v>1155</v>
      </c>
      <c r="E1241" s="882"/>
      <c r="F1241" s="883"/>
      <c r="G1241" s="887"/>
      <c r="H1241" s="876">
        <v>15.28</v>
      </c>
      <c r="I1241" s="876">
        <f t="shared" si="360"/>
        <v>15.28</v>
      </c>
      <c r="J1241" s="877">
        <f t="shared" si="361"/>
        <v>18.68</v>
      </c>
      <c r="K1241" s="878" t="s">
        <v>1500</v>
      </c>
      <c r="L1241" s="879">
        <f>ROUND(SUM(ORÇAMENTO!L1241),2)</f>
        <v>0</v>
      </c>
      <c r="M1241" s="879">
        <f t="shared" si="362"/>
        <v>0</v>
      </c>
      <c r="N1241" s="868">
        <f t="shared" si="363"/>
        <v>0</v>
      </c>
      <c r="O1241" s="880"/>
      <c r="Q1241" s="317" t="str">
        <f t="shared" si="364"/>
        <v/>
      </c>
      <c r="R1241" s="317" t="str">
        <f t="shared" si="365"/>
        <v/>
      </c>
      <c r="S1241" s="317" t="str">
        <f t="shared" si="366"/>
        <v/>
      </c>
      <c r="V1241" s="314">
        <f>SUM(ORÇAMENTO!N1241)</f>
        <v>0</v>
      </c>
      <c r="W1241" s="315">
        <f t="shared" si="367"/>
        <v>0</v>
      </c>
    </row>
    <row r="1242" spans="1:23" ht="30" hidden="1" customHeight="1">
      <c r="A1242" s="63">
        <v>97886</v>
      </c>
      <c r="B1242" s="870">
        <v>97886</v>
      </c>
      <c r="C1242" s="871" t="s">
        <v>590</v>
      </c>
      <c r="D1242" s="881" t="s">
        <v>1156</v>
      </c>
      <c r="E1242" s="882"/>
      <c r="F1242" s="883"/>
      <c r="G1242" s="887"/>
      <c r="H1242" s="876">
        <v>177.3</v>
      </c>
      <c r="I1242" s="876">
        <f t="shared" si="360"/>
        <v>177.3</v>
      </c>
      <c r="J1242" s="877">
        <f t="shared" si="361"/>
        <v>216.7</v>
      </c>
      <c r="K1242" s="878" t="s">
        <v>1500</v>
      </c>
      <c r="L1242" s="879">
        <f>ROUND(SUM(ORÇAMENTO!L1242),2)</f>
        <v>0</v>
      </c>
      <c r="M1242" s="879">
        <f t="shared" si="362"/>
        <v>0</v>
      </c>
      <c r="N1242" s="868">
        <f t="shared" si="363"/>
        <v>0</v>
      </c>
      <c r="O1242" s="880"/>
      <c r="Q1242" s="317" t="str">
        <f t="shared" si="364"/>
        <v/>
      </c>
      <c r="R1242" s="317" t="str">
        <f t="shared" si="365"/>
        <v/>
      </c>
      <c r="S1242" s="317" t="str">
        <f t="shared" si="366"/>
        <v/>
      </c>
      <c r="V1242" s="314">
        <f>SUM(ORÇAMENTO!N1242)</f>
        <v>0</v>
      </c>
      <c r="W1242" s="315">
        <f t="shared" si="367"/>
        <v>0</v>
      </c>
    </row>
    <row r="1243" spans="1:23" ht="30" hidden="1" customHeight="1">
      <c r="A1243" s="63">
        <v>97887</v>
      </c>
      <c r="B1243" s="870">
        <v>97887</v>
      </c>
      <c r="C1243" s="871" t="s">
        <v>590</v>
      </c>
      <c r="D1243" s="881" t="s">
        <v>1157</v>
      </c>
      <c r="E1243" s="882"/>
      <c r="F1243" s="883"/>
      <c r="G1243" s="887"/>
      <c r="H1243" s="876">
        <v>279.77999999999997</v>
      </c>
      <c r="I1243" s="876">
        <f t="shared" si="360"/>
        <v>279.77999999999997</v>
      </c>
      <c r="J1243" s="877">
        <f t="shared" si="361"/>
        <v>341.95</v>
      </c>
      <c r="K1243" s="878" t="s">
        <v>1500</v>
      </c>
      <c r="L1243" s="879">
        <f>ROUND(SUM(ORÇAMENTO!L1243),2)</f>
        <v>0</v>
      </c>
      <c r="M1243" s="879">
        <f t="shared" si="362"/>
        <v>0</v>
      </c>
      <c r="N1243" s="868">
        <f t="shared" si="363"/>
        <v>0</v>
      </c>
      <c r="O1243" s="880"/>
      <c r="Q1243" s="317" t="str">
        <f t="shared" si="364"/>
        <v/>
      </c>
      <c r="R1243" s="317" t="str">
        <f t="shared" si="365"/>
        <v/>
      </c>
      <c r="S1243" s="317" t="str">
        <f t="shared" si="366"/>
        <v/>
      </c>
      <c r="V1243" s="314">
        <f>SUM(ORÇAMENTO!N1243)</f>
        <v>0</v>
      </c>
      <c r="W1243" s="315">
        <f t="shared" si="367"/>
        <v>0</v>
      </c>
    </row>
    <row r="1244" spans="1:23" ht="30" hidden="1" customHeight="1">
      <c r="A1244" s="63">
        <v>97888</v>
      </c>
      <c r="B1244" s="870">
        <v>97888</v>
      </c>
      <c r="C1244" s="871" t="s">
        <v>590</v>
      </c>
      <c r="D1244" s="881" t="s">
        <v>1158</v>
      </c>
      <c r="E1244" s="882"/>
      <c r="F1244" s="883"/>
      <c r="G1244" s="887"/>
      <c r="H1244" s="876">
        <v>539.29</v>
      </c>
      <c r="I1244" s="876">
        <f t="shared" si="360"/>
        <v>539.29</v>
      </c>
      <c r="J1244" s="877">
        <f t="shared" si="361"/>
        <v>659.12</v>
      </c>
      <c r="K1244" s="878" t="s">
        <v>1500</v>
      </c>
      <c r="L1244" s="879">
        <f>ROUND(SUM(ORÇAMENTO!L1244),2)</f>
        <v>0</v>
      </c>
      <c r="M1244" s="879">
        <f t="shared" si="362"/>
        <v>0</v>
      </c>
      <c r="N1244" s="868">
        <f t="shared" si="363"/>
        <v>0</v>
      </c>
      <c r="O1244" s="880"/>
      <c r="Q1244" s="317" t="str">
        <f t="shared" si="364"/>
        <v/>
      </c>
      <c r="R1244" s="317" t="str">
        <f t="shared" si="365"/>
        <v/>
      </c>
      <c r="S1244" s="317" t="str">
        <f t="shared" si="366"/>
        <v/>
      </c>
      <c r="V1244" s="314">
        <f>SUM(ORÇAMENTO!N1244)</f>
        <v>0</v>
      </c>
      <c r="W1244" s="315">
        <f t="shared" si="367"/>
        <v>0</v>
      </c>
    </row>
    <row r="1245" spans="1:23" ht="30" hidden="1" customHeight="1">
      <c r="A1245" s="63">
        <v>97889</v>
      </c>
      <c r="B1245" s="870">
        <v>97889</v>
      </c>
      <c r="C1245" s="871" t="s">
        <v>590</v>
      </c>
      <c r="D1245" s="881" t="s">
        <v>1159</v>
      </c>
      <c r="E1245" s="882"/>
      <c r="F1245" s="883"/>
      <c r="G1245" s="887"/>
      <c r="H1245" s="876">
        <v>730.16</v>
      </c>
      <c r="I1245" s="876">
        <f t="shared" si="360"/>
        <v>730.16</v>
      </c>
      <c r="J1245" s="877">
        <f t="shared" si="361"/>
        <v>892.4</v>
      </c>
      <c r="K1245" s="878" t="s">
        <v>1500</v>
      </c>
      <c r="L1245" s="879">
        <f>ROUND(SUM(ORÇAMENTO!L1245),2)</f>
        <v>0</v>
      </c>
      <c r="M1245" s="879">
        <f t="shared" si="362"/>
        <v>0</v>
      </c>
      <c r="N1245" s="868">
        <f t="shared" si="363"/>
        <v>0</v>
      </c>
      <c r="O1245" s="880"/>
      <c r="Q1245" s="317" t="str">
        <f t="shared" si="364"/>
        <v/>
      </c>
      <c r="R1245" s="317" t="str">
        <f t="shared" si="365"/>
        <v/>
      </c>
      <c r="S1245" s="317" t="str">
        <f t="shared" si="366"/>
        <v/>
      </c>
      <c r="V1245" s="314">
        <f>SUM(ORÇAMENTO!N1245)</f>
        <v>0</v>
      </c>
      <c r="W1245" s="315">
        <f t="shared" si="367"/>
        <v>0</v>
      </c>
    </row>
    <row r="1246" spans="1:23" ht="30" hidden="1" customHeight="1">
      <c r="A1246" s="63">
        <v>97890</v>
      </c>
      <c r="B1246" s="870">
        <v>97890</v>
      </c>
      <c r="C1246" s="871" t="s">
        <v>590</v>
      </c>
      <c r="D1246" s="881" t="s">
        <v>1160</v>
      </c>
      <c r="E1246" s="882"/>
      <c r="F1246" s="883"/>
      <c r="G1246" s="887"/>
      <c r="H1246" s="876">
        <v>822.62</v>
      </c>
      <c r="I1246" s="876">
        <f t="shared" si="360"/>
        <v>822.62</v>
      </c>
      <c r="J1246" s="877">
        <f t="shared" si="361"/>
        <v>1005.41</v>
      </c>
      <c r="K1246" s="878" t="s">
        <v>1500</v>
      </c>
      <c r="L1246" s="879">
        <f>ROUND(SUM(ORÇAMENTO!L1246),2)</f>
        <v>0</v>
      </c>
      <c r="M1246" s="879">
        <f t="shared" si="362"/>
        <v>0</v>
      </c>
      <c r="N1246" s="868">
        <f t="shared" si="363"/>
        <v>0</v>
      </c>
      <c r="O1246" s="880"/>
      <c r="Q1246" s="317" t="str">
        <f t="shared" si="364"/>
        <v/>
      </c>
      <c r="R1246" s="317" t="str">
        <f t="shared" si="365"/>
        <v/>
      </c>
      <c r="S1246" s="317" t="str">
        <f t="shared" si="366"/>
        <v/>
      </c>
      <c r="V1246" s="314">
        <f>SUM(ORÇAMENTO!N1246)</f>
        <v>0</v>
      </c>
      <c r="W1246" s="315">
        <f t="shared" si="367"/>
        <v>0</v>
      </c>
    </row>
    <row r="1247" spans="1:23" ht="30" hidden="1" customHeight="1">
      <c r="A1247" s="63">
        <v>97933</v>
      </c>
      <c r="B1247" s="870">
        <v>97933</v>
      </c>
      <c r="C1247" s="871" t="s">
        <v>590</v>
      </c>
      <c r="D1247" s="881" t="s">
        <v>1161</v>
      </c>
      <c r="E1247" s="882"/>
      <c r="F1247" s="883"/>
      <c r="G1247" s="887"/>
      <c r="H1247" s="876">
        <v>779.23</v>
      </c>
      <c r="I1247" s="876">
        <f t="shared" si="360"/>
        <v>779.23</v>
      </c>
      <c r="J1247" s="877">
        <f t="shared" si="361"/>
        <v>952.37</v>
      </c>
      <c r="K1247" s="878" t="s">
        <v>1500</v>
      </c>
      <c r="L1247" s="879">
        <f>ROUND(SUM(ORÇAMENTO!L1247),2)</f>
        <v>0</v>
      </c>
      <c r="M1247" s="879">
        <f t="shared" si="362"/>
        <v>0</v>
      </c>
      <c r="N1247" s="868">
        <f t="shared" si="363"/>
        <v>0</v>
      </c>
      <c r="O1247" s="880"/>
      <c r="Q1247" s="317" t="str">
        <f t="shared" si="364"/>
        <v/>
      </c>
      <c r="R1247" s="317" t="str">
        <f t="shared" si="365"/>
        <v/>
      </c>
      <c r="S1247" s="317" t="str">
        <f t="shared" si="366"/>
        <v/>
      </c>
      <c r="V1247" s="314">
        <f>SUM(ORÇAMENTO!N1247)</f>
        <v>0</v>
      </c>
      <c r="W1247" s="315">
        <f t="shared" si="367"/>
        <v>0</v>
      </c>
    </row>
    <row r="1248" spans="1:23" ht="30" hidden="1" customHeight="1">
      <c r="A1248" s="63">
        <v>97947</v>
      </c>
      <c r="B1248" s="870">
        <v>97947</v>
      </c>
      <c r="C1248" s="871" t="s">
        <v>590</v>
      </c>
      <c r="D1248" s="881" t="s">
        <v>1162</v>
      </c>
      <c r="E1248" s="882"/>
      <c r="F1248" s="883"/>
      <c r="G1248" s="887"/>
      <c r="H1248" s="876">
        <v>1737.19</v>
      </c>
      <c r="I1248" s="876">
        <f t="shared" si="360"/>
        <v>1737.19</v>
      </c>
      <c r="J1248" s="877">
        <f t="shared" si="361"/>
        <v>2123.19</v>
      </c>
      <c r="K1248" s="878" t="s">
        <v>1500</v>
      </c>
      <c r="L1248" s="879">
        <f>ROUND(SUM(ORÇAMENTO!L1248),2)</f>
        <v>0</v>
      </c>
      <c r="M1248" s="879">
        <f t="shared" si="362"/>
        <v>0</v>
      </c>
      <c r="N1248" s="868">
        <f t="shared" si="363"/>
        <v>0</v>
      </c>
      <c r="O1248" s="880"/>
      <c r="Q1248" s="317" t="str">
        <f t="shared" si="364"/>
        <v/>
      </c>
      <c r="R1248" s="317" t="str">
        <f t="shared" si="365"/>
        <v/>
      </c>
      <c r="S1248" s="317" t="str">
        <f t="shared" si="366"/>
        <v/>
      </c>
      <c r="V1248" s="314">
        <f>SUM(ORÇAMENTO!N1248)</f>
        <v>0</v>
      </c>
      <c r="W1248" s="315">
        <f t="shared" si="367"/>
        <v>0</v>
      </c>
    </row>
    <row r="1249" spans="1:23" ht="30" hidden="1" customHeight="1">
      <c r="A1249" s="63">
        <v>97948</v>
      </c>
      <c r="B1249" s="870">
        <v>97948</v>
      </c>
      <c r="C1249" s="871" t="s">
        <v>590</v>
      </c>
      <c r="D1249" s="881" t="s">
        <v>1163</v>
      </c>
      <c r="E1249" s="882"/>
      <c r="F1249" s="883"/>
      <c r="G1249" s="887"/>
      <c r="H1249" s="876">
        <v>3167.41</v>
      </c>
      <c r="I1249" s="876">
        <f t="shared" si="360"/>
        <v>3167.41</v>
      </c>
      <c r="J1249" s="877">
        <f t="shared" si="361"/>
        <v>3871.21</v>
      </c>
      <c r="K1249" s="878" t="s">
        <v>1500</v>
      </c>
      <c r="L1249" s="879">
        <f>ROUND(SUM(ORÇAMENTO!L1249),2)</f>
        <v>0</v>
      </c>
      <c r="M1249" s="879">
        <f t="shared" si="362"/>
        <v>0</v>
      </c>
      <c r="N1249" s="868">
        <f t="shared" si="363"/>
        <v>0</v>
      </c>
      <c r="O1249" s="880"/>
      <c r="Q1249" s="317" t="str">
        <f t="shared" si="364"/>
        <v/>
      </c>
      <c r="R1249" s="317" t="str">
        <f t="shared" si="365"/>
        <v/>
      </c>
      <c r="S1249" s="317" t="str">
        <f t="shared" si="366"/>
        <v/>
      </c>
      <c r="V1249" s="314">
        <f>SUM(ORÇAMENTO!N1249)</f>
        <v>0</v>
      </c>
      <c r="W1249" s="315">
        <f t="shared" si="367"/>
        <v>0</v>
      </c>
    </row>
    <row r="1250" spans="1:23" ht="30" hidden="1" customHeight="1">
      <c r="A1250" s="63">
        <v>97953</v>
      </c>
      <c r="B1250" s="870">
        <v>97953</v>
      </c>
      <c r="C1250" s="871" t="s">
        <v>590</v>
      </c>
      <c r="D1250" s="881" t="s">
        <v>1164</v>
      </c>
      <c r="E1250" s="882"/>
      <c r="F1250" s="883"/>
      <c r="G1250" s="887"/>
      <c r="H1250" s="876">
        <v>1225.21</v>
      </c>
      <c r="I1250" s="876">
        <f t="shared" si="360"/>
        <v>1225.21</v>
      </c>
      <c r="J1250" s="877">
        <f t="shared" si="361"/>
        <v>1497.45</v>
      </c>
      <c r="K1250" s="878" t="s">
        <v>1500</v>
      </c>
      <c r="L1250" s="879">
        <f>ROUND(SUM(ORÇAMENTO!L1250),2)</f>
        <v>0</v>
      </c>
      <c r="M1250" s="879">
        <f t="shared" si="362"/>
        <v>0</v>
      </c>
      <c r="N1250" s="868">
        <f t="shared" si="363"/>
        <v>0</v>
      </c>
      <c r="O1250" s="880"/>
      <c r="Q1250" s="317" t="str">
        <f t="shared" si="364"/>
        <v/>
      </c>
      <c r="R1250" s="317" t="str">
        <f t="shared" si="365"/>
        <v/>
      </c>
      <c r="S1250" s="317" t="str">
        <f t="shared" si="366"/>
        <v/>
      </c>
      <c r="V1250" s="314">
        <f>SUM(ORÇAMENTO!N1250)</f>
        <v>0</v>
      </c>
      <c r="W1250" s="315">
        <f t="shared" si="367"/>
        <v>0</v>
      </c>
    </row>
    <row r="1251" spans="1:23" ht="30" hidden="1" customHeight="1">
      <c r="A1251" s="63">
        <v>97955</v>
      </c>
      <c r="B1251" s="870">
        <v>97955</v>
      </c>
      <c r="C1251" s="871" t="s">
        <v>590</v>
      </c>
      <c r="D1251" s="881" t="s">
        <v>1165</v>
      </c>
      <c r="E1251" s="882"/>
      <c r="F1251" s="883"/>
      <c r="G1251" s="887"/>
      <c r="H1251" s="876">
        <v>2655.52</v>
      </c>
      <c r="I1251" s="876">
        <f t="shared" si="360"/>
        <v>2655.52</v>
      </c>
      <c r="J1251" s="877">
        <f t="shared" si="361"/>
        <v>3245.58</v>
      </c>
      <c r="K1251" s="878" t="s">
        <v>1500</v>
      </c>
      <c r="L1251" s="879">
        <f>ROUND(SUM(ORÇAMENTO!L1251),2)</f>
        <v>0</v>
      </c>
      <c r="M1251" s="879">
        <f t="shared" si="362"/>
        <v>0</v>
      </c>
      <c r="N1251" s="868">
        <f t="shared" si="363"/>
        <v>0</v>
      </c>
      <c r="O1251" s="880"/>
      <c r="Q1251" s="317" t="str">
        <f t="shared" si="364"/>
        <v/>
      </c>
      <c r="R1251" s="317" t="str">
        <f t="shared" si="365"/>
        <v/>
      </c>
      <c r="S1251" s="317" t="str">
        <f t="shared" si="366"/>
        <v/>
      </c>
      <c r="V1251" s="314">
        <f>SUM(ORÇAMENTO!N1251)</f>
        <v>0</v>
      </c>
      <c r="W1251" s="315">
        <f t="shared" si="367"/>
        <v>0</v>
      </c>
    </row>
    <row r="1252" spans="1:23" ht="30" hidden="1" customHeight="1">
      <c r="A1252" s="63">
        <v>97891</v>
      </c>
      <c r="B1252" s="870">
        <v>97891</v>
      </c>
      <c r="C1252" s="871" t="s">
        <v>590</v>
      </c>
      <c r="D1252" s="881" t="s">
        <v>1166</v>
      </c>
      <c r="E1252" s="882"/>
      <c r="F1252" s="883"/>
      <c r="G1252" s="887"/>
      <c r="H1252" s="876">
        <v>208.61</v>
      </c>
      <c r="I1252" s="876">
        <f t="shared" si="360"/>
        <v>208.61</v>
      </c>
      <c r="J1252" s="877">
        <f t="shared" si="361"/>
        <v>254.96</v>
      </c>
      <c r="K1252" s="878" t="s">
        <v>1500</v>
      </c>
      <c r="L1252" s="879">
        <f>ROUND(SUM(ORÇAMENTO!L1252),2)</f>
        <v>0</v>
      </c>
      <c r="M1252" s="879">
        <f t="shared" si="362"/>
        <v>0</v>
      </c>
      <c r="N1252" s="868">
        <f t="shared" si="363"/>
        <v>0</v>
      </c>
      <c r="O1252" s="880"/>
      <c r="Q1252" s="317" t="str">
        <f t="shared" si="364"/>
        <v/>
      </c>
      <c r="R1252" s="317" t="str">
        <f t="shared" si="365"/>
        <v/>
      </c>
      <c r="S1252" s="317" t="str">
        <f t="shared" si="366"/>
        <v/>
      </c>
      <c r="V1252" s="314">
        <f>SUM(ORÇAMENTO!N1252)</f>
        <v>0</v>
      </c>
      <c r="W1252" s="315">
        <f t="shared" si="367"/>
        <v>0</v>
      </c>
    </row>
    <row r="1253" spans="1:23" ht="30" hidden="1" customHeight="1">
      <c r="A1253" s="63">
        <v>97892</v>
      </c>
      <c r="B1253" s="870">
        <v>97892</v>
      </c>
      <c r="C1253" s="871" t="s">
        <v>590</v>
      </c>
      <c r="D1253" s="881" t="s">
        <v>1167</v>
      </c>
      <c r="E1253" s="882"/>
      <c r="F1253" s="883"/>
      <c r="G1253" s="887"/>
      <c r="H1253" s="876">
        <v>388.86</v>
      </c>
      <c r="I1253" s="876">
        <f t="shared" si="360"/>
        <v>388.86</v>
      </c>
      <c r="J1253" s="877">
        <f t="shared" si="361"/>
        <v>475.26</v>
      </c>
      <c r="K1253" s="878" t="s">
        <v>1500</v>
      </c>
      <c r="L1253" s="879">
        <f>ROUND(SUM(ORÇAMENTO!L1253),2)</f>
        <v>0</v>
      </c>
      <c r="M1253" s="879">
        <f t="shared" si="362"/>
        <v>0</v>
      </c>
      <c r="N1253" s="868">
        <f t="shared" si="363"/>
        <v>0</v>
      </c>
      <c r="O1253" s="880"/>
      <c r="Q1253" s="317" t="str">
        <f t="shared" si="364"/>
        <v/>
      </c>
      <c r="R1253" s="317" t="str">
        <f t="shared" si="365"/>
        <v/>
      </c>
      <c r="S1253" s="317" t="str">
        <f t="shared" si="366"/>
        <v/>
      </c>
      <c r="V1253" s="314">
        <f>SUM(ORÇAMENTO!N1253)</f>
        <v>0</v>
      </c>
      <c r="W1253" s="315">
        <f t="shared" si="367"/>
        <v>0</v>
      </c>
    </row>
    <row r="1254" spans="1:23" ht="30" hidden="1" customHeight="1">
      <c r="A1254" s="63">
        <v>97893</v>
      </c>
      <c r="B1254" s="870">
        <v>97893</v>
      </c>
      <c r="C1254" s="871" t="s">
        <v>590</v>
      </c>
      <c r="D1254" s="881" t="s">
        <v>1168</v>
      </c>
      <c r="E1254" s="882"/>
      <c r="F1254" s="883"/>
      <c r="G1254" s="887"/>
      <c r="H1254" s="876">
        <v>538.29</v>
      </c>
      <c r="I1254" s="876">
        <f t="shared" si="360"/>
        <v>538.29</v>
      </c>
      <c r="J1254" s="877">
        <f t="shared" si="361"/>
        <v>657.9</v>
      </c>
      <c r="K1254" s="878" t="s">
        <v>1500</v>
      </c>
      <c r="L1254" s="879">
        <f>ROUND(SUM(ORÇAMENTO!L1254),2)</f>
        <v>0</v>
      </c>
      <c r="M1254" s="879">
        <f t="shared" si="362"/>
        <v>0</v>
      </c>
      <c r="N1254" s="868">
        <f t="shared" si="363"/>
        <v>0</v>
      </c>
      <c r="O1254" s="880"/>
      <c r="Q1254" s="317" t="str">
        <f t="shared" si="364"/>
        <v/>
      </c>
      <c r="R1254" s="317" t="str">
        <f t="shared" si="365"/>
        <v/>
      </c>
      <c r="S1254" s="317" t="str">
        <f t="shared" si="366"/>
        <v/>
      </c>
      <c r="V1254" s="314">
        <f>SUM(ORÇAMENTO!N1254)</f>
        <v>0</v>
      </c>
      <c r="W1254" s="315">
        <f t="shared" si="367"/>
        <v>0</v>
      </c>
    </row>
    <row r="1255" spans="1:23" ht="30" hidden="1" customHeight="1">
      <c r="A1255" s="63">
        <v>97894</v>
      </c>
      <c r="B1255" s="870">
        <v>97894</v>
      </c>
      <c r="C1255" s="871" t="s">
        <v>590</v>
      </c>
      <c r="D1255" s="881" t="s">
        <v>1169</v>
      </c>
      <c r="E1255" s="882"/>
      <c r="F1255" s="883"/>
      <c r="G1255" s="887"/>
      <c r="H1255" s="876">
        <v>590.13</v>
      </c>
      <c r="I1255" s="876">
        <f t="shared" si="360"/>
        <v>590.13</v>
      </c>
      <c r="J1255" s="877">
        <f t="shared" si="361"/>
        <v>721.26</v>
      </c>
      <c r="K1255" s="878" t="s">
        <v>1500</v>
      </c>
      <c r="L1255" s="879">
        <f>ROUND(SUM(ORÇAMENTO!L1255),2)</f>
        <v>0</v>
      </c>
      <c r="M1255" s="879">
        <f t="shared" si="362"/>
        <v>0</v>
      </c>
      <c r="N1255" s="868">
        <f t="shared" si="363"/>
        <v>0</v>
      </c>
      <c r="O1255" s="880"/>
      <c r="Q1255" s="317" t="str">
        <f t="shared" si="364"/>
        <v/>
      </c>
      <c r="R1255" s="317" t="str">
        <f t="shared" si="365"/>
        <v/>
      </c>
      <c r="S1255" s="317" t="str">
        <f t="shared" si="366"/>
        <v/>
      </c>
      <c r="V1255" s="314">
        <f>SUM(ORÇAMENTO!N1255)</f>
        <v>0</v>
      </c>
      <c r="W1255" s="315">
        <f t="shared" si="367"/>
        <v>0</v>
      </c>
    </row>
    <row r="1256" spans="1:23" ht="30" hidden="1" customHeight="1">
      <c r="A1256" s="63">
        <v>97881</v>
      </c>
      <c r="B1256" s="870">
        <v>97881</v>
      </c>
      <c r="C1256" s="871" t="s">
        <v>590</v>
      </c>
      <c r="D1256" s="881" t="s">
        <v>1170</v>
      </c>
      <c r="E1256" s="882"/>
      <c r="F1256" s="883"/>
      <c r="G1256" s="887"/>
      <c r="H1256" s="876">
        <v>108.09</v>
      </c>
      <c r="I1256" s="876">
        <f t="shared" si="360"/>
        <v>108.09</v>
      </c>
      <c r="J1256" s="877">
        <f t="shared" si="361"/>
        <v>132.11000000000001</v>
      </c>
      <c r="K1256" s="878" t="s">
        <v>1500</v>
      </c>
      <c r="L1256" s="879">
        <f>ROUND(SUM(ORÇAMENTO!L1256),2)</f>
        <v>0</v>
      </c>
      <c r="M1256" s="879">
        <f t="shared" si="362"/>
        <v>0</v>
      </c>
      <c r="N1256" s="868">
        <f t="shared" si="363"/>
        <v>0</v>
      </c>
      <c r="O1256" s="880"/>
      <c r="Q1256" s="317" t="str">
        <f t="shared" si="364"/>
        <v/>
      </c>
      <c r="R1256" s="317" t="str">
        <f t="shared" si="365"/>
        <v/>
      </c>
      <c r="S1256" s="317" t="str">
        <f t="shared" si="366"/>
        <v/>
      </c>
      <c r="V1256" s="314">
        <f>SUM(ORÇAMENTO!N1256)</f>
        <v>0</v>
      </c>
      <c r="W1256" s="315">
        <f t="shared" si="367"/>
        <v>0</v>
      </c>
    </row>
    <row r="1257" spans="1:23" ht="30" hidden="1" customHeight="1">
      <c r="A1257" s="63">
        <v>97882</v>
      </c>
      <c r="B1257" s="870">
        <v>97882</v>
      </c>
      <c r="C1257" s="871" t="s">
        <v>590</v>
      </c>
      <c r="D1257" s="881" t="s">
        <v>1171</v>
      </c>
      <c r="E1257" s="882"/>
      <c r="F1257" s="883"/>
      <c r="G1257" s="887"/>
      <c r="H1257" s="876">
        <v>168.28</v>
      </c>
      <c r="I1257" s="876">
        <f t="shared" si="360"/>
        <v>168.28</v>
      </c>
      <c r="J1257" s="877">
        <f t="shared" si="361"/>
        <v>205.67</v>
      </c>
      <c r="K1257" s="878" t="s">
        <v>1500</v>
      </c>
      <c r="L1257" s="879">
        <f>ROUND(SUM(ORÇAMENTO!L1257),2)</f>
        <v>0</v>
      </c>
      <c r="M1257" s="879">
        <f t="shared" si="362"/>
        <v>0</v>
      </c>
      <c r="N1257" s="868">
        <f t="shared" si="363"/>
        <v>0</v>
      </c>
      <c r="O1257" s="880"/>
      <c r="Q1257" s="317" t="str">
        <f t="shared" si="364"/>
        <v/>
      </c>
      <c r="R1257" s="317" t="str">
        <f t="shared" si="365"/>
        <v/>
      </c>
      <c r="S1257" s="317" t="str">
        <f t="shared" si="366"/>
        <v/>
      </c>
      <c r="V1257" s="314">
        <f>SUM(ORÇAMENTO!N1257)</f>
        <v>0</v>
      </c>
      <c r="W1257" s="315">
        <f t="shared" si="367"/>
        <v>0</v>
      </c>
    </row>
    <row r="1258" spans="1:23" ht="30" hidden="1" customHeight="1">
      <c r="A1258" s="63">
        <v>97883</v>
      </c>
      <c r="B1258" s="870">
        <v>97883</v>
      </c>
      <c r="C1258" s="871" t="s">
        <v>590</v>
      </c>
      <c r="D1258" s="881" t="s">
        <v>1172</v>
      </c>
      <c r="E1258" s="882"/>
      <c r="F1258" s="883"/>
      <c r="G1258" s="887"/>
      <c r="H1258" s="876">
        <v>324.05</v>
      </c>
      <c r="I1258" s="876">
        <f t="shared" si="360"/>
        <v>324.05</v>
      </c>
      <c r="J1258" s="877">
        <f t="shared" si="361"/>
        <v>396.05</v>
      </c>
      <c r="K1258" s="878" t="s">
        <v>1500</v>
      </c>
      <c r="L1258" s="879">
        <f>ROUND(SUM(ORÇAMENTO!L1258),2)</f>
        <v>0</v>
      </c>
      <c r="M1258" s="879">
        <f t="shared" si="362"/>
        <v>0</v>
      </c>
      <c r="N1258" s="868">
        <f t="shared" si="363"/>
        <v>0</v>
      </c>
      <c r="O1258" s="880"/>
      <c r="Q1258" s="317" t="str">
        <f t="shared" si="364"/>
        <v/>
      </c>
      <c r="R1258" s="317" t="str">
        <f t="shared" si="365"/>
        <v/>
      </c>
      <c r="S1258" s="317" t="str">
        <f t="shared" si="366"/>
        <v/>
      </c>
      <c r="V1258" s="314">
        <f>SUM(ORÇAMENTO!N1258)</f>
        <v>0</v>
      </c>
      <c r="W1258" s="315">
        <f t="shared" si="367"/>
        <v>0</v>
      </c>
    </row>
    <row r="1259" spans="1:23" ht="30" hidden="1" customHeight="1">
      <c r="A1259" s="63">
        <v>97884</v>
      </c>
      <c r="B1259" s="870">
        <v>97884</v>
      </c>
      <c r="C1259" s="871" t="s">
        <v>590</v>
      </c>
      <c r="D1259" s="881" t="s">
        <v>1173</v>
      </c>
      <c r="E1259" s="882"/>
      <c r="F1259" s="883"/>
      <c r="G1259" s="887"/>
      <c r="H1259" s="876">
        <v>625.80999999999995</v>
      </c>
      <c r="I1259" s="876">
        <f t="shared" si="360"/>
        <v>625.80999999999995</v>
      </c>
      <c r="J1259" s="877">
        <f t="shared" si="361"/>
        <v>764.86</v>
      </c>
      <c r="K1259" s="878" t="s">
        <v>1500</v>
      </c>
      <c r="L1259" s="879">
        <f>ROUND(SUM(ORÇAMENTO!L1259),2)</f>
        <v>0</v>
      </c>
      <c r="M1259" s="879">
        <f t="shared" si="362"/>
        <v>0</v>
      </c>
      <c r="N1259" s="868">
        <f t="shared" si="363"/>
        <v>0</v>
      </c>
      <c r="O1259" s="880"/>
      <c r="Q1259" s="317" t="str">
        <f t="shared" si="364"/>
        <v/>
      </c>
      <c r="R1259" s="317" t="str">
        <f t="shared" si="365"/>
        <v/>
      </c>
      <c r="S1259" s="317" t="str">
        <f t="shared" si="366"/>
        <v/>
      </c>
      <c r="V1259" s="314">
        <f>SUM(ORÇAMENTO!N1259)</f>
        <v>0</v>
      </c>
      <c r="W1259" s="315">
        <f t="shared" si="367"/>
        <v>0</v>
      </c>
    </row>
    <row r="1260" spans="1:23" ht="30" hidden="1" customHeight="1">
      <c r="A1260" s="63">
        <v>97885</v>
      </c>
      <c r="B1260" s="870">
        <v>97885</v>
      </c>
      <c r="C1260" s="871" t="s">
        <v>590</v>
      </c>
      <c r="D1260" s="881" t="s">
        <v>1174</v>
      </c>
      <c r="E1260" s="882"/>
      <c r="F1260" s="883"/>
      <c r="G1260" s="887"/>
      <c r="H1260" s="876">
        <v>954.37</v>
      </c>
      <c r="I1260" s="876">
        <f t="shared" si="360"/>
        <v>954.37</v>
      </c>
      <c r="J1260" s="877">
        <f t="shared" si="361"/>
        <v>1166.43</v>
      </c>
      <c r="K1260" s="878" t="s">
        <v>1500</v>
      </c>
      <c r="L1260" s="879">
        <f>ROUND(SUM(ORÇAMENTO!L1260),2)</f>
        <v>0</v>
      </c>
      <c r="M1260" s="879">
        <f t="shared" si="362"/>
        <v>0</v>
      </c>
      <c r="N1260" s="868">
        <f t="shared" si="363"/>
        <v>0</v>
      </c>
      <c r="O1260" s="880"/>
      <c r="Q1260" s="317" t="str">
        <f t="shared" si="364"/>
        <v/>
      </c>
      <c r="R1260" s="317" t="str">
        <f t="shared" si="365"/>
        <v/>
      </c>
      <c r="S1260" s="317" t="str">
        <f t="shared" si="366"/>
        <v/>
      </c>
      <c r="V1260" s="314">
        <f>SUM(ORÇAMENTO!N1260)</f>
        <v>0</v>
      </c>
      <c r="W1260" s="315">
        <f t="shared" si="367"/>
        <v>0</v>
      </c>
    </row>
    <row r="1261" spans="1:23" ht="30" hidden="1" customHeight="1">
      <c r="A1261" s="63">
        <v>91945</v>
      </c>
      <c r="B1261" s="870">
        <v>91945</v>
      </c>
      <c r="C1261" s="871" t="s">
        <v>590</v>
      </c>
      <c r="D1261" s="881" t="s">
        <v>1175</v>
      </c>
      <c r="E1261" s="882"/>
      <c r="F1261" s="883"/>
      <c r="G1261" s="887"/>
      <c r="H1261" s="876">
        <v>11.14</v>
      </c>
      <c r="I1261" s="876">
        <f t="shared" si="360"/>
        <v>11.14</v>
      </c>
      <c r="J1261" s="877">
        <f t="shared" si="361"/>
        <v>13.62</v>
      </c>
      <c r="K1261" s="878" t="s">
        <v>1500</v>
      </c>
      <c r="L1261" s="879">
        <f>ROUND(SUM(ORÇAMENTO!L1261),2)</f>
        <v>0</v>
      </c>
      <c r="M1261" s="879">
        <f t="shared" si="362"/>
        <v>0</v>
      </c>
      <c r="N1261" s="868">
        <f t="shared" si="363"/>
        <v>0</v>
      </c>
      <c r="O1261" s="880"/>
      <c r="Q1261" s="317" t="str">
        <f t="shared" si="364"/>
        <v/>
      </c>
      <c r="R1261" s="317" t="str">
        <f t="shared" si="365"/>
        <v/>
      </c>
      <c r="S1261" s="317" t="str">
        <f t="shared" si="366"/>
        <v/>
      </c>
      <c r="V1261" s="314">
        <f>SUM(ORÇAMENTO!N1261)</f>
        <v>0</v>
      </c>
      <c r="W1261" s="315">
        <f t="shared" si="367"/>
        <v>0</v>
      </c>
    </row>
    <row r="1262" spans="1:23" ht="30" hidden="1" customHeight="1">
      <c r="A1262" s="63">
        <v>91946</v>
      </c>
      <c r="B1262" s="870">
        <v>91946</v>
      </c>
      <c r="C1262" s="871" t="s">
        <v>590</v>
      </c>
      <c r="D1262" s="881" t="s">
        <v>1176</v>
      </c>
      <c r="E1262" s="882"/>
      <c r="F1262" s="883"/>
      <c r="G1262" s="887"/>
      <c r="H1262" s="876">
        <v>9.23</v>
      </c>
      <c r="I1262" s="876">
        <f t="shared" si="360"/>
        <v>9.23</v>
      </c>
      <c r="J1262" s="877">
        <f t="shared" si="361"/>
        <v>11.28</v>
      </c>
      <c r="K1262" s="878" t="s">
        <v>1500</v>
      </c>
      <c r="L1262" s="879">
        <f>ROUND(SUM(ORÇAMENTO!L1262),2)</f>
        <v>0</v>
      </c>
      <c r="M1262" s="879">
        <f t="shared" si="362"/>
        <v>0</v>
      </c>
      <c r="N1262" s="868">
        <f t="shared" si="363"/>
        <v>0</v>
      </c>
      <c r="O1262" s="880"/>
      <c r="Q1262" s="317" t="str">
        <f t="shared" si="364"/>
        <v/>
      </c>
      <c r="R1262" s="317" t="str">
        <f t="shared" si="365"/>
        <v/>
      </c>
      <c r="S1262" s="317" t="str">
        <f t="shared" si="366"/>
        <v/>
      </c>
      <c r="V1262" s="314">
        <f>SUM(ORÇAMENTO!N1262)</f>
        <v>0</v>
      </c>
      <c r="W1262" s="315">
        <f t="shared" si="367"/>
        <v>0</v>
      </c>
    </row>
    <row r="1263" spans="1:23" ht="30" hidden="1" customHeight="1">
      <c r="A1263" s="63">
        <v>91947</v>
      </c>
      <c r="B1263" s="870">
        <v>91947</v>
      </c>
      <c r="C1263" s="871" t="s">
        <v>590</v>
      </c>
      <c r="D1263" s="881" t="s">
        <v>1177</v>
      </c>
      <c r="E1263" s="882"/>
      <c r="F1263" s="883"/>
      <c r="G1263" s="887"/>
      <c r="H1263" s="876">
        <v>8.0399999999999991</v>
      </c>
      <c r="I1263" s="876">
        <f t="shared" si="360"/>
        <v>8.0399999999999991</v>
      </c>
      <c r="J1263" s="877">
        <f t="shared" si="361"/>
        <v>9.83</v>
      </c>
      <c r="K1263" s="878" t="s">
        <v>1500</v>
      </c>
      <c r="L1263" s="879">
        <f>ROUND(SUM(ORÇAMENTO!L1263),2)</f>
        <v>0</v>
      </c>
      <c r="M1263" s="879">
        <f t="shared" si="362"/>
        <v>0</v>
      </c>
      <c r="N1263" s="868">
        <f t="shared" si="363"/>
        <v>0</v>
      </c>
      <c r="O1263" s="880"/>
      <c r="Q1263" s="317" t="str">
        <f t="shared" si="364"/>
        <v/>
      </c>
      <c r="R1263" s="317" t="str">
        <f t="shared" si="365"/>
        <v/>
      </c>
      <c r="S1263" s="317" t="str">
        <f t="shared" si="366"/>
        <v/>
      </c>
      <c r="V1263" s="314">
        <f>SUM(ORÇAMENTO!N1263)</f>
        <v>0</v>
      </c>
      <c r="W1263" s="315">
        <f t="shared" si="367"/>
        <v>0</v>
      </c>
    </row>
    <row r="1264" spans="1:23" ht="30" hidden="1" customHeight="1">
      <c r="A1264" s="63">
        <v>91949</v>
      </c>
      <c r="B1264" s="870">
        <v>91949</v>
      </c>
      <c r="C1264" s="871" t="s">
        <v>590</v>
      </c>
      <c r="D1264" s="881" t="s">
        <v>1178</v>
      </c>
      <c r="E1264" s="882"/>
      <c r="F1264" s="883"/>
      <c r="G1264" s="887"/>
      <c r="H1264" s="876">
        <v>16.88</v>
      </c>
      <c r="I1264" s="876">
        <f t="shared" si="360"/>
        <v>16.88</v>
      </c>
      <c r="J1264" s="877">
        <f t="shared" si="361"/>
        <v>20.63</v>
      </c>
      <c r="K1264" s="878" t="s">
        <v>1500</v>
      </c>
      <c r="L1264" s="879">
        <f>ROUND(SUM(ORÇAMENTO!L1264),2)</f>
        <v>0</v>
      </c>
      <c r="M1264" s="879">
        <f t="shared" si="362"/>
        <v>0</v>
      </c>
      <c r="N1264" s="868">
        <f t="shared" si="363"/>
        <v>0</v>
      </c>
      <c r="O1264" s="880"/>
      <c r="Q1264" s="317" t="str">
        <f t="shared" si="364"/>
        <v/>
      </c>
      <c r="R1264" s="317" t="str">
        <f t="shared" si="365"/>
        <v/>
      </c>
      <c r="S1264" s="317" t="str">
        <f t="shared" si="366"/>
        <v/>
      </c>
      <c r="V1264" s="314">
        <f>SUM(ORÇAMENTO!N1264)</f>
        <v>0</v>
      </c>
      <c r="W1264" s="315">
        <f t="shared" si="367"/>
        <v>0</v>
      </c>
    </row>
    <row r="1265" spans="1:23" ht="30" hidden="1" customHeight="1">
      <c r="A1265" s="63">
        <v>91950</v>
      </c>
      <c r="B1265" s="870">
        <v>91950</v>
      </c>
      <c r="C1265" s="871" t="s">
        <v>590</v>
      </c>
      <c r="D1265" s="881" t="s">
        <v>1179</v>
      </c>
      <c r="E1265" s="882"/>
      <c r="F1265" s="883"/>
      <c r="G1265" s="887"/>
      <c r="H1265" s="876">
        <v>14.58</v>
      </c>
      <c r="I1265" s="876">
        <f t="shared" si="360"/>
        <v>14.58</v>
      </c>
      <c r="J1265" s="877">
        <f t="shared" si="361"/>
        <v>17.82</v>
      </c>
      <c r="K1265" s="878" t="s">
        <v>1500</v>
      </c>
      <c r="L1265" s="879">
        <f>ROUND(SUM(ORÇAMENTO!L1265),2)</f>
        <v>0</v>
      </c>
      <c r="M1265" s="879">
        <f t="shared" si="362"/>
        <v>0</v>
      </c>
      <c r="N1265" s="868">
        <f t="shared" si="363"/>
        <v>0</v>
      </c>
      <c r="O1265" s="880"/>
      <c r="Q1265" s="317" t="str">
        <f t="shared" si="364"/>
        <v/>
      </c>
      <c r="R1265" s="317" t="str">
        <f t="shared" si="365"/>
        <v/>
      </c>
      <c r="S1265" s="317" t="str">
        <f t="shared" si="366"/>
        <v/>
      </c>
      <c r="V1265" s="314">
        <f>SUM(ORÇAMENTO!N1265)</f>
        <v>0</v>
      </c>
      <c r="W1265" s="315">
        <f t="shared" si="367"/>
        <v>0</v>
      </c>
    </row>
    <row r="1266" spans="1:23" ht="30" hidden="1" customHeight="1">
      <c r="A1266" s="63">
        <v>91951</v>
      </c>
      <c r="B1266" s="870">
        <v>91951</v>
      </c>
      <c r="C1266" s="871" t="s">
        <v>590</v>
      </c>
      <c r="D1266" s="881" t="s">
        <v>1180</v>
      </c>
      <c r="E1266" s="882"/>
      <c r="F1266" s="883"/>
      <c r="G1266" s="887"/>
      <c r="H1266" s="876">
        <v>13.19</v>
      </c>
      <c r="I1266" s="876">
        <f t="shared" si="360"/>
        <v>13.19</v>
      </c>
      <c r="J1266" s="877">
        <f t="shared" si="361"/>
        <v>16.12</v>
      </c>
      <c r="K1266" s="878" t="s">
        <v>1500</v>
      </c>
      <c r="L1266" s="879">
        <f>ROUND(SUM(ORÇAMENTO!L1266),2)</f>
        <v>0</v>
      </c>
      <c r="M1266" s="879">
        <f t="shared" si="362"/>
        <v>0</v>
      </c>
      <c r="N1266" s="868">
        <f t="shared" si="363"/>
        <v>0</v>
      </c>
      <c r="O1266" s="880"/>
      <c r="Q1266" s="317" t="str">
        <f t="shared" si="364"/>
        <v/>
      </c>
      <c r="R1266" s="317" t="str">
        <f t="shared" si="365"/>
        <v/>
      </c>
      <c r="S1266" s="317" t="str">
        <f t="shared" si="366"/>
        <v/>
      </c>
      <c r="V1266" s="314">
        <f>SUM(ORÇAMENTO!N1266)</f>
        <v>0</v>
      </c>
      <c r="W1266" s="315">
        <f t="shared" si="367"/>
        <v>0</v>
      </c>
    </row>
    <row r="1267" spans="1:23" ht="30" hidden="1" customHeight="1">
      <c r="A1267" s="63">
        <v>101946</v>
      </c>
      <c r="B1267" s="870">
        <v>101946</v>
      </c>
      <c r="C1267" s="871" t="s">
        <v>590</v>
      </c>
      <c r="D1267" s="881" t="s">
        <v>1181</v>
      </c>
      <c r="E1267" s="882"/>
      <c r="F1267" s="883"/>
      <c r="G1267" s="887"/>
      <c r="H1267" s="876">
        <v>191.01</v>
      </c>
      <c r="I1267" s="876">
        <f t="shared" si="360"/>
        <v>191.01</v>
      </c>
      <c r="J1267" s="877">
        <f t="shared" si="361"/>
        <v>233.45</v>
      </c>
      <c r="K1267" s="878" t="s">
        <v>1500</v>
      </c>
      <c r="L1267" s="879">
        <f>ROUND(SUM(ORÇAMENTO!L1267),2)</f>
        <v>0</v>
      </c>
      <c r="M1267" s="879">
        <f t="shared" si="362"/>
        <v>0</v>
      </c>
      <c r="N1267" s="868">
        <f t="shared" si="363"/>
        <v>0</v>
      </c>
      <c r="O1267" s="880"/>
      <c r="Q1267" s="317" t="str">
        <f t="shared" si="364"/>
        <v/>
      </c>
      <c r="R1267" s="317" t="str">
        <f t="shared" si="365"/>
        <v/>
      </c>
      <c r="S1267" s="317" t="str">
        <f t="shared" si="366"/>
        <v/>
      </c>
      <c r="V1267" s="314">
        <f>SUM(ORÇAMENTO!N1267)</f>
        <v>0</v>
      </c>
      <c r="W1267" s="315">
        <f t="shared" si="367"/>
        <v>0</v>
      </c>
    </row>
    <row r="1268" spans="1:23" ht="30" hidden="1" customHeight="1">
      <c r="A1268" s="63">
        <v>97362</v>
      </c>
      <c r="B1268" s="870">
        <v>97362</v>
      </c>
      <c r="C1268" s="871" t="s">
        <v>590</v>
      </c>
      <c r="D1268" s="881" t="s">
        <v>1182</v>
      </c>
      <c r="E1268" s="882"/>
      <c r="F1268" s="883"/>
      <c r="G1268" s="887"/>
      <c r="H1268" s="876">
        <v>2474.29</v>
      </c>
      <c r="I1268" s="876">
        <f t="shared" si="360"/>
        <v>2474.29</v>
      </c>
      <c r="J1268" s="877">
        <f t="shared" si="361"/>
        <v>3024.08</v>
      </c>
      <c r="K1268" s="878" t="s">
        <v>1500</v>
      </c>
      <c r="L1268" s="879">
        <f>ROUND(SUM(ORÇAMENTO!L1268),2)</f>
        <v>0</v>
      </c>
      <c r="M1268" s="879">
        <f t="shared" si="362"/>
        <v>0</v>
      </c>
      <c r="N1268" s="868">
        <f t="shared" si="363"/>
        <v>0</v>
      </c>
      <c r="O1268" s="880"/>
      <c r="Q1268" s="317" t="str">
        <f t="shared" si="364"/>
        <v/>
      </c>
      <c r="R1268" s="317" t="str">
        <f t="shared" si="365"/>
        <v/>
      </c>
      <c r="S1268" s="317" t="str">
        <f t="shared" si="366"/>
        <v/>
      </c>
      <c r="V1268" s="314">
        <f>SUM(ORÇAMENTO!N1268)</f>
        <v>0</v>
      </c>
      <c r="W1268" s="315">
        <f t="shared" si="367"/>
        <v>0</v>
      </c>
    </row>
    <row r="1269" spans="1:23" ht="30" hidden="1" customHeight="1">
      <c r="A1269" s="63">
        <v>97359</v>
      </c>
      <c r="B1269" s="870">
        <v>97359</v>
      </c>
      <c r="C1269" s="871" t="s">
        <v>590</v>
      </c>
      <c r="D1269" s="881" t="s">
        <v>1183</v>
      </c>
      <c r="E1269" s="882"/>
      <c r="F1269" s="883"/>
      <c r="G1269" s="887"/>
      <c r="H1269" s="876">
        <v>4248.38</v>
      </c>
      <c r="I1269" s="876">
        <f t="shared" si="360"/>
        <v>4248.38</v>
      </c>
      <c r="J1269" s="877">
        <f t="shared" si="361"/>
        <v>5192.37</v>
      </c>
      <c r="K1269" s="878" t="s">
        <v>1500</v>
      </c>
      <c r="L1269" s="879">
        <f>ROUND(SUM(ORÇAMENTO!L1269),2)</f>
        <v>0</v>
      </c>
      <c r="M1269" s="879">
        <f t="shared" si="362"/>
        <v>0</v>
      </c>
      <c r="N1269" s="868">
        <f t="shared" si="363"/>
        <v>0</v>
      </c>
      <c r="O1269" s="880"/>
      <c r="Q1269" s="317" t="str">
        <f t="shared" si="364"/>
        <v/>
      </c>
      <c r="R1269" s="317" t="str">
        <f t="shared" si="365"/>
        <v/>
      </c>
      <c r="S1269" s="317" t="str">
        <f t="shared" si="366"/>
        <v/>
      </c>
      <c r="V1269" s="314">
        <f>SUM(ORÇAMENTO!N1269)</f>
        <v>0</v>
      </c>
      <c r="W1269" s="315">
        <f t="shared" si="367"/>
        <v>0</v>
      </c>
    </row>
    <row r="1270" spans="1:23" ht="30" hidden="1" customHeight="1">
      <c r="A1270" s="63">
        <v>97360</v>
      </c>
      <c r="B1270" s="870">
        <v>97360</v>
      </c>
      <c r="C1270" s="871" t="s">
        <v>590</v>
      </c>
      <c r="D1270" s="881" t="s">
        <v>1184</v>
      </c>
      <c r="E1270" s="882"/>
      <c r="F1270" s="883"/>
      <c r="G1270" s="887"/>
      <c r="H1270" s="876">
        <v>8185.52</v>
      </c>
      <c r="I1270" s="876">
        <f t="shared" si="360"/>
        <v>8185.52</v>
      </c>
      <c r="J1270" s="877">
        <f t="shared" si="361"/>
        <v>10004.34</v>
      </c>
      <c r="K1270" s="878" t="s">
        <v>1500</v>
      </c>
      <c r="L1270" s="879">
        <f>ROUND(SUM(ORÇAMENTO!L1270),2)</f>
        <v>0</v>
      </c>
      <c r="M1270" s="879">
        <f t="shared" si="362"/>
        <v>0</v>
      </c>
      <c r="N1270" s="868">
        <f t="shared" si="363"/>
        <v>0</v>
      </c>
      <c r="O1270" s="880"/>
      <c r="Q1270" s="317" t="str">
        <f t="shared" si="364"/>
        <v/>
      </c>
      <c r="R1270" s="317" t="str">
        <f t="shared" si="365"/>
        <v/>
      </c>
      <c r="S1270" s="317" t="str">
        <f t="shared" si="366"/>
        <v/>
      </c>
      <c r="V1270" s="314">
        <f>SUM(ORÇAMENTO!N1270)</f>
        <v>0</v>
      </c>
      <c r="W1270" s="315">
        <f t="shared" si="367"/>
        <v>0</v>
      </c>
    </row>
    <row r="1271" spans="1:23" ht="30" hidden="1" customHeight="1">
      <c r="A1271" s="63">
        <v>97361</v>
      </c>
      <c r="B1271" s="870">
        <v>97361</v>
      </c>
      <c r="C1271" s="871" t="s">
        <v>590</v>
      </c>
      <c r="D1271" s="881" t="s">
        <v>1185</v>
      </c>
      <c r="E1271" s="882"/>
      <c r="F1271" s="883"/>
      <c r="G1271" s="887"/>
      <c r="H1271" s="876">
        <v>10914.04</v>
      </c>
      <c r="I1271" s="876">
        <f t="shared" si="360"/>
        <v>10914.04</v>
      </c>
      <c r="J1271" s="877">
        <f t="shared" si="361"/>
        <v>13339.14</v>
      </c>
      <c r="K1271" s="878" t="s">
        <v>1500</v>
      </c>
      <c r="L1271" s="879">
        <f>ROUND(SUM(ORÇAMENTO!L1271),2)</f>
        <v>0</v>
      </c>
      <c r="M1271" s="879">
        <f t="shared" si="362"/>
        <v>0</v>
      </c>
      <c r="N1271" s="868">
        <f t="shared" si="363"/>
        <v>0</v>
      </c>
      <c r="O1271" s="880"/>
      <c r="Q1271" s="317" t="str">
        <f t="shared" si="364"/>
        <v/>
      </c>
      <c r="R1271" s="317" t="str">
        <f t="shared" si="365"/>
        <v/>
      </c>
      <c r="S1271" s="317" t="str">
        <f t="shared" si="366"/>
        <v/>
      </c>
      <c r="V1271" s="314">
        <f>SUM(ORÇAMENTO!N1271)</f>
        <v>0</v>
      </c>
      <c r="W1271" s="315">
        <f t="shared" si="367"/>
        <v>0</v>
      </c>
    </row>
    <row r="1272" spans="1:23" ht="34.5" hidden="1" thickBot="1">
      <c r="A1272" s="63">
        <v>101875</v>
      </c>
      <c r="B1272" s="870">
        <v>101875</v>
      </c>
      <c r="C1272" s="871" t="s">
        <v>590</v>
      </c>
      <c r="D1272" s="881" t="s">
        <v>1186</v>
      </c>
      <c r="E1272" s="882"/>
      <c r="F1272" s="883"/>
      <c r="G1272" s="887"/>
      <c r="H1272" s="876">
        <v>527.42999999999995</v>
      </c>
      <c r="I1272" s="876">
        <f t="shared" si="360"/>
        <v>527.42999999999995</v>
      </c>
      <c r="J1272" s="877">
        <f t="shared" si="361"/>
        <v>644.62</v>
      </c>
      <c r="K1272" s="878" t="s">
        <v>1500</v>
      </c>
      <c r="L1272" s="879">
        <f>ROUND(SUM(ORÇAMENTO!L1272),2)</f>
        <v>0</v>
      </c>
      <c r="M1272" s="879">
        <f t="shared" si="362"/>
        <v>0</v>
      </c>
      <c r="N1272" s="868">
        <f t="shared" si="363"/>
        <v>0</v>
      </c>
      <c r="O1272" s="880"/>
      <c r="Q1272" s="317" t="str">
        <f t="shared" si="364"/>
        <v/>
      </c>
      <c r="R1272" s="317" t="str">
        <f t="shared" si="365"/>
        <v/>
      </c>
      <c r="S1272" s="317" t="str">
        <f t="shared" si="366"/>
        <v/>
      </c>
      <c r="V1272" s="314">
        <f>SUM(ORÇAMENTO!N1272)</f>
        <v>0</v>
      </c>
      <c r="W1272" s="315">
        <f t="shared" si="367"/>
        <v>0</v>
      </c>
    </row>
    <row r="1273" spans="1:23" ht="30" hidden="1" customHeight="1">
      <c r="A1273" s="63">
        <v>101876</v>
      </c>
      <c r="B1273" s="870">
        <v>101876</v>
      </c>
      <c r="C1273" s="871" t="s">
        <v>590</v>
      </c>
      <c r="D1273" s="881" t="s">
        <v>1187</v>
      </c>
      <c r="E1273" s="882"/>
      <c r="F1273" s="883"/>
      <c r="G1273" s="887"/>
      <c r="H1273" s="876">
        <v>95.28</v>
      </c>
      <c r="I1273" s="876">
        <f t="shared" si="360"/>
        <v>95.28</v>
      </c>
      <c r="J1273" s="877">
        <f t="shared" si="361"/>
        <v>116.45</v>
      </c>
      <c r="K1273" s="878" t="s">
        <v>1500</v>
      </c>
      <c r="L1273" s="879">
        <f>ROUND(SUM(ORÇAMENTO!L1273),2)</f>
        <v>0</v>
      </c>
      <c r="M1273" s="879">
        <f t="shared" si="362"/>
        <v>0</v>
      </c>
      <c r="N1273" s="868">
        <f t="shared" si="363"/>
        <v>0</v>
      </c>
      <c r="O1273" s="880"/>
      <c r="Q1273" s="317" t="str">
        <f t="shared" si="364"/>
        <v/>
      </c>
      <c r="R1273" s="317" t="str">
        <f t="shared" si="365"/>
        <v/>
      </c>
      <c r="S1273" s="317" t="str">
        <f t="shared" si="366"/>
        <v/>
      </c>
      <c r="V1273" s="314">
        <f>SUM(ORÇAMENTO!N1273)</f>
        <v>0</v>
      </c>
      <c r="W1273" s="315">
        <f t="shared" si="367"/>
        <v>0</v>
      </c>
    </row>
    <row r="1274" spans="1:23" ht="30" hidden="1" customHeight="1">
      <c r="A1274" s="63">
        <v>101877</v>
      </c>
      <c r="B1274" s="870">
        <v>101877</v>
      </c>
      <c r="C1274" s="871" t="s">
        <v>590</v>
      </c>
      <c r="D1274" s="881" t="s">
        <v>1188</v>
      </c>
      <c r="E1274" s="882"/>
      <c r="F1274" s="883"/>
      <c r="G1274" s="887"/>
      <c r="H1274" s="876">
        <v>65.819999999999993</v>
      </c>
      <c r="I1274" s="876">
        <f t="shared" si="360"/>
        <v>65.819999999999993</v>
      </c>
      <c r="J1274" s="877">
        <f t="shared" si="361"/>
        <v>80.45</v>
      </c>
      <c r="K1274" s="878" t="s">
        <v>1500</v>
      </c>
      <c r="L1274" s="879">
        <f>ROUND(SUM(ORÇAMENTO!L1274),2)</f>
        <v>0</v>
      </c>
      <c r="M1274" s="879">
        <f t="shared" si="362"/>
        <v>0</v>
      </c>
      <c r="N1274" s="868">
        <f t="shared" si="363"/>
        <v>0</v>
      </c>
      <c r="O1274" s="880"/>
      <c r="Q1274" s="317" t="str">
        <f t="shared" si="364"/>
        <v/>
      </c>
      <c r="R1274" s="317" t="str">
        <f t="shared" si="365"/>
        <v/>
      </c>
      <c r="S1274" s="317" t="str">
        <f t="shared" si="366"/>
        <v/>
      </c>
      <c r="V1274" s="314">
        <f>SUM(ORÇAMENTO!N1274)</f>
        <v>0</v>
      </c>
      <c r="W1274" s="315">
        <f t="shared" si="367"/>
        <v>0</v>
      </c>
    </row>
    <row r="1275" spans="1:23" ht="34.5" hidden="1" thickBot="1">
      <c r="A1275" s="63">
        <v>101878</v>
      </c>
      <c r="B1275" s="870">
        <v>101878</v>
      </c>
      <c r="C1275" s="871" t="s">
        <v>590</v>
      </c>
      <c r="D1275" s="881" t="s">
        <v>1189</v>
      </c>
      <c r="E1275" s="882"/>
      <c r="F1275" s="883"/>
      <c r="G1275" s="887"/>
      <c r="H1275" s="876">
        <v>728.23</v>
      </c>
      <c r="I1275" s="876">
        <f t="shared" si="360"/>
        <v>728.23</v>
      </c>
      <c r="J1275" s="877">
        <f t="shared" si="361"/>
        <v>890.04</v>
      </c>
      <c r="K1275" s="878" t="s">
        <v>1500</v>
      </c>
      <c r="L1275" s="879">
        <f>ROUND(SUM(ORÇAMENTO!L1275),2)</f>
        <v>0</v>
      </c>
      <c r="M1275" s="879">
        <f t="shared" si="362"/>
        <v>0</v>
      </c>
      <c r="N1275" s="868">
        <f t="shared" si="363"/>
        <v>0</v>
      </c>
      <c r="O1275" s="880"/>
      <c r="Q1275" s="317" t="str">
        <f t="shared" si="364"/>
        <v/>
      </c>
      <c r="R1275" s="317" t="str">
        <f t="shared" si="365"/>
        <v/>
      </c>
      <c r="S1275" s="317" t="str">
        <f t="shared" si="366"/>
        <v/>
      </c>
      <c r="V1275" s="314">
        <f>SUM(ORÇAMENTO!N1275)</f>
        <v>0</v>
      </c>
      <c r="W1275" s="315">
        <f t="shared" si="367"/>
        <v>0</v>
      </c>
    </row>
    <row r="1276" spans="1:23" ht="34.5" hidden="1" thickBot="1">
      <c r="A1276" s="63">
        <v>101879</v>
      </c>
      <c r="B1276" s="870">
        <v>101879</v>
      </c>
      <c r="C1276" s="871" t="s">
        <v>590</v>
      </c>
      <c r="D1276" s="881" t="s">
        <v>1190</v>
      </c>
      <c r="E1276" s="882"/>
      <c r="F1276" s="883"/>
      <c r="G1276" s="887"/>
      <c r="H1276" s="876">
        <v>764.5</v>
      </c>
      <c r="I1276" s="876">
        <f t="shared" si="360"/>
        <v>764.5</v>
      </c>
      <c r="J1276" s="877">
        <f t="shared" si="361"/>
        <v>934.37</v>
      </c>
      <c r="K1276" s="878" t="s">
        <v>1500</v>
      </c>
      <c r="L1276" s="879">
        <f>ROUND(SUM(ORÇAMENTO!L1276),2)</f>
        <v>0</v>
      </c>
      <c r="M1276" s="879">
        <f t="shared" si="362"/>
        <v>0</v>
      </c>
      <c r="N1276" s="868">
        <f t="shared" si="363"/>
        <v>0</v>
      </c>
      <c r="O1276" s="880"/>
      <c r="Q1276" s="317" t="str">
        <f t="shared" si="364"/>
        <v/>
      </c>
      <c r="R1276" s="317" t="str">
        <f t="shared" si="365"/>
        <v/>
      </c>
      <c r="S1276" s="317" t="str">
        <f t="shared" si="366"/>
        <v/>
      </c>
      <c r="V1276" s="314">
        <f>SUM(ORÇAMENTO!N1276)</f>
        <v>0</v>
      </c>
      <c r="W1276" s="315">
        <f t="shared" si="367"/>
        <v>0</v>
      </c>
    </row>
    <row r="1277" spans="1:23" ht="34.5" hidden="1" thickBot="1">
      <c r="A1277" s="63">
        <v>101880</v>
      </c>
      <c r="B1277" s="870">
        <v>101880</v>
      </c>
      <c r="C1277" s="871" t="s">
        <v>590</v>
      </c>
      <c r="D1277" s="881" t="s">
        <v>1191</v>
      </c>
      <c r="E1277" s="882"/>
      <c r="F1277" s="883"/>
      <c r="G1277" s="887"/>
      <c r="H1277" s="876">
        <v>879.71</v>
      </c>
      <c r="I1277" s="876">
        <f t="shared" si="360"/>
        <v>879.71</v>
      </c>
      <c r="J1277" s="877">
        <f t="shared" si="361"/>
        <v>1075.18</v>
      </c>
      <c r="K1277" s="878" t="s">
        <v>1500</v>
      </c>
      <c r="L1277" s="879">
        <f>ROUND(SUM(ORÇAMENTO!L1277),2)</f>
        <v>0</v>
      </c>
      <c r="M1277" s="879">
        <f t="shared" si="362"/>
        <v>0</v>
      </c>
      <c r="N1277" s="868">
        <f t="shared" si="363"/>
        <v>0</v>
      </c>
      <c r="O1277" s="880"/>
      <c r="Q1277" s="317" t="str">
        <f t="shared" si="364"/>
        <v/>
      </c>
      <c r="R1277" s="317" t="str">
        <f t="shared" si="365"/>
        <v/>
      </c>
      <c r="S1277" s="317" t="str">
        <f t="shared" si="366"/>
        <v/>
      </c>
      <c r="V1277" s="314">
        <f>SUM(ORÇAMENTO!N1277)</f>
        <v>0</v>
      </c>
      <c r="W1277" s="315">
        <f t="shared" si="367"/>
        <v>0</v>
      </c>
    </row>
    <row r="1278" spans="1:23" ht="34.5" hidden="1" thickBot="1">
      <c r="A1278" s="63">
        <v>101881</v>
      </c>
      <c r="B1278" s="870">
        <v>101881</v>
      </c>
      <c r="C1278" s="871" t="s">
        <v>590</v>
      </c>
      <c r="D1278" s="881" t="s">
        <v>1192</v>
      </c>
      <c r="E1278" s="882"/>
      <c r="F1278" s="883"/>
      <c r="G1278" s="887"/>
      <c r="H1278" s="876">
        <v>1267.3399999999999</v>
      </c>
      <c r="I1278" s="876">
        <f t="shared" si="360"/>
        <v>1267.3399999999999</v>
      </c>
      <c r="J1278" s="877">
        <f t="shared" si="361"/>
        <v>1548.94</v>
      </c>
      <c r="K1278" s="878" t="s">
        <v>1500</v>
      </c>
      <c r="L1278" s="879">
        <f>ROUND(SUM(ORÇAMENTO!L1278),2)</f>
        <v>0</v>
      </c>
      <c r="M1278" s="879">
        <f t="shared" si="362"/>
        <v>0</v>
      </c>
      <c r="N1278" s="868">
        <f t="shared" si="363"/>
        <v>0</v>
      </c>
      <c r="O1278" s="880"/>
      <c r="Q1278" s="317" t="str">
        <f t="shared" si="364"/>
        <v/>
      </c>
      <c r="R1278" s="317" t="str">
        <f t="shared" si="365"/>
        <v/>
      </c>
      <c r="S1278" s="317" t="str">
        <f t="shared" si="366"/>
        <v/>
      </c>
      <c r="V1278" s="314">
        <f>SUM(ORÇAMENTO!N1278)</f>
        <v>0</v>
      </c>
      <c r="W1278" s="315">
        <f t="shared" si="367"/>
        <v>0</v>
      </c>
    </row>
    <row r="1279" spans="1:23" ht="34.5" hidden="1" thickBot="1">
      <c r="A1279" s="63">
        <v>101882</v>
      </c>
      <c r="B1279" s="870">
        <v>101882</v>
      </c>
      <c r="C1279" s="871" t="s">
        <v>590</v>
      </c>
      <c r="D1279" s="881" t="s">
        <v>1193</v>
      </c>
      <c r="E1279" s="882"/>
      <c r="F1279" s="883"/>
      <c r="G1279" s="887"/>
      <c r="H1279" s="876">
        <v>1801.44</v>
      </c>
      <c r="I1279" s="876">
        <f t="shared" si="360"/>
        <v>1801.44</v>
      </c>
      <c r="J1279" s="877">
        <f t="shared" si="361"/>
        <v>2201.7199999999998</v>
      </c>
      <c r="K1279" s="878" t="s">
        <v>1500</v>
      </c>
      <c r="L1279" s="879">
        <f>ROUND(SUM(ORÇAMENTO!L1279),2)</f>
        <v>0</v>
      </c>
      <c r="M1279" s="879">
        <f t="shared" si="362"/>
        <v>0</v>
      </c>
      <c r="N1279" s="868">
        <f t="shared" si="363"/>
        <v>0</v>
      </c>
      <c r="O1279" s="880"/>
      <c r="Q1279" s="317" t="str">
        <f t="shared" si="364"/>
        <v/>
      </c>
      <c r="R1279" s="317" t="str">
        <f t="shared" si="365"/>
        <v/>
      </c>
      <c r="S1279" s="317" t="str">
        <f t="shared" si="366"/>
        <v/>
      </c>
      <c r="V1279" s="314">
        <f>SUM(ORÇAMENTO!N1279)</f>
        <v>0</v>
      </c>
      <c r="W1279" s="315">
        <f t="shared" si="367"/>
        <v>0</v>
      </c>
    </row>
    <row r="1280" spans="1:23" ht="34.5" hidden="1" thickBot="1">
      <c r="A1280" s="63">
        <v>101883</v>
      </c>
      <c r="B1280" s="870">
        <v>101883</v>
      </c>
      <c r="C1280" s="871" t="s">
        <v>590</v>
      </c>
      <c r="D1280" s="881" t="s">
        <v>1194</v>
      </c>
      <c r="E1280" s="882"/>
      <c r="F1280" s="883"/>
      <c r="G1280" s="887"/>
      <c r="H1280" s="876">
        <v>728.76</v>
      </c>
      <c r="I1280" s="876">
        <f t="shared" si="360"/>
        <v>728.76</v>
      </c>
      <c r="J1280" s="877">
        <f t="shared" si="361"/>
        <v>890.69</v>
      </c>
      <c r="K1280" s="878" t="s">
        <v>1500</v>
      </c>
      <c r="L1280" s="879">
        <f>ROUND(SUM(ORÇAMENTO!L1280),2)</f>
        <v>0</v>
      </c>
      <c r="M1280" s="879">
        <f t="shared" si="362"/>
        <v>0</v>
      </c>
      <c r="N1280" s="868">
        <f t="shared" si="363"/>
        <v>0</v>
      </c>
      <c r="O1280" s="880"/>
      <c r="Q1280" s="317" t="str">
        <f t="shared" si="364"/>
        <v/>
      </c>
      <c r="R1280" s="317" t="str">
        <f t="shared" si="365"/>
        <v/>
      </c>
      <c r="S1280" s="317" t="str">
        <f t="shared" si="366"/>
        <v/>
      </c>
      <c r="V1280" s="314">
        <f>SUM(ORÇAMENTO!N1280)</f>
        <v>0</v>
      </c>
      <c r="W1280" s="315">
        <f t="shared" si="367"/>
        <v>0</v>
      </c>
    </row>
    <row r="1281" spans="1:23" ht="15" hidden="1" customHeight="1">
      <c r="A1281" s="63">
        <v>101901</v>
      </c>
      <c r="B1281" s="870">
        <v>101901</v>
      </c>
      <c r="C1281" s="871" t="s">
        <v>590</v>
      </c>
      <c r="D1281" s="881" t="s">
        <v>1195</v>
      </c>
      <c r="E1281" s="882"/>
      <c r="F1281" s="883"/>
      <c r="G1281" s="887"/>
      <c r="H1281" s="876">
        <v>109.64</v>
      </c>
      <c r="I1281" s="876">
        <f t="shared" si="360"/>
        <v>109.64</v>
      </c>
      <c r="J1281" s="877">
        <f t="shared" si="361"/>
        <v>134</v>
      </c>
      <c r="K1281" s="878" t="s">
        <v>1500</v>
      </c>
      <c r="L1281" s="879">
        <f>ROUND(SUM(ORÇAMENTO!L1281),2)</f>
        <v>0</v>
      </c>
      <c r="M1281" s="879">
        <f t="shared" si="362"/>
        <v>0</v>
      </c>
      <c r="N1281" s="868">
        <f t="shared" si="363"/>
        <v>0</v>
      </c>
      <c r="O1281" s="880"/>
      <c r="Q1281" s="317" t="str">
        <f t="shared" si="364"/>
        <v/>
      </c>
      <c r="R1281" s="317" t="str">
        <f t="shared" si="365"/>
        <v/>
      </c>
      <c r="S1281" s="317" t="str">
        <f t="shared" si="366"/>
        <v/>
      </c>
      <c r="V1281" s="314">
        <f>SUM(ORÇAMENTO!N1281)</f>
        <v>0</v>
      </c>
      <c r="W1281" s="315">
        <f t="shared" si="367"/>
        <v>0</v>
      </c>
    </row>
    <row r="1282" spans="1:23" ht="15" hidden="1" customHeight="1">
      <c r="A1282" s="63">
        <v>101902</v>
      </c>
      <c r="B1282" s="870">
        <v>101902</v>
      </c>
      <c r="C1282" s="871" t="s">
        <v>590</v>
      </c>
      <c r="D1282" s="881" t="s">
        <v>1196</v>
      </c>
      <c r="E1282" s="882"/>
      <c r="F1282" s="883"/>
      <c r="G1282" s="887"/>
      <c r="H1282" s="876">
        <v>136.05000000000001</v>
      </c>
      <c r="I1282" s="876">
        <f t="shared" si="360"/>
        <v>136.05000000000001</v>
      </c>
      <c r="J1282" s="877">
        <f t="shared" si="361"/>
        <v>166.28</v>
      </c>
      <c r="K1282" s="878" t="s">
        <v>1500</v>
      </c>
      <c r="L1282" s="879">
        <f>ROUND(SUM(ORÇAMENTO!L1282),2)</f>
        <v>0</v>
      </c>
      <c r="M1282" s="879">
        <f t="shared" si="362"/>
        <v>0</v>
      </c>
      <c r="N1282" s="868">
        <f t="shared" si="363"/>
        <v>0</v>
      </c>
      <c r="O1282" s="880"/>
      <c r="Q1282" s="317" t="str">
        <f t="shared" si="364"/>
        <v/>
      </c>
      <c r="R1282" s="317" t="str">
        <f t="shared" si="365"/>
        <v/>
      </c>
      <c r="S1282" s="317" t="str">
        <f t="shared" si="366"/>
        <v/>
      </c>
      <c r="V1282" s="314">
        <f>SUM(ORÇAMENTO!N1282)</f>
        <v>0</v>
      </c>
      <c r="W1282" s="315">
        <f t="shared" si="367"/>
        <v>0</v>
      </c>
    </row>
    <row r="1283" spans="1:23" ht="15" hidden="1" customHeight="1">
      <c r="A1283" s="63">
        <v>101903</v>
      </c>
      <c r="B1283" s="870">
        <v>101903</v>
      </c>
      <c r="C1283" s="871" t="s">
        <v>590</v>
      </c>
      <c r="D1283" s="881" t="s">
        <v>1197</v>
      </c>
      <c r="E1283" s="882"/>
      <c r="F1283" s="883"/>
      <c r="G1283" s="887"/>
      <c r="H1283" s="876">
        <v>283.02</v>
      </c>
      <c r="I1283" s="876">
        <f t="shared" si="360"/>
        <v>283.02</v>
      </c>
      <c r="J1283" s="877">
        <f t="shared" si="361"/>
        <v>345.91</v>
      </c>
      <c r="K1283" s="878" t="s">
        <v>1500</v>
      </c>
      <c r="L1283" s="879">
        <f>ROUND(SUM(ORÇAMENTO!L1283),2)</f>
        <v>0</v>
      </c>
      <c r="M1283" s="879">
        <f t="shared" si="362"/>
        <v>0</v>
      </c>
      <c r="N1283" s="868">
        <f t="shared" si="363"/>
        <v>0</v>
      </c>
      <c r="O1283" s="880"/>
      <c r="Q1283" s="317" t="str">
        <f t="shared" si="364"/>
        <v/>
      </c>
      <c r="R1283" s="317" t="str">
        <f t="shared" si="365"/>
        <v/>
      </c>
      <c r="S1283" s="317" t="str">
        <f t="shared" si="366"/>
        <v/>
      </c>
      <c r="V1283" s="314">
        <f>SUM(ORÇAMENTO!N1283)</f>
        <v>0</v>
      </c>
      <c r="W1283" s="315">
        <f t="shared" si="367"/>
        <v>0</v>
      </c>
    </row>
    <row r="1284" spans="1:23" ht="15" hidden="1" customHeight="1">
      <c r="A1284" s="63">
        <v>101904</v>
      </c>
      <c r="B1284" s="870">
        <v>101904</v>
      </c>
      <c r="C1284" s="871" t="s">
        <v>590</v>
      </c>
      <c r="D1284" s="881" t="s">
        <v>1198</v>
      </c>
      <c r="E1284" s="882"/>
      <c r="F1284" s="883"/>
      <c r="G1284" s="887"/>
      <c r="H1284" s="876">
        <v>1021.61</v>
      </c>
      <c r="I1284" s="876">
        <f t="shared" ref="I1284:I1347" si="368">IF(ISBLANK(H1284),"",SUM(G1284:H1284))</f>
        <v>1021.61</v>
      </c>
      <c r="J1284" s="877">
        <f t="shared" si="361"/>
        <v>1248.6099999999999</v>
      </c>
      <c r="K1284" s="878" t="s">
        <v>1500</v>
      </c>
      <c r="L1284" s="879">
        <f>ROUND(SUM(ORÇAMENTO!L1284),2)</f>
        <v>0</v>
      </c>
      <c r="M1284" s="879">
        <f t="shared" si="362"/>
        <v>0</v>
      </c>
      <c r="N1284" s="868">
        <f t="shared" si="363"/>
        <v>0</v>
      </c>
      <c r="O1284" s="880"/>
      <c r="Q1284" s="317" t="str">
        <f t="shared" si="364"/>
        <v/>
      </c>
      <c r="R1284" s="317" t="str">
        <f t="shared" si="365"/>
        <v/>
      </c>
      <c r="S1284" s="317" t="str">
        <f t="shared" si="366"/>
        <v/>
      </c>
      <c r="V1284" s="314">
        <f>SUM(ORÇAMENTO!N1284)</f>
        <v>0</v>
      </c>
      <c r="W1284" s="315">
        <f t="shared" si="367"/>
        <v>0</v>
      </c>
    </row>
    <row r="1285" spans="1:23" ht="30" hidden="1" customHeight="1">
      <c r="A1285" s="63">
        <v>93653</v>
      </c>
      <c r="B1285" s="870">
        <v>93653</v>
      </c>
      <c r="C1285" s="871" t="s">
        <v>590</v>
      </c>
      <c r="D1285" s="881" t="s">
        <v>1199</v>
      </c>
      <c r="E1285" s="882"/>
      <c r="F1285" s="883"/>
      <c r="G1285" s="887"/>
      <c r="H1285" s="876">
        <v>12.16</v>
      </c>
      <c r="I1285" s="876">
        <f t="shared" si="368"/>
        <v>12.16</v>
      </c>
      <c r="J1285" s="877">
        <f t="shared" si="361"/>
        <v>14.86</v>
      </c>
      <c r="K1285" s="878" t="s">
        <v>1500</v>
      </c>
      <c r="L1285" s="879">
        <f>ROUND(SUM(ORÇAMENTO!L1285),2)</f>
        <v>0</v>
      </c>
      <c r="M1285" s="879">
        <f t="shared" si="362"/>
        <v>0</v>
      </c>
      <c r="N1285" s="868">
        <f t="shared" si="363"/>
        <v>0</v>
      </c>
      <c r="O1285" s="880"/>
      <c r="Q1285" s="317" t="str">
        <f t="shared" si="364"/>
        <v/>
      </c>
      <c r="R1285" s="317" t="str">
        <f t="shared" si="365"/>
        <v/>
      </c>
      <c r="S1285" s="317" t="str">
        <f t="shared" si="366"/>
        <v/>
      </c>
      <c r="V1285" s="314">
        <f>SUM(ORÇAMENTO!N1285)</f>
        <v>0</v>
      </c>
      <c r="W1285" s="315">
        <f t="shared" si="367"/>
        <v>0</v>
      </c>
    </row>
    <row r="1286" spans="1:23" ht="30" hidden="1" customHeight="1">
      <c r="A1286" s="63">
        <v>93654</v>
      </c>
      <c r="B1286" s="870">
        <v>93654</v>
      </c>
      <c r="C1286" s="871" t="s">
        <v>590</v>
      </c>
      <c r="D1286" s="881" t="s">
        <v>1200</v>
      </c>
      <c r="E1286" s="882"/>
      <c r="F1286" s="883"/>
      <c r="G1286" s="887"/>
      <c r="H1286" s="876">
        <v>12.9</v>
      </c>
      <c r="I1286" s="876">
        <f t="shared" si="368"/>
        <v>12.9</v>
      </c>
      <c r="J1286" s="877">
        <f t="shared" si="361"/>
        <v>15.77</v>
      </c>
      <c r="K1286" s="878" t="s">
        <v>1500</v>
      </c>
      <c r="L1286" s="879">
        <f>ROUND(SUM(ORÇAMENTO!L1286),2)</f>
        <v>0</v>
      </c>
      <c r="M1286" s="879">
        <f t="shared" si="362"/>
        <v>0</v>
      </c>
      <c r="N1286" s="868">
        <f t="shared" si="363"/>
        <v>0</v>
      </c>
      <c r="O1286" s="880"/>
      <c r="Q1286" s="317" t="str">
        <f t="shared" si="364"/>
        <v/>
      </c>
      <c r="R1286" s="317" t="str">
        <f t="shared" si="365"/>
        <v/>
      </c>
      <c r="S1286" s="317" t="str">
        <f t="shared" si="366"/>
        <v/>
      </c>
      <c r="V1286" s="314">
        <f>SUM(ORÇAMENTO!N1286)</f>
        <v>0</v>
      </c>
      <c r="W1286" s="315">
        <f t="shared" si="367"/>
        <v>0</v>
      </c>
    </row>
    <row r="1287" spans="1:23" ht="30" hidden="1" customHeight="1">
      <c r="A1287" s="63">
        <v>93655</v>
      </c>
      <c r="B1287" s="870">
        <v>93655</v>
      </c>
      <c r="C1287" s="871" t="s">
        <v>590</v>
      </c>
      <c r="D1287" s="881" t="s">
        <v>1201</v>
      </c>
      <c r="E1287" s="882"/>
      <c r="F1287" s="883"/>
      <c r="G1287" s="887"/>
      <c r="H1287" s="876">
        <v>14.29</v>
      </c>
      <c r="I1287" s="876">
        <f t="shared" si="368"/>
        <v>14.29</v>
      </c>
      <c r="J1287" s="877">
        <f t="shared" si="361"/>
        <v>17.47</v>
      </c>
      <c r="K1287" s="878" t="s">
        <v>1500</v>
      </c>
      <c r="L1287" s="879">
        <f>ROUND(SUM(ORÇAMENTO!L1287),2)</f>
        <v>0</v>
      </c>
      <c r="M1287" s="879">
        <f t="shared" si="362"/>
        <v>0</v>
      </c>
      <c r="N1287" s="868">
        <f t="shared" si="363"/>
        <v>0</v>
      </c>
      <c r="O1287" s="880"/>
      <c r="Q1287" s="317" t="str">
        <f t="shared" si="364"/>
        <v/>
      </c>
      <c r="R1287" s="317" t="str">
        <f t="shared" si="365"/>
        <v/>
      </c>
      <c r="S1287" s="317" t="str">
        <f t="shared" si="366"/>
        <v/>
      </c>
      <c r="V1287" s="314">
        <f>SUM(ORÇAMENTO!N1287)</f>
        <v>0</v>
      </c>
      <c r="W1287" s="315">
        <f t="shared" si="367"/>
        <v>0</v>
      </c>
    </row>
    <row r="1288" spans="1:23" ht="30" hidden="1" customHeight="1">
      <c r="A1288" s="63">
        <v>93656</v>
      </c>
      <c r="B1288" s="870">
        <v>93656</v>
      </c>
      <c r="C1288" s="871" t="s">
        <v>590</v>
      </c>
      <c r="D1288" s="881" t="s">
        <v>1202</v>
      </c>
      <c r="E1288" s="882"/>
      <c r="F1288" s="883"/>
      <c r="G1288" s="887"/>
      <c r="H1288" s="876">
        <v>14.29</v>
      </c>
      <c r="I1288" s="876">
        <f t="shared" si="368"/>
        <v>14.29</v>
      </c>
      <c r="J1288" s="877">
        <f t="shared" si="361"/>
        <v>17.47</v>
      </c>
      <c r="K1288" s="878" t="s">
        <v>1500</v>
      </c>
      <c r="L1288" s="879">
        <f>ROUND(SUM(ORÇAMENTO!L1288),2)</f>
        <v>0</v>
      </c>
      <c r="M1288" s="879">
        <f t="shared" si="362"/>
        <v>0</v>
      </c>
      <c r="N1288" s="868">
        <f t="shared" si="363"/>
        <v>0</v>
      </c>
      <c r="O1288" s="880"/>
      <c r="Q1288" s="317" t="str">
        <f t="shared" si="364"/>
        <v/>
      </c>
      <c r="R1288" s="317" t="str">
        <f t="shared" si="365"/>
        <v/>
      </c>
      <c r="S1288" s="317" t="str">
        <f t="shared" si="366"/>
        <v/>
      </c>
      <c r="V1288" s="314">
        <f>SUM(ORÇAMENTO!N1288)</f>
        <v>0</v>
      </c>
      <c r="W1288" s="315">
        <f t="shared" si="367"/>
        <v>0</v>
      </c>
    </row>
    <row r="1289" spans="1:23" ht="30" hidden="1" customHeight="1">
      <c r="A1289" s="63">
        <v>93657</v>
      </c>
      <c r="B1289" s="870">
        <v>93657</v>
      </c>
      <c r="C1289" s="871" t="s">
        <v>590</v>
      </c>
      <c r="D1289" s="881" t="s">
        <v>1203</v>
      </c>
      <c r="E1289" s="882"/>
      <c r="F1289" s="883"/>
      <c r="G1289" s="887"/>
      <c r="H1289" s="876">
        <v>15.99</v>
      </c>
      <c r="I1289" s="876">
        <f t="shared" si="368"/>
        <v>15.99</v>
      </c>
      <c r="J1289" s="877">
        <f t="shared" ref="J1289:J1352" si="369">IF(ISBLANK(H1289),0,ROUND(I1289*(1+$E$10),2))</f>
        <v>19.54</v>
      </c>
      <c r="K1289" s="878" t="s">
        <v>1500</v>
      </c>
      <c r="L1289" s="879">
        <f>ROUND(SUM(ORÇAMENTO!L1289),2)</f>
        <v>0</v>
      </c>
      <c r="M1289" s="879">
        <f t="shared" si="362"/>
        <v>0</v>
      </c>
      <c r="N1289" s="868">
        <f t="shared" si="363"/>
        <v>0</v>
      </c>
      <c r="O1289" s="880"/>
      <c r="Q1289" s="317" t="str">
        <f t="shared" si="364"/>
        <v/>
      </c>
      <c r="R1289" s="317" t="str">
        <f t="shared" si="365"/>
        <v/>
      </c>
      <c r="S1289" s="317" t="str">
        <f t="shared" si="366"/>
        <v/>
      </c>
      <c r="V1289" s="314">
        <f>SUM(ORÇAMENTO!N1289)</f>
        <v>0</v>
      </c>
      <c r="W1289" s="315">
        <f t="shared" si="367"/>
        <v>0</v>
      </c>
    </row>
    <row r="1290" spans="1:23" ht="30" hidden="1" customHeight="1">
      <c r="A1290" s="63">
        <v>93658</v>
      </c>
      <c r="B1290" s="870">
        <v>93658</v>
      </c>
      <c r="C1290" s="871" t="s">
        <v>590</v>
      </c>
      <c r="D1290" s="881" t="s">
        <v>1204</v>
      </c>
      <c r="E1290" s="882"/>
      <c r="F1290" s="883"/>
      <c r="G1290" s="887"/>
      <c r="H1290" s="876">
        <v>23.17</v>
      </c>
      <c r="I1290" s="876">
        <f t="shared" si="368"/>
        <v>23.17</v>
      </c>
      <c r="J1290" s="877">
        <f t="shared" si="369"/>
        <v>28.32</v>
      </c>
      <c r="K1290" s="878" t="s">
        <v>1500</v>
      </c>
      <c r="L1290" s="879">
        <f>ROUND(SUM(ORÇAMENTO!L1290),2)</f>
        <v>0</v>
      </c>
      <c r="M1290" s="879">
        <f t="shared" si="362"/>
        <v>0</v>
      </c>
      <c r="N1290" s="868">
        <f t="shared" si="363"/>
        <v>0</v>
      </c>
      <c r="O1290" s="880"/>
      <c r="Q1290" s="317" t="str">
        <f t="shared" si="364"/>
        <v/>
      </c>
      <c r="R1290" s="317" t="str">
        <f t="shared" si="365"/>
        <v/>
      </c>
      <c r="S1290" s="317" t="str">
        <f t="shared" si="366"/>
        <v/>
      </c>
      <c r="V1290" s="314">
        <f>SUM(ORÇAMENTO!N1290)</f>
        <v>0</v>
      </c>
      <c r="W1290" s="315">
        <f t="shared" si="367"/>
        <v>0</v>
      </c>
    </row>
    <row r="1291" spans="1:23" ht="30" hidden="1" customHeight="1">
      <c r="A1291" s="63">
        <v>93659</v>
      </c>
      <c r="B1291" s="870">
        <v>93659</v>
      </c>
      <c r="C1291" s="871" t="s">
        <v>590</v>
      </c>
      <c r="D1291" s="881" t="s">
        <v>1205</v>
      </c>
      <c r="E1291" s="882"/>
      <c r="F1291" s="883"/>
      <c r="G1291" s="887"/>
      <c r="H1291" s="876">
        <v>26.68</v>
      </c>
      <c r="I1291" s="876">
        <f t="shared" si="368"/>
        <v>26.68</v>
      </c>
      <c r="J1291" s="877">
        <f t="shared" si="369"/>
        <v>32.61</v>
      </c>
      <c r="K1291" s="878" t="s">
        <v>1500</v>
      </c>
      <c r="L1291" s="879">
        <f>ROUND(SUM(ORÇAMENTO!L1291),2)</f>
        <v>0</v>
      </c>
      <c r="M1291" s="879">
        <f t="shared" si="362"/>
        <v>0</v>
      </c>
      <c r="N1291" s="868">
        <f t="shared" si="363"/>
        <v>0</v>
      </c>
      <c r="O1291" s="880"/>
      <c r="Q1291" s="317" t="str">
        <f t="shared" si="364"/>
        <v/>
      </c>
      <c r="R1291" s="317" t="str">
        <f t="shared" si="365"/>
        <v/>
      </c>
      <c r="S1291" s="317" t="str">
        <f t="shared" si="366"/>
        <v/>
      </c>
      <c r="V1291" s="314">
        <f>SUM(ORÇAMENTO!N1291)</f>
        <v>0</v>
      </c>
      <c r="W1291" s="315">
        <f t="shared" si="367"/>
        <v>0</v>
      </c>
    </row>
    <row r="1292" spans="1:23" ht="30" hidden="1" customHeight="1">
      <c r="A1292" s="63">
        <v>101890</v>
      </c>
      <c r="B1292" s="870">
        <v>101890</v>
      </c>
      <c r="C1292" s="871" t="s">
        <v>590</v>
      </c>
      <c r="D1292" s="881" t="s">
        <v>1206</v>
      </c>
      <c r="E1292" s="882"/>
      <c r="F1292" s="883"/>
      <c r="G1292" s="887"/>
      <c r="H1292" s="876">
        <v>17</v>
      </c>
      <c r="I1292" s="876">
        <f t="shared" si="368"/>
        <v>17</v>
      </c>
      <c r="J1292" s="877">
        <f t="shared" si="369"/>
        <v>20.78</v>
      </c>
      <c r="K1292" s="878" t="s">
        <v>1500</v>
      </c>
      <c r="L1292" s="879">
        <f>ROUND(SUM(ORÇAMENTO!L1292),2)</f>
        <v>0</v>
      </c>
      <c r="M1292" s="879">
        <f t="shared" si="362"/>
        <v>0</v>
      </c>
      <c r="N1292" s="868">
        <f t="shared" si="363"/>
        <v>0</v>
      </c>
      <c r="O1292" s="880"/>
      <c r="Q1292" s="317" t="str">
        <f t="shared" si="364"/>
        <v/>
      </c>
      <c r="R1292" s="317" t="str">
        <f t="shared" si="365"/>
        <v/>
      </c>
      <c r="S1292" s="317" t="str">
        <f t="shared" si="366"/>
        <v/>
      </c>
      <c r="V1292" s="314">
        <f>SUM(ORÇAMENTO!N1292)</f>
        <v>0</v>
      </c>
      <c r="W1292" s="315">
        <f t="shared" si="367"/>
        <v>0</v>
      </c>
    </row>
    <row r="1293" spans="1:23" ht="30" hidden="1" customHeight="1">
      <c r="A1293" s="63">
        <v>101891</v>
      </c>
      <c r="B1293" s="870">
        <v>101891</v>
      </c>
      <c r="C1293" s="871" t="s">
        <v>590</v>
      </c>
      <c r="D1293" s="881" t="s">
        <v>1207</v>
      </c>
      <c r="E1293" s="882"/>
      <c r="F1293" s="883"/>
      <c r="G1293" s="887"/>
      <c r="H1293" s="876">
        <v>29.51</v>
      </c>
      <c r="I1293" s="876">
        <f t="shared" si="368"/>
        <v>29.51</v>
      </c>
      <c r="J1293" s="877">
        <f t="shared" si="369"/>
        <v>36.07</v>
      </c>
      <c r="K1293" s="878" t="s">
        <v>1500</v>
      </c>
      <c r="L1293" s="879">
        <f>ROUND(SUM(ORÇAMENTO!L1293),2)</f>
        <v>0</v>
      </c>
      <c r="M1293" s="879">
        <f t="shared" si="362"/>
        <v>0</v>
      </c>
      <c r="N1293" s="868">
        <f t="shared" si="363"/>
        <v>0</v>
      </c>
      <c r="O1293" s="880"/>
      <c r="Q1293" s="317" t="str">
        <f t="shared" si="364"/>
        <v/>
      </c>
      <c r="R1293" s="317" t="str">
        <f t="shared" si="365"/>
        <v/>
      </c>
      <c r="S1293" s="317" t="str">
        <f t="shared" si="366"/>
        <v/>
      </c>
      <c r="V1293" s="314">
        <f>SUM(ORÇAMENTO!N1293)</f>
        <v>0</v>
      </c>
      <c r="W1293" s="315">
        <f t="shared" si="367"/>
        <v>0</v>
      </c>
    </row>
    <row r="1294" spans="1:23" ht="30" hidden="1" customHeight="1">
      <c r="A1294" s="63">
        <v>93660</v>
      </c>
      <c r="B1294" s="870">
        <v>93660</v>
      </c>
      <c r="C1294" s="871" t="s">
        <v>590</v>
      </c>
      <c r="D1294" s="881" t="s">
        <v>1208</v>
      </c>
      <c r="E1294" s="882"/>
      <c r="F1294" s="883"/>
      <c r="G1294" s="887"/>
      <c r="H1294" s="876">
        <v>58.62</v>
      </c>
      <c r="I1294" s="876">
        <f t="shared" si="368"/>
        <v>58.62</v>
      </c>
      <c r="J1294" s="877">
        <f t="shared" si="369"/>
        <v>71.650000000000006</v>
      </c>
      <c r="K1294" s="878" t="s">
        <v>1500</v>
      </c>
      <c r="L1294" s="879">
        <f>ROUND(SUM(ORÇAMENTO!L1294),2)</f>
        <v>0</v>
      </c>
      <c r="M1294" s="879">
        <f t="shared" si="362"/>
        <v>0</v>
      </c>
      <c r="N1294" s="868">
        <f t="shared" si="363"/>
        <v>0</v>
      </c>
      <c r="O1294" s="880"/>
      <c r="Q1294" s="317" t="str">
        <f t="shared" si="364"/>
        <v/>
      </c>
      <c r="R1294" s="317" t="str">
        <f t="shared" si="365"/>
        <v/>
      </c>
      <c r="S1294" s="317" t="str">
        <f t="shared" si="366"/>
        <v/>
      </c>
      <c r="V1294" s="314">
        <f>SUM(ORÇAMENTO!N1294)</f>
        <v>0</v>
      </c>
      <c r="W1294" s="315">
        <f t="shared" si="367"/>
        <v>0</v>
      </c>
    </row>
    <row r="1295" spans="1:23" ht="30" hidden="1" customHeight="1">
      <c r="A1295" s="63">
        <v>93661</v>
      </c>
      <c r="B1295" s="870">
        <v>93661</v>
      </c>
      <c r="C1295" s="871" t="s">
        <v>590</v>
      </c>
      <c r="D1295" s="881" t="s">
        <v>1209</v>
      </c>
      <c r="E1295" s="882"/>
      <c r="F1295" s="883"/>
      <c r="G1295" s="887"/>
      <c r="H1295" s="876">
        <v>60.11</v>
      </c>
      <c r="I1295" s="876">
        <f t="shared" si="368"/>
        <v>60.11</v>
      </c>
      <c r="J1295" s="877">
        <f t="shared" si="369"/>
        <v>73.47</v>
      </c>
      <c r="K1295" s="878" t="s">
        <v>1500</v>
      </c>
      <c r="L1295" s="879">
        <f>ROUND(SUM(ORÇAMENTO!L1295),2)</f>
        <v>0</v>
      </c>
      <c r="M1295" s="879">
        <f t="shared" si="362"/>
        <v>0</v>
      </c>
      <c r="N1295" s="868">
        <f t="shared" si="363"/>
        <v>0</v>
      </c>
      <c r="O1295" s="880"/>
      <c r="Q1295" s="317" t="str">
        <f t="shared" si="364"/>
        <v/>
      </c>
      <c r="R1295" s="317" t="str">
        <f t="shared" si="365"/>
        <v/>
      </c>
      <c r="S1295" s="317" t="str">
        <f t="shared" si="366"/>
        <v/>
      </c>
      <c r="V1295" s="314">
        <f>SUM(ORÇAMENTO!N1295)</f>
        <v>0</v>
      </c>
      <c r="W1295" s="315">
        <f t="shared" si="367"/>
        <v>0</v>
      </c>
    </row>
    <row r="1296" spans="1:23" ht="30" hidden="1" customHeight="1">
      <c r="A1296" s="63">
        <v>93662</v>
      </c>
      <c r="B1296" s="870">
        <v>93662</v>
      </c>
      <c r="C1296" s="871" t="s">
        <v>590</v>
      </c>
      <c r="D1296" s="881" t="s">
        <v>1210</v>
      </c>
      <c r="E1296" s="882"/>
      <c r="F1296" s="883"/>
      <c r="G1296" s="887"/>
      <c r="H1296" s="876">
        <v>62.87</v>
      </c>
      <c r="I1296" s="876">
        <f t="shared" si="368"/>
        <v>62.87</v>
      </c>
      <c r="J1296" s="877">
        <f t="shared" si="369"/>
        <v>76.84</v>
      </c>
      <c r="K1296" s="878" t="s">
        <v>1500</v>
      </c>
      <c r="L1296" s="879">
        <f>ROUND(SUM(ORÇAMENTO!L1296),2)</f>
        <v>0</v>
      </c>
      <c r="M1296" s="879">
        <f t="shared" si="362"/>
        <v>0</v>
      </c>
      <c r="N1296" s="868">
        <f t="shared" si="363"/>
        <v>0</v>
      </c>
      <c r="O1296" s="880"/>
      <c r="Q1296" s="317" t="str">
        <f t="shared" si="364"/>
        <v/>
      </c>
      <c r="R1296" s="317" t="str">
        <f t="shared" si="365"/>
        <v/>
      </c>
      <c r="S1296" s="317" t="str">
        <f t="shared" si="366"/>
        <v/>
      </c>
      <c r="V1296" s="314">
        <f>SUM(ORÇAMENTO!N1296)</f>
        <v>0</v>
      </c>
      <c r="W1296" s="315">
        <f t="shared" si="367"/>
        <v>0</v>
      </c>
    </row>
    <row r="1297" spans="1:23" ht="30" hidden="1" customHeight="1">
      <c r="A1297" s="63">
        <v>93663</v>
      </c>
      <c r="B1297" s="870">
        <v>93663</v>
      </c>
      <c r="C1297" s="871" t="s">
        <v>590</v>
      </c>
      <c r="D1297" s="881" t="s">
        <v>1211</v>
      </c>
      <c r="E1297" s="882"/>
      <c r="F1297" s="883"/>
      <c r="G1297" s="887"/>
      <c r="H1297" s="876">
        <v>62.87</v>
      </c>
      <c r="I1297" s="876">
        <f t="shared" si="368"/>
        <v>62.87</v>
      </c>
      <c r="J1297" s="877">
        <f t="shared" si="369"/>
        <v>76.84</v>
      </c>
      <c r="K1297" s="878" t="s">
        <v>1500</v>
      </c>
      <c r="L1297" s="879">
        <f>ROUND(SUM(ORÇAMENTO!L1297),2)</f>
        <v>0</v>
      </c>
      <c r="M1297" s="879">
        <f t="shared" si="362"/>
        <v>0</v>
      </c>
      <c r="N1297" s="868">
        <f t="shared" si="363"/>
        <v>0</v>
      </c>
      <c r="O1297" s="880"/>
      <c r="Q1297" s="317" t="str">
        <f t="shared" si="364"/>
        <v/>
      </c>
      <c r="R1297" s="317" t="str">
        <f t="shared" si="365"/>
        <v/>
      </c>
      <c r="S1297" s="317" t="str">
        <f t="shared" si="366"/>
        <v/>
      </c>
      <c r="V1297" s="314">
        <f>SUM(ORÇAMENTO!N1297)</f>
        <v>0</v>
      </c>
      <c r="W1297" s="315">
        <f t="shared" si="367"/>
        <v>0</v>
      </c>
    </row>
    <row r="1298" spans="1:23" ht="30" hidden="1" customHeight="1">
      <c r="A1298" s="63">
        <v>93664</v>
      </c>
      <c r="B1298" s="870">
        <v>93664</v>
      </c>
      <c r="C1298" s="871" t="s">
        <v>590</v>
      </c>
      <c r="D1298" s="881" t="s">
        <v>1212</v>
      </c>
      <c r="E1298" s="882"/>
      <c r="F1298" s="883"/>
      <c r="G1298" s="887"/>
      <c r="H1298" s="876">
        <v>66.28</v>
      </c>
      <c r="I1298" s="876">
        <f t="shared" si="368"/>
        <v>66.28</v>
      </c>
      <c r="J1298" s="877">
        <f t="shared" si="369"/>
        <v>81.010000000000005</v>
      </c>
      <c r="K1298" s="878" t="s">
        <v>1500</v>
      </c>
      <c r="L1298" s="879">
        <f>ROUND(SUM(ORÇAMENTO!L1298),2)</f>
        <v>0</v>
      </c>
      <c r="M1298" s="879">
        <f t="shared" ref="M1298:M1361" si="370">IF(L1298=0,0,ROUND(J1298,2))</f>
        <v>0</v>
      </c>
      <c r="N1298" s="868">
        <f t="shared" ref="N1298:N1361" si="371">IF(ISBLANK(L1298),0,ROUND(L1298*M1298,2))</f>
        <v>0</v>
      </c>
      <c r="O1298" s="880"/>
      <c r="Q1298" s="317" t="str">
        <f t="shared" ref="Q1298:Q1361" si="372">IF(P1298="X","x",IF(P1298="xx","x",IF(P1298="xy","x",IF(P1298="y","x",IF(OR(N1298&gt;0,N1298&gt;0),"x","")))))</f>
        <v/>
      </c>
      <c r="R1298" s="317" t="str">
        <f t="shared" ref="R1298:R1361" si="373">IF(P1298="X","x",IF(P1298="y","x",IF(P1298="xx","x",IF(N1298&gt;0,"x",""))))</f>
        <v/>
      </c>
      <c r="S1298" s="317" t="str">
        <f t="shared" ref="S1298:S1361" si="374">IF(P1298="X","x",IF(N1298&gt;0,"x",""))</f>
        <v/>
      </c>
      <c r="V1298" s="314">
        <f>SUM(ORÇAMENTO!N1298)</f>
        <v>0</v>
      </c>
      <c r="W1298" s="315">
        <f t="shared" si="367"/>
        <v>0</v>
      </c>
    </row>
    <row r="1299" spans="1:23" ht="30" hidden="1" customHeight="1">
      <c r="A1299" s="63">
        <v>93665</v>
      </c>
      <c r="B1299" s="870">
        <v>93665</v>
      </c>
      <c r="C1299" s="871" t="s">
        <v>590</v>
      </c>
      <c r="D1299" s="881" t="s">
        <v>1213</v>
      </c>
      <c r="E1299" s="882"/>
      <c r="F1299" s="883"/>
      <c r="G1299" s="887"/>
      <c r="H1299" s="876">
        <v>70.98</v>
      </c>
      <c r="I1299" s="876">
        <f t="shared" si="368"/>
        <v>70.98</v>
      </c>
      <c r="J1299" s="877">
        <f t="shared" si="369"/>
        <v>86.75</v>
      </c>
      <c r="K1299" s="878" t="s">
        <v>1500</v>
      </c>
      <c r="L1299" s="879">
        <f>ROUND(SUM(ORÇAMENTO!L1299),2)</f>
        <v>0</v>
      </c>
      <c r="M1299" s="879">
        <f t="shared" si="370"/>
        <v>0</v>
      </c>
      <c r="N1299" s="868">
        <f t="shared" si="371"/>
        <v>0</v>
      </c>
      <c r="O1299" s="880"/>
      <c r="Q1299" s="317" t="str">
        <f t="shared" si="372"/>
        <v/>
      </c>
      <c r="R1299" s="317" t="str">
        <f t="shared" si="373"/>
        <v/>
      </c>
      <c r="S1299" s="317" t="str">
        <f t="shared" si="374"/>
        <v/>
      </c>
      <c r="V1299" s="314">
        <f>SUM(ORÇAMENTO!N1299)</f>
        <v>0</v>
      </c>
      <c r="W1299" s="315">
        <f t="shared" si="367"/>
        <v>0</v>
      </c>
    </row>
    <row r="1300" spans="1:23" ht="30" hidden="1" customHeight="1">
      <c r="A1300" s="63">
        <v>93666</v>
      </c>
      <c r="B1300" s="870">
        <v>93666</v>
      </c>
      <c r="C1300" s="871" t="s">
        <v>590</v>
      </c>
      <c r="D1300" s="881" t="s">
        <v>1214</v>
      </c>
      <c r="E1300" s="882"/>
      <c r="F1300" s="883"/>
      <c r="G1300" s="887"/>
      <c r="H1300" s="876">
        <v>77.989999999999995</v>
      </c>
      <c r="I1300" s="876">
        <f t="shared" si="368"/>
        <v>77.989999999999995</v>
      </c>
      <c r="J1300" s="877">
        <f t="shared" si="369"/>
        <v>95.32</v>
      </c>
      <c r="K1300" s="878" t="s">
        <v>1500</v>
      </c>
      <c r="L1300" s="879">
        <f>ROUND(SUM(ORÇAMENTO!L1300),2)</f>
        <v>0</v>
      </c>
      <c r="M1300" s="879">
        <f t="shared" si="370"/>
        <v>0</v>
      </c>
      <c r="N1300" s="868">
        <f t="shared" si="371"/>
        <v>0</v>
      </c>
      <c r="O1300" s="880"/>
      <c r="Q1300" s="317" t="str">
        <f t="shared" si="372"/>
        <v/>
      </c>
      <c r="R1300" s="317" t="str">
        <f t="shared" si="373"/>
        <v/>
      </c>
      <c r="S1300" s="317" t="str">
        <f t="shared" si="374"/>
        <v/>
      </c>
      <c r="V1300" s="314">
        <f>SUM(ORÇAMENTO!N1300)</f>
        <v>0</v>
      </c>
      <c r="W1300" s="315">
        <f t="shared" si="367"/>
        <v>0</v>
      </c>
    </row>
    <row r="1301" spans="1:23" ht="30" hidden="1" customHeight="1">
      <c r="A1301" s="63">
        <v>101892</v>
      </c>
      <c r="B1301" s="870">
        <v>101892</v>
      </c>
      <c r="C1301" s="871" t="s">
        <v>590</v>
      </c>
      <c r="D1301" s="881" t="s">
        <v>1215</v>
      </c>
      <c r="E1301" s="882"/>
      <c r="F1301" s="883"/>
      <c r="G1301" s="887"/>
      <c r="H1301" s="876">
        <v>74.239999999999995</v>
      </c>
      <c r="I1301" s="876">
        <f t="shared" si="368"/>
        <v>74.239999999999995</v>
      </c>
      <c r="J1301" s="877">
        <f t="shared" si="369"/>
        <v>90.74</v>
      </c>
      <c r="K1301" s="878" t="s">
        <v>1500</v>
      </c>
      <c r="L1301" s="879">
        <f>ROUND(SUM(ORÇAMENTO!L1301),2)</f>
        <v>0</v>
      </c>
      <c r="M1301" s="879">
        <f t="shared" si="370"/>
        <v>0</v>
      </c>
      <c r="N1301" s="868">
        <f t="shared" si="371"/>
        <v>0</v>
      </c>
      <c r="O1301" s="880"/>
      <c r="Q1301" s="317" t="str">
        <f t="shared" si="372"/>
        <v/>
      </c>
      <c r="R1301" s="317" t="str">
        <f t="shared" si="373"/>
        <v/>
      </c>
      <c r="S1301" s="317" t="str">
        <f t="shared" si="374"/>
        <v/>
      </c>
      <c r="V1301" s="314">
        <f>SUM(ORÇAMENTO!N1301)</f>
        <v>0</v>
      </c>
      <c r="W1301" s="315">
        <f t="shared" ref="W1301:W1364" si="375">N1301-V1301</f>
        <v>0</v>
      </c>
    </row>
    <row r="1302" spans="1:23" ht="30" hidden="1" customHeight="1">
      <c r="A1302" s="63">
        <v>93667</v>
      </c>
      <c r="B1302" s="870">
        <v>93667</v>
      </c>
      <c r="C1302" s="871" t="s">
        <v>590</v>
      </c>
      <c r="D1302" s="881" t="s">
        <v>1216</v>
      </c>
      <c r="E1302" s="882"/>
      <c r="F1302" s="883"/>
      <c r="G1302" s="887"/>
      <c r="H1302" s="876">
        <v>73.459999999999994</v>
      </c>
      <c r="I1302" s="876">
        <f t="shared" si="368"/>
        <v>73.459999999999994</v>
      </c>
      <c r="J1302" s="877">
        <f t="shared" si="369"/>
        <v>89.78</v>
      </c>
      <c r="K1302" s="878" t="s">
        <v>1500</v>
      </c>
      <c r="L1302" s="879">
        <f>ROUND(SUM(ORÇAMENTO!L1302),2)</f>
        <v>0</v>
      </c>
      <c r="M1302" s="879">
        <f t="shared" si="370"/>
        <v>0</v>
      </c>
      <c r="N1302" s="868">
        <f t="shared" si="371"/>
        <v>0</v>
      </c>
      <c r="O1302" s="880"/>
      <c r="Q1302" s="317" t="str">
        <f t="shared" si="372"/>
        <v/>
      </c>
      <c r="R1302" s="317" t="str">
        <f t="shared" si="373"/>
        <v/>
      </c>
      <c r="S1302" s="317" t="str">
        <f t="shared" si="374"/>
        <v/>
      </c>
      <c r="V1302" s="314">
        <f>SUM(ORÇAMENTO!N1302)</f>
        <v>0</v>
      </c>
      <c r="W1302" s="315">
        <f t="shared" si="375"/>
        <v>0</v>
      </c>
    </row>
    <row r="1303" spans="1:23" ht="30" hidden="1" customHeight="1">
      <c r="A1303" s="63">
        <v>93668</v>
      </c>
      <c r="B1303" s="870">
        <v>93668</v>
      </c>
      <c r="C1303" s="871" t="s">
        <v>590</v>
      </c>
      <c r="D1303" s="881" t="s">
        <v>1217</v>
      </c>
      <c r="E1303" s="882"/>
      <c r="F1303" s="883"/>
      <c r="G1303" s="887"/>
      <c r="H1303" s="876">
        <v>75.7</v>
      </c>
      <c r="I1303" s="876">
        <f t="shared" si="368"/>
        <v>75.7</v>
      </c>
      <c r="J1303" s="877">
        <f t="shared" si="369"/>
        <v>92.52</v>
      </c>
      <c r="K1303" s="878" t="s">
        <v>1500</v>
      </c>
      <c r="L1303" s="879">
        <f>ROUND(SUM(ORÇAMENTO!L1303),2)</f>
        <v>0</v>
      </c>
      <c r="M1303" s="879">
        <f t="shared" si="370"/>
        <v>0</v>
      </c>
      <c r="N1303" s="868">
        <f t="shared" si="371"/>
        <v>0</v>
      </c>
      <c r="O1303" s="880"/>
      <c r="Q1303" s="317" t="str">
        <f t="shared" si="372"/>
        <v/>
      </c>
      <c r="R1303" s="317" t="str">
        <f t="shared" si="373"/>
        <v/>
      </c>
      <c r="S1303" s="317" t="str">
        <f t="shared" si="374"/>
        <v/>
      </c>
      <c r="V1303" s="314">
        <f>SUM(ORÇAMENTO!N1303)</f>
        <v>0</v>
      </c>
      <c r="W1303" s="315">
        <f t="shared" si="375"/>
        <v>0</v>
      </c>
    </row>
    <row r="1304" spans="1:23" ht="30" hidden="1" customHeight="1">
      <c r="A1304" s="63">
        <v>93669</v>
      </c>
      <c r="B1304" s="870">
        <v>93669</v>
      </c>
      <c r="C1304" s="871" t="s">
        <v>590</v>
      </c>
      <c r="D1304" s="881" t="s">
        <v>1218</v>
      </c>
      <c r="E1304" s="882"/>
      <c r="F1304" s="883"/>
      <c r="G1304" s="887"/>
      <c r="H1304" s="876">
        <v>79.84</v>
      </c>
      <c r="I1304" s="876">
        <f t="shared" si="368"/>
        <v>79.84</v>
      </c>
      <c r="J1304" s="877">
        <f t="shared" si="369"/>
        <v>97.58</v>
      </c>
      <c r="K1304" s="878" t="s">
        <v>1500</v>
      </c>
      <c r="L1304" s="879">
        <f>ROUND(SUM(ORÇAMENTO!L1304),2)</f>
        <v>0</v>
      </c>
      <c r="M1304" s="879">
        <f t="shared" si="370"/>
        <v>0</v>
      </c>
      <c r="N1304" s="868">
        <f t="shared" si="371"/>
        <v>0</v>
      </c>
      <c r="O1304" s="880"/>
      <c r="Q1304" s="317" t="str">
        <f t="shared" si="372"/>
        <v/>
      </c>
      <c r="R1304" s="317" t="str">
        <f t="shared" si="373"/>
        <v/>
      </c>
      <c r="S1304" s="317" t="str">
        <f t="shared" si="374"/>
        <v/>
      </c>
      <c r="V1304" s="314">
        <f>SUM(ORÇAMENTO!N1304)</f>
        <v>0</v>
      </c>
      <c r="W1304" s="315">
        <f t="shared" si="375"/>
        <v>0</v>
      </c>
    </row>
    <row r="1305" spans="1:23" ht="30" hidden="1" customHeight="1">
      <c r="A1305" s="63">
        <v>93670</v>
      </c>
      <c r="B1305" s="870">
        <v>93670</v>
      </c>
      <c r="C1305" s="871" t="s">
        <v>590</v>
      </c>
      <c r="D1305" s="881" t="s">
        <v>1219</v>
      </c>
      <c r="E1305" s="882"/>
      <c r="F1305" s="883"/>
      <c r="G1305" s="887"/>
      <c r="H1305" s="876">
        <v>79.84</v>
      </c>
      <c r="I1305" s="876">
        <f t="shared" si="368"/>
        <v>79.84</v>
      </c>
      <c r="J1305" s="877">
        <f t="shared" si="369"/>
        <v>97.58</v>
      </c>
      <c r="K1305" s="878" t="s">
        <v>1500</v>
      </c>
      <c r="L1305" s="879">
        <f>ROUND(SUM(ORÇAMENTO!L1305),2)</f>
        <v>0</v>
      </c>
      <c r="M1305" s="879">
        <f t="shared" si="370"/>
        <v>0</v>
      </c>
      <c r="N1305" s="868">
        <f t="shared" si="371"/>
        <v>0</v>
      </c>
      <c r="O1305" s="880"/>
      <c r="Q1305" s="317" t="str">
        <f t="shared" si="372"/>
        <v/>
      </c>
      <c r="R1305" s="317" t="str">
        <f t="shared" si="373"/>
        <v/>
      </c>
      <c r="S1305" s="317" t="str">
        <f t="shared" si="374"/>
        <v/>
      </c>
      <c r="V1305" s="314">
        <f>SUM(ORÇAMENTO!N1305)</f>
        <v>0</v>
      </c>
      <c r="W1305" s="315">
        <f t="shared" si="375"/>
        <v>0</v>
      </c>
    </row>
    <row r="1306" spans="1:23" ht="30" hidden="1" customHeight="1">
      <c r="A1306" s="63">
        <v>93671</v>
      </c>
      <c r="B1306" s="870">
        <v>93671</v>
      </c>
      <c r="C1306" s="871" t="s">
        <v>590</v>
      </c>
      <c r="D1306" s="881" t="s">
        <v>1220</v>
      </c>
      <c r="E1306" s="882"/>
      <c r="F1306" s="883"/>
      <c r="G1306" s="887"/>
      <c r="H1306" s="876">
        <v>84.94</v>
      </c>
      <c r="I1306" s="876">
        <f t="shared" si="368"/>
        <v>84.94</v>
      </c>
      <c r="J1306" s="877">
        <f t="shared" si="369"/>
        <v>103.81</v>
      </c>
      <c r="K1306" s="878" t="s">
        <v>1500</v>
      </c>
      <c r="L1306" s="879">
        <f>ROUND(SUM(ORÇAMENTO!L1306),2)</f>
        <v>0</v>
      </c>
      <c r="M1306" s="879">
        <f t="shared" si="370"/>
        <v>0</v>
      </c>
      <c r="N1306" s="868">
        <f t="shared" si="371"/>
        <v>0</v>
      </c>
      <c r="O1306" s="880"/>
      <c r="Q1306" s="317" t="str">
        <f t="shared" si="372"/>
        <v/>
      </c>
      <c r="R1306" s="317" t="str">
        <f t="shared" si="373"/>
        <v/>
      </c>
      <c r="S1306" s="317" t="str">
        <f t="shared" si="374"/>
        <v/>
      </c>
      <c r="V1306" s="314">
        <f>SUM(ORÇAMENTO!N1306)</f>
        <v>0</v>
      </c>
      <c r="W1306" s="315">
        <f t="shared" si="375"/>
        <v>0</v>
      </c>
    </row>
    <row r="1307" spans="1:23" ht="30" hidden="1" customHeight="1">
      <c r="A1307" s="63">
        <v>93672</v>
      </c>
      <c r="B1307" s="870">
        <v>93672</v>
      </c>
      <c r="C1307" s="871" t="s">
        <v>590</v>
      </c>
      <c r="D1307" s="881" t="s">
        <v>1221</v>
      </c>
      <c r="E1307" s="882"/>
      <c r="F1307" s="883"/>
      <c r="G1307" s="887"/>
      <c r="H1307" s="876">
        <v>93.21</v>
      </c>
      <c r="I1307" s="876">
        <f t="shared" si="368"/>
        <v>93.21</v>
      </c>
      <c r="J1307" s="877">
        <f t="shared" si="369"/>
        <v>113.92</v>
      </c>
      <c r="K1307" s="878" t="s">
        <v>1500</v>
      </c>
      <c r="L1307" s="879">
        <f>ROUND(SUM(ORÇAMENTO!L1307),2)</f>
        <v>0</v>
      </c>
      <c r="M1307" s="879">
        <f t="shared" si="370"/>
        <v>0</v>
      </c>
      <c r="N1307" s="868">
        <f t="shared" si="371"/>
        <v>0</v>
      </c>
      <c r="O1307" s="880"/>
      <c r="Q1307" s="317" t="str">
        <f t="shared" si="372"/>
        <v/>
      </c>
      <c r="R1307" s="317" t="str">
        <f t="shared" si="373"/>
        <v/>
      </c>
      <c r="S1307" s="317" t="str">
        <f t="shared" si="374"/>
        <v/>
      </c>
      <c r="V1307" s="314">
        <f>SUM(ORÇAMENTO!N1307)</f>
        <v>0</v>
      </c>
      <c r="W1307" s="315">
        <f t="shared" si="375"/>
        <v>0</v>
      </c>
    </row>
    <row r="1308" spans="1:23" ht="30" hidden="1" customHeight="1">
      <c r="A1308" s="63">
        <v>93673</v>
      </c>
      <c r="B1308" s="870">
        <v>93673</v>
      </c>
      <c r="C1308" s="871" t="s">
        <v>590</v>
      </c>
      <c r="D1308" s="881" t="s">
        <v>1222</v>
      </c>
      <c r="E1308" s="882"/>
      <c r="F1308" s="883"/>
      <c r="G1308" s="887"/>
      <c r="H1308" s="876">
        <v>103.75</v>
      </c>
      <c r="I1308" s="876">
        <f t="shared" si="368"/>
        <v>103.75</v>
      </c>
      <c r="J1308" s="877">
        <f t="shared" si="369"/>
        <v>126.8</v>
      </c>
      <c r="K1308" s="878" t="s">
        <v>1500</v>
      </c>
      <c r="L1308" s="879">
        <f>ROUND(SUM(ORÇAMENTO!L1308),2)</f>
        <v>0</v>
      </c>
      <c r="M1308" s="879">
        <f t="shared" si="370"/>
        <v>0</v>
      </c>
      <c r="N1308" s="868">
        <f t="shared" si="371"/>
        <v>0</v>
      </c>
      <c r="O1308" s="880"/>
      <c r="Q1308" s="317" t="str">
        <f t="shared" si="372"/>
        <v/>
      </c>
      <c r="R1308" s="317" t="str">
        <f t="shared" si="373"/>
        <v/>
      </c>
      <c r="S1308" s="317" t="str">
        <f t="shared" si="374"/>
        <v/>
      </c>
      <c r="V1308" s="314">
        <f>SUM(ORÇAMENTO!N1308)</f>
        <v>0</v>
      </c>
      <c r="W1308" s="315">
        <f t="shared" si="375"/>
        <v>0</v>
      </c>
    </row>
    <row r="1309" spans="1:23" ht="30" hidden="1" customHeight="1">
      <c r="A1309" s="63">
        <v>101893</v>
      </c>
      <c r="B1309" s="870">
        <v>101893</v>
      </c>
      <c r="C1309" s="871" t="s">
        <v>590</v>
      </c>
      <c r="D1309" s="881" t="s">
        <v>1223</v>
      </c>
      <c r="E1309" s="882"/>
      <c r="F1309" s="883"/>
      <c r="G1309" s="887"/>
      <c r="H1309" s="876">
        <v>95.19</v>
      </c>
      <c r="I1309" s="876">
        <f t="shared" si="368"/>
        <v>95.19</v>
      </c>
      <c r="J1309" s="877">
        <f t="shared" si="369"/>
        <v>116.34</v>
      </c>
      <c r="K1309" s="878" t="s">
        <v>1500</v>
      </c>
      <c r="L1309" s="879">
        <f>ROUND(SUM(ORÇAMENTO!L1309),2)</f>
        <v>0</v>
      </c>
      <c r="M1309" s="879">
        <f t="shared" si="370"/>
        <v>0</v>
      </c>
      <c r="N1309" s="868">
        <f t="shared" si="371"/>
        <v>0</v>
      </c>
      <c r="O1309" s="880"/>
      <c r="Q1309" s="317" t="str">
        <f t="shared" si="372"/>
        <v/>
      </c>
      <c r="R1309" s="317" t="str">
        <f t="shared" si="373"/>
        <v/>
      </c>
      <c r="S1309" s="317" t="str">
        <f t="shared" si="374"/>
        <v/>
      </c>
      <c r="V1309" s="314">
        <f>SUM(ORÇAMENTO!N1309)</f>
        <v>0</v>
      </c>
      <c r="W1309" s="315">
        <f t="shared" si="375"/>
        <v>0</v>
      </c>
    </row>
    <row r="1310" spans="1:23" ht="30" hidden="1" customHeight="1">
      <c r="A1310" s="63">
        <v>101894</v>
      </c>
      <c r="B1310" s="870">
        <v>101894</v>
      </c>
      <c r="C1310" s="871" t="s">
        <v>590</v>
      </c>
      <c r="D1310" s="881" t="s">
        <v>1224</v>
      </c>
      <c r="E1310" s="882"/>
      <c r="F1310" s="883"/>
      <c r="G1310" s="887"/>
      <c r="H1310" s="876">
        <v>166.69</v>
      </c>
      <c r="I1310" s="876">
        <f t="shared" si="368"/>
        <v>166.69</v>
      </c>
      <c r="J1310" s="877">
        <f t="shared" si="369"/>
        <v>203.73</v>
      </c>
      <c r="K1310" s="878" t="s">
        <v>1500</v>
      </c>
      <c r="L1310" s="879">
        <f>ROUND(SUM(ORÇAMENTO!L1310),2)</f>
        <v>0</v>
      </c>
      <c r="M1310" s="879">
        <f t="shared" si="370"/>
        <v>0</v>
      </c>
      <c r="N1310" s="868">
        <f t="shared" si="371"/>
        <v>0</v>
      </c>
      <c r="O1310" s="880"/>
      <c r="Q1310" s="317" t="str">
        <f t="shared" si="372"/>
        <v/>
      </c>
      <c r="R1310" s="317" t="str">
        <f t="shared" si="373"/>
        <v/>
      </c>
      <c r="S1310" s="317" t="str">
        <f t="shared" si="374"/>
        <v/>
      </c>
      <c r="V1310" s="314">
        <f>SUM(ORÇAMENTO!N1310)</f>
        <v>0</v>
      </c>
      <c r="W1310" s="315">
        <f t="shared" si="375"/>
        <v>0</v>
      </c>
    </row>
    <row r="1311" spans="1:23" ht="30" hidden="1" customHeight="1">
      <c r="A1311" s="63">
        <v>101663</v>
      </c>
      <c r="B1311" s="870">
        <v>101663</v>
      </c>
      <c r="C1311" s="871" t="s">
        <v>590</v>
      </c>
      <c r="D1311" s="881" t="s">
        <v>1225</v>
      </c>
      <c r="E1311" s="882"/>
      <c r="F1311" s="883"/>
      <c r="G1311" s="887"/>
      <c r="H1311" s="876">
        <v>29.2</v>
      </c>
      <c r="I1311" s="876">
        <f t="shared" si="368"/>
        <v>29.2</v>
      </c>
      <c r="J1311" s="877">
        <f t="shared" si="369"/>
        <v>35.69</v>
      </c>
      <c r="K1311" s="878" t="s">
        <v>1500</v>
      </c>
      <c r="L1311" s="879">
        <f>ROUND(SUM(ORÇAMENTO!L1311),2)</f>
        <v>0</v>
      </c>
      <c r="M1311" s="879">
        <f t="shared" si="370"/>
        <v>0</v>
      </c>
      <c r="N1311" s="868">
        <f t="shared" si="371"/>
        <v>0</v>
      </c>
      <c r="O1311" s="880"/>
      <c r="Q1311" s="317" t="str">
        <f t="shared" si="372"/>
        <v/>
      </c>
      <c r="R1311" s="317" t="str">
        <f t="shared" si="373"/>
        <v/>
      </c>
      <c r="S1311" s="317" t="str">
        <f t="shared" si="374"/>
        <v/>
      </c>
      <c r="V1311" s="314">
        <f>SUM(ORÇAMENTO!N1311)</f>
        <v>0</v>
      </c>
      <c r="W1311" s="315">
        <f t="shared" si="375"/>
        <v>0</v>
      </c>
    </row>
    <row r="1312" spans="1:23" ht="30" hidden="1" customHeight="1">
      <c r="A1312" s="63">
        <v>101664</v>
      </c>
      <c r="B1312" s="870">
        <v>101664</v>
      </c>
      <c r="C1312" s="871" t="s">
        <v>590</v>
      </c>
      <c r="D1312" s="881" t="s">
        <v>1226</v>
      </c>
      <c r="E1312" s="882"/>
      <c r="F1312" s="883"/>
      <c r="G1312" s="887"/>
      <c r="H1312" s="876">
        <v>30.24</v>
      </c>
      <c r="I1312" s="876">
        <f t="shared" si="368"/>
        <v>30.24</v>
      </c>
      <c r="J1312" s="877">
        <f t="shared" si="369"/>
        <v>36.96</v>
      </c>
      <c r="K1312" s="878" t="s">
        <v>1500</v>
      </c>
      <c r="L1312" s="879">
        <f>ROUND(SUM(ORÇAMENTO!L1312),2)</f>
        <v>0</v>
      </c>
      <c r="M1312" s="879">
        <f t="shared" si="370"/>
        <v>0</v>
      </c>
      <c r="N1312" s="868">
        <f t="shared" si="371"/>
        <v>0</v>
      </c>
      <c r="O1312" s="880"/>
      <c r="Q1312" s="317" t="str">
        <f t="shared" si="372"/>
        <v/>
      </c>
      <c r="R1312" s="317" t="str">
        <f t="shared" si="373"/>
        <v/>
      </c>
      <c r="S1312" s="317" t="str">
        <f t="shared" si="374"/>
        <v/>
      </c>
      <c r="V1312" s="314">
        <f>SUM(ORÇAMENTO!N1312)</f>
        <v>0</v>
      </c>
      <c r="W1312" s="315">
        <f t="shared" si="375"/>
        <v>0</v>
      </c>
    </row>
    <row r="1313" spans="1:23" ht="30" hidden="1" customHeight="1">
      <c r="A1313" s="63">
        <v>101665</v>
      </c>
      <c r="B1313" s="870">
        <v>101665</v>
      </c>
      <c r="C1313" s="871" t="s">
        <v>590</v>
      </c>
      <c r="D1313" s="881" t="s">
        <v>1227</v>
      </c>
      <c r="E1313" s="882"/>
      <c r="F1313" s="883"/>
      <c r="G1313" s="887"/>
      <c r="H1313" s="876">
        <v>34.729999999999997</v>
      </c>
      <c r="I1313" s="876">
        <f t="shared" si="368"/>
        <v>34.729999999999997</v>
      </c>
      <c r="J1313" s="877">
        <f t="shared" si="369"/>
        <v>42.45</v>
      </c>
      <c r="K1313" s="878" t="s">
        <v>1500</v>
      </c>
      <c r="L1313" s="879">
        <f>ROUND(SUM(ORÇAMENTO!L1313),2)</f>
        <v>0</v>
      </c>
      <c r="M1313" s="879">
        <f t="shared" si="370"/>
        <v>0</v>
      </c>
      <c r="N1313" s="868">
        <f t="shared" si="371"/>
        <v>0</v>
      </c>
      <c r="O1313" s="880"/>
      <c r="Q1313" s="317" t="str">
        <f t="shared" si="372"/>
        <v/>
      </c>
      <c r="R1313" s="317" t="str">
        <f t="shared" si="373"/>
        <v/>
      </c>
      <c r="S1313" s="317" t="str">
        <f t="shared" si="374"/>
        <v/>
      </c>
      <c r="V1313" s="314">
        <f>SUM(ORÇAMENTO!N1313)</f>
        <v>0</v>
      </c>
      <c r="W1313" s="315">
        <f t="shared" si="375"/>
        <v>0</v>
      </c>
    </row>
    <row r="1314" spans="1:23" ht="30" hidden="1" customHeight="1">
      <c r="A1314" s="63">
        <v>101895</v>
      </c>
      <c r="B1314" s="870">
        <v>101895</v>
      </c>
      <c r="C1314" s="871" t="s">
        <v>590</v>
      </c>
      <c r="D1314" s="881" t="s">
        <v>1228</v>
      </c>
      <c r="E1314" s="882"/>
      <c r="F1314" s="883"/>
      <c r="G1314" s="887"/>
      <c r="H1314" s="876">
        <v>445.37</v>
      </c>
      <c r="I1314" s="876">
        <f t="shared" si="368"/>
        <v>445.37</v>
      </c>
      <c r="J1314" s="877">
        <f t="shared" si="369"/>
        <v>544.33000000000004</v>
      </c>
      <c r="K1314" s="878" t="s">
        <v>1500</v>
      </c>
      <c r="L1314" s="879">
        <f>ROUND(SUM(ORÇAMENTO!L1314),2)</f>
        <v>0</v>
      </c>
      <c r="M1314" s="879">
        <f t="shared" si="370"/>
        <v>0</v>
      </c>
      <c r="N1314" s="868">
        <f t="shared" si="371"/>
        <v>0</v>
      </c>
      <c r="O1314" s="880"/>
      <c r="Q1314" s="317" t="str">
        <f t="shared" si="372"/>
        <v/>
      </c>
      <c r="R1314" s="317" t="str">
        <f t="shared" si="373"/>
        <v/>
      </c>
      <c r="S1314" s="317" t="str">
        <f t="shared" si="374"/>
        <v/>
      </c>
      <c r="V1314" s="314">
        <f>SUM(ORÇAMENTO!N1314)</f>
        <v>0</v>
      </c>
      <c r="W1314" s="315">
        <f t="shared" si="375"/>
        <v>0</v>
      </c>
    </row>
    <row r="1315" spans="1:23" ht="30" hidden="1" customHeight="1">
      <c r="A1315" s="63">
        <v>101896</v>
      </c>
      <c r="B1315" s="870">
        <v>101896</v>
      </c>
      <c r="C1315" s="871" t="s">
        <v>590</v>
      </c>
      <c r="D1315" s="881" t="s">
        <v>1229</v>
      </c>
      <c r="E1315" s="882"/>
      <c r="F1315" s="883"/>
      <c r="G1315" s="887"/>
      <c r="H1315" s="876">
        <v>661.28</v>
      </c>
      <c r="I1315" s="876">
        <f t="shared" si="368"/>
        <v>661.28</v>
      </c>
      <c r="J1315" s="877">
        <f t="shared" si="369"/>
        <v>808.22</v>
      </c>
      <c r="K1315" s="878" t="s">
        <v>1500</v>
      </c>
      <c r="L1315" s="879">
        <f>ROUND(SUM(ORÇAMENTO!L1315),2)</f>
        <v>0</v>
      </c>
      <c r="M1315" s="879">
        <f t="shared" si="370"/>
        <v>0</v>
      </c>
      <c r="N1315" s="868">
        <f t="shared" si="371"/>
        <v>0</v>
      </c>
      <c r="O1315" s="880"/>
      <c r="Q1315" s="317" t="str">
        <f t="shared" si="372"/>
        <v/>
      </c>
      <c r="R1315" s="317" t="str">
        <f t="shared" si="373"/>
        <v/>
      </c>
      <c r="S1315" s="317" t="str">
        <f t="shared" si="374"/>
        <v/>
      </c>
      <c r="V1315" s="314">
        <f>SUM(ORÇAMENTO!N1315)</f>
        <v>0</v>
      </c>
      <c r="W1315" s="315">
        <f t="shared" si="375"/>
        <v>0</v>
      </c>
    </row>
    <row r="1316" spans="1:23" ht="30" hidden="1" customHeight="1">
      <c r="A1316" s="63">
        <v>101897</v>
      </c>
      <c r="B1316" s="870">
        <v>101897</v>
      </c>
      <c r="C1316" s="871" t="s">
        <v>590</v>
      </c>
      <c r="D1316" s="881" t="s">
        <v>1230</v>
      </c>
      <c r="E1316" s="882"/>
      <c r="F1316" s="883"/>
      <c r="G1316" s="887"/>
      <c r="H1316" s="876">
        <v>1048.0899999999999</v>
      </c>
      <c r="I1316" s="876">
        <f t="shared" si="368"/>
        <v>1048.0899999999999</v>
      </c>
      <c r="J1316" s="877">
        <f t="shared" si="369"/>
        <v>1280.98</v>
      </c>
      <c r="K1316" s="878" t="s">
        <v>1500</v>
      </c>
      <c r="L1316" s="879">
        <f>ROUND(SUM(ORÇAMENTO!L1316),2)</f>
        <v>0</v>
      </c>
      <c r="M1316" s="879">
        <f t="shared" si="370"/>
        <v>0</v>
      </c>
      <c r="N1316" s="868">
        <f t="shared" si="371"/>
        <v>0</v>
      </c>
      <c r="O1316" s="880"/>
      <c r="Q1316" s="317" t="str">
        <f t="shared" si="372"/>
        <v/>
      </c>
      <c r="R1316" s="317" t="str">
        <f t="shared" si="373"/>
        <v/>
      </c>
      <c r="S1316" s="317" t="str">
        <f t="shared" si="374"/>
        <v/>
      </c>
      <c r="V1316" s="314">
        <f>SUM(ORÇAMENTO!N1316)</f>
        <v>0</v>
      </c>
      <c r="W1316" s="315">
        <f t="shared" si="375"/>
        <v>0</v>
      </c>
    </row>
    <row r="1317" spans="1:23" ht="30" hidden="1" customHeight="1">
      <c r="A1317" s="63">
        <v>101898</v>
      </c>
      <c r="B1317" s="870">
        <v>101898</v>
      </c>
      <c r="C1317" s="871" t="s">
        <v>590</v>
      </c>
      <c r="D1317" s="881" t="s">
        <v>1231</v>
      </c>
      <c r="E1317" s="882"/>
      <c r="F1317" s="883"/>
      <c r="G1317" s="887"/>
      <c r="H1317" s="876">
        <v>1398.72</v>
      </c>
      <c r="I1317" s="876">
        <f t="shared" si="368"/>
        <v>1398.72</v>
      </c>
      <c r="J1317" s="877">
        <f t="shared" si="369"/>
        <v>1709.52</v>
      </c>
      <c r="K1317" s="878" t="s">
        <v>1500</v>
      </c>
      <c r="L1317" s="879">
        <f>ROUND(SUM(ORÇAMENTO!L1317),2)</f>
        <v>0</v>
      </c>
      <c r="M1317" s="879">
        <f t="shared" si="370"/>
        <v>0</v>
      </c>
      <c r="N1317" s="868">
        <f t="shared" si="371"/>
        <v>0</v>
      </c>
      <c r="O1317" s="880"/>
      <c r="Q1317" s="317" t="str">
        <f t="shared" si="372"/>
        <v/>
      </c>
      <c r="R1317" s="317" t="str">
        <f t="shared" si="373"/>
        <v/>
      </c>
      <c r="S1317" s="317" t="str">
        <f t="shared" si="374"/>
        <v/>
      </c>
      <c r="V1317" s="314">
        <f>SUM(ORÇAMENTO!N1317)</f>
        <v>0</v>
      </c>
      <c r="W1317" s="315">
        <f t="shared" si="375"/>
        <v>0</v>
      </c>
    </row>
    <row r="1318" spans="1:23" ht="30" hidden="1" customHeight="1">
      <c r="A1318" s="63">
        <v>101899</v>
      </c>
      <c r="B1318" s="870">
        <v>101899</v>
      </c>
      <c r="C1318" s="871" t="s">
        <v>590</v>
      </c>
      <c r="D1318" s="881" t="s">
        <v>1232</v>
      </c>
      <c r="E1318" s="882"/>
      <c r="F1318" s="883"/>
      <c r="G1318" s="887"/>
      <c r="H1318" s="876">
        <v>2232.7399999999998</v>
      </c>
      <c r="I1318" s="876">
        <f t="shared" si="368"/>
        <v>2232.7399999999998</v>
      </c>
      <c r="J1318" s="877">
        <f t="shared" si="369"/>
        <v>2728.85</v>
      </c>
      <c r="K1318" s="878" t="s">
        <v>1500</v>
      </c>
      <c r="L1318" s="879">
        <f>ROUND(SUM(ORÇAMENTO!L1318),2)</f>
        <v>0</v>
      </c>
      <c r="M1318" s="879">
        <f t="shared" si="370"/>
        <v>0</v>
      </c>
      <c r="N1318" s="868">
        <f t="shared" si="371"/>
        <v>0</v>
      </c>
      <c r="O1318" s="880"/>
      <c r="Q1318" s="317" t="str">
        <f t="shared" si="372"/>
        <v/>
      </c>
      <c r="R1318" s="317" t="str">
        <f t="shared" si="373"/>
        <v/>
      </c>
      <c r="S1318" s="317" t="str">
        <f t="shared" si="374"/>
        <v/>
      </c>
      <c r="V1318" s="314">
        <f>SUM(ORÇAMENTO!N1318)</f>
        <v>0</v>
      </c>
      <c r="W1318" s="315">
        <f t="shared" si="375"/>
        <v>0</v>
      </c>
    </row>
    <row r="1319" spans="1:23" ht="30" hidden="1" customHeight="1">
      <c r="A1319" s="63">
        <v>101900</v>
      </c>
      <c r="B1319" s="870">
        <v>101900</v>
      </c>
      <c r="C1319" s="871" t="s">
        <v>590</v>
      </c>
      <c r="D1319" s="881" t="s">
        <v>1233</v>
      </c>
      <c r="E1319" s="882"/>
      <c r="F1319" s="883"/>
      <c r="G1319" s="887"/>
      <c r="H1319" s="876">
        <v>4648.41</v>
      </c>
      <c r="I1319" s="876">
        <f t="shared" si="368"/>
        <v>4648.41</v>
      </c>
      <c r="J1319" s="877">
        <f t="shared" si="369"/>
        <v>5681.29</v>
      </c>
      <c r="K1319" s="878" t="s">
        <v>1500</v>
      </c>
      <c r="L1319" s="879">
        <f>ROUND(SUM(ORÇAMENTO!L1319),2)</f>
        <v>0</v>
      </c>
      <c r="M1319" s="879">
        <f t="shared" si="370"/>
        <v>0</v>
      </c>
      <c r="N1319" s="868">
        <f t="shared" si="371"/>
        <v>0</v>
      </c>
      <c r="O1319" s="880"/>
      <c r="Q1319" s="317" t="str">
        <f t="shared" si="372"/>
        <v/>
      </c>
      <c r="R1319" s="317" t="str">
        <f t="shared" si="373"/>
        <v/>
      </c>
      <c r="S1319" s="317" t="str">
        <f t="shared" si="374"/>
        <v/>
      </c>
      <c r="V1319" s="314">
        <f>SUM(ORÇAMENTO!N1319)</f>
        <v>0</v>
      </c>
      <c r="W1319" s="315">
        <f t="shared" si="375"/>
        <v>0</v>
      </c>
    </row>
    <row r="1320" spans="1:23" ht="30" hidden="1" customHeight="1">
      <c r="A1320" s="63">
        <v>91952</v>
      </c>
      <c r="B1320" s="870">
        <v>91952</v>
      </c>
      <c r="C1320" s="871" t="s">
        <v>590</v>
      </c>
      <c r="D1320" s="881" t="s">
        <v>1234</v>
      </c>
      <c r="E1320" s="882"/>
      <c r="F1320" s="883"/>
      <c r="G1320" s="887"/>
      <c r="H1320" s="876">
        <v>21.5</v>
      </c>
      <c r="I1320" s="876">
        <f t="shared" si="368"/>
        <v>21.5</v>
      </c>
      <c r="J1320" s="877">
        <f t="shared" si="369"/>
        <v>26.28</v>
      </c>
      <c r="K1320" s="878" t="s">
        <v>1500</v>
      </c>
      <c r="L1320" s="879">
        <f>ROUND(SUM(ORÇAMENTO!L1320),2)</f>
        <v>0</v>
      </c>
      <c r="M1320" s="879">
        <f t="shared" si="370"/>
        <v>0</v>
      </c>
      <c r="N1320" s="868">
        <f t="shared" si="371"/>
        <v>0</v>
      </c>
      <c r="O1320" s="880"/>
      <c r="Q1320" s="317" t="str">
        <f t="shared" si="372"/>
        <v/>
      </c>
      <c r="R1320" s="317" t="str">
        <f t="shared" si="373"/>
        <v/>
      </c>
      <c r="S1320" s="317" t="str">
        <f t="shared" si="374"/>
        <v/>
      </c>
      <c r="V1320" s="314">
        <f>SUM(ORÇAMENTO!N1320)</f>
        <v>0</v>
      </c>
      <c r="W1320" s="315">
        <f t="shared" si="375"/>
        <v>0</v>
      </c>
    </row>
    <row r="1321" spans="1:23" ht="30" hidden="1" customHeight="1">
      <c r="A1321" s="63">
        <v>91953</v>
      </c>
      <c r="B1321" s="870">
        <v>91953</v>
      </c>
      <c r="C1321" s="871" t="s">
        <v>590</v>
      </c>
      <c r="D1321" s="881" t="s">
        <v>1235</v>
      </c>
      <c r="E1321" s="882"/>
      <c r="F1321" s="883"/>
      <c r="G1321" s="887"/>
      <c r="H1321" s="876">
        <v>30.73</v>
      </c>
      <c r="I1321" s="876">
        <f t="shared" si="368"/>
        <v>30.73</v>
      </c>
      <c r="J1321" s="877">
        <f t="shared" si="369"/>
        <v>37.56</v>
      </c>
      <c r="K1321" s="878" t="s">
        <v>1500</v>
      </c>
      <c r="L1321" s="879">
        <f>ROUND(SUM(ORÇAMENTO!L1321),2)</f>
        <v>0</v>
      </c>
      <c r="M1321" s="879">
        <f t="shared" si="370"/>
        <v>0</v>
      </c>
      <c r="N1321" s="868">
        <f t="shared" si="371"/>
        <v>0</v>
      </c>
      <c r="O1321" s="880"/>
      <c r="Q1321" s="317" t="str">
        <f t="shared" si="372"/>
        <v/>
      </c>
      <c r="R1321" s="317" t="str">
        <f t="shared" si="373"/>
        <v/>
      </c>
      <c r="S1321" s="317" t="str">
        <f t="shared" si="374"/>
        <v/>
      </c>
      <c r="V1321" s="314">
        <f>SUM(ORÇAMENTO!N1321)</f>
        <v>0</v>
      </c>
      <c r="W1321" s="315">
        <f t="shared" si="375"/>
        <v>0</v>
      </c>
    </row>
    <row r="1322" spans="1:23" ht="30" hidden="1" customHeight="1">
      <c r="A1322" s="63">
        <v>91956</v>
      </c>
      <c r="B1322" s="870">
        <v>91956</v>
      </c>
      <c r="C1322" s="871" t="s">
        <v>590</v>
      </c>
      <c r="D1322" s="881" t="s">
        <v>1236</v>
      </c>
      <c r="E1322" s="882"/>
      <c r="F1322" s="883"/>
      <c r="G1322" s="887"/>
      <c r="H1322" s="876">
        <v>46.76</v>
      </c>
      <c r="I1322" s="876">
        <f t="shared" si="368"/>
        <v>46.76</v>
      </c>
      <c r="J1322" s="877">
        <f t="shared" si="369"/>
        <v>57.15</v>
      </c>
      <c r="K1322" s="878" t="s">
        <v>1500</v>
      </c>
      <c r="L1322" s="879">
        <f>ROUND(SUM(ORÇAMENTO!L1322),2)</f>
        <v>0</v>
      </c>
      <c r="M1322" s="879">
        <f t="shared" si="370"/>
        <v>0</v>
      </c>
      <c r="N1322" s="868">
        <f t="shared" si="371"/>
        <v>0</v>
      </c>
      <c r="O1322" s="880"/>
      <c r="Q1322" s="317" t="str">
        <f t="shared" si="372"/>
        <v/>
      </c>
      <c r="R1322" s="317" t="str">
        <f t="shared" si="373"/>
        <v/>
      </c>
      <c r="S1322" s="317" t="str">
        <f t="shared" si="374"/>
        <v/>
      </c>
      <c r="V1322" s="314">
        <f>SUM(ORÇAMENTO!N1322)</f>
        <v>0</v>
      </c>
      <c r="W1322" s="315">
        <f t="shared" si="375"/>
        <v>0</v>
      </c>
    </row>
    <row r="1323" spans="1:23" ht="30" hidden="1" customHeight="1">
      <c r="A1323" s="63">
        <v>91957</v>
      </c>
      <c r="B1323" s="870">
        <v>91957</v>
      </c>
      <c r="C1323" s="871" t="s">
        <v>590</v>
      </c>
      <c r="D1323" s="881" t="s">
        <v>1237</v>
      </c>
      <c r="E1323" s="882"/>
      <c r="F1323" s="883"/>
      <c r="G1323" s="887"/>
      <c r="H1323" s="876">
        <v>55.99</v>
      </c>
      <c r="I1323" s="876">
        <f t="shared" si="368"/>
        <v>55.99</v>
      </c>
      <c r="J1323" s="877">
        <f t="shared" si="369"/>
        <v>68.430000000000007</v>
      </c>
      <c r="K1323" s="878" t="s">
        <v>1500</v>
      </c>
      <c r="L1323" s="879">
        <f>ROUND(SUM(ORÇAMENTO!L1323),2)</f>
        <v>0</v>
      </c>
      <c r="M1323" s="879">
        <f t="shared" si="370"/>
        <v>0</v>
      </c>
      <c r="N1323" s="868">
        <f t="shared" si="371"/>
        <v>0</v>
      </c>
      <c r="O1323" s="880"/>
      <c r="Q1323" s="317" t="str">
        <f t="shared" si="372"/>
        <v/>
      </c>
      <c r="R1323" s="317" t="str">
        <f t="shared" si="373"/>
        <v/>
      </c>
      <c r="S1323" s="317" t="str">
        <f t="shared" si="374"/>
        <v/>
      </c>
      <c r="V1323" s="314">
        <f>SUM(ORÇAMENTO!N1323)</f>
        <v>0</v>
      </c>
      <c r="W1323" s="315">
        <f t="shared" si="375"/>
        <v>0</v>
      </c>
    </row>
    <row r="1324" spans="1:23" ht="30" hidden="1" customHeight="1">
      <c r="A1324" s="63">
        <v>91958</v>
      </c>
      <c r="B1324" s="870">
        <v>91958</v>
      </c>
      <c r="C1324" s="871" t="s">
        <v>590</v>
      </c>
      <c r="D1324" s="881" t="s">
        <v>1238</v>
      </c>
      <c r="E1324" s="882"/>
      <c r="F1324" s="883"/>
      <c r="G1324" s="887"/>
      <c r="H1324" s="876">
        <v>39.42</v>
      </c>
      <c r="I1324" s="876">
        <f t="shared" si="368"/>
        <v>39.42</v>
      </c>
      <c r="J1324" s="877">
        <f t="shared" si="369"/>
        <v>48.18</v>
      </c>
      <c r="K1324" s="878" t="s">
        <v>1500</v>
      </c>
      <c r="L1324" s="879">
        <f>ROUND(SUM(ORÇAMENTO!L1324),2)</f>
        <v>0</v>
      </c>
      <c r="M1324" s="879">
        <f t="shared" si="370"/>
        <v>0</v>
      </c>
      <c r="N1324" s="868">
        <f t="shared" si="371"/>
        <v>0</v>
      </c>
      <c r="O1324" s="880"/>
      <c r="Q1324" s="317" t="str">
        <f t="shared" si="372"/>
        <v/>
      </c>
      <c r="R1324" s="317" t="str">
        <f t="shared" si="373"/>
        <v/>
      </c>
      <c r="S1324" s="317" t="str">
        <f t="shared" si="374"/>
        <v/>
      </c>
      <c r="V1324" s="314">
        <f>SUM(ORÇAMENTO!N1324)</f>
        <v>0</v>
      </c>
      <c r="W1324" s="315">
        <f t="shared" si="375"/>
        <v>0</v>
      </c>
    </row>
    <row r="1325" spans="1:23" ht="30" hidden="1" customHeight="1">
      <c r="A1325" s="63">
        <v>91959</v>
      </c>
      <c r="B1325" s="870">
        <v>91959</v>
      </c>
      <c r="C1325" s="871" t="s">
        <v>590</v>
      </c>
      <c r="D1325" s="881" t="s">
        <v>1239</v>
      </c>
      <c r="E1325" s="882"/>
      <c r="F1325" s="883"/>
      <c r="G1325" s="887"/>
      <c r="H1325" s="876">
        <v>48.65</v>
      </c>
      <c r="I1325" s="876">
        <f t="shared" si="368"/>
        <v>48.65</v>
      </c>
      <c r="J1325" s="877">
        <f t="shared" si="369"/>
        <v>59.46</v>
      </c>
      <c r="K1325" s="878" t="s">
        <v>1500</v>
      </c>
      <c r="L1325" s="879">
        <f>ROUND(SUM(ORÇAMENTO!L1325),2)</f>
        <v>0</v>
      </c>
      <c r="M1325" s="879">
        <f t="shared" si="370"/>
        <v>0</v>
      </c>
      <c r="N1325" s="868">
        <f t="shared" si="371"/>
        <v>0</v>
      </c>
      <c r="O1325" s="880"/>
      <c r="Q1325" s="317" t="str">
        <f t="shared" si="372"/>
        <v/>
      </c>
      <c r="R1325" s="317" t="str">
        <f t="shared" si="373"/>
        <v/>
      </c>
      <c r="S1325" s="317" t="str">
        <f t="shared" si="374"/>
        <v/>
      </c>
      <c r="V1325" s="314">
        <f>SUM(ORÇAMENTO!N1325)</f>
        <v>0</v>
      </c>
      <c r="W1325" s="315">
        <f t="shared" si="375"/>
        <v>0</v>
      </c>
    </row>
    <row r="1326" spans="1:23" ht="30" hidden="1" customHeight="1">
      <c r="A1326" s="63">
        <v>91962</v>
      </c>
      <c r="B1326" s="870">
        <v>91962</v>
      </c>
      <c r="C1326" s="871" t="s">
        <v>590</v>
      </c>
      <c r="D1326" s="881" t="s">
        <v>1240</v>
      </c>
      <c r="E1326" s="882"/>
      <c r="F1326" s="883"/>
      <c r="G1326" s="887"/>
      <c r="H1326" s="876">
        <v>72.069999999999993</v>
      </c>
      <c r="I1326" s="876">
        <f t="shared" si="368"/>
        <v>72.069999999999993</v>
      </c>
      <c r="J1326" s="877">
        <f t="shared" si="369"/>
        <v>88.08</v>
      </c>
      <c r="K1326" s="878" t="s">
        <v>1500</v>
      </c>
      <c r="L1326" s="879">
        <f>ROUND(SUM(ORÇAMENTO!L1326),2)</f>
        <v>0</v>
      </c>
      <c r="M1326" s="879">
        <f t="shared" si="370"/>
        <v>0</v>
      </c>
      <c r="N1326" s="868">
        <f t="shared" si="371"/>
        <v>0</v>
      </c>
      <c r="O1326" s="880"/>
      <c r="Q1326" s="317" t="str">
        <f t="shared" si="372"/>
        <v/>
      </c>
      <c r="R1326" s="317" t="str">
        <f t="shared" si="373"/>
        <v/>
      </c>
      <c r="S1326" s="317" t="str">
        <f t="shared" si="374"/>
        <v/>
      </c>
      <c r="V1326" s="314">
        <f>SUM(ORÇAMENTO!N1326)</f>
        <v>0</v>
      </c>
      <c r="W1326" s="315">
        <f t="shared" si="375"/>
        <v>0</v>
      </c>
    </row>
    <row r="1327" spans="1:23" ht="30" hidden="1" customHeight="1">
      <c r="A1327" s="63">
        <v>91963</v>
      </c>
      <c r="B1327" s="870">
        <v>91963</v>
      </c>
      <c r="C1327" s="871" t="s">
        <v>590</v>
      </c>
      <c r="D1327" s="881" t="s">
        <v>1241</v>
      </c>
      <c r="E1327" s="882"/>
      <c r="F1327" s="883"/>
      <c r="G1327" s="887"/>
      <c r="H1327" s="876">
        <v>81.3</v>
      </c>
      <c r="I1327" s="876">
        <f t="shared" si="368"/>
        <v>81.3</v>
      </c>
      <c r="J1327" s="877">
        <f t="shared" si="369"/>
        <v>99.36</v>
      </c>
      <c r="K1327" s="878" t="s">
        <v>1500</v>
      </c>
      <c r="L1327" s="879">
        <f>ROUND(SUM(ORÇAMENTO!L1327),2)</f>
        <v>0</v>
      </c>
      <c r="M1327" s="879">
        <f t="shared" si="370"/>
        <v>0</v>
      </c>
      <c r="N1327" s="868">
        <f t="shared" si="371"/>
        <v>0</v>
      </c>
      <c r="O1327" s="880"/>
      <c r="Q1327" s="317" t="str">
        <f t="shared" si="372"/>
        <v/>
      </c>
      <c r="R1327" s="317" t="str">
        <f t="shared" si="373"/>
        <v/>
      </c>
      <c r="S1327" s="317" t="str">
        <f t="shared" si="374"/>
        <v/>
      </c>
      <c r="V1327" s="314">
        <f>SUM(ORÇAMENTO!N1327)</f>
        <v>0</v>
      </c>
      <c r="W1327" s="315">
        <f t="shared" si="375"/>
        <v>0</v>
      </c>
    </row>
    <row r="1328" spans="1:23" ht="30" hidden="1" customHeight="1">
      <c r="A1328" s="63">
        <v>91964</v>
      </c>
      <c r="B1328" s="870">
        <v>91964</v>
      </c>
      <c r="C1328" s="871" t="s">
        <v>590</v>
      </c>
      <c r="D1328" s="881" t="s">
        <v>1242</v>
      </c>
      <c r="E1328" s="882"/>
      <c r="F1328" s="883"/>
      <c r="G1328" s="887"/>
      <c r="H1328" s="876">
        <v>64.66</v>
      </c>
      <c r="I1328" s="876">
        <f t="shared" si="368"/>
        <v>64.66</v>
      </c>
      <c r="J1328" s="877">
        <f t="shared" si="369"/>
        <v>79.03</v>
      </c>
      <c r="K1328" s="878" t="s">
        <v>1500</v>
      </c>
      <c r="L1328" s="879">
        <f>ROUND(SUM(ORÇAMENTO!L1328),2)</f>
        <v>0</v>
      </c>
      <c r="M1328" s="879">
        <f t="shared" si="370"/>
        <v>0</v>
      </c>
      <c r="N1328" s="868">
        <f t="shared" si="371"/>
        <v>0</v>
      </c>
      <c r="O1328" s="880"/>
      <c r="Q1328" s="317" t="str">
        <f t="shared" si="372"/>
        <v/>
      </c>
      <c r="R1328" s="317" t="str">
        <f t="shared" si="373"/>
        <v/>
      </c>
      <c r="S1328" s="317" t="str">
        <f t="shared" si="374"/>
        <v/>
      </c>
      <c r="V1328" s="314">
        <f>SUM(ORÇAMENTO!N1328)</f>
        <v>0</v>
      </c>
      <c r="W1328" s="315">
        <f t="shared" si="375"/>
        <v>0</v>
      </c>
    </row>
    <row r="1329" spans="1:23" ht="30" hidden="1" customHeight="1">
      <c r="A1329" s="63">
        <v>91965</v>
      </c>
      <c r="B1329" s="870">
        <v>91965</v>
      </c>
      <c r="C1329" s="871" t="s">
        <v>590</v>
      </c>
      <c r="D1329" s="881" t="s">
        <v>1243</v>
      </c>
      <c r="E1329" s="882"/>
      <c r="F1329" s="883"/>
      <c r="G1329" s="887"/>
      <c r="H1329" s="876">
        <v>73.89</v>
      </c>
      <c r="I1329" s="876">
        <f t="shared" si="368"/>
        <v>73.89</v>
      </c>
      <c r="J1329" s="877">
        <f t="shared" si="369"/>
        <v>90.31</v>
      </c>
      <c r="K1329" s="878" t="s">
        <v>1500</v>
      </c>
      <c r="L1329" s="879">
        <f>ROUND(SUM(ORÇAMENTO!L1329),2)</f>
        <v>0</v>
      </c>
      <c r="M1329" s="879">
        <f t="shared" si="370"/>
        <v>0</v>
      </c>
      <c r="N1329" s="868">
        <f t="shared" si="371"/>
        <v>0</v>
      </c>
      <c r="O1329" s="880"/>
      <c r="Q1329" s="317" t="str">
        <f t="shared" si="372"/>
        <v/>
      </c>
      <c r="R1329" s="317" t="str">
        <f t="shared" si="373"/>
        <v/>
      </c>
      <c r="S1329" s="317" t="str">
        <f t="shared" si="374"/>
        <v/>
      </c>
      <c r="V1329" s="314">
        <f>SUM(ORÇAMENTO!N1329)</f>
        <v>0</v>
      </c>
      <c r="W1329" s="315">
        <f t="shared" si="375"/>
        <v>0</v>
      </c>
    </row>
    <row r="1330" spans="1:23" ht="30" hidden="1" customHeight="1">
      <c r="A1330" s="63">
        <v>91966</v>
      </c>
      <c r="B1330" s="870">
        <v>91966</v>
      </c>
      <c r="C1330" s="871" t="s">
        <v>590</v>
      </c>
      <c r="D1330" s="881" t="s">
        <v>1244</v>
      </c>
      <c r="E1330" s="882"/>
      <c r="F1330" s="883"/>
      <c r="G1330" s="887"/>
      <c r="H1330" s="876">
        <v>57.32</v>
      </c>
      <c r="I1330" s="876">
        <f t="shared" si="368"/>
        <v>57.32</v>
      </c>
      <c r="J1330" s="877">
        <f t="shared" si="369"/>
        <v>70.06</v>
      </c>
      <c r="K1330" s="878" t="s">
        <v>1500</v>
      </c>
      <c r="L1330" s="879">
        <f>ROUND(SUM(ORÇAMENTO!L1330),2)</f>
        <v>0</v>
      </c>
      <c r="M1330" s="879">
        <f t="shared" si="370"/>
        <v>0</v>
      </c>
      <c r="N1330" s="868">
        <f t="shared" si="371"/>
        <v>0</v>
      </c>
      <c r="O1330" s="880"/>
      <c r="Q1330" s="317" t="str">
        <f t="shared" si="372"/>
        <v/>
      </c>
      <c r="R1330" s="317" t="str">
        <f t="shared" si="373"/>
        <v/>
      </c>
      <c r="S1330" s="317" t="str">
        <f t="shared" si="374"/>
        <v/>
      </c>
      <c r="V1330" s="314">
        <f>SUM(ORÇAMENTO!N1330)</f>
        <v>0</v>
      </c>
      <c r="W1330" s="315">
        <f t="shared" si="375"/>
        <v>0</v>
      </c>
    </row>
    <row r="1331" spans="1:23" ht="30" hidden="1" customHeight="1">
      <c r="A1331" s="63">
        <v>91967</v>
      </c>
      <c r="B1331" s="870">
        <v>91967</v>
      </c>
      <c r="C1331" s="871" t="s">
        <v>590</v>
      </c>
      <c r="D1331" s="881" t="s">
        <v>1245</v>
      </c>
      <c r="E1331" s="882"/>
      <c r="F1331" s="883"/>
      <c r="G1331" s="887"/>
      <c r="H1331" s="876">
        <v>66.55</v>
      </c>
      <c r="I1331" s="876">
        <f t="shared" si="368"/>
        <v>66.55</v>
      </c>
      <c r="J1331" s="877">
        <f t="shared" si="369"/>
        <v>81.34</v>
      </c>
      <c r="K1331" s="878" t="s">
        <v>1500</v>
      </c>
      <c r="L1331" s="879">
        <f>ROUND(SUM(ORÇAMENTO!L1331),2)</f>
        <v>0</v>
      </c>
      <c r="M1331" s="879">
        <f t="shared" si="370"/>
        <v>0</v>
      </c>
      <c r="N1331" s="868">
        <f t="shared" si="371"/>
        <v>0</v>
      </c>
      <c r="O1331" s="880"/>
      <c r="Q1331" s="317" t="str">
        <f t="shared" si="372"/>
        <v/>
      </c>
      <c r="R1331" s="317" t="str">
        <f t="shared" si="373"/>
        <v/>
      </c>
      <c r="S1331" s="317" t="str">
        <f t="shared" si="374"/>
        <v/>
      </c>
      <c r="V1331" s="314">
        <f>SUM(ORÇAMENTO!N1331)</f>
        <v>0</v>
      </c>
      <c r="W1331" s="315">
        <f t="shared" si="375"/>
        <v>0</v>
      </c>
    </row>
    <row r="1332" spans="1:23" ht="30" hidden="1" customHeight="1">
      <c r="A1332" s="63">
        <v>91970</v>
      </c>
      <c r="B1332" s="870">
        <v>91970</v>
      </c>
      <c r="C1332" s="871" t="s">
        <v>590</v>
      </c>
      <c r="D1332" s="881" t="s">
        <v>1246</v>
      </c>
      <c r="E1332" s="882"/>
      <c r="F1332" s="883"/>
      <c r="G1332" s="887"/>
      <c r="H1332" s="876">
        <v>83</v>
      </c>
      <c r="I1332" s="876">
        <f t="shared" si="368"/>
        <v>83</v>
      </c>
      <c r="J1332" s="877">
        <f t="shared" si="369"/>
        <v>101.44</v>
      </c>
      <c r="K1332" s="878" t="s">
        <v>1500</v>
      </c>
      <c r="L1332" s="879">
        <f>ROUND(SUM(ORÇAMENTO!L1332),2)</f>
        <v>0</v>
      </c>
      <c r="M1332" s="879">
        <f t="shared" si="370"/>
        <v>0</v>
      </c>
      <c r="N1332" s="868">
        <f t="shared" si="371"/>
        <v>0</v>
      </c>
      <c r="O1332" s="880"/>
      <c r="Q1332" s="317" t="str">
        <f t="shared" si="372"/>
        <v/>
      </c>
      <c r="R1332" s="317" t="str">
        <f t="shared" si="373"/>
        <v/>
      </c>
      <c r="S1332" s="317" t="str">
        <f t="shared" si="374"/>
        <v/>
      </c>
      <c r="V1332" s="314">
        <f>SUM(ORÇAMENTO!N1332)</f>
        <v>0</v>
      </c>
      <c r="W1332" s="315">
        <f t="shared" si="375"/>
        <v>0</v>
      </c>
    </row>
    <row r="1333" spans="1:23" ht="30" hidden="1" customHeight="1">
      <c r="A1333" s="63">
        <v>91971</v>
      </c>
      <c r="B1333" s="870">
        <v>91971</v>
      </c>
      <c r="C1333" s="871" t="s">
        <v>590</v>
      </c>
      <c r="D1333" s="881" t="s">
        <v>1247</v>
      </c>
      <c r="E1333" s="882"/>
      <c r="F1333" s="883"/>
      <c r="G1333" s="887"/>
      <c r="H1333" s="876">
        <v>97.58</v>
      </c>
      <c r="I1333" s="876">
        <f t="shared" si="368"/>
        <v>97.58</v>
      </c>
      <c r="J1333" s="877">
        <f t="shared" si="369"/>
        <v>119.26</v>
      </c>
      <c r="K1333" s="878" t="s">
        <v>1500</v>
      </c>
      <c r="L1333" s="879">
        <f>ROUND(SUM(ORÇAMENTO!L1333),2)</f>
        <v>0</v>
      </c>
      <c r="M1333" s="879">
        <f t="shared" si="370"/>
        <v>0</v>
      </c>
      <c r="N1333" s="868">
        <f t="shared" si="371"/>
        <v>0</v>
      </c>
      <c r="O1333" s="880"/>
      <c r="Q1333" s="317" t="str">
        <f t="shared" si="372"/>
        <v/>
      </c>
      <c r="R1333" s="317" t="str">
        <f t="shared" si="373"/>
        <v/>
      </c>
      <c r="S1333" s="317" t="str">
        <f t="shared" si="374"/>
        <v/>
      </c>
      <c r="V1333" s="314">
        <f>SUM(ORÇAMENTO!N1333)</f>
        <v>0</v>
      </c>
      <c r="W1333" s="315">
        <f t="shared" si="375"/>
        <v>0</v>
      </c>
    </row>
    <row r="1334" spans="1:23" ht="30" hidden="1" customHeight="1">
      <c r="A1334" s="63">
        <v>91972</v>
      </c>
      <c r="B1334" s="870">
        <v>91972</v>
      </c>
      <c r="C1334" s="871" t="s">
        <v>590</v>
      </c>
      <c r="D1334" s="881" t="s">
        <v>1248</v>
      </c>
      <c r="E1334" s="882"/>
      <c r="F1334" s="883"/>
      <c r="G1334" s="887"/>
      <c r="H1334" s="876">
        <v>90.4</v>
      </c>
      <c r="I1334" s="876">
        <f t="shared" si="368"/>
        <v>90.4</v>
      </c>
      <c r="J1334" s="877">
        <f t="shared" si="369"/>
        <v>110.49</v>
      </c>
      <c r="K1334" s="878" t="s">
        <v>1500</v>
      </c>
      <c r="L1334" s="879">
        <f>ROUND(SUM(ORÇAMENTO!L1334),2)</f>
        <v>0</v>
      </c>
      <c r="M1334" s="879">
        <f t="shared" si="370"/>
        <v>0</v>
      </c>
      <c r="N1334" s="868">
        <f t="shared" si="371"/>
        <v>0</v>
      </c>
      <c r="O1334" s="880"/>
      <c r="Q1334" s="317" t="str">
        <f t="shared" si="372"/>
        <v/>
      </c>
      <c r="R1334" s="317" t="str">
        <f t="shared" si="373"/>
        <v/>
      </c>
      <c r="S1334" s="317" t="str">
        <f t="shared" si="374"/>
        <v/>
      </c>
      <c r="V1334" s="314">
        <f>SUM(ORÇAMENTO!N1334)</f>
        <v>0</v>
      </c>
      <c r="W1334" s="315">
        <f t="shared" si="375"/>
        <v>0</v>
      </c>
    </row>
    <row r="1335" spans="1:23" ht="30" hidden="1" customHeight="1">
      <c r="A1335" s="63">
        <v>91973</v>
      </c>
      <c r="B1335" s="870">
        <v>91973</v>
      </c>
      <c r="C1335" s="871" t="s">
        <v>590</v>
      </c>
      <c r="D1335" s="881" t="s">
        <v>1249</v>
      </c>
      <c r="E1335" s="882"/>
      <c r="F1335" s="883"/>
      <c r="G1335" s="887"/>
      <c r="H1335" s="876">
        <v>104.98</v>
      </c>
      <c r="I1335" s="876">
        <f t="shared" si="368"/>
        <v>104.98</v>
      </c>
      <c r="J1335" s="877">
        <f t="shared" si="369"/>
        <v>128.31</v>
      </c>
      <c r="K1335" s="878" t="s">
        <v>1500</v>
      </c>
      <c r="L1335" s="879">
        <f>ROUND(SUM(ORÇAMENTO!L1335),2)</f>
        <v>0</v>
      </c>
      <c r="M1335" s="879">
        <f t="shared" si="370"/>
        <v>0</v>
      </c>
      <c r="N1335" s="868">
        <f t="shared" si="371"/>
        <v>0</v>
      </c>
      <c r="O1335" s="880"/>
      <c r="Q1335" s="317" t="str">
        <f t="shared" si="372"/>
        <v/>
      </c>
      <c r="R1335" s="317" t="str">
        <f t="shared" si="373"/>
        <v/>
      </c>
      <c r="S1335" s="317" t="str">
        <f t="shared" si="374"/>
        <v/>
      </c>
      <c r="V1335" s="314">
        <f>SUM(ORÇAMENTO!N1335)</f>
        <v>0</v>
      </c>
      <c r="W1335" s="315">
        <f t="shared" si="375"/>
        <v>0</v>
      </c>
    </row>
    <row r="1336" spans="1:23" ht="30" hidden="1" customHeight="1">
      <c r="A1336" s="63">
        <v>91974</v>
      </c>
      <c r="B1336" s="870">
        <v>91974</v>
      </c>
      <c r="C1336" s="871" t="s">
        <v>590</v>
      </c>
      <c r="D1336" s="881" t="s">
        <v>1250</v>
      </c>
      <c r="E1336" s="882"/>
      <c r="F1336" s="883"/>
      <c r="G1336" s="887"/>
      <c r="H1336" s="876">
        <v>75.599999999999994</v>
      </c>
      <c r="I1336" s="876">
        <f t="shared" si="368"/>
        <v>75.599999999999994</v>
      </c>
      <c r="J1336" s="877">
        <f t="shared" si="369"/>
        <v>92.4</v>
      </c>
      <c r="K1336" s="878" t="s">
        <v>1500</v>
      </c>
      <c r="L1336" s="879">
        <f>ROUND(SUM(ORÇAMENTO!L1336),2)</f>
        <v>0</v>
      </c>
      <c r="M1336" s="879">
        <f t="shared" si="370"/>
        <v>0</v>
      </c>
      <c r="N1336" s="868">
        <f t="shared" si="371"/>
        <v>0</v>
      </c>
      <c r="O1336" s="880"/>
      <c r="Q1336" s="317" t="str">
        <f t="shared" si="372"/>
        <v/>
      </c>
      <c r="R1336" s="317" t="str">
        <f t="shared" si="373"/>
        <v/>
      </c>
      <c r="S1336" s="317" t="str">
        <f t="shared" si="374"/>
        <v/>
      </c>
      <c r="V1336" s="314">
        <f>SUM(ORÇAMENTO!N1336)</f>
        <v>0</v>
      </c>
      <c r="W1336" s="315">
        <f t="shared" si="375"/>
        <v>0</v>
      </c>
    </row>
    <row r="1337" spans="1:23" ht="30" hidden="1" customHeight="1">
      <c r="A1337" s="63">
        <v>91975</v>
      </c>
      <c r="B1337" s="870">
        <v>91975</v>
      </c>
      <c r="C1337" s="871" t="s">
        <v>590</v>
      </c>
      <c r="D1337" s="881" t="s">
        <v>1251</v>
      </c>
      <c r="E1337" s="882"/>
      <c r="F1337" s="883"/>
      <c r="G1337" s="887"/>
      <c r="H1337" s="876">
        <v>90.18</v>
      </c>
      <c r="I1337" s="876">
        <f t="shared" si="368"/>
        <v>90.18</v>
      </c>
      <c r="J1337" s="877">
        <f t="shared" si="369"/>
        <v>110.22</v>
      </c>
      <c r="K1337" s="878" t="s">
        <v>1500</v>
      </c>
      <c r="L1337" s="879">
        <f>ROUND(SUM(ORÇAMENTO!L1337),2)</f>
        <v>0</v>
      </c>
      <c r="M1337" s="879">
        <f t="shared" si="370"/>
        <v>0</v>
      </c>
      <c r="N1337" s="868">
        <f t="shared" si="371"/>
        <v>0</v>
      </c>
      <c r="O1337" s="880"/>
      <c r="Q1337" s="317" t="str">
        <f t="shared" si="372"/>
        <v/>
      </c>
      <c r="R1337" s="317" t="str">
        <f t="shared" si="373"/>
        <v/>
      </c>
      <c r="S1337" s="317" t="str">
        <f t="shared" si="374"/>
        <v/>
      </c>
      <c r="V1337" s="314">
        <f>SUM(ORÇAMENTO!N1337)</f>
        <v>0</v>
      </c>
      <c r="W1337" s="315">
        <f t="shared" si="375"/>
        <v>0</v>
      </c>
    </row>
    <row r="1338" spans="1:23" ht="30" hidden="1" customHeight="1">
      <c r="A1338" s="63">
        <v>91976</v>
      </c>
      <c r="B1338" s="870">
        <v>91976</v>
      </c>
      <c r="C1338" s="871" t="s">
        <v>590</v>
      </c>
      <c r="D1338" s="881" t="s">
        <v>1252</v>
      </c>
      <c r="E1338" s="882"/>
      <c r="F1338" s="883"/>
      <c r="G1338" s="887"/>
      <c r="H1338" s="876">
        <v>111.54</v>
      </c>
      <c r="I1338" s="876">
        <f t="shared" si="368"/>
        <v>111.54</v>
      </c>
      <c r="J1338" s="877">
        <f t="shared" si="369"/>
        <v>136.32</v>
      </c>
      <c r="K1338" s="878" t="s">
        <v>1500</v>
      </c>
      <c r="L1338" s="879">
        <f>ROUND(SUM(ORÇAMENTO!L1338),2)</f>
        <v>0</v>
      </c>
      <c r="M1338" s="879">
        <f t="shared" si="370"/>
        <v>0</v>
      </c>
      <c r="N1338" s="868">
        <f t="shared" si="371"/>
        <v>0</v>
      </c>
      <c r="O1338" s="880"/>
      <c r="Q1338" s="317" t="str">
        <f t="shared" si="372"/>
        <v/>
      </c>
      <c r="R1338" s="317" t="str">
        <f t="shared" si="373"/>
        <v/>
      </c>
      <c r="S1338" s="317" t="str">
        <f t="shared" si="374"/>
        <v/>
      </c>
      <c r="V1338" s="314">
        <f>SUM(ORÇAMENTO!N1338)</f>
        <v>0</v>
      </c>
      <c r="W1338" s="315">
        <f t="shared" si="375"/>
        <v>0</v>
      </c>
    </row>
    <row r="1339" spans="1:23" ht="30" hidden="1" customHeight="1">
      <c r="A1339" s="63">
        <v>91977</v>
      </c>
      <c r="B1339" s="870">
        <v>91977</v>
      </c>
      <c r="C1339" s="871" t="s">
        <v>590</v>
      </c>
      <c r="D1339" s="881" t="s">
        <v>1253</v>
      </c>
      <c r="E1339" s="882"/>
      <c r="F1339" s="883"/>
      <c r="G1339" s="887"/>
      <c r="H1339" s="876">
        <v>126.12</v>
      </c>
      <c r="I1339" s="876">
        <f t="shared" si="368"/>
        <v>126.12</v>
      </c>
      <c r="J1339" s="877">
        <f t="shared" si="369"/>
        <v>154.13999999999999</v>
      </c>
      <c r="K1339" s="878" t="s">
        <v>1500</v>
      </c>
      <c r="L1339" s="879">
        <f>ROUND(SUM(ORÇAMENTO!L1339),2)</f>
        <v>0</v>
      </c>
      <c r="M1339" s="879">
        <f t="shared" si="370"/>
        <v>0</v>
      </c>
      <c r="N1339" s="868">
        <f t="shared" si="371"/>
        <v>0</v>
      </c>
      <c r="O1339" s="880"/>
      <c r="Q1339" s="317" t="str">
        <f t="shared" si="372"/>
        <v/>
      </c>
      <c r="R1339" s="317" t="str">
        <f t="shared" si="373"/>
        <v/>
      </c>
      <c r="S1339" s="317" t="str">
        <f t="shared" si="374"/>
        <v/>
      </c>
      <c r="V1339" s="314">
        <f>SUM(ORÇAMENTO!N1339)</f>
        <v>0</v>
      </c>
      <c r="W1339" s="315">
        <f t="shared" si="375"/>
        <v>0</v>
      </c>
    </row>
    <row r="1340" spans="1:23" ht="30" hidden="1" customHeight="1">
      <c r="A1340" s="63">
        <v>92022</v>
      </c>
      <c r="B1340" s="870">
        <v>92022</v>
      </c>
      <c r="C1340" s="871" t="s">
        <v>590</v>
      </c>
      <c r="D1340" s="881" t="s">
        <v>1254</v>
      </c>
      <c r="E1340" s="882"/>
      <c r="F1340" s="883"/>
      <c r="G1340" s="887"/>
      <c r="H1340" s="876">
        <v>45.44</v>
      </c>
      <c r="I1340" s="876">
        <f t="shared" si="368"/>
        <v>45.44</v>
      </c>
      <c r="J1340" s="877">
        <f t="shared" si="369"/>
        <v>55.54</v>
      </c>
      <c r="K1340" s="878" t="s">
        <v>1500</v>
      </c>
      <c r="L1340" s="879">
        <f>ROUND(SUM(ORÇAMENTO!L1340),2)</f>
        <v>0</v>
      </c>
      <c r="M1340" s="879">
        <f t="shared" si="370"/>
        <v>0</v>
      </c>
      <c r="N1340" s="868">
        <f t="shared" si="371"/>
        <v>0</v>
      </c>
      <c r="O1340" s="880"/>
      <c r="Q1340" s="317" t="str">
        <f t="shared" si="372"/>
        <v/>
      </c>
      <c r="R1340" s="317" t="str">
        <f t="shared" si="373"/>
        <v/>
      </c>
      <c r="S1340" s="317" t="str">
        <f t="shared" si="374"/>
        <v/>
      </c>
      <c r="V1340" s="314">
        <f>SUM(ORÇAMENTO!N1340)</f>
        <v>0</v>
      </c>
      <c r="W1340" s="315">
        <f t="shared" si="375"/>
        <v>0</v>
      </c>
    </row>
    <row r="1341" spans="1:23" ht="30" hidden="1" customHeight="1">
      <c r="A1341" s="63">
        <v>92023</v>
      </c>
      <c r="B1341" s="870">
        <v>92023</v>
      </c>
      <c r="C1341" s="871" t="s">
        <v>590</v>
      </c>
      <c r="D1341" s="881" t="s">
        <v>1255</v>
      </c>
      <c r="E1341" s="882"/>
      <c r="F1341" s="883"/>
      <c r="G1341" s="887"/>
      <c r="H1341" s="876">
        <v>54.67</v>
      </c>
      <c r="I1341" s="876">
        <f t="shared" si="368"/>
        <v>54.67</v>
      </c>
      <c r="J1341" s="877">
        <f t="shared" si="369"/>
        <v>66.819999999999993</v>
      </c>
      <c r="K1341" s="878" t="s">
        <v>1500</v>
      </c>
      <c r="L1341" s="879">
        <f>ROUND(SUM(ORÇAMENTO!L1341),2)</f>
        <v>0</v>
      </c>
      <c r="M1341" s="879">
        <f t="shared" si="370"/>
        <v>0</v>
      </c>
      <c r="N1341" s="868">
        <f t="shared" si="371"/>
        <v>0</v>
      </c>
      <c r="O1341" s="880"/>
      <c r="Q1341" s="317" t="str">
        <f t="shared" si="372"/>
        <v/>
      </c>
      <c r="R1341" s="317" t="str">
        <f t="shared" si="373"/>
        <v/>
      </c>
      <c r="S1341" s="317" t="str">
        <f t="shared" si="374"/>
        <v/>
      </c>
      <c r="V1341" s="314">
        <f>SUM(ORÇAMENTO!N1341)</f>
        <v>0</v>
      </c>
      <c r="W1341" s="315">
        <f t="shared" si="375"/>
        <v>0</v>
      </c>
    </row>
    <row r="1342" spans="1:23" ht="30" hidden="1" customHeight="1">
      <c r="A1342" s="63">
        <v>92024</v>
      </c>
      <c r="B1342" s="870">
        <v>92024</v>
      </c>
      <c r="C1342" s="871" t="s">
        <v>590</v>
      </c>
      <c r="D1342" s="881" t="s">
        <v>1256</v>
      </c>
      <c r="E1342" s="882"/>
      <c r="F1342" s="883"/>
      <c r="G1342" s="887"/>
      <c r="H1342" s="876">
        <v>69.430000000000007</v>
      </c>
      <c r="I1342" s="876">
        <f t="shared" si="368"/>
        <v>69.430000000000007</v>
      </c>
      <c r="J1342" s="877">
        <f t="shared" si="369"/>
        <v>84.86</v>
      </c>
      <c r="K1342" s="878" t="s">
        <v>1500</v>
      </c>
      <c r="L1342" s="879">
        <f>ROUND(SUM(ORÇAMENTO!L1342),2)</f>
        <v>0</v>
      </c>
      <c r="M1342" s="879">
        <f t="shared" si="370"/>
        <v>0</v>
      </c>
      <c r="N1342" s="868">
        <f t="shared" si="371"/>
        <v>0</v>
      </c>
      <c r="O1342" s="880"/>
      <c r="Q1342" s="317" t="str">
        <f t="shared" si="372"/>
        <v/>
      </c>
      <c r="R1342" s="317" t="str">
        <f t="shared" si="373"/>
        <v/>
      </c>
      <c r="S1342" s="317" t="str">
        <f t="shared" si="374"/>
        <v/>
      </c>
      <c r="V1342" s="314">
        <f>SUM(ORÇAMENTO!N1342)</f>
        <v>0</v>
      </c>
      <c r="W1342" s="315">
        <f t="shared" si="375"/>
        <v>0</v>
      </c>
    </row>
    <row r="1343" spans="1:23" ht="30" hidden="1" customHeight="1">
      <c r="A1343" s="63">
        <v>92025</v>
      </c>
      <c r="B1343" s="870">
        <v>92025</v>
      </c>
      <c r="C1343" s="871" t="s">
        <v>590</v>
      </c>
      <c r="D1343" s="881" t="s">
        <v>1257</v>
      </c>
      <c r="E1343" s="882"/>
      <c r="F1343" s="883"/>
      <c r="G1343" s="887"/>
      <c r="H1343" s="876">
        <v>78.66</v>
      </c>
      <c r="I1343" s="876">
        <f t="shared" si="368"/>
        <v>78.66</v>
      </c>
      <c r="J1343" s="877">
        <f t="shared" si="369"/>
        <v>96.14</v>
      </c>
      <c r="K1343" s="878" t="s">
        <v>1500</v>
      </c>
      <c r="L1343" s="879">
        <f>ROUND(SUM(ORÇAMENTO!L1343),2)</f>
        <v>0</v>
      </c>
      <c r="M1343" s="879">
        <f t="shared" si="370"/>
        <v>0</v>
      </c>
      <c r="N1343" s="868">
        <f t="shared" si="371"/>
        <v>0</v>
      </c>
      <c r="O1343" s="880"/>
      <c r="Q1343" s="317" t="str">
        <f t="shared" si="372"/>
        <v/>
      </c>
      <c r="R1343" s="317" t="str">
        <f t="shared" si="373"/>
        <v/>
      </c>
      <c r="S1343" s="317" t="str">
        <f t="shared" si="374"/>
        <v/>
      </c>
      <c r="V1343" s="314">
        <f>SUM(ORÇAMENTO!N1343)</f>
        <v>0</v>
      </c>
      <c r="W1343" s="315">
        <f t="shared" si="375"/>
        <v>0</v>
      </c>
    </row>
    <row r="1344" spans="1:23" ht="30" hidden="1" customHeight="1">
      <c r="A1344" s="63">
        <v>92026</v>
      </c>
      <c r="B1344" s="870">
        <v>92026</v>
      </c>
      <c r="C1344" s="871" t="s">
        <v>590</v>
      </c>
      <c r="D1344" s="881" t="s">
        <v>1258</v>
      </c>
      <c r="E1344" s="882"/>
      <c r="F1344" s="883"/>
      <c r="G1344" s="887"/>
      <c r="H1344" s="876">
        <v>63.34</v>
      </c>
      <c r="I1344" s="876">
        <f t="shared" si="368"/>
        <v>63.34</v>
      </c>
      <c r="J1344" s="877">
        <f t="shared" si="369"/>
        <v>77.41</v>
      </c>
      <c r="K1344" s="878" t="s">
        <v>1500</v>
      </c>
      <c r="L1344" s="879">
        <f>ROUND(SUM(ORÇAMENTO!L1344),2)</f>
        <v>0</v>
      </c>
      <c r="M1344" s="879">
        <f t="shared" si="370"/>
        <v>0</v>
      </c>
      <c r="N1344" s="868">
        <f t="shared" si="371"/>
        <v>0</v>
      </c>
      <c r="O1344" s="880"/>
      <c r="Q1344" s="317" t="str">
        <f t="shared" si="372"/>
        <v/>
      </c>
      <c r="R1344" s="317" t="str">
        <f t="shared" si="373"/>
        <v/>
      </c>
      <c r="S1344" s="317" t="str">
        <f t="shared" si="374"/>
        <v/>
      </c>
      <c r="V1344" s="314">
        <f>SUM(ORÇAMENTO!N1344)</f>
        <v>0</v>
      </c>
      <c r="W1344" s="315">
        <f t="shared" si="375"/>
        <v>0</v>
      </c>
    </row>
    <row r="1345" spans="1:23" ht="30" hidden="1" customHeight="1">
      <c r="A1345" s="63">
        <v>92027</v>
      </c>
      <c r="B1345" s="870">
        <v>92027</v>
      </c>
      <c r="C1345" s="871" t="s">
        <v>590</v>
      </c>
      <c r="D1345" s="881" t="s">
        <v>1259</v>
      </c>
      <c r="E1345" s="882"/>
      <c r="F1345" s="883"/>
      <c r="G1345" s="887"/>
      <c r="H1345" s="876">
        <v>72.569999999999993</v>
      </c>
      <c r="I1345" s="876">
        <f t="shared" si="368"/>
        <v>72.569999999999993</v>
      </c>
      <c r="J1345" s="877">
        <f t="shared" si="369"/>
        <v>88.7</v>
      </c>
      <c r="K1345" s="878" t="s">
        <v>1500</v>
      </c>
      <c r="L1345" s="879">
        <f>ROUND(SUM(ORÇAMENTO!L1345),2)</f>
        <v>0</v>
      </c>
      <c r="M1345" s="879">
        <f t="shared" si="370"/>
        <v>0</v>
      </c>
      <c r="N1345" s="868">
        <f t="shared" si="371"/>
        <v>0</v>
      </c>
      <c r="O1345" s="880"/>
      <c r="Q1345" s="317" t="str">
        <f t="shared" si="372"/>
        <v/>
      </c>
      <c r="R1345" s="317" t="str">
        <f t="shared" si="373"/>
        <v/>
      </c>
      <c r="S1345" s="317" t="str">
        <f t="shared" si="374"/>
        <v/>
      </c>
      <c r="V1345" s="314">
        <f>SUM(ORÇAMENTO!N1345)</f>
        <v>0</v>
      </c>
      <c r="W1345" s="315">
        <f t="shared" si="375"/>
        <v>0</v>
      </c>
    </row>
    <row r="1346" spans="1:23" ht="34.5" hidden="1" thickBot="1">
      <c r="A1346" s="63">
        <v>92034</v>
      </c>
      <c r="B1346" s="870">
        <v>92034</v>
      </c>
      <c r="C1346" s="871" t="s">
        <v>590</v>
      </c>
      <c r="D1346" s="881" t="s">
        <v>1260</v>
      </c>
      <c r="E1346" s="882"/>
      <c r="F1346" s="883"/>
      <c r="G1346" s="887"/>
      <c r="H1346" s="876">
        <v>70.75</v>
      </c>
      <c r="I1346" s="876">
        <f t="shared" si="368"/>
        <v>70.75</v>
      </c>
      <c r="J1346" s="877">
        <f t="shared" si="369"/>
        <v>86.47</v>
      </c>
      <c r="K1346" s="878" t="s">
        <v>1500</v>
      </c>
      <c r="L1346" s="879">
        <f>ROUND(SUM(ORÇAMENTO!L1346),2)</f>
        <v>0</v>
      </c>
      <c r="M1346" s="879">
        <f t="shared" si="370"/>
        <v>0</v>
      </c>
      <c r="N1346" s="868">
        <f t="shared" si="371"/>
        <v>0</v>
      </c>
      <c r="O1346" s="880"/>
      <c r="Q1346" s="317" t="str">
        <f t="shared" si="372"/>
        <v/>
      </c>
      <c r="R1346" s="317" t="str">
        <f t="shared" si="373"/>
        <v/>
      </c>
      <c r="S1346" s="317" t="str">
        <f t="shared" si="374"/>
        <v/>
      </c>
      <c r="V1346" s="314">
        <f>SUM(ORÇAMENTO!N1346)</f>
        <v>0</v>
      </c>
      <c r="W1346" s="315">
        <f t="shared" si="375"/>
        <v>0</v>
      </c>
    </row>
    <row r="1347" spans="1:23" ht="34.5" hidden="1" thickBot="1">
      <c r="A1347" s="63">
        <v>92035</v>
      </c>
      <c r="B1347" s="870">
        <v>92035</v>
      </c>
      <c r="C1347" s="871" t="s">
        <v>590</v>
      </c>
      <c r="D1347" s="881" t="s">
        <v>1261</v>
      </c>
      <c r="E1347" s="882"/>
      <c r="F1347" s="883"/>
      <c r="G1347" s="887"/>
      <c r="H1347" s="876">
        <v>79.98</v>
      </c>
      <c r="I1347" s="876">
        <f t="shared" si="368"/>
        <v>79.98</v>
      </c>
      <c r="J1347" s="877">
        <f t="shared" si="369"/>
        <v>97.75</v>
      </c>
      <c r="K1347" s="878" t="s">
        <v>1500</v>
      </c>
      <c r="L1347" s="879">
        <f>ROUND(SUM(ORÇAMENTO!L1347),2)</f>
        <v>0</v>
      </c>
      <c r="M1347" s="879">
        <f t="shared" si="370"/>
        <v>0</v>
      </c>
      <c r="N1347" s="868">
        <f t="shared" si="371"/>
        <v>0</v>
      </c>
      <c r="O1347" s="880"/>
      <c r="Q1347" s="317" t="str">
        <f t="shared" si="372"/>
        <v/>
      </c>
      <c r="R1347" s="317" t="str">
        <f t="shared" si="373"/>
        <v/>
      </c>
      <c r="S1347" s="317" t="str">
        <f t="shared" si="374"/>
        <v/>
      </c>
      <c r="V1347" s="314">
        <f>SUM(ORÇAMENTO!N1347)</f>
        <v>0</v>
      </c>
      <c r="W1347" s="315">
        <f t="shared" si="375"/>
        <v>0</v>
      </c>
    </row>
    <row r="1348" spans="1:23" ht="30" hidden="1" customHeight="1">
      <c r="A1348" s="63">
        <v>91954</v>
      </c>
      <c r="B1348" s="870">
        <v>91954</v>
      </c>
      <c r="C1348" s="871" t="s">
        <v>590</v>
      </c>
      <c r="D1348" s="881" t="s">
        <v>1262</v>
      </c>
      <c r="E1348" s="882"/>
      <c r="F1348" s="883"/>
      <c r="G1348" s="887"/>
      <c r="H1348" s="876">
        <v>28.9</v>
      </c>
      <c r="I1348" s="876">
        <f t="shared" ref="I1348:I1411" si="376">IF(ISBLANK(H1348),"",SUM(G1348:H1348))</f>
        <v>28.9</v>
      </c>
      <c r="J1348" s="877">
        <f t="shared" si="369"/>
        <v>35.32</v>
      </c>
      <c r="K1348" s="878" t="s">
        <v>1500</v>
      </c>
      <c r="L1348" s="879">
        <f>ROUND(SUM(ORÇAMENTO!L1348),2)</f>
        <v>0</v>
      </c>
      <c r="M1348" s="879">
        <f t="shared" si="370"/>
        <v>0</v>
      </c>
      <c r="N1348" s="868">
        <f t="shared" si="371"/>
        <v>0</v>
      </c>
      <c r="O1348" s="880"/>
      <c r="Q1348" s="317" t="str">
        <f t="shared" si="372"/>
        <v/>
      </c>
      <c r="R1348" s="317" t="str">
        <f t="shared" si="373"/>
        <v/>
      </c>
      <c r="S1348" s="317" t="str">
        <f t="shared" si="374"/>
        <v/>
      </c>
      <c r="V1348" s="314">
        <f>SUM(ORÇAMENTO!N1348)</f>
        <v>0</v>
      </c>
      <c r="W1348" s="315">
        <f t="shared" si="375"/>
        <v>0</v>
      </c>
    </row>
    <row r="1349" spans="1:23" ht="30" hidden="1" customHeight="1">
      <c r="A1349" s="63">
        <v>91955</v>
      </c>
      <c r="B1349" s="870">
        <v>91955</v>
      </c>
      <c r="C1349" s="871" t="s">
        <v>590</v>
      </c>
      <c r="D1349" s="881" t="s">
        <v>1263</v>
      </c>
      <c r="E1349" s="882"/>
      <c r="F1349" s="883"/>
      <c r="G1349" s="887"/>
      <c r="H1349" s="876">
        <v>38.130000000000003</v>
      </c>
      <c r="I1349" s="876">
        <f t="shared" si="376"/>
        <v>38.130000000000003</v>
      </c>
      <c r="J1349" s="877">
        <f t="shared" si="369"/>
        <v>46.6</v>
      </c>
      <c r="K1349" s="878" t="s">
        <v>1500</v>
      </c>
      <c r="L1349" s="879">
        <f>ROUND(SUM(ORÇAMENTO!L1349),2)</f>
        <v>0</v>
      </c>
      <c r="M1349" s="879">
        <f t="shared" si="370"/>
        <v>0</v>
      </c>
      <c r="N1349" s="868">
        <f t="shared" si="371"/>
        <v>0</v>
      </c>
      <c r="O1349" s="880"/>
      <c r="Q1349" s="317" t="str">
        <f t="shared" si="372"/>
        <v/>
      </c>
      <c r="R1349" s="317" t="str">
        <f t="shared" si="373"/>
        <v/>
      </c>
      <c r="S1349" s="317" t="str">
        <f t="shared" si="374"/>
        <v/>
      </c>
      <c r="V1349" s="314">
        <f>SUM(ORÇAMENTO!N1349)</f>
        <v>0</v>
      </c>
      <c r="W1349" s="315">
        <f t="shared" si="375"/>
        <v>0</v>
      </c>
    </row>
    <row r="1350" spans="1:23" ht="30" hidden="1" customHeight="1">
      <c r="A1350" s="63">
        <v>91960</v>
      </c>
      <c r="B1350" s="870">
        <v>91960</v>
      </c>
      <c r="C1350" s="871" t="s">
        <v>590</v>
      </c>
      <c r="D1350" s="881" t="s">
        <v>1264</v>
      </c>
      <c r="E1350" s="882"/>
      <c r="F1350" s="883"/>
      <c r="G1350" s="887"/>
      <c r="H1350" s="876">
        <v>54.15</v>
      </c>
      <c r="I1350" s="876">
        <f t="shared" si="376"/>
        <v>54.15</v>
      </c>
      <c r="J1350" s="877">
        <f t="shared" si="369"/>
        <v>66.180000000000007</v>
      </c>
      <c r="K1350" s="878" t="s">
        <v>1500</v>
      </c>
      <c r="L1350" s="879">
        <f>ROUND(SUM(ORÇAMENTO!L1350),2)</f>
        <v>0</v>
      </c>
      <c r="M1350" s="879">
        <f t="shared" si="370"/>
        <v>0</v>
      </c>
      <c r="N1350" s="868">
        <f t="shared" si="371"/>
        <v>0</v>
      </c>
      <c r="O1350" s="880"/>
      <c r="Q1350" s="317" t="str">
        <f t="shared" si="372"/>
        <v/>
      </c>
      <c r="R1350" s="317" t="str">
        <f t="shared" si="373"/>
        <v/>
      </c>
      <c r="S1350" s="317" t="str">
        <f t="shared" si="374"/>
        <v/>
      </c>
      <c r="V1350" s="314">
        <f>SUM(ORÇAMENTO!N1350)</f>
        <v>0</v>
      </c>
      <c r="W1350" s="315">
        <f t="shared" si="375"/>
        <v>0</v>
      </c>
    </row>
    <row r="1351" spans="1:23" ht="30" hidden="1" customHeight="1">
      <c r="A1351" s="63">
        <v>91961</v>
      </c>
      <c r="B1351" s="870">
        <v>91961</v>
      </c>
      <c r="C1351" s="871" t="s">
        <v>590</v>
      </c>
      <c r="D1351" s="881" t="s">
        <v>1265</v>
      </c>
      <c r="E1351" s="882"/>
      <c r="F1351" s="883"/>
      <c r="G1351" s="887"/>
      <c r="H1351" s="876">
        <v>63.38</v>
      </c>
      <c r="I1351" s="876">
        <f t="shared" si="376"/>
        <v>63.38</v>
      </c>
      <c r="J1351" s="877">
        <f t="shared" si="369"/>
        <v>77.459999999999994</v>
      </c>
      <c r="K1351" s="878" t="s">
        <v>1500</v>
      </c>
      <c r="L1351" s="879">
        <f>ROUND(SUM(ORÇAMENTO!L1351),2)</f>
        <v>0</v>
      </c>
      <c r="M1351" s="879">
        <f t="shared" si="370"/>
        <v>0</v>
      </c>
      <c r="N1351" s="868">
        <f t="shared" si="371"/>
        <v>0</v>
      </c>
      <c r="O1351" s="880"/>
      <c r="Q1351" s="317" t="str">
        <f t="shared" si="372"/>
        <v/>
      </c>
      <c r="R1351" s="317" t="str">
        <f t="shared" si="373"/>
        <v/>
      </c>
      <c r="S1351" s="317" t="str">
        <f t="shared" si="374"/>
        <v/>
      </c>
      <c r="V1351" s="314">
        <f>SUM(ORÇAMENTO!N1351)</f>
        <v>0</v>
      </c>
      <c r="W1351" s="315">
        <f t="shared" si="375"/>
        <v>0</v>
      </c>
    </row>
    <row r="1352" spans="1:23" ht="30" hidden="1" customHeight="1">
      <c r="A1352" s="63">
        <v>91968</v>
      </c>
      <c r="B1352" s="870">
        <v>91968</v>
      </c>
      <c r="C1352" s="871" t="s">
        <v>590</v>
      </c>
      <c r="D1352" s="881" t="s">
        <v>1266</v>
      </c>
      <c r="E1352" s="882"/>
      <c r="F1352" s="883"/>
      <c r="G1352" s="887"/>
      <c r="H1352" s="876">
        <v>79.41</v>
      </c>
      <c r="I1352" s="876">
        <f t="shared" si="376"/>
        <v>79.41</v>
      </c>
      <c r="J1352" s="877">
        <f t="shared" si="369"/>
        <v>97.05</v>
      </c>
      <c r="K1352" s="878" t="s">
        <v>1500</v>
      </c>
      <c r="L1352" s="879">
        <f>ROUND(SUM(ORÇAMENTO!L1352),2)</f>
        <v>0</v>
      </c>
      <c r="M1352" s="879">
        <f t="shared" si="370"/>
        <v>0</v>
      </c>
      <c r="N1352" s="868">
        <f t="shared" si="371"/>
        <v>0</v>
      </c>
      <c r="O1352" s="880"/>
      <c r="Q1352" s="317" t="str">
        <f t="shared" si="372"/>
        <v/>
      </c>
      <c r="R1352" s="317" t="str">
        <f t="shared" si="373"/>
        <v/>
      </c>
      <c r="S1352" s="317" t="str">
        <f t="shared" si="374"/>
        <v/>
      </c>
      <c r="V1352" s="314">
        <f>SUM(ORÇAMENTO!N1352)</f>
        <v>0</v>
      </c>
      <c r="W1352" s="315">
        <f t="shared" si="375"/>
        <v>0</v>
      </c>
    </row>
    <row r="1353" spans="1:23" ht="30" hidden="1" customHeight="1">
      <c r="A1353" s="63">
        <v>91969</v>
      </c>
      <c r="B1353" s="870">
        <v>91969</v>
      </c>
      <c r="C1353" s="871" t="s">
        <v>590</v>
      </c>
      <c r="D1353" s="881" t="s">
        <v>1267</v>
      </c>
      <c r="E1353" s="882"/>
      <c r="F1353" s="883"/>
      <c r="G1353" s="887"/>
      <c r="H1353" s="876">
        <v>88.64</v>
      </c>
      <c r="I1353" s="876">
        <f t="shared" si="376"/>
        <v>88.64</v>
      </c>
      <c r="J1353" s="877">
        <f t="shared" ref="J1353:J1416" si="377">IF(ISBLANK(H1353),0,ROUND(I1353*(1+$E$10),2))</f>
        <v>108.34</v>
      </c>
      <c r="K1353" s="878" t="s">
        <v>1500</v>
      </c>
      <c r="L1353" s="879">
        <f>ROUND(SUM(ORÇAMENTO!L1353),2)</f>
        <v>0</v>
      </c>
      <c r="M1353" s="879">
        <f t="shared" si="370"/>
        <v>0</v>
      </c>
      <c r="N1353" s="868">
        <f t="shared" si="371"/>
        <v>0</v>
      </c>
      <c r="O1353" s="880"/>
      <c r="Q1353" s="317" t="str">
        <f t="shared" si="372"/>
        <v/>
      </c>
      <c r="R1353" s="317" t="str">
        <f t="shared" si="373"/>
        <v/>
      </c>
      <c r="S1353" s="317" t="str">
        <f t="shared" si="374"/>
        <v/>
      </c>
      <c r="V1353" s="314">
        <f>SUM(ORÇAMENTO!N1353)</f>
        <v>0</v>
      </c>
      <c r="W1353" s="315">
        <f t="shared" si="375"/>
        <v>0</v>
      </c>
    </row>
    <row r="1354" spans="1:23" ht="30" hidden="1" customHeight="1">
      <c r="A1354" s="63">
        <v>92028</v>
      </c>
      <c r="B1354" s="870">
        <v>92028</v>
      </c>
      <c r="C1354" s="871" t="s">
        <v>590</v>
      </c>
      <c r="D1354" s="881" t="s">
        <v>1268</v>
      </c>
      <c r="E1354" s="882"/>
      <c r="F1354" s="883"/>
      <c r="G1354" s="887"/>
      <c r="H1354" s="876">
        <v>52.83</v>
      </c>
      <c r="I1354" s="876">
        <f t="shared" si="376"/>
        <v>52.83</v>
      </c>
      <c r="J1354" s="877">
        <f t="shared" si="377"/>
        <v>64.569999999999993</v>
      </c>
      <c r="K1354" s="878" t="s">
        <v>1500</v>
      </c>
      <c r="L1354" s="879">
        <f>ROUND(SUM(ORÇAMENTO!L1354),2)</f>
        <v>0</v>
      </c>
      <c r="M1354" s="879">
        <f t="shared" si="370"/>
        <v>0</v>
      </c>
      <c r="N1354" s="868">
        <f t="shared" si="371"/>
        <v>0</v>
      </c>
      <c r="O1354" s="880"/>
      <c r="Q1354" s="317" t="str">
        <f t="shared" si="372"/>
        <v/>
      </c>
      <c r="R1354" s="317" t="str">
        <f t="shared" si="373"/>
        <v/>
      </c>
      <c r="S1354" s="317" t="str">
        <f t="shared" si="374"/>
        <v/>
      </c>
      <c r="V1354" s="314">
        <f>SUM(ORÇAMENTO!N1354)</f>
        <v>0</v>
      </c>
      <c r="W1354" s="315">
        <f t="shared" si="375"/>
        <v>0</v>
      </c>
    </row>
    <row r="1355" spans="1:23" ht="30" hidden="1" customHeight="1">
      <c r="A1355" s="63">
        <v>92029</v>
      </c>
      <c r="B1355" s="870">
        <v>92029</v>
      </c>
      <c r="C1355" s="871" t="s">
        <v>590</v>
      </c>
      <c r="D1355" s="881" t="s">
        <v>1269</v>
      </c>
      <c r="E1355" s="882"/>
      <c r="F1355" s="883"/>
      <c r="G1355" s="887"/>
      <c r="H1355" s="876">
        <v>62.06</v>
      </c>
      <c r="I1355" s="876">
        <f t="shared" si="376"/>
        <v>62.06</v>
      </c>
      <c r="J1355" s="877">
        <f t="shared" si="377"/>
        <v>75.849999999999994</v>
      </c>
      <c r="K1355" s="878" t="s">
        <v>1500</v>
      </c>
      <c r="L1355" s="879">
        <f>ROUND(SUM(ORÇAMENTO!L1355),2)</f>
        <v>0</v>
      </c>
      <c r="M1355" s="879">
        <f t="shared" si="370"/>
        <v>0</v>
      </c>
      <c r="N1355" s="868">
        <f t="shared" si="371"/>
        <v>0</v>
      </c>
      <c r="O1355" s="880"/>
      <c r="Q1355" s="317" t="str">
        <f t="shared" si="372"/>
        <v/>
      </c>
      <c r="R1355" s="317" t="str">
        <f t="shared" si="373"/>
        <v/>
      </c>
      <c r="S1355" s="317" t="str">
        <f t="shared" si="374"/>
        <v/>
      </c>
      <c r="V1355" s="314">
        <f>SUM(ORÇAMENTO!N1355)</f>
        <v>0</v>
      </c>
      <c r="W1355" s="315">
        <f t="shared" si="375"/>
        <v>0</v>
      </c>
    </row>
    <row r="1356" spans="1:23" ht="30" hidden="1" customHeight="1">
      <c r="A1356" s="63">
        <v>92030</v>
      </c>
      <c r="B1356" s="870">
        <v>92030</v>
      </c>
      <c r="C1356" s="871" t="s">
        <v>590</v>
      </c>
      <c r="D1356" s="881" t="s">
        <v>1270</v>
      </c>
      <c r="E1356" s="882"/>
      <c r="F1356" s="883"/>
      <c r="G1356" s="887"/>
      <c r="H1356" s="876">
        <v>76.77</v>
      </c>
      <c r="I1356" s="876">
        <f t="shared" si="376"/>
        <v>76.77</v>
      </c>
      <c r="J1356" s="877">
        <f t="shared" si="377"/>
        <v>93.83</v>
      </c>
      <c r="K1356" s="878" t="s">
        <v>1500</v>
      </c>
      <c r="L1356" s="879">
        <f>ROUND(SUM(ORÇAMENTO!L1356),2)</f>
        <v>0</v>
      </c>
      <c r="M1356" s="879">
        <f t="shared" si="370"/>
        <v>0</v>
      </c>
      <c r="N1356" s="868">
        <f t="shared" si="371"/>
        <v>0</v>
      </c>
      <c r="O1356" s="880"/>
      <c r="Q1356" s="317" t="str">
        <f t="shared" si="372"/>
        <v/>
      </c>
      <c r="R1356" s="317" t="str">
        <f t="shared" si="373"/>
        <v/>
      </c>
      <c r="S1356" s="317" t="str">
        <f t="shared" si="374"/>
        <v/>
      </c>
      <c r="V1356" s="314">
        <f>SUM(ORÇAMENTO!N1356)</f>
        <v>0</v>
      </c>
      <c r="W1356" s="315">
        <f t="shared" si="375"/>
        <v>0</v>
      </c>
    </row>
    <row r="1357" spans="1:23" ht="30" hidden="1" customHeight="1">
      <c r="A1357" s="63">
        <v>92031</v>
      </c>
      <c r="B1357" s="870">
        <v>92031</v>
      </c>
      <c r="C1357" s="871" t="s">
        <v>590</v>
      </c>
      <c r="D1357" s="881" t="s">
        <v>1271</v>
      </c>
      <c r="E1357" s="882"/>
      <c r="F1357" s="883"/>
      <c r="G1357" s="887"/>
      <c r="H1357" s="876">
        <v>86</v>
      </c>
      <c r="I1357" s="876">
        <f t="shared" si="376"/>
        <v>86</v>
      </c>
      <c r="J1357" s="877">
        <f t="shared" si="377"/>
        <v>105.11</v>
      </c>
      <c r="K1357" s="878" t="s">
        <v>1500</v>
      </c>
      <c r="L1357" s="879">
        <f>ROUND(SUM(ORÇAMENTO!L1357),2)</f>
        <v>0</v>
      </c>
      <c r="M1357" s="879">
        <f t="shared" si="370"/>
        <v>0</v>
      </c>
      <c r="N1357" s="868">
        <f t="shared" si="371"/>
        <v>0</v>
      </c>
      <c r="O1357" s="880"/>
      <c r="Q1357" s="317" t="str">
        <f t="shared" si="372"/>
        <v/>
      </c>
      <c r="R1357" s="317" t="str">
        <f t="shared" si="373"/>
        <v/>
      </c>
      <c r="S1357" s="317" t="str">
        <f t="shared" si="374"/>
        <v/>
      </c>
      <c r="V1357" s="314">
        <f>SUM(ORÇAMENTO!N1357)</f>
        <v>0</v>
      </c>
      <c r="W1357" s="315">
        <f t="shared" si="375"/>
        <v>0</v>
      </c>
    </row>
    <row r="1358" spans="1:23" ht="30" hidden="1" customHeight="1">
      <c r="A1358" s="63">
        <v>92032</v>
      </c>
      <c r="B1358" s="870">
        <v>92032</v>
      </c>
      <c r="C1358" s="871" t="s">
        <v>590</v>
      </c>
      <c r="D1358" s="881" t="s">
        <v>1272</v>
      </c>
      <c r="E1358" s="882"/>
      <c r="F1358" s="883"/>
      <c r="G1358" s="887"/>
      <c r="H1358" s="876">
        <v>78.09</v>
      </c>
      <c r="I1358" s="876">
        <f t="shared" si="376"/>
        <v>78.09</v>
      </c>
      <c r="J1358" s="877">
        <f t="shared" si="377"/>
        <v>95.44</v>
      </c>
      <c r="K1358" s="878" t="s">
        <v>1500</v>
      </c>
      <c r="L1358" s="879">
        <f>ROUND(SUM(ORÇAMENTO!L1358),2)</f>
        <v>0</v>
      </c>
      <c r="M1358" s="879">
        <f t="shared" si="370"/>
        <v>0</v>
      </c>
      <c r="N1358" s="868">
        <f t="shared" si="371"/>
        <v>0</v>
      </c>
      <c r="O1358" s="880"/>
      <c r="Q1358" s="317" t="str">
        <f t="shared" si="372"/>
        <v/>
      </c>
      <c r="R1358" s="317" t="str">
        <f t="shared" si="373"/>
        <v/>
      </c>
      <c r="S1358" s="317" t="str">
        <f t="shared" si="374"/>
        <v/>
      </c>
      <c r="V1358" s="314">
        <f>SUM(ORÇAMENTO!N1358)</f>
        <v>0</v>
      </c>
      <c r="W1358" s="315">
        <f t="shared" si="375"/>
        <v>0</v>
      </c>
    </row>
    <row r="1359" spans="1:23" ht="30" hidden="1" customHeight="1">
      <c r="A1359" s="63">
        <v>92033</v>
      </c>
      <c r="B1359" s="870">
        <v>92033</v>
      </c>
      <c r="C1359" s="871" t="s">
        <v>590</v>
      </c>
      <c r="D1359" s="881" t="s">
        <v>1273</v>
      </c>
      <c r="E1359" s="882"/>
      <c r="F1359" s="883"/>
      <c r="G1359" s="887"/>
      <c r="H1359" s="876">
        <v>87.32</v>
      </c>
      <c r="I1359" s="876">
        <f t="shared" si="376"/>
        <v>87.32</v>
      </c>
      <c r="J1359" s="877">
        <f t="shared" si="377"/>
        <v>106.72</v>
      </c>
      <c r="K1359" s="878" t="s">
        <v>1500</v>
      </c>
      <c r="L1359" s="879">
        <f>ROUND(SUM(ORÇAMENTO!L1359),2)</f>
        <v>0</v>
      </c>
      <c r="M1359" s="879">
        <f t="shared" si="370"/>
        <v>0</v>
      </c>
      <c r="N1359" s="868">
        <f t="shared" si="371"/>
        <v>0</v>
      </c>
      <c r="O1359" s="880"/>
      <c r="Q1359" s="317" t="str">
        <f t="shared" si="372"/>
        <v/>
      </c>
      <c r="R1359" s="317" t="str">
        <f t="shared" si="373"/>
        <v/>
      </c>
      <c r="S1359" s="317" t="str">
        <f t="shared" si="374"/>
        <v/>
      </c>
      <c r="V1359" s="314">
        <f>SUM(ORÇAMENTO!N1359)</f>
        <v>0</v>
      </c>
      <c r="W1359" s="315">
        <f t="shared" si="375"/>
        <v>0</v>
      </c>
    </row>
    <row r="1360" spans="1:23" ht="30" hidden="1" customHeight="1">
      <c r="A1360" s="63">
        <v>91978</v>
      </c>
      <c r="B1360" s="870">
        <v>91978</v>
      </c>
      <c r="C1360" s="871" t="s">
        <v>590</v>
      </c>
      <c r="D1360" s="881" t="s">
        <v>1274</v>
      </c>
      <c r="E1360" s="882"/>
      <c r="F1360" s="883"/>
      <c r="G1360" s="887"/>
      <c r="H1360" s="876">
        <v>45.56</v>
      </c>
      <c r="I1360" s="876">
        <f t="shared" si="376"/>
        <v>45.56</v>
      </c>
      <c r="J1360" s="877">
        <f t="shared" si="377"/>
        <v>55.68</v>
      </c>
      <c r="K1360" s="878" t="s">
        <v>1500</v>
      </c>
      <c r="L1360" s="879">
        <f>ROUND(SUM(ORÇAMENTO!L1360),2)</f>
        <v>0</v>
      </c>
      <c r="M1360" s="879">
        <f t="shared" si="370"/>
        <v>0</v>
      </c>
      <c r="N1360" s="868">
        <f t="shared" si="371"/>
        <v>0</v>
      </c>
      <c r="O1360" s="880"/>
      <c r="Q1360" s="317" t="str">
        <f t="shared" si="372"/>
        <v/>
      </c>
      <c r="R1360" s="317" t="str">
        <f t="shared" si="373"/>
        <v/>
      </c>
      <c r="S1360" s="317" t="str">
        <f t="shared" si="374"/>
        <v/>
      </c>
      <c r="V1360" s="314">
        <f>SUM(ORÇAMENTO!N1360)</f>
        <v>0</v>
      </c>
      <c r="W1360" s="315">
        <f t="shared" si="375"/>
        <v>0</v>
      </c>
    </row>
    <row r="1361" spans="1:23" ht="30" hidden="1" customHeight="1">
      <c r="A1361" s="63">
        <v>91979</v>
      </c>
      <c r="B1361" s="870">
        <v>91979</v>
      </c>
      <c r="C1361" s="871" t="s">
        <v>590</v>
      </c>
      <c r="D1361" s="881" t="s">
        <v>1275</v>
      </c>
      <c r="E1361" s="882"/>
      <c r="F1361" s="883"/>
      <c r="G1361" s="887"/>
      <c r="H1361" s="876">
        <v>54.79</v>
      </c>
      <c r="I1361" s="876">
        <f t="shared" si="376"/>
        <v>54.79</v>
      </c>
      <c r="J1361" s="877">
        <f t="shared" si="377"/>
        <v>66.959999999999994</v>
      </c>
      <c r="K1361" s="878" t="s">
        <v>1500</v>
      </c>
      <c r="L1361" s="879">
        <f>ROUND(SUM(ORÇAMENTO!L1361),2)</f>
        <v>0</v>
      </c>
      <c r="M1361" s="879">
        <f t="shared" si="370"/>
        <v>0</v>
      </c>
      <c r="N1361" s="868">
        <f t="shared" si="371"/>
        <v>0</v>
      </c>
      <c r="O1361" s="880"/>
      <c r="Q1361" s="317" t="str">
        <f t="shared" si="372"/>
        <v/>
      </c>
      <c r="R1361" s="317" t="str">
        <f t="shared" si="373"/>
        <v/>
      </c>
      <c r="S1361" s="317" t="str">
        <f t="shared" si="374"/>
        <v/>
      </c>
      <c r="V1361" s="314">
        <f>SUM(ORÇAMENTO!N1361)</f>
        <v>0</v>
      </c>
      <c r="W1361" s="315">
        <f t="shared" si="375"/>
        <v>0</v>
      </c>
    </row>
    <row r="1362" spans="1:23" ht="30" hidden="1" customHeight="1">
      <c r="A1362" s="63">
        <v>91980</v>
      </c>
      <c r="B1362" s="870">
        <v>91980</v>
      </c>
      <c r="C1362" s="871" t="s">
        <v>590</v>
      </c>
      <c r="D1362" s="881" t="s">
        <v>1276</v>
      </c>
      <c r="E1362" s="882"/>
      <c r="F1362" s="883"/>
      <c r="G1362" s="887"/>
      <c r="H1362" s="876">
        <v>44.15</v>
      </c>
      <c r="I1362" s="876">
        <f t="shared" si="376"/>
        <v>44.15</v>
      </c>
      <c r="J1362" s="877">
        <f t="shared" si="377"/>
        <v>53.96</v>
      </c>
      <c r="K1362" s="878" t="s">
        <v>1500</v>
      </c>
      <c r="L1362" s="879">
        <f>ROUND(SUM(ORÇAMENTO!L1362),2)</f>
        <v>0</v>
      </c>
      <c r="M1362" s="879">
        <f t="shared" ref="M1362:M1425" si="378">IF(L1362=0,0,ROUND(J1362,2))</f>
        <v>0</v>
      </c>
      <c r="N1362" s="868">
        <f t="shared" ref="N1362:N1425" si="379">IF(ISBLANK(L1362),0,ROUND(L1362*M1362,2))</f>
        <v>0</v>
      </c>
      <c r="O1362" s="880"/>
      <c r="Q1362" s="317" t="str">
        <f t="shared" ref="Q1362:Q1425" si="380">IF(P1362="X","x",IF(P1362="xx","x",IF(P1362="xy","x",IF(P1362="y","x",IF(OR(N1362&gt;0,N1362&gt;0),"x","")))))</f>
        <v/>
      </c>
      <c r="R1362" s="317" t="str">
        <f t="shared" ref="R1362:R1425" si="381">IF(P1362="X","x",IF(P1362="y","x",IF(P1362="xx","x",IF(N1362&gt;0,"x",""))))</f>
        <v/>
      </c>
      <c r="S1362" s="317" t="str">
        <f t="shared" ref="S1362:S1425" si="382">IF(P1362="X","x",IF(N1362&gt;0,"x",""))</f>
        <v/>
      </c>
      <c r="V1362" s="314">
        <f>SUM(ORÇAMENTO!N1362)</f>
        <v>0</v>
      </c>
      <c r="W1362" s="315">
        <f t="shared" si="375"/>
        <v>0</v>
      </c>
    </row>
    <row r="1363" spans="1:23" ht="30" hidden="1" customHeight="1">
      <c r="A1363" s="63">
        <v>91981</v>
      </c>
      <c r="B1363" s="870">
        <v>91981</v>
      </c>
      <c r="C1363" s="871" t="s">
        <v>590</v>
      </c>
      <c r="D1363" s="881" t="s">
        <v>1277</v>
      </c>
      <c r="E1363" s="882"/>
      <c r="F1363" s="883"/>
      <c r="G1363" s="887"/>
      <c r="H1363" s="876">
        <v>53.38</v>
      </c>
      <c r="I1363" s="876">
        <f t="shared" si="376"/>
        <v>53.38</v>
      </c>
      <c r="J1363" s="877">
        <f t="shared" si="377"/>
        <v>65.239999999999995</v>
      </c>
      <c r="K1363" s="878" t="s">
        <v>1500</v>
      </c>
      <c r="L1363" s="879">
        <f>ROUND(SUM(ORÇAMENTO!L1363),2)</f>
        <v>0</v>
      </c>
      <c r="M1363" s="879">
        <f t="shared" si="378"/>
        <v>0</v>
      </c>
      <c r="N1363" s="868">
        <f t="shared" si="379"/>
        <v>0</v>
      </c>
      <c r="O1363" s="880"/>
      <c r="Q1363" s="317" t="str">
        <f t="shared" si="380"/>
        <v/>
      </c>
      <c r="R1363" s="317" t="str">
        <f t="shared" si="381"/>
        <v/>
      </c>
      <c r="S1363" s="317" t="str">
        <f t="shared" si="382"/>
        <v/>
      </c>
      <c r="V1363" s="314">
        <f>SUM(ORÇAMENTO!N1363)</f>
        <v>0</v>
      </c>
      <c r="W1363" s="315">
        <f t="shared" si="375"/>
        <v>0</v>
      </c>
    </row>
    <row r="1364" spans="1:23" ht="30" hidden="1" customHeight="1">
      <c r="A1364" s="63">
        <v>91978</v>
      </c>
      <c r="B1364" s="870">
        <v>91978</v>
      </c>
      <c r="C1364" s="871" t="s">
        <v>590</v>
      </c>
      <c r="D1364" s="881" t="s">
        <v>1274</v>
      </c>
      <c r="E1364" s="882"/>
      <c r="F1364" s="883"/>
      <c r="G1364" s="887"/>
      <c r="H1364" s="876">
        <v>45.56</v>
      </c>
      <c r="I1364" s="876">
        <f t="shared" si="376"/>
        <v>45.56</v>
      </c>
      <c r="J1364" s="877">
        <f t="shared" si="377"/>
        <v>55.68</v>
      </c>
      <c r="K1364" s="878" t="s">
        <v>1500</v>
      </c>
      <c r="L1364" s="879">
        <f>ROUND(SUM(ORÇAMENTO!L1364),2)</f>
        <v>0</v>
      </c>
      <c r="M1364" s="879">
        <f t="shared" si="378"/>
        <v>0</v>
      </c>
      <c r="N1364" s="868">
        <f t="shared" si="379"/>
        <v>0</v>
      </c>
      <c r="O1364" s="880"/>
      <c r="Q1364" s="317" t="str">
        <f t="shared" si="380"/>
        <v/>
      </c>
      <c r="R1364" s="317" t="str">
        <f t="shared" si="381"/>
        <v/>
      </c>
      <c r="S1364" s="317" t="str">
        <f t="shared" si="382"/>
        <v/>
      </c>
      <c r="V1364" s="314">
        <f>SUM(ORÇAMENTO!N1364)</f>
        <v>0</v>
      </c>
      <c r="W1364" s="315">
        <f t="shared" si="375"/>
        <v>0</v>
      </c>
    </row>
    <row r="1365" spans="1:23" ht="30" hidden="1" customHeight="1">
      <c r="A1365" s="63">
        <v>91979</v>
      </c>
      <c r="B1365" s="870">
        <v>91979</v>
      </c>
      <c r="C1365" s="871" t="s">
        <v>590</v>
      </c>
      <c r="D1365" s="881" t="s">
        <v>1275</v>
      </c>
      <c r="E1365" s="882"/>
      <c r="F1365" s="883"/>
      <c r="G1365" s="887"/>
      <c r="H1365" s="876">
        <v>54.79</v>
      </c>
      <c r="I1365" s="876">
        <f t="shared" si="376"/>
        <v>54.79</v>
      </c>
      <c r="J1365" s="877">
        <f t="shared" si="377"/>
        <v>66.959999999999994</v>
      </c>
      <c r="K1365" s="878" t="s">
        <v>1500</v>
      </c>
      <c r="L1365" s="879">
        <f>ROUND(SUM(ORÇAMENTO!L1365),2)</f>
        <v>0</v>
      </c>
      <c r="M1365" s="879">
        <f t="shared" si="378"/>
        <v>0</v>
      </c>
      <c r="N1365" s="868">
        <f t="shared" si="379"/>
        <v>0</v>
      </c>
      <c r="O1365" s="880"/>
      <c r="Q1365" s="317" t="str">
        <f t="shared" si="380"/>
        <v/>
      </c>
      <c r="R1365" s="317" t="str">
        <f t="shared" si="381"/>
        <v/>
      </c>
      <c r="S1365" s="317" t="str">
        <f t="shared" si="382"/>
        <v/>
      </c>
      <c r="V1365" s="314">
        <f>SUM(ORÇAMENTO!N1365)</f>
        <v>0</v>
      </c>
      <c r="W1365" s="315">
        <f t="shared" ref="W1365:W1428" si="383">N1365-V1365</f>
        <v>0</v>
      </c>
    </row>
    <row r="1366" spans="1:23" ht="30" hidden="1" customHeight="1">
      <c r="A1366" s="63">
        <v>91980</v>
      </c>
      <c r="B1366" s="870">
        <v>91980</v>
      </c>
      <c r="C1366" s="871" t="s">
        <v>590</v>
      </c>
      <c r="D1366" s="881" t="s">
        <v>1276</v>
      </c>
      <c r="E1366" s="882"/>
      <c r="F1366" s="883"/>
      <c r="G1366" s="887"/>
      <c r="H1366" s="876">
        <v>44.15</v>
      </c>
      <c r="I1366" s="876">
        <f t="shared" si="376"/>
        <v>44.15</v>
      </c>
      <c r="J1366" s="877">
        <f t="shared" si="377"/>
        <v>53.96</v>
      </c>
      <c r="K1366" s="878" t="s">
        <v>1500</v>
      </c>
      <c r="L1366" s="879">
        <f>ROUND(SUM(ORÇAMENTO!L1366),2)</f>
        <v>0</v>
      </c>
      <c r="M1366" s="879">
        <f t="shared" si="378"/>
        <v>0</v>
      </c>
      <c r="N1366" s="868">
        <f t="shared" si="379"/>
        <v>0</v>
      </c>
      <c r="O1366" s="880"/>
      <c r="Q1366" s="317" t="str">
        <f t="shared" si="380"/>
        <v/>
      </c>
      <c r="R1366" s="317" t="str">
        <f t="shared" si="381"/>
        <v/>
      </c>
      <c r="S1366" s="317" t="str">
        <f t="shared" si="382"/>
        <v/>
      </c>
      <c r="V1366" s="314">
        <f>SUM(ORÇAMENTO!N1366)</f>
        <v>0</v>
      </c>
      <c r="W1366" s="315">
        <f t="shared" si="383"/>
        <v>0</v>
      </c>
    </row>
    <row r="1367" spans="1:23" ht="30" hidden="1" customHeight="1">
      <c r="A1367" s="63">
        <v>91981</v>
      </c>
      <c r="B1367" s="870">
        <v>91981</v>
      </c>
      <c r="C1367" s="871" t="s">
        <v>590</v>
      </c>
      <c r="D1367" s="881" t="s">
        <v>1277</v>
      </c>
      <c r="E1367" s="882"/>
      <c r="F1367" s="883"/>
      <c r="G1367" s="887"/>
      <c r="H1367" s="876">
        <v>53.38</v>
      </c>
      <c r="I1367" s="876">
        <f t="shared" si="376"/>
        <v>53.38</v>
      </c>
      <c r="J1367" s="877">
        <f t="shared" si="377"/>
        <v>65.239999999999995</v>
      </c>
      <c r="K1367" s="878" t="s">
        <v>1500</v>
      </c>
      <c r="L1367" s="879">
        <f>ROUND(SUM(ORÇAMENTO!L1367),2)</f>
        <v>0</v>
      </c>
      <c r="M1367" s="879">
        <f t="shared" si="378"/>
        <v>0</v>
      </c>
      <c r="N1367" s="868">
        <f t="shared" si="379"/>
        <v>0</v>
      </c>
      <c r="O1367" s="880"/>
      <c r="Q1367" s="317" t="str">
        <f t="shared" si="380"/>
        <v/>
      </c>
      <c r="R1367" s="317" t="str">
        <f t="shared" si="381"/>
        <v/>
      </c>
      <c r="S1367" s="317" t="str">
        <f t="shared" si="382"/>
        <v/>
      </c>
      <c r="V1367" s="314">
        <f>SUM(ORÇAMENTO!N1367)</f>
        <v>0</v>
      </c>
      <c r="W1367" s="315">
        <f t="shared" si="383"/>
        <v>0</v>
      </c>
    </row>
    <row r="1368" spans="1:23" ht="30" hidden="1" customHeight="1">
      <c r="A1368" s="63">
        <v>91982</v>
      </c>
      <c r="B1368" s="870">
        <v>91982</v>
      </c>
      <c r="C1368" s="871" t="s">
        <v>590</v>
      </c>
      <c r="D1368" s="881" t="s">
        <v>1278</v>
      </c>
      <c r="E1368" s="882"/>
      <c r="F1368" s="883"/>
      <c r="G1368" s="887"/>
      <c r="H1368" s="876">
        <v>102.63</v>
      </c>
      <c r="I1368" s="876">
        <f t="shared" si="376"/>
        <v>102.63</v>
      </c>
      <c r="J1368" s="877">
        <f t="shared" si="377"/>
        <v>125.43</v>
      </c>
      <c r="K1368" s="878" t="s">
        <v>1500</v>
      </c>
      <c r="L1368" s="879">
        <f>ROUND(SUM(ORÇAMENTO!L1368),2)</f>
        <v>0</v>
      </c>
      <c r="M1368" s="879">
        <f t="shared" si="378"/>
        <v>0</v>
      </c>
      <c r="N1368" s="868">
        <f t="shared" si="379"/>
        <v>0</v>
      </c>
      <c r="O1368" s="880"/>
      <c r="Q1368" s="317" t="str">
        <f t="shared" si="380"/>
        <v/>
      </c>
      <c r="R1368" s="317" t="str">
        <f t="shared" si="381"/>
        <v/>
      </c>
      <c r="S1368" s="317" t="str">
        <f t="shared" si="382"/>
        <v/>
      </c>
      <c r="V1368" s="314">
        <f>SUM(ORÇAMENTO!N1368)</f>
        <v>0</v>
      </c>
      <c r="W1368" s="315">
        <f t="shared" si="383"/>
        <v>0</v>
      </c>
    </row>
    <row r="1369" spans="1:23" ht="30" hidden="1" customHeight="1">
      <c r="A1369" s="63">
        <v>91983</v>
      </c>
      <c r="B1369" s="870">
        <v>91983</v>
      </c>
      <c r="C1369" s="871" t="s">
        <v>590</v>
      </c>
      <c r="D1369" s="881" t="s">
        <v>1279</v>
      </c>
      <c r="E1369" s="882"/>
      <c r="F1369" s="883"/>
      <c r="G1369" s="887"/>
      <c r="H1369" s="876">
        <v>111.86</v>
      </c>
      <c r="I1369" s="876">
        <f t="shared" si="376"/>
        <v>111.86</v>
      </c>
      <c r="J1369" s="877">
        <f t="shared" si="377"/>
        <v>136.72</v>
      </c>
      <c r="K1369" s="878" t="s">
        <v>1500</v>
      </c>
      <c r="L1369" s="879">
        <f>ROUND(SUM(ORÇAMENTO!L1369),2)</f>
        <v>0</v>
      </c>
      <c r="M1369" s="879">
        <f t="shared" si="378"/>
        <v>0</v>
      </c>
      <c r="N1369" s="868">
        <f t="shared" si="379"/>
        <v>0</v>
      </c>
      <c r="O1369" s="880"/>
      <c r="Q1369" s="317" t="str">
        <f t="shared" si="380"/>
        <v/>
      </c>
      <c r="R1369" s="317" t="str">
        <f t="shared" si="381"/>
        <v/>
      </c>
      <c r="S1369" s="317" t="str">
        <f t="shared" si="382"/>
        <v/>
      </c>
      <c r="V1369" s="314">
        <f>SUM(ORÇAMENTO!N1369)</f>
        <v>0</v>
      </c>
      <c r="W1369" s="315">
        <f t="shared" si="383"/>
        <v>0</v>
      </c>
    </row>
    <row r="1370" spans="1:23" ht="30" hidden="1" customHeight="1">
      <c r="A1370" s="63">
        <v>91984</v>
      </c>
      <c r="B1370" s="870">
        <v>91984</v>
      </c>
      <c r="C1370" s="871" t="s">
        <v>590</v>
      </c>
      <c r="D1370" s="881" t="s">
        <v>1280</v>
      </c>
      <c r="E1370" s="882"/>
      <c r="F1370" s="883"/>
      <c r="G1370" s="887"/>
      <c r="H1370" s="876">
        <v>20.2</v>
      </c>
      <c r="I1370" s="876">
        <f t="shared" si="376"/>
        <v>20.2</v>
      </c>
      <c r="J1370" s="877">
        <f t="shared" si="377"/>
        <v>24.69</v>
      </c>
      <c r="K1370" s="878" t="s">
        <v>1500</v>
      </c>
      <c r="L1370" s="879">
        <f>ROUND(SUM(ORÇAMENTO!L1370),2)</f>
        <v>0</v>
      </c>
      <c r="M1370" s="879">
        <f t="shared" si="378"/>
        <v>0</v>
      </c>
      <c r="N1370" s="868">
        <f t="shared" si="379"/>
        <v>0</v>
      </c>
      <c r="O1370" s="880"/>
      <c r="Q1370" s="317" t="str">
        <f t="shared" si="380"/>
        <v/>
      </c>
      <c r="R1370" s="317" t="str">
        <f t="shared" si="381"/>
        <v/>
      </c>
      <c r="S1370" s="317" t="str">
        <f t="shared" si="382"/>
        <v/>
      </c>
      <c r="V1370" s="314">
        <f>SUM(ORÇAMENTO!N1370)</f>
        <v>0</v>
      </c>
      <c r="W1370" s="315">
        <f t="shared" si="383"/>
        <v>0</v>
      </c>
    </row>
    <row r="1371" spans="1:23" ht="30" hidden="1" customHeight="1">
      <c r="A1371" s="63">
        <v>91985</v>
      </c>
      <c r="B1371" s="870">
        <v>91985</v>
      </c>
      <c r="C1371" s="871" t="s">
        <v>590</v>
      </c>
      <c r="D1371" s="881" t="s">
        <v>1281</v>
      </c>
      <c r="E1371" s="882"/>
      <c r="F1371" s="883"/>
      <c r="G1371" s="887"/>
      <c r="H1371" s="876">
        <v>29.43</v>
      </c>
      <c r="I1371" s="876">
        <f t="shared" si="376"/>
        <v>29.43</v>
      </c>
      <c r="J1371" s="877">
        <f t="shared" si="377"/>
        <v>35.97</v>
      </c>
      <c r="K1371" s="878" t="s">
        <v>1500</v>
      </c>
      <c r="L1371" s="879">
        <f>ROUND(SUM(ORÇAMENTO!L1371),2)</f>
        <v>0</v>
      </c>
      <c r="M1371" s="879">
        <f t="shared" si="378"/>
        <v>0</v>
      </c>
      <c r="N1371" s="868">
        <f t="shared" si="379"/>
        <v>0</v>
      </c>
      <c r="O1371" s="880"/>
      <c r="Q1371" s="317" t="str">
        <f t="shared" si="380"/>
        <v/>
      </c>
      <c r="R1371" s="317" t="str">
        <f t="shared" si="381"/>
        <v/>
      </c>
      <c r="S1371" s="317" t="str">
        <f t="shared" si="382"/>
        <v/>
      </c>
      <c r="V1371" s="314">
        <f>SUM(ORÇAMENTO!N1371)</f>
        <v>0</v>
      </c>
      <c r="W1371" s="315">
        <f t="shared" si="383"/>
        <v>0</v>
      </c>
    </row>
    <row r="1372" spans="1:23" ht="30" hidden="1" customHeight="1">
      <c r="A1372" s="63">
        <v>91986</v>
      </c>
      <c r="B1372" s="870">
        <v>91986</v>
      </c>
      <c r="C1372" s="871" t="s">
        <v>590</v>
      </c>
      <c r="D1372" s="881" t="s">
        <v>1282</v>
      </c>
      <c r="E1372" s="882"/>
      <c r="F1372" s="883"/>
      <c r="G1372" s="887"/>
      <c r="H1372" s="876">
        <v>42.51</v>
      </c>
      <c r="I1372" s="876">
        <f t="shared" si="376"/>
        <v>42.51</v>
      </c>
      <c r="J1372" s="877">
        <f t="shared" si="377"/>
        <v>51.96</v>
      </c>
      <c r="K1372" s="878" t="s">
        <v>1500</v>
      </c>
      <c r="L1372" s="879">
        <f>ROUND(SUM(ORÇAMENTO!L1372),2)</f>
        <v>0</v>
      </c>
      <c r="M1372" s="879">
        <f t="shared" si="378"/>
        <v>0</v>
      </c>
      <c r="N1372" s="868">
        <f t="shared" si="379"/>
        <v>0</v>
      </c>
      <c r="O1372" s="880"/>
      <c r="Q1372" s="317" t="str">
        <f t="shared" si="380"/>
        <v/>
      </c>
      <c r="R1372" s="317" t="str">
        <f t="shared" si="381"/>
        <v/>
      </c>
      <c r="S1372" s="317" t="str">
        <f t="shared" si="382"/>
        <v/>
      </c>
      <c r="V1372" s="314">
        <f>SUM(ORÇAMENTO!N1372)</f>
        <v>0</v>
      </c>
      <c r="W1372" s="315">
        <f t="shared" si="383"/>
        <v>0</v>
      </c>
    </row>
    <row r="1373" spans="1:23" ht="30" hidden="1" customHeight="1">
      <c r="A1373" s="63">
        <v>91987</v>
      </c>
      <c r="B1373" s="870">
        <v>91987</v>
      </c>
      <c r="C1373" s="871" t="s">
        <v>590</v>
      </c>
      <c r="D1373" s="881" t="s">
        <v>1283</v>
      </c>
      <c r="E1373" s="882"/>
      <c r="F1373" s="883"/>
      <c r="G1373" s="887"/>
      <c r="H1373" s="876">
        <v>51.74</v>
      </c>
      <c r="I1373" s="876">
        <f t="shared" si="376"/>
        <v>51.74</v>
      </c>
      <c r="J1373" s="877">
        <f t="shared" si="377"/>
        <v>63.24</v>
      </c>
      <c r="K1373" s="878" t="s">
        <v>1500</v>
      </c>
      <c r="L1373" s="879">
        <f>ROUND(SUM(ORÇAMENTO!L1373),2)</f>
        <v>0</v>
      </c>
      <c r="M1373" s="879">
        <f t="shared" si="378"/>
        <v>0</v>
      </c>
      <c r="N1373" s="868">
        <f t="shared" si="379"/>
        <v>0</v>
      </c>
      <c r="O1373" s="880"/>
      <c r="Q1373" s="317" t="str">
        <f t="shared" si="380"/>
        <v/>
      </c>
      <c r="R1373" s="317" t="str">
        <f t="shared" si="381"/>
        <v/>
      </c>
      <c r="S1373" s="317" t="str">
        <f t="shared" si="382"/>
        <v/>
      </c>
      <c r="V1373" s="314">
        <f>SUM(ORÇAMENTO!N1373)</f>
        <v>0</v>
      </c>
      <c r="W1373" s="315">
        <f t="shared" si="383"/>
        <v>0</v>
      </c>
    </row>
    <row r="1374" spans="1:23" ht="30" hidden="1" customHeight="1">
      <c r="A1374" s="63">
        <v>91988</v>
      </c>
      <c r="B1374" s="870">
        <v>91988</v>
      </c>
      <c r="C1374" s="871" t="s">
        <v>590</v>
      </c>
      <c r="D1374" s="881" t="s">
        <v>1284</v>
      </c>
      <c r="E1374" s="882"/>
      <c r="F1374" s="883"/>
      <c r="G1374" s="887"/>
      <c r="H1374" s="876">
        <v>24.92</v>
      </c>
      <c r="I1374" s="876">
        <f t="shared" si="376"/>
        <v>24.92</v>
      </c>
      <c r="J1374" s="877">
        <f t="shared" si="377"/>
        <v>30.46</v>
      </c>
      <c r="K1374" s="878" t="s">
        <v>1500</v>
      </c>
      <c r="L1374" s="879">
        <f>ROUND(SUM(ORÇAMENTO!L1374),2)</f>
        <v>0</v>
      </c>
      <c r="M1374" s="879">
        <f t="shared" si="378"/>
        <v>0</v>
      </c>
      <c r="N1374" s="868">
        <f t="shared" si="379"/>
        <v>0</v>
      </c>
      <c r="O1374" s="880"/>
      <c r="Q1374" s="317" t="str">
        <f t="shared" si="380"/>
        <v/>
      </c>
      <c r="R1374" s="317" t="str">
        <f t="shared" si="381"/>
        <v/>
      </c>
      <c r="S1374" s="317" t="str">
        <f t="shared" si="382"/>
        <v/>
      </c>
      <c r="V1374" s="314">
        <f>SUM(ORÇAMENTO!N1374)</f>
        <v>0</v>
      </c>
      <c r="W1374" s="315">
        <f t="shared" si="383"/>
        <v>0</v>
      </c>
    </row>
    <row r="1375" spans="1:23" ht="30" hidden="1" customHeight="1">
      <c r="A1375" s="63">
        <v>91989</v>
      </c>
      <c r="B1375" s="870">
        <v>91989</v>
      </c>
      <c r="C1375" s="871" t="s">
        <v>590</v>
      </c>
      <c r="D1375" s="881" t="s">
        <v>1285</v>
      </c>
      <c r="E1375" s="882"/>
      <c r="F1375" s="883"/>
      <c r="G1375" s="887"/>
      <c r="H1375" s="876">
        <v>34.15</v>
      </c>
      <c r="I1375" s="876">
        <f t="shared" si="376"/>
        <v>34.15</v>
      </c>
      <c r="J1375" s="877">
        <f t="shared" si="377"/>
        <v>41.74</v>
      </c>
      <c r="K1375" s="878" t="s">
        <v>1500</v>
      </c>
      <c r="L1375" s="879">
        <f>ROUND(SUM(ORÇAMENTO!L1375),2)</f>
        <v>0</v>
      </c>
      <c r="M1375" s="879">
        <f t="shared" si="378"/>
        <v>0</v>
      </c>
      <c r="N1375" s="868">
        <f t="shared" si="379"/>
        <v>0</v>
      </c>
      <c r="O1375" s="880"/>
      <c r="Q1375" s="317" t="str">
        <f t="shared" si="380"/>
        <v/>
      </c>
      <c r="R1375" s="317" t="str">
        <f t="shared" si="381"/>
        <v/>
      </c>
      <c r="S1375" s="317" t="str">
        <f t="shared" si="382"/>
        <v/>
      </c>
      <c r="V1375" s="314">
        <f>SUM(ORÇAMENTO!N1375)</f>
        <v>0</v>
      </c>
      <c r="W1375" s="315">
        <f t="shared" si="383"/>
        <v>0</v>
      </c>
    </row>
    <row r="1376" spans="1:23" ht="30" hidden="1" customHeight="1">
      <c r="A1376" s="63">
        <v>91990</v>
      </c>
      <c r="B1376" s="870">
        <v>91990</v>
      </c>
      <c r="C1376" s="871" t="s">
        <v>590</v>
      </c>
      <c r="D1376" s="881" t="s">
        <v>1286</v>
      </c>
      <c r="E1376" s="882"/>
      <c r="F1376" s="883"/>
      <c r="G1376" s="887"/>
      <c r="H1376" s="876">
        <v>38.869999999999997</v>
      </c>
      <c r="I1376" s="876">
        <f t="shared" si="376"/>
        <v>38.869999999999997</v>
      </c>
      <c r="J1376" s="877">
        <f t="shared" si="377"/>
        <v>47.51</v>
      </c>
      <c r="K1376" s="878" t="s">
        <v>1500</v>
      </c>
      <c r="L1376" s="879">
        <f>ROUND(SUM(ORÇAMENTO!L1376),2)</f>
        <v>0</v>
      </c>
      <c r="M1376" s="879">
        <f t="shared" si="378"/>
        <v>0</v>
      </c>
      <c r="N1376" s="868">
        <f t="shared" si="379"/>
        <v>0</v>
      </c>
      <c r="O1376" s="880"/>
      <c r="Q1376" s="317" t="str">
        <f t="shared" si="380"/>
        <v/>
      </c>
      <c r="R1376" s="317" t="str">
        <f t="shared" si="381"/>
        <v/>
      </c>
      <c r="S1376" s="317" t="str">
        <f t="shared" si="382"/>
        <v/>
      </c>
      <c r="V1376" s="314">
        <f>SUM(ORÇAMENTO!N1376)</f>
        <v>0</v>
      </c>
      <c r="W1376" s="315">
        <f t="shared" si="383"/>
        <v>0</v>
      </c>
    </row>
    <row r="1377" spans="1:23" ht="30" hidden="1" customHeight="1">
      <c r="A1377" s="63">
        <v>91991</v>
      </c>
      <c r="B1377" s="870">
        <v>91991</v>
      </c>
      <c r="C1377" s="871" t="s">
        <v>590</v>
      </c>
      <c r="D1377" s="881" t="s">
        <v>1287</v>
      </c>
      <c r="E1377" s="882"/>
      <c r="F1377" s="883"/>
      <c r="G1377" s="887"/>
      <c r="H1377" s="876">
        <v>41.42</v>
      </c>
      <c r="I1377" s="876">
        <f t="shared" si="376"/>
        <v>41.42</v>
      </c>
      <c r="J1377" s="877">
        <f t="shared" si="377"/>
        <v>50.62</v>
      </c>
      <c r="K1377" s="878" t="s">
        <v>1500</v>
      </c>
      <c r="L1377" s="879">
        <f>ROUND(SUM(ORÇAMENTO!L1377),2)</f>
        <v>0</v>
      </c>
      <c r="M1377" s="879">
        <f t="shared" si="378"/>
        <v>0</v>
      </c>
      <c r="N1377" s="868">
        <f t="shared" si="379"/>
        <v>0</v>
      </c>
      <c r="O1377" s="880"/>
      <c r="Q1377" s="317" t="str">
        <f t="shared" si="380"/>
        <v/>
      </c>
      <c r="R1377" s="317" t="str">
        <f t="shared" si="381"/>
        <v/>
      </c>
      <c r="S1377" s="317" t="str">
        <f t="shared" si="382"/>
        <v/>
      </c>
      <c r="V1377" s="314">
        <f>SUM(ORÇAMENTO!N1377)</f>
        <v>0</v>
      </c>
      <c r="W1377" s="315">
        <f t="shared" si="383"/>
        <v>0</v>
      </c>
    </row>
    <row r="1378" spans="1:23" ht="30" hidden="1" customHeight="1">
      <c r="A1378" s="63">
        <v>91992</v>
      </c>
      <c r="B1378" s="870">
        <v>91992</v>
      </c>
      <c r="C1378" s="871" t="s">
        <v>590</v>
      </c>
      <c r="D1378" s="881" t="s">
        <v>1288</v>
      </c>
      <c r="E1378" s="882"/>
      <c r="F1378" s="883"/>
      <c r="G1378" s="887"/>
      <c r="H1378" s="876">
        <v>48.1</v>
      </c>
      <c r="I1378" s="876">
        <f t="shared" si="376"/>
        <v>48.1</v>
      </c>
      <c r="J1378" s="877">
        <f t="shared" si="377"/>
        <v>58.79</v>
      </c>
      <c r="K1378" s="878" t="s">
        <v>1500</v>
      </c>
      <c r="L1378" s="879">
        <f>ROUND(SUM(ORÇAMENTO!L1378),2)</f>
        <v>0</v>
      </c>
      <c r="M1378" s="879">
        <f t="shared" si="378"/>
        <v>0</v>
      </c>
      <c r="N1378" s="868">
        <f t="shared" si="379"/>
        <v>0</v>
      </c>
      <c r="O1378" s="880"/>
      <c r="Q1378" s="317" t="str">
        <f t="shared" si="380"/>
        <v/>
      </c>
      <c r="R1378" s="317" t="str">
        <f t="shared" si="381"/>
        <v/>
      </c>
      <c r="S1378" s="317" t="str">
        <f t="shared" si="382"/>
        <v/>
      </c>
      <c r="V1378" s="314">
        <f>SUM(ORÇAMENTO!N1378)</f>
        <v>0</v>
      </c>
      <c r="W1378" s="315">
        <f t="shared" si="383"/>
        <v>0</v>
      </c>
    </row>
    <row r="1379" spans="1:23" ht="30" hidden="1" customHeight="1">
      <c r="A1379" s="63">
        <v>91993</v>
      </c>
      <c r="B1379" s="870">
        <v>91993</v>
      </c>
      <c r="C1379" s="871" t="s">
        <v>590</v>
      </c>
      <c r="D1379" s="881" t="s">
        <v>1289</v>
      </c>
      <c r="E1379" s="882"/>
      <c r="F1379" s="883"/>
      <c r="G1379" s="887"/>
      <c r="H1379" s="876">
        <v>50.65</v>
      </c>
      <c r="I1379" s="876">
        <f t="shared" si="376"/>
        <v>50.65</v>
      </c>
      <c r="J1379" s="877">
        <f t="shared" si="377"/>
        <v>61.9</v>
      </c>
      <c r="K1379" s="878" t="s">
        <v>1500</v>
      </c>
      <c r="L1379" s="879">
        <f>ROUND(SUM(ORÇAMENTO!L1379),2)</f>
        <v>0</v>
      </c>
      <c r="M1379" s="879">
        <f t="shared" si="378"/>
        <v>0</v>
      </c>
      <c r="N1379" s="868">
        <f t="shared" si="379"/>
        <v>0</v>
      </c>
      <c r="O1379" s="880"/>
      <c r="Q1379" s="317" t="str">
        <f t="shared" si="380"/>
        <v/>
      </c>
      <c r="R1379" s="317" t="str">
        <f t="shared" si="381"/>
        <v/>
      </c>
      <c r="S1379" s="317" t="str">
        <f t="shared" si="382"/>
        <v/>
      </c>
      <c r="V1379" s="314">
        <f>SUM(ORÇAMENTO!N1379)</f>
        <v>0</v>
      </c>
      <c r="W1379" s="315">
        <f t="shared" si="383"/>
        <v>0</v>
      </c>
    </row>
    <row r="1380" spans="1:23" ht="30" hidden="1" customHeight="1">
      <c r="A1380" s="63">
        <v>91994</v>
      </c>
      <c r="B1380" s="870">
        <v>91994</v>
      </c>
      <c r="C1380" s="871" t="s">
        <v>590</v>
      </c>
      <c r="D1380" s="881" t="s">
        <v>1290</v>
      </c>
      <c r="E1380" s="882"/>
      <c r="F1380" s="883"/>
      <c r="G1380" s="887"/>
      <c r="H1380" s="876">
        <v>27.58</v>
      </c>
      <c r="I1380" s="876">
        <f t="shared" si="376"/>
        <v>27.58</v>
      </c>
      <c r="J1380" s="877">
        <f t="shared" si="377"/>
        <v>33.71</v>
      </c>
      <c r="K1380" s="878" t="s">
        <v>1500</v>
      </c>
      <c r="L1380" s="879">
        <f>ROUND(SUM(ORÇAMENTO!L1380),2)</f>
        <v>0</v>
      </c>
      <c r="M1380" s="879">
        <f t="shared" si="378"/>
        <v>0</v>
      </c>
      <c r="N1380" s="868">
        <f t="shared" si="379"/>
        <v>0</v>
      </c>
      <c r="O1380" s="880"/>
      <c r="Q1380" s="317" t="str">
        <f t="shared" si="380"/>
        <v/>
      </c>
      <c r="R1380" s="317" t="str">
        <f t="shared" si="381"/>
        <v/>
      </c>
      <c r="S1380" s="317" t="str">
        <f t="shared" si="382"/>
        <v/>
      </c>
      <c r="V1380" s="314">
        <f>SUM(ORÇAMENTO!N1380)</f>
        <v>0</v>
      </c>
      <c r="W1380" s="315">
        <f t="shared" si="383"/>
        <v>0</v>
      </c>
    </row>
    <row r="1381" spans="1:23" ht="30" hidden="1" customHeight="1">
      <c r="A1381" s="63">
        <v>91995</v>
      </c>
      <c r="B1381" s="870">
        <v>91995</v>
      </c>
      <c r="C1381" s="871" t="s">
        <v>590</v>
      </c>
      <c r="D1381" s="881" t="s">
        <v>1291</v>
      </c>
      <c r="E1381" s="882"/>
      <c r="F1381" s="883"/>
      <c r="G1381" s="887"/>
      <c r="H1381" s="876">
        <v>30.13</v>
      </c>
      <c r="I1381" s="876">
        <f t="shared" si="376"/>
        <v>30.13</v>
      </c>
      <c r="J1381" s="877">
        <f t="shared" si="377"/>
        <v>36.82</v>
      </c>
      <c r="K1381" s="878" t="s">
        <v>1500</v>
      </c>
      <c r="L1381" s="879">
        <f>ROUND(SUM(ORÇAMENTO!L1381),2)</f>
        <v>0</v>
      </c>
      <c r="M1381" s="879">
        <f t="shared" si="378"/>
        <v>0</v>
      </c>
      <c r="N1381" s="868">
        <f t="shared" si="379"/>
        <v>0</v>
      </c>
      <c r="O1381" s="880"/>
      <c r="Q1381" s="317" t="str">
        <f t="shared" si="380"/>
        <v/>
      </c>
      <c r="R1381" s="317" t="str">
        <f t="shared" si="381"/>
        <v/>
      </c>
      <c r="S1381" s="317" t="str">
        <f t="shared" si="382"/>
        <v/>
      </c>
      <c r="V1381" s="314">
        <f>SUM(ORÇAMENTO!N1381)</f>
        <v>0</v>
      </c>
      <c r="W1381" s="315">
        <f t="shared" si="383"/>
        <v>0</v>
      </c>
    </row>
    <row r="1382" spans="1:23" ht="30" hidden="1" customHeight="1">
      <c r="A1382" s="63">
        <v>91996</v>
      </c>
      <c r="B1382" s="870">
        <v>91996</v>
      </c>
      <c r="C1382" s="871" t="s">
        <v>590</v>
      </c>
      <c r="D1382" s="881" t="s">
        <v>1292</v>
      </c>
      <c r="E1382" s="882"/>
      <c r="F1382" s="883"/>
      <c r="G1382" s="887"/>
      <c r="H1382" s="876">
        <v>36.81</v>
      </c>
      <c r="I1382" s="876">
        <f t="shared" si="376"/>
        <v>36.81</v>
      </c>
      <c r="J1382" s="877">
        <f t="shared" si="377"/>
        <v>44.99</v>
      </c>
      <c r="K1382" s="878" t="s">
        <v>1500</v>
      </c>
      <c r="L1382" s="879">
        <f>ROUND(SUM(ORÇAMENTO!L1382),2)</f>
        <v>0</v>
      </c>
      <c r="M1382" s="879">
        <f t="shared" si="378"/>
        <v>0</v>
      </c>
      <c r="N1382" s="868">
        <f t="shared" si="379"/>
        <v>0</v>
      </c>
      <c r="O1382" s="880"/>
      <c r="Q1382" s="317" t="str">
        <f t="shared" si="380"/>
        <v/>
      </c>
      <c r="R1382" s="317" t="str">
        <f t="shared" si="381"/>
        <v/>
      </c>
      <c r="S1382" s="317" t="str">
        <f t="shared" si="382"/>
        <v/>
      </c>
      <c r="V1382" s="314">
        <f>SUM(ORÇAMENTO!N1382)</f>
        <v>0</v>
      </c>
      <c r="W1382" s="315">
        <f t="shared" si="383"/>
        <v>0</v>
      </c>
    </row>
    <row r="1383" spans="1:23" ht="30" hidden="1" customHeight="1">
      <c r="A1383" s="63">
        <v>91997</v>
      </c>
      <c r="B1383" s="870">
        <v>91997</v>
      </c>
      <c r="C1383" s="871" t="s">
        <v>590</v>
      </c>
      <c r="D1383" s="881" t="s">
        <v>1293</v>
      </c>
      <c r="E1383" s="882"/>
      <c r="F1383" s="883"/>
      <c r="G1383" s="887"/>
      <c r="H1383" s="876">
        <v>39.36</v>
      </c>
      <c r="I1383" s="876">
        <f t="shared" si="376"/>
        <v>39.36</v>
      </c>
      <c r="J1383" s="877">
        <f t="shared" si="377"/>
        <v>48.11</v>
      </c>
      <c r="K1383" s="878" t="s">
        <v>1500</v>
      </c>
      <c r="L1383" s="879">
        <f>ROUND(SUM(ORÇAMENTO!L1383),2)</f>
        <v>0</v>
      </c>
      <c r="M1383" s="879">
        <f t="shared" si="378"/>
        <v>0</v>
      </c>
      <c r="N1383" s="868">
        <f t="shared" si="379"/>
        <v>0</v>
      </c>
      <c r="O1383" s="880"/>
      <c r="Q1383" s="317" t="str">
        <f t="shared" si="380"/>
        <v/>
      </c>
      <c r="R1383" s="317" t="str">
        <f t="shared" si="381"/>
        <v/>
      </c>
      <c r="S1383" s="317" t="str">
        <f t="shared" si="382"/>
        <v/>
      </c>
      <c r="V1383" s="314">
        <f>SUM(ORÇAMENTO!N1383)</f>
        <v>0</v>
      </c>
      <c r="W1383" s="315">
        <f t="shared" si="383"/>
        <v>0</v>
      </c>
    </row>
    <row r="1384" spans="1:23" ht="30" hidden="1" customHeight="1">
      <c r="A1384" s="63">
        <v>91998</v>
      </c>
      <c r="B1384" s="870">
        <v>91998</v>
      </c>
      <c r="C1384" s="871" t="s">
        <v>590</v>
      </c>
      <c r="D1384" s="881" t="s">
        <v>1294</v>
      </c>
      <c r="E1384" s="882"/>
      <c r="F1384" s="883"/>
      <c r="G1384" s="887"/>
      <c r="H1384" s="876">
        <v>23.2</v>
      </c>
      <c r="I1384" s="876">
        <f t="shared" si="376"/>
        <v>23.2</v>
      </c>
      <c r="J1384" s="877">
        <f t="shared" si="377"/>
        <v>28.36</v>
      </c>
      <c r="K1384" s="878" t="s">
        <v>1500</v>
      </c>
      <c r="L1384" s="879">
        <f>ROUND(SUM(ORÇAMENTO!L1384),2)</f>
        <v>0</v>
      </c>
      <c r="M1384" s="879">
        <f t="shared" si="378"/>
        <v>0</v>
      </c>
      <c r="N1384" s="868">
        <f t="shared" si="379"/>
        <v>0</v>
      </c>
      <c r="O1384" s="880"/>
      <c r="Q1384" s="317" t="str">
        <f t="shared" si="380"/>
        <v/>
      </c>
      <c r="R1384" s="317" t="str">
        <f t="shared" si="381"/>
        <v/>
      </c>
      <c r="S1384" s="317" t="str">
        <f t="shared" si="382"/>
        <v/>
      </c>
      <c r="V1384" s="314">
        <f>SUM(ORÇAMENTO!N1384)</f>
        <v>0</v>
      </c>
      <c r="W1384" s="315">
        <f t="shared" si="383"/>
        <v>0</v>
      </c>
    </row>
    <row r="1385" spans="1:23" ht="30" hidden="1" customHeight="1">
      <c r="A1385" s="63">
        <v>91999</v>
      </c>
      <c r="B1385" s="870">
        <v>91999</v>
      </c>
      <c r="C1385" s="871" t="s">
        <v>590</v>
      </c>
      <c r="D1385" s="881" t="s">
        <v>1295</v>
      </c>
      <c r="E1385" s="882"/>
      <c r="F1385" s="883"/>
      <c r="G1385" s="887"/>
      <c r="H1385" s="876">
        <v>25.75</v>
      </c>
      <c r="I1385" s="876">
        <f t="shared" si="376"/>
        <v>25.75</v>
      </c>
      <c r="J1385" s="877">
        <f t="shared" si="377"/>
        <v>31.47</v>
      </c>
      <c r="K1385" s="878" t="s">
        <v>1500</v>
      </c>
      <c r="L1385" s="879">
        <f>ROUND(SUM(ORÇAMENTO!L1385),2)</f>
        <v>0</v>
      </c>
      <c r="M1385" s="879">
        <f t="shared" si="378"/>
        <v>0</v>
      </c>
      <c r="N1385" s="868">
        <f t="shared" si="379"/>
        <v>0</v>
      </c>
      <c r="O1385" s="880"/>
      <c r="Q1385" s="317" t="str">
        <f t="shared" si="380"/>
        <v/>
      </c>
      <c r="R1385" s="317" t="str">
        <f t="shared" si="381"/>
        <v/>
      </c>
      <c r="S1385" s="317" t="str">
        <f t="shared" si="382"/>
        <v/>
      </c>
      <c r="V1385" s="314">
        <f>SUM(ORÇAMENTO!N1385)</f>
        <v>0</v>
      </c>
      <c r="W1385" s="315">
        <f t="shared" si="383"/>
        <v>0</v>
      </c>
    </row>
    <row r="1386" spans="1:23" ht="30" hidden="1" customHeight="1">
      <c r="A1386" s="63">
        <v>92000</v>
      </c>
      <c r="B1386" s="870">
        <v>92000</v>
      </c>
      <c r="C1386" s="871" t="s">
        <v>590</v>
      </c>
      <c r="D1386" s="881" t="s">
        <v>1296</v>
      </c>
      <c r="E1386" s="882"/>
      <c r="F1386" s="883"/>
      <c r="G1386" s="887"/>
      <c r="H1386" s="876">
        <v>32.43</v>
      </c>
      <c r="I1386" s="876">
        <f t="shared" si="376"/>
        <v>32.43</v>
      </c>
      <c r="J1386" s="877">
        <f t="shared" si="377"/>
        <v>39.64</v>
      </c>
      <c r="K1386" s="878" t="s">
        <v>1500</v>
      </c>
      <c r="L1386" s="879">
        <f>ROUND(SUM(ORÇAMENTO!L1386),2)</f>
        <v>0</v>
      </c>
      <c r="M1386" s="879">
        <f t="shared" si="378"/>
        <v>0</v>
      </c>
      <c r="N1386" s="868">
        <f t="shared" si="379"/>
        <v>0</v>
      </c>
      <c r="O1386" s="880"/>
      <c r="Q1386" s="317" t="str">
        <f t="shared" si="380"/>
        <v/>
      </c>
      <c r="R1386" s="317" t="str">
        <f t="shared" si="381"/>
        <v/>
      </c>
      <c r="S1386" s="317" t="str">
        <f t="shared" si="382"/>
        <v/>
      </c>
      <c r="V1386" s="314">
        <f>SUM(ORÇAMENTO!N1386)</f>
        <v>0</v>
      </c>
      <c r="W1386" s="315">
        <f t="shared" si="383"/>
        <v>0</v>
      </c>
    </row>
    <row r="1387" spans="1:23" ht="30" hidden="1" customHeight="1">
      <c r="A1387" s="63">
        <v>92001</v>
      </c>
      <c r="B1387" s="870">
        <v>92001</v>
      </c>
      <c r="C1387" s="871" t="s">
        <v>590</v>
      </c>
      <c r="D1387" s="881" t="s">
        <v>1297</v>
      </c>
      <c r="E1387" s="882"/>
      <c r="F1387" s="883"/>
      <c r="G1387" s="887"/>
      <c r="H1387" s="876">
        <v>34.979999999999997</v>
      </c>
      <c r="I1387" s="876">
        <f t="shared" si="376"/>
        <v>34.979999999999997</v>
      </c>
      <c r="J1387" s="877">
        <f t="shared" si="377"/>
        <v>42.75</v>
      </c>
      <c r="K1387" s="878" t="s">
        <v>1500</v>
      </c>
      <c r="L1387" s="879">
        <f>ROUND(SUM(ORÇAMENTO!L1387),2)</f>
        <v>0</v>
      </c>
      <c r="M1387" s="879">
        <f t="shared" si="378"/>
        <v>0</v>
      </c>
      <c r="N1387" s="868">
        <f t="shared" si="379"/>
        <v>0</v>
      </c>
      <c r="O1387" s="880"/>
      <c r="Q1387" s="317" t="str">
        <f t="shared" si="380"/>
        <v/>
      </c>
      <c r="R1387" s="317" t="str">
        <f t="shared" si="381"/>
        <v/>
      </c>
      <c r="S1387" s="317" t="str">
        <f t="shared" si="382"/>
        <v/>
      </c>
      <c r="V1387" s="314">
        <f>SUM(ORÇAMENTO!N1387)</f>
        <v>0</v>
      </c>
      <c r="W1387" s="315">
        <f t="shared" si="383"/>
        <v>0</v>
      </c>
    </row>
    <row r="1388" spans="1:23" ht="30" hidden="1" customHeight="1">
      <c r="A1388" s="63">
        <v>92002</v>
      </c>
      <c r="B1388" s="870">
        <v>92002</v>
      </c>
      <c r="C1388" s="871" t="s">
        <v>590</v>
      </c>
      <c r="D1388" s="881" t="s">
        <v>1298</v>
      </c>
      <c r="E1388" s="882"/>
      <c r="F1388" s="883"/>
      <c r="G1388" s="887"/>
      <c r="H1388" s="876">
        <v>51.51</v>
      </c>
      <c r="I1388" s="876">
        <f t="shared" si="376"/>
        <v>51.51</v>
      </c>
      <c r="J1388" s="877">
        <f t="shared" si="377"/>
        <v>62.96</v>
      </c>
      <c r="K1388" s="878" t="s">
        <v>1500</v>
      </c>
      <c r="L1388" s="879">
        <f>ROUND(SUM(ORÇAMENTO!L1388),2)</f>
        <v>0</v>
      </c>
      <c r="M1388" s="879">
        <f t="shared" si="378"/>
        <v>0</v>
      </c>
      <c r="N1388" s="868">
        <f t="shared" si="379"/>
        <v>0</v>
      </c>
      <c r="O1388" s="880"/>
      <c r="Q1388" s="317" t="str">
        <f t="shared" si="380"/>
        <v/>
      </c>
      <c r="R1388" s="317" t="str">
        <f t="shared" si="381"/>
        <v/>
      </c>
      <c r="S1388" s="317" t="str">
        <f t="shared" si="382"/>
        <v/>
      </c>
      <c r="V1388" s="314">
        <f>SUM(ORÇAMENTO!N1388)</f>
        <v>0</v>
      </c>
      <c r="W1388" s="315">
        <f t="shared" si="383"/>
        <v>0</v>
      </c>
    </row>
    <row r="1389" spans="1:23" ht="30" hidden="1" customHeight="1">
      <c r="A1389" s="63">
        <v>92003</v>
      </c>
      <c r="B1389" s="870">
        <v>92003</v>
      </c>
      <c r="C1389" s="871" t="s">
        <v>590</v>
      </c>
      <c r="D1389" s="881" t="s">
        <v>1299</v>
      </c>
      <c r="E1389" s="882"/>
      <c r="F1389" s="883"/>
      <c r="G1389" s="887"/>
      <c r="H1389" s="876">
        <v>56.61</v>
      </c>
      <c r="I1389" s="876">
        <f t="shared" si="376"/>
        <v>56.61</v>
      </c>
      <c r="J1389" s="877">
        <f t="shared" si="377"/>
        <v>69.19</v>
      </c>
      <c r="K1389" s="878" t="s">
        <v>1500</v>
      </c>
      <c r="L1389" s="879">
        <f>ROUND(SUM(ORÇAMENTO!L1389),2)</f>
        <v>0</v>
      </c>
      <c r="M1389" s="879">
        <f t="shared" si="378"/>
        <v>0</v>
      </c>
      <c r="N1389" s="868">
        <f t="shared" si="379"/>
        <v>0</v>
      </c>
      <c r="O1389" s="880"/>
      <c r="Q1389" s="317" t="str">
        <f t="shared" si="380"/>
        <v/>
      </c>
      <c r="R1389" s="317" t="str">
        <f t="shared" si="381"/>
        <v/>
      </c>
      <c r="S1389" s="317" t="str">
        <f t="shared" si="382"/>
        <v/>
      </c>
      <c r="V1389" s="314">
        <f>SUM(ORÇAMENTO!N1389)</f>
        <v>0</v>
      </c>
      <c r="W1389" s="315">
        <f t="shared" si="383"/>
        <v>0</v>
      </c>
    </row>
    <row r="1390" spans="1:23" ht="30" hidden="1" customHeight="1">
      <c r="A1390" s="63">
        <v>92004</v>
      </c>
      <c r="B1390" s="870">
        <v>92004</v>
      </c>
      <c r="C1390" s="871" t="s">
        <v>590</v>
      </c>
      <c r="D1390" s="881" t="s">
        <v>1300</v>
      </c>
      <c r="E1390" s="882"/>
      <c r="F1390" s="883"/>
      <c r="G1390" s="887"/>
      <c r="H1390" s="876">
        <v>60.74</v>
      </c>
      <c r="I1390" s="876">
        <f t="shared" si="376"/>
        <v>60.74</v>
      </c>
      <c r="J1390" s="877">
        <f t="shared" si="377"/>
        <v>74.239999999999995</v>
      </c>
      <c r="K1390" s="878" t="s">
        <v>1500</v>
      </c>
      <c r="L1390" s="879">
        <f>ROUND(SUM(ORÇAMENTO!L1390),2)</f>
        <v>0</v>
      </c>
      <c r="M1390" s="879">
        <f t="shared" si="378"/>
        <v>0</v>
      </c>
      <c r="N1390" s="868">
        <f t="shared" si="379"/>
        <v>0</v>
      </c>
      <c r="O1390" s="880"/>
      <c r="Q1390" s="317" t="str">
        <f t="shared" si="380"/>
        <v/>
      </c>
      <c r="R1390" s="317" t="str">
        <f t="shared" si="381"/>
        <v/>
      </c>
      <c r="S1390" s="317" t="str">
        <f t="shared" si="382"/>
        <v/>
      </c>
      <c r="V1390" s="314">
        <f>SUM(ORÇAMENTO!N1390)</f>
        <v>0</v>
      </c>
      <c r="W1390" s="315">
        <f t="shared" si="383"/>
        <v>0</v>
      </c>
    </row>
    <row r="1391" spans="1:23" ht="30" hidden="1" customHeight="1">
      <c r="A1391" s="63">
        <v>92005</v>
      </c>
      <c r="B1391" s="870">
        <v>92005</v>
      </c>
      <c r="C1391" s="871" t="s">
        <v>590</v>
      </c>
      <c r="D1391" s="881" t="s">
        <v>1301</v>
      </c>
      <c r="E1391" s="882"/>
      <c r="F1391" s="883"/>
      <c r="G1391" s="887"/>
      <c r="H1391" s="876">
        <v>65.84</v>
      </c>
      <c r="I1391" s="876">
        <f t="shared" si="376"/>
        <v>65.84</v>
      </c>
      <c r="J1391" s="877">
        <f t="shared" si="377"/>
        <v>80.47</v>
      </c>
      <c r="K1391" s="878" t="s">
        <v>1500</v>
      </c>
      <c r="L1391" s="879">
        <f>ROUND(SUM(ORÇAMENTO!L1391),2)</f>
        <v>0</v>
      </c>
      <c r="M1391" s="879">
        <f t="shared" si="378"/>
        <v>0</v>
      </c>
      <c r="N1391" s="868">
        <f t="shared" si="379"/>
        <v>0</v>
      </c>
      <c r="O1391" s="880"/>
      <c r="Q1391" s="317" t="str">
        <f t="shared" si="380"/>
        <v/>
      </c>
      <c r="R1391" s="317" t="str">
        <f t="shared" si="381"/>
        <v/>
      </c>
      <c r="S1391" s="317" t="str">
        <f t="shared" si="382"/>
        <v/>
      </c>
      <c r="V1391" s="314">
        <f>SUM(ORÇAMENTO!N1391)</f>
        <v>0</v>
      </c>
      <c r="W1391" s="315">
        <f t="shared" si="383"/>
        <v>0</v>
      </c>
    </row>
    <row r="1392" spans="1:23" ht="30" hidden="1" customHeight="1">
      <c r="A1392" s="63">
        <v>92006</v>
      </c>
      <c r="B1392" s="870">
        <v>92006</v>
      </c>
      <c r="C1392" s="871" t="s">
        <v>590</v>
      </c>
      <c r="D1392" s="881" t="s">
        <v>1302</v>
      </c>
      <c r="E1392" s="882"/>
      <c r="F1392" s="883"/>
      <c r="G1392" s="887"/>
      <c r="H1392" s="876">
        <v>42.75</v>
      </c>
      <c r="I1392" s="876">
        <f t="shared" si="376"/>
        <v>42.75</v>
      </c>
      <c r="J1392" s="877">
        <f t="shared" si="377"/>
        <v>52.25</v>
      </c>
      <c r="K1392" s="878" t="s">
        <v>1500</v>
      </c>
      <c r="L1392" s="879">
        <f>ROUND(SUM(ORÇAMENTO!L1392),2)</f>
        <v>0</v>
      </c>
      <c r="M1392" s="879">
        <f t="shared" si="378"/>
        <v>0</v>
      </c>
      <c r="N1392" s="868">
        <f t="shared" si="379"/>
        <v>0</v>
      </c>
      <c r="O1392" s="880"/>
      <c r="Q1392" s="317" t="str">
        <f t="shared" si="380"/>
        <v/>
      </c>
      <c r="R1392" s="317" t="str">
        <f t="shared" si="381"/>
        <v/>
      </c>
      <c r="S1392" s="317" t="str">
        <f t="shared" si="382"/>
        <v/>
      </c>
      <c r="V1392" s="314">
        <f>SUM(ORÇAMENTO!N1392)</f>
        <v>0</v>
      </c>
      <c r="W1392" s="315">
        <f t="shared" si="383"/>
        <v>0</v>
      </c>
    </row>
    <row r="1393" spans="1:23" ht="30" hidden="1" customHeight="1">
      <c r="A1393" s="63">
        <v>92007</v>
      </c>
      <c r="B1393" s="870">
        <v>92007</v>
      </c>
      <c r="C1393" s="871" t="s">
        <v>590</v>
      </c>
      <c r="D1393" s="881" t="s">
        <v>1303</v>
      </c>
      <c r="E1393" s="882"/>
      <c r="F1393" s="883"/>
      <c r="G1393" s="887"/>
      <c r="H1393" s="876">
        <v>47.85</v>
      </c>
      <c r="I1393" s="876">
        <f t="shared" si="376"/>
        <v>47.85</v>
      </c>
      <c r="J1393" s="877">
        <f t="shared" si="377"/>
        <v>58.48</v>
      </c>
      <c r="K1393" s="878" t="s">
        <v>1500</v>
      </c>
      <c r="L1393" s="879">
        <f>ROUND(SUM(ORÇAMENTO!L1393),2)</f>
        <v>0</v>
      </c>
      <c r="M1393" s="879">
        <f t="shared" si="378"/>
        <v>0</v>
      </c>
      <c r="N1393" s="868">
        <f t="shared" si="379"/>
        <v>0</v>
      </c>
      <c r="O1393" s="880"/>
      <c r="Q1393" s="317" t="str">
        <f t="shared" si="380"/>
        <v/>
      </c>
      <c r="R1393" s="317" t="str">
        <f t="shared" si="381"/>
        <v/>
      </c>
      <c r="S1393" s="317" t="str">
        <f t="shared" si="382"/>
        <v/>
      </c>
      <c r="V1393" s="314">
        <f>SUM(ORÇAMENTO!N1393)</f>
        <v>0</v>
      </c>
      <c r="W1393" s="315">
        <f t="shared" si="383"/>
        <v>0</v>
      </c>
    </row>
    <row r="1394" spans="1:23" ht="30" hidden="1" customHeight="1">
      <c r="A1394" s="63">
        <v>92008</v>
      </c>
      <c r="B1394" s="870">
        <v>92008</v>
      </c>
      <c r="C1394" s="871" t="s">
        <v>590</v>
      </c>
      <c r="D1394" s="881" t="s">
        <v>1304</v>
      </c>
      <c r="E1394" s="882"/>
      <c r="F1394" s="883"/>
      <c r="G1394" s="887"/>
      <c r="H1394" s="876">
        <v>51.98</v>
      </c>
      <c r="I1394" s="876">
        <f t="shared" si="376"/>
        <v>51.98</v>
      </c>
      <c r="J1394" s="877">
        <f t="shared" si="377"/>
        <v>63.53</v>
      </c>
      <c r="K1394" s="878" t="s">
        <v>1500</v>
      </c>
      <c r="L1394" s="879">
        <f>ROUND(SUM(ORÇAMENTO!L1394),2)</f>
        <v>0</v>
      </c>
      <c r="M1394" s="879">
        <f t="shared" si="378"/>
        <v>0</v>
      </c>
      <c r="N1394" s="868">
        <f t="shared" si="379"/>
        <v>0</v>
      </c>
      <c r="O1394" s="880"/>
      <c r="Q1394" s="317" t="str">
        <f t="shared" si="380"/>
        <v/>
      </c>
      <c r="R1394" s="317" t="str">
        <f t="shared" si="381"/>
        <v/>
      </c>
      <c r="S1394" s="317" t="str">
        <f t="shared" si="382"/>
        <v/>
      </c>
      <c r="V1394" s="314">
        <f>SUM(ORÇAMENTO!N1394)</f>
        <v>0</v>
      </c>
      <c r="W1394" s="315">
        <f t="shared" si="383"/>
        <v>0</v>
      </c>
    </row>
    <row r="1395" spans="1:23" ht="30" hidden="1" customHeight="1">
      <c r="A1395" s="63">
        <v>92009</v>
      </c>
      <c r="B1395" s="870">
        <v>92009</v>
      </c>
      <c r="C1395" s="871" t="s">
        <v>590</v>
      </c>
      <c r="D1395" s="881" t="s">
        <v>1305</v>
      </c>
      <c r="E1395" s="882"/>
      <c r="F1395" s="883"/>
      <c r="G1395" s="887"/>
      <c r="H1395" s="876">
        <v>57.08</v>
      </c>
      <c r="I1395" s="876">
        <f t="shared" si="376"/>
        <v>57.08</v>
      </c>
      <c r="J1395" s="877">
        <f t="shared" si="377"/>
        <v>69.760000000000005</v>
      </c>
      <c r="K1395" s="878" t="s">
        <v>1500</v>
      </c>
      <c r="L1395" s="879">
        <f>ROUND(SUM(ORÇAMENTO!L1395),2)</f>
        <v>0</v>
      </c>
      <c r="M1395" s="879">
        <f t="shared" si="378"/>
        <v>0</v>
      </c>
      <c r="N1395" s="868">
        <f t="shared" si="379"/>
        <v>0</v>
      </c>
      <c r="O1395" s="880"/>
      <c r="Q1395" s="317" t="str">
        <f t="shared" si="380"/>
        <v/>
      </c>
      <c r="R1395" s="317" t="str">
        <f t="shared" si="381"/>
        <v/>
      </c>
      <c r="S1395" s="317" t="str">
        <f t="shared" si="382"/>
        <v/>
      </c>
      <c r="V1395" s="314">
        <f>SUM(ORÇAMENTO!N1395)</f>
        <v>0</v>
      </c>
      <c r="W1395" s="315">
        <f t="shared" si="383"/>
        <v>0</v>
      </c>
    </row>
    <row r="1396" spans="1:23" ht="30" hidden="1" customHeight="1">
      <c r="A1396" s="63">
        <v>92010</v>
      </c>
      <c r="B1396" s="870">
        <v>92010</v>
      </c>
      <c r="C1396" s="871" t="s">
        <v>590</v>
      </c>
      <c r="D1396" s="881" t="s">
        <v>1306</v>
      </c>
      <c r="E1396" s="882"/>
      <c r="F1396" s="883"/>
      <c r="G1396" s="887"/>
      <c r="H1396" s="876">
        <v>75.45</v>
      </c>
      <c r="I1396" s="876">
        <f t="shared" si="376"/>
        <v>75.45</v>
      </c>
      <c r="J1396" s="877">
        <f t="shared" si="377"/>
        <v>92.21</v>
      </c>
      <c r="K1396" s="878" t="s">
        <v>1500</v>
      </c>
      <c r="L1396" s="879">
        <f>ROUND(SUM(ORÇAMENTO!L1396),2)</f>
        <v>0</v>
      </c>
      <c r="M1396" s="879">
        <f t="shared" si="378"/>
        <v>0</v>
      </c>
      <c r="N1396" s="868">
        <f t="shared" si="379"/>
        <v>0</v>
      </c>
      <c r="O1396" s="880"/>
      <c r="Q1396" s="317" t="str">
        <f t="shared" si="380"/>
        <v/>
      </c>
      <c r="R1396" s="317" t="str">
        <f t="shared" si="381"/>
        <v/>
      </c>
      <c r="S1396" s="317" t="str">
        <f t="shared" si="382"/>
        <v/>
      </c>
      <c r="V1396" s="314">
        <f>SUM(ORÇAMENTO!N1396)</f>
        <v>0</v>
      </c>
      <c r="W1396" s="315">
        <f t="shared" si="383"/>
        <v>0</v>
      </c>
    </row>
    <row r="1397" spans="1:23" ht="30" hidden="1" customHeight="1">
      <c r="A1397" s="63">
        <v>92011</v>
      </c>
      <c r="B1397" s="870">
        <v>92011</v>
      </c>
      <c r="C1397" s="871" t="s">
        <v>590</v>
      </c>
      <c r="D1397" s="881" t="s">
        <v>1307</v>
      </c>
      <c r="E1397" s="882"/>
      <c r="F1397" s="883"/>
      <c r="G1397" s="887"/>
      <c r="H1397" s="876">
        <v>83.1</v>
      </c>
      <c r="I1397" s="876">
        <f t="shared" si="376"/>
        <v>83.1</v>
      </c>
      <c r="J1397" s="877">
        <f t="shared" si="377"/>
        <v>101.56</v>
      </c>
      <c r="K1397" s="878" t="s">
        <v>1500</v>
      </c>
      <c r="L1397" s="879">
        <f>ROUND(SUM(ORÇAMENTO!L1397),2)</f>
        <v>0</v>
      </c>
      <c r="M1397" s="879">
        <f t="shared" si="378"/>
        <v>0</v>
      </c>
      <c r="N1397" s="868">
        <f t="shared" si="379"/>
        <v>0</v>
      </c>
      <c r="O1397" s="880"/>
      <c r="Q1397" s="317" t="str">
        <f t="shared" si="380"/>
        <v/>
      </c>
      <c r="R1397" s="317" t="str">
        <f t="shared" si="381"/>
        <v/>
      </c>
      <c r="S1397" s="317" t="str">
        <f t="shared" si="382"/>
        <v/>
      </c>
      <c r="V1397" s="314">
        <f>SUM(ORÇAMENTO!N1397)</f>
        <v>0</v>
      </c>
      <c r="W1397" s="315">
        <f t="shared" si="383"/>
        <v>0</v>
      </c>
    </row>
    <row r="1398" spans="1:23" ht="30" hidden="1" customHeight="1">
      <c r="A1398" s="63">
        <v>92012</v>
      </c>
      <c r="B1398" s="870">
        <v>92012</v>
      </c>
      <c r="C1398" s="871" t="s">
        <v>590</v>
      </c>
      <c r="D1398" s="881" t="s">
        <v>1308</v>
      </c>
      <c r="E1398" s="882"/>
      <c r="F1398" s="883"/>
      <c r="G1398" s="887"/>
      <c r="H1398" s="876">
        <v>84.68</v>
      </c>
      <c r="I1398" s="876">
        <f t="shared" si="376"/>
        <v>84.68</v>
      </c>
      <c r="J1398" s="877">
        <f t="shared" si="377"/>
        <v>103.5</v>
      </c>
      <c r="K1398" s="878" t="s">
        <v>1500</v>
      </c>
      <c r="L1398" s="879">
        <f>ROUND(SUM(ORÇAMENTO!L1398),2)</f>
        <v>0</v>
      </c>
      <c r="M1398" s="879">
        <f t="shared" si="378"/>
        <v>0</v>
      </c>
      <c r="N1398" s="868">
        <f t="shared" si="379"/>
        <v>0</v>
      </c>
      <c r="O1398" s="880"/>
      <c r="Q1398" s="317" t="str">
        <f t="shared" si="380"/>
        <v/>
      </c>
      <c r="R1398" s="317" t="str">
        <f t="shared" si="381"/>
        <v/>
      </c>
      <c r="S1398" s="317" t="str">
        <f t="shared" si="382"/>
        <v/>
      </c>
      <c r="V1398" s="314">
        <f>SUM(ORÇAMENTO!N1398)</f>
        <v>0</v>
      </c>
      <c r="W1398" s="315">
        <f t="shared" si="383"/>
        <v>0</v>
      </c>
    </row>
    <row r="1399" spans="1:23" ht="30" hidden="1" customHeight="1">
      <c r="A1399" s="63">
        <v>92013</v>
      </c>
      <c r="B1399" s="870">
        <v>92013</v>
      </c>
      <c r="C1399" s="871" t="s">
        <v>590</v>
      </c>
      <c r="D1399" s="881" t="s">
        <v>1309</v>
      </c>
      <c r="E1399" s="882"/>
      <c r="F1399" s="883"/>
      <c r="G1399" s="887"/>
      <c r="H1399" s="876">
        <v>92.33</v>
      </c>
      <c r="I1399" s="876">
        <f t="shared" si="376"/>
        <v>92.33</v>
      </c>
      <c r="J1399" s="877">
        <f t="shared" si="377"/>
        <v>112.85</v>
      </c>
      <c r="K1399" s="878" t="s">
        <v>1500</v>
      </c>
      <c r="L1399" s="879">
        <f>ROUND(SUM(ORÇAMENTO!L1399),2)</f>
        <v>0</v>
      </c>
      <c r="M1399" s="879">
        <f t="shared" si="378"/>
        <v>0</v>
      </c>
      <c r="N1399" s="868">
        <f t="shared" si="379"/>
        <v>0</v>
      </c>
      <c r="O1399" s="880"/>
      <c r="Q1399" s="317" t="str">
        <f t="shared" si="380"/>
        <v/>
      </c>
      <c r="R1399" s="317" t="str">
        <f t="shared" si="381"/>
        <v/>
      </c>
      <c r="S1399" s="317" t="str">
        <f t="shared" si="382"/>
        <v/>
      </c>
      <c r="V1399" s="314">
        <f>SUM(ORÇAMENTO!N1399)</f>
        <v>0</v>
      </c>
      <c r="W1399" s="315">
        <f t="shared" si="383"/>
        <v>0</v>
      </c>
    </row>
    <row r="1400" spans="1:23" ht="30" hidden="1" customHeight="1">
      <c r="A1400" s="63">
        <v>92014</v>
      </c>
      <c r="B1400" s="870">
        <v>92014</v>
      </c>
      <c r="C1400" s="871" t="s">
        <v>590</v>
      </c>
      <c r="D1400" s="881" t="s">
        <v>1310</v>
      </c>
      <c r="E1400" s="882"/>
      <c r="F1400" s="883"/>
      <c r="G1400" s="887"/>
      <c r="H1400" s="876">
        <v>62.3</v>
      </c>
      <c r="I1400" s="876">
        <f t="shared" si="376"/>
        <v>62.3</v>
      </c>
      <c r="J1400" s="877">
        <f t="shared" si="377"/>
        <v>76.14</v>
      </c>
      <c r="K1400" s="878" t="s">
        <v>1500</v>
      </c>
      <c r="L1400" s="879">
        <f>ROUND(SUM(ORÇAMENTO!L1400),2)</f>
        <v>0</v>
      </c>
      <c r="M1400" s="879">
        <f t="shared" si="378"/>
        <v>0</v>
      </c>
      <c r="N1400" s="868">
        <f t="shared" si="379"/>
        <v>0</v>
      </c>
      <c r="O1400" s="880"/>
      <c r="Q1400" s="317" t="str">
        <f t="shared" si="380"/>
        <v/>
      </c>
      <c r="R1400" s="317" t="str">
        <f t="shared" si="381"/>
        <v/>
      </c>
      <c r="S1400" s="317" t="str">
        <f t="shared" si="382"/>
        <v/>
      </c>
      <c r="V1400" s="314">
        <f>SUM(ORÇAMENTO!N1400)</f>
        <v>0</v>
      </c>
      <c r="W1400" s="315">
        <f t="shared" si="383"/>
        <v>0</v>
      </c>
    </row>
    <row r="1401" spans="1:23" ht="30" hidden="1" customHeight="1">
      <c r="A1401" s="63">
        <v>92015</v>
      </c>
      <c r="B1401" s="870">
        <v>92015</v>
      </c>
      <c r="C1401" s="871" t="s">
        <v>590</v>
      </c>
      <c r="D1401" s="881" t="s">
        <v>1311</v>
      </c>
      <c r="E1401" s="882"/>
      <c r="F1401" s="883"/>
      <c r="G1401" s="887"/>
      <c r="H1401" s="876">
        <v>69.95</v>
      </c>
      <c r="I1401" s="876">
        <f t="shared" si="376"/>
        <v>69.95</v>
      </c>
      <c r="J1401" s="877">
        <f t="shared" si="377"/>
        <v>85.49</v>
      </c>
      <c r="K1401" s="878" t="s">
        <v>1500</v>
      </c>
      <c r="L1401" s="879">
        <f>ROUND(SUM(ORÇAMENTO!L1401),2)</f>
        <v>0</v>
      </c>
      <c r="M1401" s="879">
        <f t="shared" si="378"/>
        <v>0</v>
      </c>
      <c r="N1401" s="868">
        <f t="shared" si="379"/>
        <v>0</v>
      </c>
      <c r="O1401" s="880"/>
      <c r="Q1401" s="317" t="str">
        <f t="shared" si="380"/>
        <v/>
      </c>
      <c r="R1401" s="317" t="str">
        <f t="shared" si="381"/>
        <v/>
      </c>
      <c r="S1401" s="317" t="str">
        <f t="shared" si="382"/>
        <v/>
      </c>
      <c r="V1401" s="314">
        <f>SUM(ORÇAMENTO!N1401)</f>
        <v>0</v>
      </c>
      <c r="W1401" s="315">
        <f t="shared" si="383"/>
        <v>0</v>
      </c>
    </row>
    <row r="1402" spans="1:23" ht="30" hidden="1" customHeight="1">
      <c r="A1402" s="63">
        <v>92016</v>
      </c>
      <c r="B1402" s="870">
        <v>92016</v>
      </c>
      <c r="C1402" s="871" t="s">
        <v>590</v>
      </c>
      <c r="D1402" s="881" t="s">
        <v>1312</v>
      </c>
      <c r="E1402" s="882"/>
      <c r="F1402" s="883"/>
      <c r="G1402" s="887"/>
      <c r="H1402" s="876">
        <v>71.53</v>
      </c>
      <c r="I1402" s="876">
        <f t="shared" si="376"/>
        <v>71.53</v>
      </c>
      <c r="J1402" s="877">
        <f t="shared" si="377"/>
        <v>87.42</v>
      </c>
      <c r="K1402" s="878" t="s">
        <v>1500</v>
      </c>
      <c r="L1402" s="879">
        <f>ROUND(SUM(ORÇAMENTO!L1402),2)</f>
        <v>0</v>
      </c>
      <c r="M1402" s="879">
        <f t="shared" si="378"/>
        <v>0</v>
      </c>
      <c r="N1402" s="868">
        <f t="shared" si="379"/>
        <v>0</v>
      </c>
      <c r="O1402" s="880"/>
      <c r="Q1402" s="317" t="str">
        <f t="shared" si="380"/>
        <v/>
      </c>
      <c r="R1402" s="317" t="str">
        <f t="shared" si="381"/>
        <v/>
      </c>
      <c r="S1402" s="317" t="str">
        <f t="shared" si="382"/>
        <v/>
      </c>
      <c r="V1402" s="314">
        <f>SUM(ORÇAMENTO!N1402)</f>
        <v>0</v>
      </c>
      <c r="W1402" s="315">
        <f t="shared" si="383"/>
        <v>0</v>
      </c>
    </row>
    <row r="1403" spans="1:23" ht="30" hidden="1" customHeight="1">
      <c r="A1403" s="63">
        <v>92017</v>
      </c>
      <c r="B1403" s="870">
        <v>92017</v>
      </c>
      <c r="C1403" s="871" t="s">
        <v>590</v>
      </c>
      <c r="D1403" s="881" t="s">
        <v>1313</v>
      </c>
      <c r="E1403" s="882"/>
      <c r="F1403" s="883"/>
      <c r="G1403" s="887"/>
      <c r="H1403" s="876">
        <v>79.180000000000007</v>
      </c>
      <c r="I1403" s="876">
        <f t="shared" si="376"/>
        <v>79.180000000000007</v>
      </c>
      <c r="J1403" s="877">
        <f t="shared" si="377"/>
        <v>96.77</v>
      </c>
      <c r="K1403" s="878" t="s">
        <v>1500</v>
      </c>
      <c r="L1403" s="879">
        <f>ROUND(SUM(ORÇAMENTO!L1403),2)</f>
        <v>0</v>
      </c>
      <c r="M1403" s="879">
        <f t="shared" si="378"/>
        <v>0</v>
      </c>
      <c r="N1403" s="868">
        <f t="shared" si="379"/>
        <v>0</v>
      </c>
      <c r="O1403" s="880"/>
      <c r="Q1403" s="317" t="str">
        <f t="shared" si="380"/>
        <v/>
      </c>
      <c r="R1403" s="317" t="str">
        <f t="shared" si="381"/>
        <v/>
      </c>
      <c r="S1403" s="317" t="str">
        <f t="shared" si="382"/>
        <v/>
      </c>
      <c r="V1403" s="314">
        <f>SUM(ORÇAMENTO!N1403)</f>
        <v>0</v>
      </c>
      <c r="W1403" s="315">
        <f t="shared" si="383"/>
        <v>0</v>
      </c>
    </row>
    <row r="1404" spans="1:23" ht="30" hidden="1" customHeight="1">
      <c r="A1404" s="63">
        <v>92018</v>
      </c>
      <c r="B1404" s="870">
        <v>92018</v>
      </c>
      <c r="C1404" s="871" t="s">
        <v>590</v>
      </c>
      <c r="D1404" s="881" t="s">
        <v>1314</v>
      </c>
      <c r="E1404" s="882"/>
      <c r="F1404" s="883"/>
      <c r="G1404" s="887"/>
      <c r="H1404" s="876">
        <v>82.46</v>
      </c>
      <c r="I1404" s="876">
        <f t="shared" si="376"/>
        <v>82.46</v>
      </c>
      <c r="J1404" s="877">
        <f t="shared" si="377"/>
        <v>100.78</v>
      </c>
      <c r="K1404" s="878" t="s">
        <v>1500</v>
      </c>
      <c r="L1404" s="879">
        <f>ROUND(SUM(ORÇAMENTO!L1404),2)</f>
        <v>0</v>
      </c>
      <c r="M1404" s="879">
        <f t="shared" si="378"/>
        <v>0</v>
      </c>
      <c r="N1404" s="868">
        <f t="shared" si="379"/>
        <v>0</v>
      </c>
      <c r="O1404" s="880"/>
      <c r="Q1404" s="317" t="str">
        <f t="shared" si="380"/>
        <v/>
      </c>
      <c r="R1404" s="317" t="str">
        <f t="shared" si="381"/>
        <v/>
      </c>
      <c r="S1404" s="317" t="str">
        <f t="shared" si="382"/>
        <v/>
      </c>
      <c r="V1404" s="314">
        <f>SUM(ORÇAMENTO!N1404)</f>
        <v>0</v>
      </c>
      <c r="W1404" s="315">
        <f t="shared" si="383"/>
        <v>0</v>
      </c>
    </row>
    <row r="1405" spans="1:23" ht="30" hidden="1" customHeight="1">
      <c r="A1405" s="63">
        <v>92019</v>
      </c>
      <c r="B1405" s="870">
        <v>92019</v>
      </c>
      <c r="C1405" s="871" t="s">
        <v>590</v>
      </c>
      <c r="D1405" s="881" t="s">
        <v>1315</v>
      </c>
      <c r="E1405" s="882"/>
      <c r="F1405" s="883"/>
      <c r="G1405" s="887"/>
      <c r="H1405" s="876">
        <v>97.04</v>
      </c>
      <c r="I1405" s="876">
        <f t="shared" si="376"/>
        <v>97.04</v>
      </c>
      <c r="J1405" s="877">
        <f t="shared" si="377"/>
        <v>118.6</v>
      </c>
      <c r="K1405" s="878" t="s">
        <v>1500</v>
      </c>
      <c r="L1405" s="879">
        <f>ROUND(SUM(ORÇAMENTO!L1405),2)</f>
        <v>0</v>
      </c>
      <c r="M1405" s="879">
        <f t="shared" si="378"/>
        <v>0</v>
      </c>
      <c r="N1405" s="868">
        <f t="shared" si="379"/>
        <v>0</v>
      </c>
      <c r="O1405" s="880"/>
      <c r="Q1405" s="317" t="str">
        <f t="shared" si="380"/>
        <v/>
      </c>
      <c r="R1405" s="317" t="str">
        <f t="shared" si="381"/>
        <v/>
      </c>
      <c r="S1405" s="317" t="str">
        <f t="shared" si="382"/>
        <v/>
      </c>
      <c r="V1405" s="314">
        <f>SUM(ORÇAMENTO!N1405)</f>
        <v>0</v>
      </c>
      <c r="W1405" s="315">
        <f t="shared" si="383"/>
        <v>0</v>
      </c>
    </row>
    <row r="1406" spans="1:23" ht="30" hidden="1" customHeight="1">
      <c r="A1406" s="63">
        <v>92020</v>
      </c>
      <c r="B1406" s="870">
        <v>92020</v>
      </c>
      <c r="C1406" s="871" t="s">
        <v>590</v>
      </c>
      <c r="D1406" s="881" t="s">
        <v>1316</v>
      </c>
      <c r="E1406" s="882"/>
      <c r="F1406" s="883"/>
      <c r="G1406" s="887"/>
      <c r="H1406" s="876">
        <v>121.86</v>
      </c>
      <c r="I1406" s="876">
        <f t="shared" si="376"/>
        <v>121.86</v>
      </c>
      <c r="J1406" s="877">
        <f t="shared" si="377"/>
        <v>148.94</v>
      </c>
      <c r="K1406" s="878" t="s">
        <v>1500</v>
      </c>
      <c r="L1406" s="879">
        <f>ROUND(SUM(ORÇAMENTO!L1406),2)</f>
        <v>0</v>
      </c>
      <c r="M1406" s="879">
        <f t="shared" si="378"/>
        <v>0</v>
      </c>
      <c r="N1406" s="868">
        <f t="shared" si="379"/>
        <v>0</v>
      </c>
      <c r="O1406" s="880"/>
      <c r="Q1406" s="317" t="str">
        <f t="shared" si="380"/>
        <v/>
      </c>
      <c r="R1406" s="317" t="str">
        <f t="shared" si="381"/>
        <v/>
      </c>
      <c r="S1406" s="317" t="str">
        <f t="shared" si="382"/>
        <v/>
      </c>
      <c r="V1406" s="314">
        <f>SUM(ORÇAMENTO!N1406)</f>
        <v>0</v>
      </c>
      <c r="W1406" s="315">
        <f t="shared" si="383"/>
        <v>0</v>
      </c>
    </row>
    <row r="1407" spans="1:23" ht="30" hidden="1" customHeight="1">
      <c r="A1407" s="63">
        <v>92021</v>
      </c>
      <c r="B1407" s="870">
        <v>92021</v>
      </c>
      <c r="C1407" s="871" t="s">
        <v>590</v>
      </c>
      <c r="D1407" s="881" t="s">
        <v>1317</v>
      </c>
      <c r="E1407" s="882"/>
      <c r="F1407" s="883"/>
      <c r="G1407" s="887"/>
      <c r="H1407" s="876">
        <v>136.44</v>
      </c>
      <c r="I1407" s="876">
        <f t="shared" si="376"/>
        <v>136.44</v>
      </c>
      <c r="J1407" s="877">
        <f t="shared" si="377"/>
        <v>166.76</v>
      </c>
      <c r="K1407" s="878" t="s">
        <v>1500</v>
      </c>
      <c r="L1407" s="879">
        <f>ROUND(SUM(ORÇAMENTO!L1407),2)</f>
        <v>0</v>
      </c>
      <c r="M1407" s="879">
        <f t="shared" si="378"/>
        <v>0</v>
      </c>
      <c r="N1407" s="868">
        <f t="shared" si="379"/>
        <v>0</v>
      </c>
      <c r="O1407" s="880"/>
      <c r="Q1407" s="317" t="str">
        <f t="shared" si="380"/>
        <v/>
      </c>
      <c r="R1407" s="317" t="str">
        <f t="shared" si="381"/>
        <v/>
      </c>
      <c r="S1407" s="317" t="str">
        <f t="shared" si="382"/>
        <v/>
      </c>
      <c r="V1407" s="314">
        <f>SUM(ORÇAMENTO!N1407)</f>
        <v>0</v>
      </c>
      <c r="W1407" s="315">
        <f t="shared" si="383"/>
        <v>0</v>
      </c>
    </row>
    <row r="1408" spans="1:23" ht="30" hidden="1" customHeight="1">
      <c r="A1408" s="63">
        <v>93141</v>
      </c>
      <c r="B1408" s="870">
        <v>93141</v>
      </c>
      <c r="C1408" s="871" t="s">
        <v>590</v>
      </c>
      <c r="D1408" s="881" t="s">
        <v>1318</v>
      </c>
      <c r="E1408" s="882"/>
      <c r="F1408" s="883"/>
      <c r="G1408" s="887"/>
      <c r="H1408" s="876">
        <v>200.2</v>
      </c>
      <c r="I1408" s="876">
        <f t="shared" si="376"/>
        <v>200.2</v>
      </c>
      <c r="J1408" s="877">
        <f t="shared" si="377"/>
        <v>244.68</v>
      </c>
      <c r="K1408" s="878" t="s">
        <v>1500</v>
      </c>
      <c r="L1408" s="879">
        <f>ROUND(SUM(ORÇAMENTO!L1408),2)</f>
        <v>0</v>
      </c>
      <c r="M1408" s="879">
        <f t="shared" si="378"/>
        <v>0</v>
      </c>
      <c r="N1408" s="868">
        <f t="shared" si="379"/>
        <v>0</v>
      </c>
      <c r="O1408" s="880"/>
      <c r="Q1408" s="317" t="str">
        <f t="shared" si="380"/>
        <v/>
      </c>
      <c r="R1408" s="317" t="str">
        <f t="shared" si="381"/>
        <v/>
      </c>
      <c r="S1408" s="317" t="str">
        <f t="shared" si="382"/>
        <v/>
      </c>
      <c r="V1408" s="314">
        <f>SUM(ORÇAMENTO!N1408)</f>
        <v>0</v>
      </c>
      <c r="W1408" s="315">
        <f t="shared" si="383"/>
        <v>0</v>
      </c>
    </row>
    <row r="1409" spans="1:23" ht="30" hidden="1" customHeight="1">
      <c r="A1409" s="63">
        <v>93142</v>
      </c>
      <c r="B1409" s="870">
        <v>93142</v>
      </c>
      <c r="C1409" s="871" t="s">
        <v>590</v>
      </c>
      <c r="D1409" s="881" t="s">
        <v>1319</v>
      </c>
      <c r="E1409" s="882"/>
      <c r="F1409" s="883"/>
      <c r="G1409" s="887"/>
      <c r="H1409" s="876">
        <v>224.18</v>
      </c>
      <c r="I1409" s="876">
        <f t="shared" si="376"/>
        <v>224.18</v>
      </c>
      <c r="J1409" s="877">
        <f t="shared" si="377"/>
        <v>273.99</v>
      </c>
      <c r="K1409" s="878" t="s">
        <v>1500</v>
      </c>
      <c r="L1409" s="879">
        <f>ROUND(SUM(ORÇAMENTO!L1409),2)</f>
        <v>0</v>
      </c>
      <c r="M1409" s="879">
        <f t="shared" si="378"/>
        <v>0</v>
      </c>
      <c r="N1409" s="868">
        <f t="shared" si="379"/>
        <v>0</v>
      </c>
      <c r="O1409" s="880"/>
      <c r="Q1409" s="317" t="str">
        <f t="shared" si="380"/>
        <v/>
      </c>
      <c r="R1409" s="317" t="str">
        <f t="shared" si="381"/>
        <v/>
      </c>
      <c r="S1409" s="317" t="str">
        <f t="shared" si="382"/>
        <v/>
      </c>
      <c r="V1409" s="314">
        <f>SUM(ORÇAMENTO!N1409)</f>
        <v>0</v>
      </c>
      <c r="W1409" s="315">
        <f t="shared" si="383"/>
        <v>0</v>
      </c>
    </row>
    <row r="1410" spans="1:23" ht="30" hidden="1" customHeight="1">
      <c r="A1410" s="63">
        <v>93143</v>
      </c>
      <c r="B1410" s="870">
        <v>93143</v>
      </c>
      <c r="C1410" s="871" t="s">
        <v>590</v>
      </c>
      <c r="D1410" s="881" t="s">
        <v>1320</v>
      </c>
      <c r="E1410" s="882"/>
      <c r="F1410" s="883"/>
      <c r="G1410" s="887"/>
      <c r="H1410" s="876">
        <v>203.26</v>
      </c>
      <c r="I1410" s="876">
        <f t="shared" si="376"/>
        <v>203.26</v>
      </c>
      <c r="J1410" s="877">
        <f t="shared" si="377"/>
        <v>248.42</v>
      </c>
      <c r="K1410" s="878" t="s">
        <v>1500</v>
      </c>
      <c r="L1410" s="879">
        <f>ROUND(SUM(ORÇAMENTO!L1410),2)</f>
        <v>0</v>
      </c>
      <c r="M1410" s="879">
        <f t="shared" si="378"/>
        <v>0</v>
      </c>
      <c r="N1410" s="868">
        <f t="shared" si="379"/>
        <v>0</v>
      </c>
      <c r="O1410" s="880"/>
      <c r="Q1410" s="317" t="str">
        <f t="shared" si="380"/>
        <v/>
      </c>
      <c r="R1410" s="317" t="str">
        <f t="shared" si="381"/>
        <v/>
      </c>
      <c r="S1410" s="317" t="str">
        <f t="shared" si="382"/>
        <v/>
      </c>
      <c r="V1410" s="314">
        <f>SUM(ORÇAMENTO!N1410)</f>
        <v>0</v>
      </c>
      <c r="W1410" s="315">
        <f t="shared" si="383"/>
        <v>0</v>
      </c>
    </row>
    <row r="1411" spans="1:23" ht="34.5" hidden="1" thickBot="1">
      <c r="A1411" s="63">
        <v>93144</v>
      </c>
      <c r="B1411" s="870">
        <v>93144</v>
      </c>
      <c r="C1411" s="871" t="s">
        <v>590</v>
      </c>
      <c r="D1411" s="881" t="s">
        <v>1321</v>
      </c>
      <c r="E1411" s="882"/>
      <c r="F1411" s="883"/>
      <c r="G1411" s="887"/>
      <c r="H1411" s="876">
        <v>258.51</v>
      </c>
      <c r="I1411" s="876">
        <f t="shared" si="376"/>
        <v>258.51</v>
      </c>
      <c r="J1411" s="877">
        <f t="shared" si="377"/>
        <v>315.95</v>
      </c>
      <c r="K1411" s="878" t="s">
        <v>1500</v>
      </c>
      <c r="L1411" s="879">
        <f>ROUND(SUM(ORÇAMENTO!L1411),2)</f>
        <v>0</v>
      </c>
      <c r="M1411" s="879">
        <f t="shared" si="378"/>
        <v>0</v>
      </c>
      <c r="N1411" s="868">
        <f t="shared" si="379"/>
        <v>0</v>
      </c>
      <c r="O1411" s="880"/>
      <c r="Q1411" s="317" t="str">
        <f t="shared" si="380"/>
        <v/>
      </c>
      <c r="R1411" s="317" t="str">
        <f t="shared" si="381"/>
        <v/>
      </c>
      <c r="S1411" s="317" t="str">
        <f t="shared" si="382"/>
        <v/>
      </c>
      <c r="V1411" s="314">
        <f>SUM(ORÇAMENTO!N1411)</f>
        <v>0</v>
      </c>
      <c r="W1411" s="315">
        <f t="shared" si="383"/>
        <v>0</v>
      </c>
    </row>
    <row r="1412" spans="1:23" ht="34.5" hidden="1" thickBot="1">
      <c r="A1412" s="63">
        <v>93145</v>
      </c>
      <c r="B1412" s="870">
        <v>93145</v>
      </c>
      <c r="C1412" s="871" t="s">
        <v>590</v>
      </c>
      <c r="D1412" s="881" t="s">
        <v>1322</v>
      </c>
      <c r="E1412" s="882"/>
      <c r="F1412" s="883"/>
      <c r="G1412" s="887"/>
      <c r="H1412" s="876">
        <v>243.22</v>
      </c>
      <c r="I1412" s="876">
        <f t="shared" ref="I1412:I1473" si="384">IF(ISBLANK(H1412),"",SUM(G1412:H1412))</f>
        <v>243.22</v>
      </c>
      <c r="J1412" s="877">
        <f t="shared" si="377"/>
        <v>297.26</v>
      </c>
      <c r="K1412" s="878" t="s">
        <v>1500</v>
      </c>
      <c r="L1412" s="879">
        <f>ROUND(SUM(ORÇAMENTO!L1412),2)</f>
        <v>0</v>
      </c>
      <c r="M1412" s="879">
        <f t="shared" si="378"/>
        <v>0</v>
      </c>
      <c r="N1412" s="868">
        <f t="shared" si="379"/>
        <v>0</v>
      </c>
      <c r="O1412" s="880"/>
      <c r="Q1412" s="317" t="str">
        <f t="shared" si="380"/>
        <v/>
      </c>
      <c r="R1412" s="317" t="str">
        <f t="shared" si="381"/>
        <v/>
      </c>
      <c r="S1412" s="317" t="str">
        <f t="shared" si="382"/>
        <v/>
      </c>
      <c r="V1412" s="314">
        <f>SUM(ORÇAMENTO!N1412)</f>
        <v>0</v>
      </c>
      <c r="W1412" s="315">
        <f t="shared" si="383"/>
        <v>0</v>
      </c>
    </row>
    <row r="1413" spans="1:23" ht="34.5" hidden="1" thickBot="1">
      <c r="A1413" s="63">
        <v>93146</v>
      </c>
      <c r="B1413" s="870">
        <v>93146</v>
      </c>
      <c r="C1413" s="871" t="s">
        <v>590</v>
      </c>
      <c r="D1413" s="881" t="s">
        <v>1323</v>
      </c>
      <c r="E1413" s="882"/>
      <c r="F1413" s="883"/>
      <c r="G1413" s="887"/>
      <c r="H1413" s="876">
        <v>262.87</v>
      </c>
      <c r="I1413" s="876">
        <f t="shared" si="384"/>
        <v>262.87</v>
      </c>
      <c r="J1413" s="877">
        <f t="shared" si="377"/>
        <v>321.27999999999997</v>
      </c>
      <c r="K1413" s="878" t="s">
        <v>1500</v>
      </c>
      <c r="L1413" s="879">
        <f>ROUND(SUM(ORÇAMENTO!L1413),2)</f>
        <v>0</v>
      </c>
      <c r="M1413" s="879">
        <f t="shared" si="378"/>
        <v>0</v>
      </c>
      <c r="N1413" s="868">
        <f t="shared" si="379"/>
        <v>0</v>
      </c>
      <c r="O1413" s="880"/>
      <c r="Q1413" s="317" t="str">
        <f t="shared" si="380"/>
        <v/>
      </c>
      <c r="R1413" s="317" t="str">
        <f t="shared" si="381"/>
        <v/>
      </c>
      <c r="S1413" s="317" t="str">
        <f t="shared" si="382"/>
        <v/>
      </c>
      <c r="V1413" s="314">
        <f>SUM(ORÇAMENTO!N1413)</f>
        <v>0</v>
      </c>
      <c r="W1413" s="315">
        <f t="shared" si="383"/>
        <v>0</v>
      </c>
    </row>
    <row r="1414" spans="1:23" ht="45.75" hidden="1" thickBot="1">
      <c r="A1414" s="63">
        <v>93147</v>
      </c>
      <c r="B1414" s="870">
        <v>93147</v>
      </c>
      <c r="C1414" s="871" t="s">
        <v>590</v>
      </c>
      <c r="D1414" s="881" t="s">
        <v>1324</v>
      </c>
      <c r="E1414" s="882"/>
      <c r="F1414" s="883"/>
      <c r="G1414" s="887"/>
      <c r="H1414" s="876">
        <v>299.76</v>
      </c>
      <c r="I1414" s="876">
        <f t="shared" si="384"/>
        <v>299.76</v>
      </c>
      <c r="J1414" s="877">
        <f t="shared" si="377"/>
        <v>366.37</v>
      </c>
      <c r="K1414" s="878" t="s">
        <v>1500</v>
      </c>
      <c r="L1414" s="879">
        <f>ROUND(SUM(ORÇAMENTO!L1414),2)</f>
        <v>0</v>
      </c>
      <c r="M1414" s="879">
        <f t="shared" si="378"/>
        <v>0</v>
      </c>
      <c r="N1414" s="868">
        <f t="shared" si="379"/>
        <v>0</v>
      </c>
      <c r="O1414" s="880"/>
      <c r="Q1414" s="317" t="str">
        <f t="shared" si="380"/>
        <v/>
      </c>
      <c r="R1414" s="317" t="str">
        <f t="shared" si="381"/>
        <v/>
      </c>
      <c r="S1414" s="317" t="str">
        <f t="shared" si="382"/>
        <v/>
      </c>
      <c r="V1414" s="314">
        <f>SUM(ORÇAMENTO!N1414)</f>
        <v>0</v>
      </c>
      <c r="W1414" s="315">
        <f t="shared" si="383"/>
        <v>0</v>
      </c>
    </row>
    <row r="1415" spans="1:23" ht="34.5" hidden="1" thickBot="1">
      <c r="A1415" s="63">
        <v>93128</v>
      </c>
      <c r="B1415" s="870">
        <v>93128</v>
      </c>
      <c r="C1415" s="871" t="s">
        <v>590</v>
      </c>
      <c r="D1415" s="881" t="s">
        <v>1325</v>
      </c>
      <c r="E1415" s="882"/>
      <c r="F1415" s="883"/>
      <c r="G1415" s="887"/>
      <c r="H1415" s="876">
        <v>165.8</v>
      </c>
      <c r="I1415" s="876">
        <f t="shared" si="384"/>
        <v>165.8</v>
      </c>
      <c r="J1415" s="877">
        <f t="shared" si="377"/>
        <v>202.64</v>
      </c>
      <c r="K1415" s="878" t="s">
        <v>1500</v>
      </c>
      <c r="L1415" s="879">
        <f>ROUND(SUM(ORÇAMENTO!L1415),2)</f>
        <v>0</v>
      </c>
      <c r="M1415" s="879">
        <f t="shared" si="378"/>
        <v>0</v>
      </c>
      <c r="N1415" s="868">
        <f t="shared" si="379"/>
        <v>0</v>
      </c>
      <c r="O1415" s="880"/>
      <c r="Q1415" s="317" t="str">
        <f t="shared" si="380"/>
        <v/>
      </c>
      <c r="R1415" s="317" t="str">
        <f t="shared" si="381"/>
        <v/>
      </c>
      <c r="S1415" s="317" t="str">
        <f t="shared" si="382"/>
        <v/>
      </c>
      <c r="V1415" s="314">
        <f>SUM(ORÇAMENTO!N1415)</f>
        <v>0</v>
      </c>
      <c r="W1415" s="315">
        <f t="shared" si="383"/>
        <v>0</v>
      </c>
    </row>
    <row r="1416" spans="1:23" ht="34.5" hidden="1" thickBot="1">
      <c r="A1416" s="63">
        <v>93137</v>
      </c>
      <c r="B1416" s="870">
        <v>93137</v>
      </c>
      <c r="C1416" s="871" t="s">
        <v>590</v>
      </c>
      <c r="D1416" s="881" t="s">
        <v>1326</v>
      </c>
      <c r="E1416" s="882"/>
      <c r="F1416" s="883"/>
      <c r="G1416" s="887"/>
      <c r="H1416" s="876">
        <v>196.5</v>
      </c>
      <c r="I1416" s="876">
        <f t="shared" si="384"/>
        <v>196.5</v>
      </c>
      <c r="J1416" s="877">
        <f t="shared" si="377"/>
        <v>240.16</v>
      </c>
      <c r="K1416" s="878" t="s">
        <v>1500</v>
      </c>
      <c r="L1416" s="879">
        <f>ROUND(SUM(ORÇAMENTO!L1416),2)</f>
        <v>0</v>
      </c>
      <c r="M1416" s="879">
        <f t="shared" si="378"/>
        <v>0</v>
      </c>
      <c r="N1416" s="868">
        <f t="shared" si="379"/>
        <v>0</v>
      </c>
      <c r="O1416" s="880"/>
      <c r="Q1416" s="317" t="str">
        <f t="shared" si="380"/>
        <v/>
      </c>
      <c r="R1416" s="317" t="str">
        <f t="shared" si="381"/>
        <v/>
      </c>
      <c r="S1416" s="317" t="str">
        <f t="shared" si="382"/>
        <v/>
      </c>
      <c r="V1416" s="314">
        <f>SUM(ORÇAMENTO!N1416)</f>
        <v>0</v>
      </c>
      <c r="W1416" s="315">
        <f t="shared" si="383"/>
        <v>0</v>
      </c>
    </row>
    <row r="1417" spans="1:23" ht="34.5" hidden="1" thickBot="1">
      <c r="A1417" s="63">
        <v>93138</v>
      </c>
      <c r="B1417" s="870">
        <v>93138</v>
      </c>
      <c r="C1417" s="871" t="s">
        <v>590</v>
      </c>
      <c r="D1417" s="881" t="s">
        <v>1327</v>
      </c>
      <c r="E1417" s="882"/>
      <c r="F1417" s="883"/>
      <c r="G1417" s="887"/>
      <c r="H1417" s="876">
        <v>185.46</v>
      </c>
      <c r="I1417" s="876">
        <f t="shared" si="384"/>
        <v>185.46</v>
      </c>
      <c r="J1417" s="877">
        <f t="shared" ref="J1417:J1480" si="385">IF(ISBLANK(H1417),0,ROUND(I1417*(1+$E$10),2))</f>
        <v>226.67</v>
      </c>
      <c r="K1417" s="878" t="s">
        <v>1500</v>
      </c>
      <c r="L1417" s="879">
        <f>ROUND(SUM(ORÇAMENTO!L1417),2)</f>
        <v>0</v>
      </c>
      <c r="M1417" s="879">
        <f t="shared" si="378"/>
        <v>0</v>
      </c>
      <c r="N1417" s="868">
        <f t="shared" si="379"/>
        <v>0</v>
      </c>
      <c r="O1417" s="880"/>
      <c r="Q1417" s="317" t="str">
        <f t="shared" si="380"/>
        <v/>
      </c>
      <c r="R1417" s="317" t="str">
        <f t="shared" si="381"/>
        <v/>
      </c>
      <c r="S1417" s="317" t="str">
        <f t="shared" si="382"/>
        <v/>
      </c>
      <c r="V1417" s="314">
        <f>SUM(ORÇAMENTO!N1417)</f>
        <v>0</v>
      </c>
      <c r="W1417" s="315">
        <f t="shared" si="383"/>
        <v>0</v>
      </c>
    </row>
    <row r="1418" spans="1:23" ht="34.5" hidden="1" thickBot="1">
      <c r="A1418" s="63">
        <v>93139</v>
      </c>
      <c r="B1418" s="870">
        <v>93139</v>
      </c>
      <c r="C1418" s="871" t="s">
        <v>590</v>
      </c>
      <c r="D1418" s="881" t="s">
        <v>1328</v>
      </c>
      <c r="E1418" s="882"/>
      <c r="F1418" s="883"/>
      <c r="G1418" s="887"/>
      <c r="H1418" s="876">
        <v>235.76</v>
      </c>
      <c r="I1418" s="876">
        <f t="shared" si="384"/>
        <v>235.76</v>
      </c>
      <c r="J1418" s="877">
        <f t="shared" si="385"/>
        <v>288.14999999999998</v>
      </c>
      <c r="K1418" s="878" t="s">
        <v>1500</v>
      </c>
      <c r="L1418" s="879">
        <f>ROUND(SUM(ORÇAMENTO!L1418),2)</f>
        <v>0</v>
      </c>
      <c r="M1418" s="879">
        <f t="shared" si="378"/>
        <v>0</v>
      </c>
      <c r="N1418" s="868">
        <f t="shared" si="379"/>
        <v>0</v>
      </c>
      <c r="O1418" s="880"/>
      <c r="Q1418" s="317" t="str">
        <f t="shared" si="380"/>
        <v/>
      </c>
      <c r="R1418" s="317" t="str">
        <f t="shared" si="381"/>
        <v/>
      </c>
      <c r="S1418" s="317" t="str">
        <f t="shared" si="382"/>
        <v/>
      </c>
      <c r="V1418" s="314">
        <f>SUM(ORÇAMENTO!N1418)</f>
        <v>0</v>
      </c>
      <c r="W1418" s="315">
        <f t="shared" si="383"/>
        <v>0</v>
      </c>
    </row>
    <row r="1419" spans="1:23" ht="34.5" hidden="1" thickBot="1">
      <c r="A1419" s="63">
        <v>93140</v>
      </c>
      <c r="B1419" s="870">
        <v>93140</v>
      </c>
      <c r="C1419" s="871" t="s">
        <v>590</v>
      </c>
      <c r="D1419" s="881" t="s">
        <v>1329</v>
      </c>
      <c r="E1419" s="882"/>
      <c r="F1419" s="883"/>
      <c r="G1419" s="887"/>
      <c r="H1419" s="876">
        <v>222.29</v>
      </c>
      <c r="I1419" s="876">
        <f t="shared" si="384"/>
        <v>222.29</v>
      </c>
      <c r="J1419" s="877">
        <f t="shared" si="385"/>
        <v>271.68</v>
      </c>
      <c r="K1419" s="878" t="s">
        <v>1500</v>
      </c>
      <c r="L1419" s="879">
        <f>ROUND(SUM(ORÇAMENTO!L1419),2)</f>
        <v>0</v>
      </c>
      <c r="M1419" s="879">
        <f t="shared" si="378"/>
        <v>0</v>
      </c>
      <c r="N1419" s="868">
        <f t="shared" si="379"/>
        <v>0</v>
      </c>
      <c r="O1419" s="880"/>
      <c r="Q1419" s="317" t="str">
        <f t="shared" si="380"/>
        <v/>
      </c>
      <c r="R1419" s="317" t="str">
        <f t="shared" si="381"/>
        <v/>
      </c>
      <c r="S1419" s="317" t="str">
        <f t="shared" si="382"/>
        <v/>
      </c>
      <c r="V1419" s="314">
        <f>SUM(ORÇAMENTO!N1419)</f>
        <v>0</v>
      </c>
      <c r="W1419" s="315">
        <f t="shared" si="383"/>
        <v>0</v>
      </c>
    </row>
    <row r="1420" spans="1:23" ht="30" hidden="1" customHeight="1">
      <c r="A1420" s="63">
        <v>97595</v>
      </c>
      <c r="B1420" s="870">
        <v>97595</v>
      </c>
      <c r="C1420" s="871" t="s">
        <v>590</v>
      </c>
      <c r="D1420" s="881" t="s">
        <v>1330</v>
      </c>
      <c r="E1420" s="882"/>
      <c r="F1420" s="883"/>
      <c r="G1420" s="887"/>
      <c r="H1420" s="876">
        <v>118.06</v>
      </c>
      <c r="I1420" s="876">
        <f t="shared" si="384"/>
        <v>118.06</v>
      </c>
      <c r="J1420" s="877">
        <f t="shared" si="385"/>
        <v>144.29</v>
      </c>
      <c r="K1420" s="878" t="s">
        <v>1500</v>
      </c>
      <c r="L1420" s="879">
        <f>ROUND(SUM(ORÇAMENTO!L1420),2)</f>
        <v>0</v>
      </c>
      <c r="M1420" s="879">
        <f t="shared" si="378"/>
        <v>0</v>
      </c>
      <c r="N1420" s="868">
        <f t="shared" si="379"/>
        <v>0</v>
      </c>
      <c r="O1420" s="880"/>
      <c r="Q1420" s="317" t="str">
        <f t="shared" si="380"/>
        <v/>
      </c>
      <c r="R1420" s="317" t="str">
        <f t="shared" si="381"/>
        <v/>
      </c>
      <c r="S1420" s="317" t="str">
        <f t="shared" si="382"/>
        <v/>
      </c>
      <c r="V1420" s="314">
        <f>SUM(ORÇAMENTO!N1420)</f>
        <v>0</v>
      </c>
      <c r="W1420" s="315">
        <f t="shared" si="383"/>
        <v>0</v>
      </c>
    </row>
    <row r="1421" spans="1:23" ht="30" hidden="1" customHeight="1">
      <c r="A1421" s="63">
        <v>97596</v>
      </c>
      <c r="B1421" s="870">
        <v>97596</v>
      </c>
      <c r="C1421" s="871" t="s">
        <v>590</v>
      </c>
      <c r="D1421" s="881" t="s">
        <v>1331</v>
      </c>
      <c r="E1421" s="882"/>
      <c r="F1421" s="883"/>
      <c r="G1421" s="887"/>
      <c r="H1421" s="876">
        <v>82.53</v>
      </c>
      <c r="I1421" s="876">
        <f t="shared" si="384"/>
        <v>82.53</v>
      </c>
      <c r="J1421" s="877">
        <f t="shared" si="385"/>
        <v>100.87</v>
      </c>
      <c r="K1421" s="878" t="s">
        <v>1500</v>
      </c>
      <c r="L1421" s="879">
        <f>ROUND(SUM(ORÇAMENTO!L1421),2)</f>
        <v>0</v>
      </c>
      <c r="M1421" s="879">
        <f t="shared" si="378"/>
        <v>0</v>
      </c>
      <c r="N1421" s="868">
        <f t="shared" si="379"/>
        <v>0</v>
      </c>
      <c r="O1421" s="880"/>
      <c r="Q1421" s="317" t="str">
        <f t="shared" si="380"/>
        <v/>
      </c>
      <c r="R1421" s="317" t="str">
        <f t="shared" si="381"/>
        <v/>
      </c>
      <c r="S1421" s="317" t="str">
        <f t="shared" si="382"/>
        <v/>
      </c>
      <c r="V1421" s="314">
        <f>SUM(ORÇAMENTO!N1421)</f>
        <v>0</v>
      </c>
      <c r="W1421" s="315">
        <f t="shared" si="383"/>
        <v>0</v>
      </c>
    </row>
    <row r="1422" spans="1:23" ht="30" hidden="1" customHeight="1">
      <c r="A1422" s="63">
        <v>97597</v>
      </c>
      <c r="B1422" s="870">
        <v>97597</v>
      </c>
      <c r="C1422" s="871" t="s">
        <v>590</v>
      </c>
      <c r="D1422" s="881" t="s">
        <v>1332</v>
      </c>
      <c r="E1422" s="882"/>
      <c r="F1422" s="883"/>
      <c r="G1422" s="887"/>
      <c r="H1422" s="876">
        <v>81.42</v>
      </c>
      <c r="I1422" s="876">
        <f t="shared" si="384"/>
        <v>81.42</v>
      </c>
      <c r="J1422" s="877">
        <f t="shared" si="385"/>
        <v>99.51</v>
      </c>
      <c r="K1422" s="878" t="s">
        <v>1500</v>
      </c>
      <c r="L1422" s="879">
        <f>ROUND(SUM(ORÇAMENTO!L1422),2)</f>
        <v>0</v>
      </c>
      <c r="M1422" s="879">
        <f t="shared" si="378"/>
        <v>0</v>
      </c>
      <c r="N1422" s="868">
        <f t="shared" si="379"/>
        <v>0</v>
      </c>
      <c r="O1422" s="880"/>
      <c r="Q1422" s="317" t="str">
        <f t="shared" si="380"/>
        <v/>
      </c>
      <c r="R1422" s="317" t="str">
        <f t="shared" si="381"/>
        <v/>
      </c>
      <c r="S1422" s="317" t="str">
        <f t="shared" si="382"/>
        <v/>
      </c>
      <c r="V1422" s="314">
        <f>SUM(ORÇAMENTO!N1422)</f>
        <v>0</v>
      </c>
      <c r="W1422" s="315">
        <f t="shared" si="383"/>
        <v>0</v>
      </c>
    </row>
    <row r="1423" spans="1:23" ht="30" hidden="1" customHeight="1">
      <c r="A1423" s="63">
        <v>97598</v>
      </c>
      <c r="B1423" s="870">
        <v>97598</v>
      </c>
      <c r="C1423" s="871" t="s">
        <v>590</v>
      </c>
      <c r="D1423" s="881" t="s">
        <v>1333</v>
      </c>
      <c r="E1423" s="882"/>
      <c r="F1423" s="883"/>
      <c r="G1423" s="887"/>
      <c r="H1423" s="876">
        <v>76.88</v>
      </c>
      <c r="I1423" s="876">
        <f t="shared" si="384"/>
        <v>76.88</v>
      </c>
      <c r="J1423" s="877">
        <f t="shared" si="385"/>
        <v>93.96</v>
      </c>
      <c r="K1423" s="878" t="s">
        <v>1500</v>
      </c>
      <c r="L1423" s="879">
        <f>ROUND(SUM(ORÇAMENTO!L1423),2)</f>
        <v>0</v>
      </c>
      <c r="M1423" s="879">
        <f t="shared" si="378"/>
        <v>0</v>
      </c>
      <c r="N1423" s="868">
        <f t="shared" si="379"/>
        <v>0</v>
      </c>
      <c r="O1423" s="880"/>
      <c r="Q1423" s="317" t="str">
        <f t="shared" si="380"/>
        <v/>
      </c>
      <c r="R1423" s="317" t="str">
        <f t="shared" si="381"/>
        <v/>
      </c>
      <c r="S1423" s="317" t="str">
        <f t="shared" si="382"/>
        <v/>
      </c>
      <c r="V1423" s="314">
        <f>SUM(ORÇAMENTO!N1423)</f>
        <v>0</v>
      </c>
      <c r="W1423" s="315">
        <f t="shared" si="383"/>
        <v>0</v>
      </c>
    </row>
    <row r="1424" spans="1:23" ht="30" hidden="1" customHeight="1">
      <c r="A1424" s="63">
        <v>97599</v>
      </c>
      <c r="B1424" s="870">
        <v>97599</v>
      </c>
      <c r="C1424" s="871" t="s">
        <v>590</v>
      </c>
      <c r="D1424" s="881" t="s">
        <v>1334</v>
      </c>
      <c r="E1424" s="882"/>
      <c r="F1424" s="883"/>
      <c r="G1424" s="887"/>
      <c r="H1424" s="876">
        <v>28.78</v>
      </c>
      <c r="I1424" s="876">
        <f t="shared" si="384"/>
        <v>28.78</v>
      </c>
      <c r="J1424" s="877">
        <f t="shared" si="385"/>
        <v>35.17</v>
      </c>
      <c r="K1424" s="878" t="s">
        <v>1500</v>
      </c>
      <c r="L1424" s="879">
        <f>ROUND(SUM(ORÇAMENTO!L1424),2)</f>
        <v>0</v>
      </c>
      <c r="M1424" s="879">
        <f t="shared" si="378"/>
        <v>0</v>
      </c>
      <c r="N1424" s="868">
        <f t="shared" si="379"/>
        <v>0</v>
      </c>
      <c r="O1424" s="880"/>
      <c r="Q1424" s="317" t="str">
        <f t="shared" si="380"/>
        <v/>
      </c>
      <c r="R1424" s="317" t="str">
        <f t="shared" si="381"/>
        <v/>
      </c>
      <c r="S1424" s="317" t="str">
        <f t="shared" si="382"/>
        <v/>
      </c>
      <c r="V1424" s="314">
        <f>SUM(ORÇAMENTO!N1424)</f>
        <v>0</v>
      </c>
      <c r="W1424" s="315">
        <f t="shared" si="383"/>
        <v>0</v>
      </c>
    </row>
    <row r="1425" spans="1:23" ht="30" hidden="1" customHeight="1">
      <c r="A1425" s="63">
        <v>97583</v>
      </c>
      <c r="B1425" s="870">
        <v>97583</v>
      </c>
      <c r="C1425" s="871" t="s">
        <v>590</v>
      </c>
      <c r="D1425" s="881" t="s">
        <v>1335</v>
      </c>
      <c r="E1425" s="882"/>
      <c r="F1425" s="883"/>
      <c r="G1425" s="887"/>
      <c r="H1425" s="876">
        <v>99.02</v>
      </c>
      <c r="I1425" s="876">
        <f t="shared" si="384"/>
        <v>99.02</v>
      </c>
      <c r="J1425" s="877">
        <f t="shared" si="385"/>
        <v>121.02</v>
      </c>
      <c r="K1425" s="878" t="s">
        <v>1500</v>
      </c>
      <c r="L1425" s="879">
        <f>ROUND(SUM(ORÇAMENTO!L1425),2)</f>
        <v>0</v>
      </c>
      <c r="M1425" s="879">
        <f t="shared" si="378"/>
        <v>0</v>
      </c>
      <c r="N1425" s="868">
        <f t="shared" si="379"/>
        <v>0</v>
      </c>
      <c r="O1425" s="880"/>
      <c r="Q1425" s="317" t="str">
        <f t="shared" si="380"/>
        <v/>
      </c>
      <c r="R1425" s="317" t="str">
        <f t="shared" si="381"/>
        <v/>
      </c>
      <c r="S1425" s="317" t="str">
        <f t="shared" si="382"/>
        <v/>
      </c>
      <c r="V1425" s="314">
        <f>SUM(ORÇAMENTO!N1425)</f>
        <v>0</v>
      </c>
      <c r="W1425" s="315">
        <f t="shared" si="383"/>
        <v>0</v>
      </c>
    </row>
    <row r="1426" spans="1:23" ht="30" hidden="1" customHeight="1">
      <c r="A1426" s="63">
        <v>101662</v>
      </c>
      <c r="B1426" s="870">
        <v>101662</v>
      </c>
      <c r="C1426" s="871" t="s">
        <v>590</v>
      </c>
      <c r="D1426" s="881" t="s">
        <v>1336</v>
      </c>
      <c r="E1426" s="882"/>
      <c r="F1426" s="883"/>
      <c r="G1426" s="887"/>
      <c r="H1426" s="876">
        <v>794.92</v>
      </c>
      <c r="I1426" s="876">
        <f t="shared" si="384"/>
        <v>794.92</v>
      </c>
      <c r="J1426" s="877">
        <f t="shared" si="385"/>
        <v>971.55</v>
      </c>
      <c r="K1426" s="878" t="s">
        <v>1500</v>
      </c>
      <c r="L1426" s="879">
        <f>ROUND(SUM(ORÇAMENTO!L1426),2)</f>
        <v>0</v>
      </c>
      <c r="M1426" s="879">
        <f t="shared" ref="M1426:M1489" si="386">IF(L1426=0,0,ROUND(J1426,2))</f>
        <v>0</v>
      </c>
      <c r="N1426" s="868">
        <f t="shared" ref="N1426:N1489" si="387">IF(ISBLANK(L1426),0,ROUND(L1426*M1426,2))</f>
        <v>0</v>
      </c>
      <c r="O1426" s="880"/>
      <c r="Q1426" s="317" t="str">
        <f t="shared" ref="Q1426:Q1489" si="388">IF(P1426="X","x",IF(P1426="xx","x",IF(P1426="xy","x",IF(P1426="y","x",IF(OR(N1426&gt;0,N1426&gt;0),"x","")))))</f>
        <v/>
      </c>
      <c r="R1426" s="317" t="str">
        <f t="shared" ref="R1426:R1489" si="389">IF(P1426="X","x",IF(P1426="y","x",IF(P1426="xx","x",IF(N1426&gt;0,"x",""))))</f>
        <v/>
      </c>
      <c r="S1426" s="317" t="str">
        <f t="shared" ref="S1426:S1489" si="390">IF(P1426="X","x",IF(N1426&gt;0,"x",""))</f>
        <v/>
      </c>
      <c r="V1426" s="314">
        <f>SUM(ORÇAMENTO!N1426)</f>
        <v>0</v>
      </c>
      <c r="W1426" s="315">
        <f t="shared" si="383"/>
        <v>0</v>
      </c>
    </row>
    <row r="1427" spans="1:23" ht="30" hidden="1" customHeight="1">
      <c r="A1427" s="63">
        <v>101652</v>
      </c>
      <c r="B1427" s="870">
        <v>101652</v>
      </c>
      <c r="C1427" s="871" t="s">
        <v>590</v>
      </c>
      <c r="D1427" s="881" t="s">
        <v>1337</v>
      </c>
      <c r="E1427" s="882"/>
      <c r="F1427" s="883"/>
      <c r="G1427" s="887"/>
      <c r="H1427" s="876">
        <v>576.32000000000005</v>
      </c>
      <c r="I1427" s="876">
        <f t="shared" si="384"/>
        <v>576.32000000000005</v>
      </c>
      <c r="J1427" s="877">
        <f t="shared" si="385"/>
        <v>704.38</v>
      </c>
      <c r="K1427" s="878" t="s">
        <v>1500</v>
      </c>
      <c r="L1427" s="879">
        <f>ROUND(SUM(ORÇAMENTO!L1427),2)</f>
        <v>0</v>
      </c>
      <c r="M1427" s="879">
        <f t="shared" si="386"/>
        <v>0</v>
      </c>
      <c r="N1427" s="868">
        <f t="shared" si="387"/>
        <v>0</v>
      </c>
      <c r="O1427" s="880"/>
      <c r="Q1427" s="317" t="str">
        <f t="shared" si="388"/>
        <v/>
      </c>
      <c r="R1427" s="317" t="str">
        <f t="shared" si="389"/>
        <v/>
      </c>
      <c r="S1427" s="317" t="str">
        <f t="shared" si="390"/>
        <v/>
      </c>
      <c r="V1427" s="314">
        <f>SUM(ORÇAMENTO!N1427)</f>
        <v>0</v>
      </c>
      <c r="W1427" s="315">
        <f t="shared" si="383"/>
        <v>0</v>
      </c>
    </row>
    <row r="1428" spans="1:23" ht="45.75" hidden="1" thickBot="1">
      <c r="A1428" s="63">
        <v>101653</v>
      </c>
      <c r="B1428" s="870">
        <v>101653</v>
      </c>
      <c r="C1428" s="871" t="s">
        <v>590</v>
      </c>
      <c r="D1428" s="881" t="s">
        <v>1338</v>
      </c>
      <c r="E1428" s="882"/>
      <c r="F1428" s="883"/>
      <c r="G1428" s="887"/>
      <c r="H1428" s="876">
        <v>311.74</v>
      </c>
      <c r="I1428" s="876">
        <f t="shared" si="384"/>
        <v>311.74</v>
      </c>
      <c r="J1428" s="877">
        <f t="shared" si="385"/>
        <v>381.01</v>
      </c>
      <c r="K1428" s="878" t="s">
        <v>1500</v>
      </c>
      <c r="L1428" s="879">
        <f>ROUND(SUM(ORÇAMENTO!L1428),2)</f>
        <v>0</v>
      </c>
      <c r="M1428" s="879">
        <f t="shared" si="386"/>
        <v>0</v>
      </c>
      <c r="N1428" s="868">
        <f t="shared" si="387"/>
        <v>0</v>
      </c>
      <c r="O1428" s="880"/>
      <c r="Q1428" s="317" t="str">
        <f t="shared" si="388"/>
        <v/>
      </c>
      <c r="R1428" s="317" t="str">
        <f t="shared" si="389"/>
        <v/>
      </c>
      <c r="S1428" s="317" t="str">
        <f t="shared" si="390"/>
        <v/>
      </c>
      <c r="V1428" s="314">
        <f>SUM(ORÇAMENTO!N1428)</f>
        <v>0</v>
      </c>
      <c r="W1428" s="315">
        <f t="shared" si="383"/>
        <v>0</v>
      </c>
    </row>
    <row r="1429" spans="1:23" ht="38.1" hidden="1" customHeight="1">
      <c r="A1429" s="63">
        <v>97584</v>
      </c>
      <c r="B1429" s="870">
        <v>97584</v>
      </c>
      <c r="C1429" s="871" t="s">
        <v>590</v>
      </c>
      <c r="D1429" s="881" t="s">
        <v>1339</v>
      </c>
      <c r="E1429" s="882"/>
      <c r="F1429" s="883"/>
      <c r="G1429" s="887"/>
      <c r="H1429" s="876">
        <v>138.43</v>
      </c>
      <c r="I1429" s="876">
        <f t="shared" si="384"/>
        <v>138.43</v>
      </c>
      <c r="J1429" s="877">
        <f t="shared" si="385"/>
        <v>169.19</v>
      </c>
      <c r="K1429" s="878" t="s">
        <v>1500</v>
      </c>
      <c r="L1429" s="879">
        <f>ROUND(SUM(ORÇAMENTO!L1429),2)</f>
        <v>0</v>
      </c>
      <c r="M1429" s="879">
        <f t="shared" si="386"/>
        <v>0</v>
      </c>
      <c r="N1429" s="868">
        <f t="shared" si="387"/>
        <v>0</v>
      </c>
      <c r="O1429" s="880"/>
      <c r="Q1429" s="317" t="str">
        <f t="shared" si="388"/>
        <v/>
      </c>
      <c r="R1429" s="317" t="str">
        <f t="shared" si="389"/>
        <v/>
      </c>
      <c r="S1429" s="317" t="str">
        <f t="shared" si="390"/>
        <v/>
      </c>
      <c r="V1429" s="314">
        <f>SUM(ORÇAMENTO!N1429)</f>
        <v>0</v>
      </c>
      <c r="W1429" s="315">
        <f t="shared" ref="W1429:W1492" si="391">N1429-V1429</f>
        <v>0</v>
      </c>
    </row>
    <row r="1430" spans="1:23" ht="38.1" hidden="1" customHeight="1">
      <c r="A1430" s="63">
        <v>97585</v>
      </c>
      <c r="B1430" s="870">
        <v>97585</v>
      </c>
      <c r="C1430" s="871" t="s">
        <v>590</v>
      </c>
      <c r="D1430" s="881" t="s">
        <v>1340</v>
      </c>
      <c r="E1430" s="882"/>
      <c r="F1430" s="883"/>
      <c r="G1430" s="887"/>
      <c r="H1430" s="876">
        <v>133.19999999999999</v>
      </c>
      <c r="I1430" s="876">
        <f t="shared" si="384"/>
        <v>133.19999999999999</v>
      </c>
      <c r="J1430" s="877">
        <f t="shared" si="385"/>
        <v>162.80000000000001</v>
      </c>
      <c r="K1430" s="878" t="s">
        <v>1500</v>
      </c>
      <c r="L1430" s="879">
        <f>ROUND(SUM(ORÇAMENTO!L1430),2)</f>
        <v>0</v>
      </c>
      <c r="M1430" s="879">
        <f t="shared" si="386"/>
        <v>0</v>
      </c>
      <c r="N1430" s="868">
        <f t="shared" si="387"/>
        <v>0</v>
      </c>
      <c r="O1430" s="880"/>
      <c r="Q1430" s="317" t="str">
        <f t="shared" si="388"/>
        <v/>
      </c>
      <c r="R1430" s="317" t="str">
        <f t="shared" si="389"/>
        <v/>
      </c>
      <c r="S1430" s="317" t="str">
        <f t="shared" si="390"/>
        <v/>
      </c>
      <c r="V1430" s="314">
        <f>SUM(ORÇAMENTO!N1430)</f>
        <v>0</v>
      </c>
      <c r="W1430" s="315">
        <f t="shared" si="391"/>
        <v>0</v>
      </c>
    </row>
    <row r="1431" spans="1:23" ht="38.1" hidden="1" customHeight="1">
      <c r="A1431" s="63">
        <v>97586</v>
      </c>
      <c r="B1431" s="870">
        <v>97586</v>
      </c>
      <c r="C1431" s="871" t="s">
        <v>590</v>
      </c>
      <c r="D1431" s="881" t="s">
        <v>1341</v>
      </c>
      <c r="E1431" s="882"/>
      <c r="F1431" s="883"/>
      <c r="G1431" s="887"/>
      <c r="H1431" s="876">
        <v>180.8</v>
      </c>
      <c r="I1431" s="876">
        <f t="shared" si="384"/>
        <v>180.8</v>
      </c>
      <c r="J1431" s="877">
        <f t="shared" si="385"/>
        <v>220.97</v>
      </c>
      <c r="K1431" s="878" t="s">
        <v>1500</v>
      </c>
      <c r="L1431" s="879">
        <f>ROUND(SUM(ORÇAMENTO!L1431),2)</f>
        <v>0</v>
      </c>
      <c r="M1431" s="879">
        <f t="shared" si="386"/>
        <v>0</v>
      </c>
      <c r="N1431" s="868">
        <f t="shared" si="387"/>
        <v>0</v>
      </c>
      <c r="O1431" s="880"/>
      <c r="Q1431" s="317" t="str">
        <f t="shared" si="388"/>
        <v/>
      </c>
      <c r="R1431" s="317" t="str">
        <f t="shared" si="389"/>
        <v/>
      </c>
      <c r="S1431" s="317" t="str">
        <f t="shared" si="390"/>
        <v/>
      </c>
      <c r="V1431" s="314">
        <f>SUM(ORÇAMENTO!N1431)</f>
        <v>0</v>
      </c>
      <c r="W1431" s="315">
        <f t="shared" si="391"/>
        <v>0</v>
      </c>
    </row>
    <row r="1432" spans="1:23" ht="30" hidden="1" customHeight="1">
      <c r="A1432" s="63">
        <v>97587</v>
      </c>
      <c r="B1432" s="870">
        <v>97587</v>
      </c>
      <c r="C1432" s="871" t="s">
        <v>590</v>
      </c>
      <c r="D1432" s="881" t="s">
        <v>1342</v>
      </c>
      <c r="E1432" s="882"/>
      <c r="F1432" s="883"/>
      <c r="G1432" s="887"/>
      <c r="H1432" s="876">
        <v>329.67</v>
      </c>
      <c r="I1432" s="876">
        <f t="shared" si="384"/>
        <v>329.67</v>
      </c>
      <c r="J1432" s="877">
        <f t="shared" si="385"/>
        <v>402.92</v>
      </c>
      <c r="K1432" s="878" t="s">
        <v>1500</v>
      </c>
      <c r="L1432" s="879">
        <f>ROUND(SUM(ORÇAMENTO!L1432),2)</f>
        <v>0</v>
      </c>
      <c r="M1432" s="879">
        <f t="shared" si="386"/>
        <v>0</v>
      </c>
      <c r="N1432" s="868">
        <f t="shared" si="387"/>
        <v>0</v>
      </c>
      <c r="O1432" s="880"/>
      <c r="Q1432" s="317" t="str">
        <f t="shared" si="388"/>
        <v/>
      </c>
      <c r="R1432" s="317" t="str">
        <f t="shared" si="389"/>
        <v/>
      </c>
      <c r="S1432" s="317" t="str">
        <f t="shared" si="390"/>
        <v/>
      </c>
      <c r="V1432" s="314">
        <f>SUM(ORÇAMENTO!N1432)</f>
        <v>0</v>
      </c>
      <c r="W1432" s="315">
        <f t="shared" si="391"/>
        <v>0</v>
      </c>
    </row>
    <row r="1433" spans="1:23" ht="30" hidden="1" customHeight="1">
      <c r="A1433" s="63">
        <v>97589</v>
      </c>
      <c r="B1433" s="870">
        <v>97589</v>
      </c>
      <c r="C1433" s="871" t="s">
        <v>590</v>
      </c>
      <c r="D1433" s="881" t="s">
        <v>1343</v>
      </c>
      <c r="E1433" s="882"/>
      <c r="F1433" s="883"/>
      <c r="G1433" s="887"/>
      <c r="H1433" s="876">
        <v>47.54</v>
      </c>
      <c r="I1433" s="876">
        <f t="shared" si="384"/>
        <v>47.54</v>
      </c>
      <c r="J1433" s="877">
        <f t="shared" si="385"/>
        <v>58.1</v>
      </c>
      <c r="K1433" s="878" t="s">
        <v>1500</v>
      </c>
      <c r="L1433" s="879">
        <f>ROUND(SUM(ORÇAMENTO!L1433),2)</f>
        <v>0</v>
      </c>
      <c r="M1433" s="879">
        <f t="shared" si="386"/>
        <v>0</v>
      </c>
      <c r="N1433" s="868">
        <f t="shared" si="387"/>
        <v>0</v>
      </c>
      <c r="O1433" s="880"/>
      <c r="Q1433" s="317" t="str">
        <f t="shared" si="388"/>
        <v/>
      </c>
      <c r="R1433" s="317" t="str">
        <f t="shared" si="389"/>
        <v/>
      </c>
      <c r="S1433" s="317" t="str">
        <f t="shared" si="390"/>
        <v/>
      </c>
      <c r="V1433" s="314">
        <f>SUM(ORÇAMENTO!N1433)</f>
        <v>0</v>
      </c>
      <c r="W1433" s="315">
        <f t="shared" si="391"/>
        <v>0</v>
      </c>
    </row>
    <row r="1434" spans="1:23" ht="38.1" hidden="1" customHeight="1">
      <c r="A1434" s="63">
        <v>97590</v>
      </c>
      <c r="B1434" s="870">
        <v>97590</v>
      </c>
      <c r="C1434" s="871" t="s">
        <v>590</v>
      </c>
      <c r="D1434" s="881" t="s">
        <v>1344</v>
      </c>
      <c r="E1434" s="882"/>
      <c r="F1434" s="883"/>
      <c r="G1434" s="887"/>
      <c r="H1434" s="876">
        <v>113.3</v>
      </c>
      <c r="I1434" s="876">
        <f t="shared" si="384"/>
        <v>113.3</v>
      </c>
      <c r="J1434" s="877">
        <f t="shared" si="385"/>
        <v>138.47999999999999</v>
      </c>
      <c r="K1434" s="878" t="s">
        <v>1500</v>
      </c>
      <c r="L1434" s="879">
        <f>ROUND(SUM(ORÇAMENTO!L1434),2)</f>
        <v>0</v>
      </c>
      <c r="M1434" s="879">
        <f t="shared" si="386"/>
        <v>0</v>
      </c>
      <c r="N1434" s="868">
        <f t="shared" si="387"/>
        <v>0</v>
      </c>
      <c r="O1434" s="880"/>
      <c r="Q1434" s="317" t="str">
        <f t="shared" si="388"/>
        <v/>
      </c>
      <c r="R1434" s="317" t="str">
        <f t="shared" si="389"/>
        <v/>
      </c>
      <c r="S1434" s="317" t="str">
        <f t="shared" si="390"/>
        <v/>
      </c>
      <c r="V1434" s="314">
        <f>SUM(ORÇAMENTO!N1434)</f>
        <v>0</v>
      </c>
      <c r="W1434" s="315">
        <f t="shared" si="391"/>
        <v>0</v>
      </c>
    </row>
    <row r="1435" spans="1:23" ht="38.1" hidden="1" customHeight="1">
      <c r="A1435" s="63">
        <v>97591</v>
      </c>
      <c r="B1435" s="870">
        <v>97591</v>
      </c>
      <c r="C1435" s="871" t="s">
        <v>590</v>
      </c>
      <c r="D1435" s="881" t="s">
        <v>1345</v>
      </c>
      <c r="E1435" s="882"/>
      <c r="F1435" s="883"/>
      <c r="G1435" s="887"/>
      <c r="H1435" s="876">
        <v>147.91999999999999</v>
      </c>
      <c r="I1435" s="876">
        <f t="shared" si="384"/>
        <v>147.91999999999999</v>
      </c>
      <c r="J1435" s="877">
        <f t="shared" si="385"/>
        <v>180.79</v>
      </c>
      <c r="K1435" s="878" t="s">
        <v>1500</v>
      </c>
      <c r="L1435" s="879">
        <f>ROUND(SUM(ORÇAMENTO!L1435),2)</f>
        <v>0</v>
      </c>
      <c r="M1435" s="879">
        <f t="shared" si="386"/>
        <v>0</v>
      </c>
      <c r="N1435" s="868">
        <f t="shared" si="387"/>
        <v>0</v>
      </c>
      <c r="O1435" s="880"/>
      <c r="Q1435" s="317" t="str">
        <f t="shared" si="388"/>
        <v/>
      </c>
      <c r="R1435" s="317" t="str">
        <f t="shared" si="389"/>
        <v/>
      </c>
      <c r="S1435" s="317" t="str">
        <f t="shared" si="390"/>
        <v/>
      </c>
      <c r="V1435" s="314">
        <f>SUM(ORÇAMENTO!N1435)</f>
        <v>0</v>
      </c>
      <c r="W1435" s="315">
        <f t="shared" si="391"/>
        <v>0</v>
      </c>
    </row>
    <row r="1436" spans="1:23" ht="30" hidden="1" customHeight="1">
      <c r="A1436" s="63">
        <v>103782</v>
      </c>
      <c r="B1436" s="870">
        <v>103782</v>
      </c>
      <c r="C1436" s="871" t="s">
        <v>590</v>
      </c>
      <c r="D1436" s="881" t="s">
        <v>1976</v>
      </c>
      <c r="E1436" s="882"/>
      <c r="F1436" s="883"/>
      <c r="G1436" s="887"/>
      <c r="H1436" s="876">
        <v>41.27</v>
      </c>
      <c r="I1436" s="876">
        <f t="shared" si="384"/>
        <v>41.27</v>
      </c>
      <c r="J1436" s="877">
        <f t="shared" si="385"/>
        <v>50.44</v>
      </c>
      <c r="K1436" s="878" t="s">
        <v>1500</v>
      </c>
      <c r="L1436" s="879">
        <f>ROUND(SUM(ORÇAMENTO!L1436),2)</f>
        <v>0</v>
      </c>
      <c r="M1436" s="879">
        <f t="shared" si="386"/>
        <v>0</v>
      </c>
      <c r="N1436" s="868">
        <f t="shared" si="387"/>
        <v>0</v>
      </c>
      <c r="O1436" s="880"/>
      <c r="Q1436" s="317" t="str">
        <f t="shared" si="388"/>
        <v/>
      </c>
      <c r="R1436" s="317" t="str">
        <f t="shared" si="389"/>
        <v/>
      </c>
      <c r="S1436" s="317" t="str">
        <f t="shared" si="390"/>
        <v/>
      </c>
      <c r="V1436" s="314">
        <f>SUM(ORÇAMENTO!N1436)</f>
        <v>0</v>
      </c>
      <c r="W1436" s="315">
        <f t="shared" si="391"/>
        <v>0</v>
      </c>
    </row>
    <row r="1437" spans="1:23" ht="30" hidden="1" customHeight="1">
      <c r="A1437" s="63">
        <v>97593</v>
      </c>
      <c r="B1437" s="870">
        <v>97593</v>
      </c>
      <c r="C1437" s="871" t="s">
        <v>590</v>
      </c>
      <c r="D1437" s="881" t="s">
        <v>1346</v>
      </c>
      <c r="E1437" s="882"/>
      <c r="F1437" s="883"/>
      <c r="G1437" s="887"/>
      <c r="H1437" s="876">
        <v>163.66999999999999</v>
      </c>
      <c r="I1437" s="876">
        <f t="shared" si="384"/>
        <v>163.66999999999999</v>
      </c>
      <c r="J1437" s="877">
        <f t="shared" si="385"/>
        <v>200.04</v>
      </c>
      <c r="K1437" s="878" t="s">
        <v>1500</v>
      </c>
      <c r="L1437" s="879">
        <f>ROUND(SUM(ORÇAMENTO!L1437),2)</f>
        <v>0</v>
      </c>
      <c r="M1437" s="879">
        <f t="shared" si="386"/>
        <v>0</v>
      </c>
      <c r="N1437" s="868">
        <f t="shared" si="387"/>
        <v>0</v>
      </c>
      <c r="O1437" s="880"/>
      <c r="Q1437" s="317" t="str">
        <f t="shared" si="388"/>
        <v/>
      </c>
      <c r="R1437" s="317" t="str">
        <f t="shared" si="389"/>
        <v/>
      </c>
      <c r="S1437" s="317" t="str">
        <f t="shared" si="390"/>
        <v/>
      </c>
      <c r="V1437" s="314">
        <f>SUM(ORÇAMENTO!N1437)</f>
        <v>0</v>
      </c>
      <c r="W1437" s="315">
        <f t="shared" si="391"/>
        <v>0</v>
      </c>
    </row>
    <row r="1438" spans="1:23" ht="30" hidden="1" customHeight="1">
      <c r="A1438" s="63">
        <v>97594</v>
      </c>
      <c r="B1438" s="870">
        <v>97594</v>
      </c>
      <c r="C1438" s="871" t="s">
        <v>590</v>
      </c>
      <c r="D1438" s="881" t="s">
        <v>1347</v>
      </c>
      <c r="E1438" s="882"/>
      <c r="F1438" s="883"/>
      <c r="G1438" s="887"/>
      <c r="H1438" s="876">
        <v>148.53</v>
      </c>
      <c r="I1438" s="876">
        <f t="shared" si="384"/>
        <v>148.53</v>
      </c>
      <c r="J1438" s="877">
        <f t="shared" si="385"/>
        <v>181.53</v>
      </c>
      <c r="K1438" s="878" t="s">
        <v>1500</v>
      </c>
      <c r="L1438" s="879">
        <f>ROUND(SUM(ORÇAMENTO!L1438),2)</f>
        <v>0</v>
      </c>
      <c r="M1438" s="879">
        <f t="shared" si="386"/>
        <v>0</v>
      </c>
      <c r="N1438" s="868">
        <f t="shared" si="387"/>
        <v>0</v>
      </c>
      <c r="O1438" s="880"/>
      <c r="Q1438" s="317" t="str">
        <f t="shared" si="388"/>
        <v/>
      </c>
      <c r="R1438" s="317" t="str">
        <f t="shared" si="389"/>
        <v/>
      </c>
      <c r="S1438" s="317" t="str">
        <f t="shared" si="390"/>
        <v/>
      </c>
      <c r="V1438" s="314">
        <f>SUM(ORÇAMENTO!N1438)</f>
        <v>0</v>
      </c>
      <c r="W1438" s="315">
        <f t="shared" si="391"/>
        <v>0</v>
      </c>
    </row>
    <row r="1439" spans="1:23" ht="30" hidden="1" customHeight="1">
      <c r="A1439" s="63">
        <v>101666</v>
      </c>
      <c r="B1439" s="870">
        <v>101666</v>
      </c>
      <c r="C1439" s="871" t="s">
        <v>590</v>
      </c>
      <c r="D1439" s="881" t="s">
        <v>1348</v>
      </c>
      <c r="E1439" s="882"/>
      <c r="F1439" s="883"/>
      <c r="G1439" s="887"/>
      <c r="H1439" s="876">
        <v>450.92</v>
      </c>
      <c r="I1439" s="876">
        <f t="shared" si="384"/>
        <v>450.92</v>
      </c>
      <c r="J1439" s="877">
        <f t="shared" si="385"/>
        <v>551.11</v>
      </c>
      <c r="K1439" s="878" t="s">
        <v>1500</v>
      </c>
      <c r="L1439" s="879">
        <f>ROUND(SUM(ORÇAMENTO!L1439),2)</f>
        <v>0</v>
      </c>
      <c r="M1439" s="879">
        <f t="shared" si="386"/>
        <v>0</v>
      </c>
      <c r="N1439" s="868">
        <f t="shared" si="387"/>
        <v>0</v>
      </c>
      <c r="O1439" s="880"/>
      <c r="Q1439" s="317" t="str">
        <f t="shared" si="388"/>
        <v/>
      </c>
      <c r="R1439" s="317" t="str">
        <f t="shared" si="389"/>
        <v/>
      </c>
      <c r="S1439" s="317" t="str">
        <f t="shared" si="390"/>
        <v/>
      </c>
      <c r="V1439" s="314">
        <f>SUM(ORÇAMENTO!N1439)</f>
        <v>0</v>
      </c>
      <c r="W1439" s="315">
        <f t="shared" si="391"/>
        <v>0</v>
      </c>
    </row>
    <row r="1440" spans="1:23" ht="38.1" hidden="1" customHeight="1">
      <c r="A1440" s="63">
        <v>97600</v>
      </c>
      <c r="B1440" s="870">
        <v>97600</v>
      </c>
      <c r="C1440" s="871" t="s">
        <v>590</v>
      </c>
      <c r="D1440" s="881" t="s">
        <v>1349</v>
      </c>
      <c r="E1440" s="882"/>
      <c r="F1440" s="883"/>
      <c r="G1440" s="887"/>
      <c r="H1440" s="876">
        <v>360.17</v>
      </c>
      <c r="I1440" s="876">
        <f t="shared" si="384"/>
        <v>360.17</v>
      </c>
      <c r="J1440" s="877">
        <f t="shared" si="385"/>
        <v>440.2</v>
      </c>
      <c r="K1440" s="878" t="s">
        <v>1500</v>
      </c>
      <c r="L1440" s="879">
        <f>ROUND(SUM(ORÇAMENTO!L1440),2)</f>
        <v>0</v>
      </c>
      <c r="M1440" s="879">
        <f t="shared" si="386"/>
        <v>0</v>
      </c>
      <c r="N1440" s="868">
        <f t="shared" si="387"/>
        <v>0</v>
      </c>
      <c r="O1440" s="880"/>
      <c r="Q1440" s="317" t="str">
        <f t="shared" si="388"/>
        <v/>
      </c>
      <c r="R1440" s="317" t="str">
        <f t="shared" si="389"/>
        <v/>
      </c>
      <c r="S1440" s="317" t="str">
        <f t="shared" si="390"/>
        <v/>
      </c>
      <c r="V1440" s="314">
        <f>SUM(ORÇAMENTO!N1440)</f>
        <v>0</v>
      </c>
      <c r="W1440" s="315">
        <f t="shared" si="391"/>
        <v>0</v>
      </c>
    </row>
    <row r="1441" spans="1:23" ht="38.1" hidden="1" customHeight="1">
      <c r="A1441" s="63">
        <v>97601</v>
      </c>
      <c r="B1441" s="870">
        <v>97601</v>
      </c>
      <c r="C1441" s="871" t="s">
        <v>590</v>
      </c>
      <c r="D1441" s="881" t="s">
        <v>1350</v>
      </c>
      <c r="E1441" s="882"/>
      <c r="F1441" s="883"/>
      <c r="G1441" s="887"/>
      <c r="H1441" s="876">
        <v>380.4</v>
      </c>
      <c r="I1441" s="876">
        <f t="shared" si="384"/>
        <v>380.4</v>
      </c>
      <c r="J1441" s="877">
        <f t="shared" si="385"/>
        <v>464.92</v>
      </c>
      <c r="K1441" s="878" t="s">
        <v>1500</v>
      </c>
      <c r="L1441" s="879">
        <f>ROUND(SUM(ORÇAMENTO!L1441),2)</f>
        <v>0</v>
      </c>
      <c r="M1441" s="879">
        <f t="shared" si="386"/>
        <v>0</v>
      </c>
      <c r="N1441" s="868">
        <f t="shared" si="387"/>
        <v>0</v>
      </c>
      <c r="O1441" s="880"/>
      <c r="Q1441" s="317" t="str">
        <f t="shared" si="388"/>
        <v/>
      </c>
      <c r="R1441" s="317" t="str">
        <f t="shared" si="389"/>
        <v/>
      </c>
      <c r="S1441" s="317" t="str">
        <f t="shared" si="390"/>
        <v/>
      </c>
      <c r="V1441" s="314">
        <f>SUM(ORÇAMENTO!N1441)</f>
        <v>0</v>
      </c>
      <c r="W1441" s="315">
        <f t="shared" si="391"/>
        <v>0</v>
      </c>
    </row>
    <row r="1442" spans="1:23" ht="30" hidden="1" customHeight="1">
      <c r="A1442" s="63">
        <v>97611</v>
      </c>
      <c r="B1442" s="870">
        <v>97611</v>
      </c>
      <c r="C1442" s="871" t="s">
        <v>590</v>
      </c>
      <c r="D1442" s="881" t="s">
        <v>1351</v>
      </c>
      <c r="E1442" s="882"/>
      <c r="F1442" s="883"/>
      <c r="G1442" s="887"/>
      <c r="H1442" s="876">
        <v>27.22</v>
      </c>
      <c r="I1442" s="876">
        <f t="shared" si="384"/>
        <v>27.22</v>
      </c>
      <c r="J1442" s="877">
        <f t="shared" si="385"/>
        <v>33.270000000000003</v>
      </c>
      <c r="K1442" s="878" t="s">
        <v>1500</v>
      </c>
      <c r="L1442" s="879">
        <f>ROUND(SUM(ORÇAMENTO!L1442),2)</f>
        <v>0</v>
      </c>
      <c r="M1442" s="879">
        <f t="shared" si="386"/>
        <v>0</v>
      </c>
      <c r="N1442" s="868">
        <f t="shared" si="387"/>
        <v>0</v>
      </c>
      <c r="O1442" s="880"/>
      <c r="Q1442" s="317" t="str">
        <f t="shared" si="388"/>
        <v/>
      </c>
      <c r="R1442" s="317" t="str">
        <f t="shared" si="389"/>
        <v/>
      </c>
      <c r="S1442" s="317" t="str">
        <f t="shared" si="390"/>
        <v/>
      </c>
      <c r="V1442" s="314">
        <f>SUM(ORÇAMENTO!N1442)</f>
        <v>0</v>
      </c>
      <c r="W1442" s="315">
        <f t="shared" si="391"/>
        <v>0</v>
      </c>
    </row>
    <row r="1443" spans="1:23" ht="30" hidden="1" customHeight="1">
      <c r="A1443" s="63">
        <v>97612</v>
      </c>
      <c r="B1443" s="870">
        <v>97612</v>
      </c>
      <c r="C1443" s="871" t="s">
        <v>590</v>
      </c>
      <c r="D1443" s="881" t="s">
        <v>1352</v>
      </c>
      <c r="E1443" s="882"/>
      <c r="F1443" s="883"/>
      <c r="G1443" s="887"/>
      <c r="H1443" s="876">
        <v>29.48</v>
      </c>
      <c r="I1443" s="876">
        <f t="shared" si="384"/>
        <v>29.48</v>
      </c>
      <c r="J1443" s="877">
        <f t="shared" si="385"/>
        <v>36.03</v>
      </c>
      <c r="K1443" s="878" t="s">
        <v>1500</v>
      </c>
      <c r="L1443" s="879">
        <f>ROUND(SUM(ORÇAMENTO!L1443),2)</f>
        <v>0</v>
      </c>
      <c r="M1443" s="879">
        <f t="shared" si="386"/>
        <v>0</v>
      </c>
      <c r="N1443" s="868">
        <f t="shared" si="387"/>
        <v>0</v>
      </c>
      <c r="O1443" s="880"/>
      <c r="Q1443" s="317" t="str">
        <f t="shared" si="388"/>
        <v/>
      </c>
      <c r="R1443" s="317" t="str">
        <f t="shared" si="389"/>
        <v/>
      </c>
      <c r="S1443" s="317" t="str">
        <f t="shared" si="390"/>
        <v/>
      </c>
      <c r="V1443" s="314">
        <f>SUM(ORÇAMENTO!N1443)</f>
        <v>0</v>
      </c>
      <c r="W1443" s="315">
        <f t="shared" si="391"/>
        <v>0</v>
      </c>
    </row>
    <row r="1444" spans="1:23" ht="30" hidden="1" customHeight="1">
      <c r="A1444" s="63">
        <v>97615</v>
      </c>
      <c r="B1444" s="870">
        <v>97615</v>
      </c>
      <c r="C1444" s="871" t="s">
        <v>590</v>
      </c>
      <c r="D1444" s="881" t="s">
        <v>1353</v>
      </c>
      <c r="E1444" s="882"/>
      <c r="F1444" s="883"/>
      <c r="G1444" s="887"/>
      <c r="H1444" s="876">
        <v>62.31</v>
      </c>
      <c r="I1444" s="876">
        <f t="shared" si="384"/>
        <v>62.31</v>
      </c>
      <c r="J1444" s="877">
        <f t="shared" si="385"/>
        <v>76.16</v>
      </c>
      <c r="K1444" s="878" t="s">
        <v>1500</v>
      </c>
      <c r="L1444" s="879">
        <f>ROUND(SUM(ORÇAMENTO!L1444),2)</f>
        <v>0</v>
      </c>
      <c r="M1444" s="879">
        <f t="shared" si="386"/>
        <v>0</v>
      </c>
      <c r="N1444" s="868">
        <f t="shared" si="387"/>
        <v>0</v>
      </c>
      <c r="O1444" s="880"/>
      <c r="Q1444" s="317" t="str">
        <f t="shared" si="388"/>
        <v/>
      </c>
      <c r="R1444" s="317" t="str">
        <f t="shared" si="389"/>
        <v/>
      </c>
      <c r="S1444" s="317" t="str">
        <f t="shared" si="390"/>
        <v/>
      </c>
      <c r="V1444" s="314">
        <f>SUM(ORÇAMENTO!N1444)</f>
        <v>0</v>
      </c>
      <c r="W1444" s="315">
        <f t="shared" si="391"/>
        <v>0</v>
      </c>
    </row>
    <row r="1445" spans="1:23" ht="30" hidden="1" customHeight="1">
      <c r="A1445" s="63">
        <v>97616</v>
      </c>
      <c r="B1445" s="870">
        <v>97616</v>
      </c>
      <c r="C1445" s="871" t="s">
        <v>590</v>
      </c>
      <c r="D1445" s="881" t="s">
        <v>1354</v>
      </c>
      <c r="E1445" s="882"/>
      <c r="F1445" s="883"/>
      <c r="G1445" s="887"/>
      <c r="H1445" s="876">
        <v>71.38</v>
      </c>
      <c r="I1445" s="876">
        <f t="shared" si="384"/>
        <v>71.38</v>
      </c>
      <c r="J1445" s="877">
        <f t="shared" si="385"/>
        <v>87.24</v>
      </c>
      <c r="K1445" s="878" t="s">
        <v>1500</v>
      </c>
      <c r="L1445" s="879">
        <f>ROUND(SUM(ORÇAMENTO!L1445),2)</f>
        <v>0</v>
      </c>
      <c r="M1445" s="879">
        <f t="shared" si="386"/>
        <v>0</v>
      </c>
      <c r="N1445" s="868">
        <f t="shared" si="387"/>
        <v>0</v>
      </c>
      <c r="O1445" s="880"/>
      <c r="Q1445" s="317" t="str">
        <f t="shared" si="388"/>
        <v/>
      </c>
      <c r="R1445" s="317" t="str">
        <f t="shared" si="389"/>
        <v/>
      </c>
      <c r="S1445" s="317" t="str">
        <f t="shared" si="390"/>
        <v/>
      </c>
      <c r="V1445" s="314">
        <f>SUM(ORÇAMENTO!N1445)</f>
        <v>0</v>
      </c>
      <c r="W1445" s="315">
        <f t="shared" si="391"/>
        <v>0</v>
      </c>
    </row>
    <row r="1446" spans="1:23" ht="30" hidden="1" customHeight="1">
      <c r="A1446" s="63">
        <v>97617</v>
      </c>
      <c r="B1446" s="870">
        <v>97617</v>
      </c>
      <c r="C1446" s="871" t="s">
        <v>590</v>
      </c>
      <c r="D1446" s="881" t="s">
        <v>1355</v>
      </c>
      <c r="E1446" s="882"/>
      <c r="F1446" s="883"/>
      <c r="G1446" s="887"/>
      <c r="H1446" s="876">
        <v>71.03</v>
      </c>
      <c r="I1446" s="876">
        <f t="shared" si="384"/>
        <v>71.03</v>
      </c>
      <c r="J1446" s="877">
        <f t="shared" si="385"/>
        <v>86.81</v>
      </c>
      <c r="K1446" s="878" t="s">
        <v>1500</v>
      </c>
      <c r="L1446" s="879">
        <f>ROUND(SUM(ORÇAMENTO!L1446),2)</f>
        <v>0</v>
      </c>
      <c r="M1446" s="879">
        <f t="shared" si="386"/>
        <v>0</v>
      </c>
      <c r="N1446" s="868">
        <f t="shared" si="387"/>
        <v>0</v>
      </c>
      <c r="O1446" s="880"/>
      <c r="Q1446" s="317" t="str">
        <f t="shared" si="388"/>
        <v/>
      </c>
      <c r="R1446" s="317" t="str">
        <f t="shared" si="389"/>
        <v/>
      </c>
      <c r="S1446" s="317" t="str">
        <f t="shared" si="390"/>
        <v/>
      </c>
      <c r="V1446" s="314">
        <f>SUM(ORÇAMENTO!N1446)</f>
        <v>0</v>
      </c>
      <c r="W1446" s="315">
        <f t="shared" si="391"/>
        <v>0</v>
      </c>
    </row>
    <row r="1447" spans="1:23" ht="30" hidden="1" customHeight="1">
      <c r="A1447" s="63">
        <v>97618</v>
      </c>
      <c r="B1447" s="870">
        <v>97618</v>
      </c>
      <c r="C1447" s="871" t="s">
        <v>590</v>
      </c>
      <c r="D1447" s="881" t="s">
        <v>1356</v>
      </c>
      <c r="E1447" s="882"/>
      <c r="F1447" s="883"/>
      <c r="G1447" s="887"/>
      <c r="H1447" s="876">
        <v>65.489999999999995</v>
      </c>
      <c r="I1447" s="876">
        <f t="shared" si="384"/>
        <v>65.489999999999995</v>
      </c>
      <c r="J1447" s="877">
        <f t="shared" si="385"/>
        <v>80.040000000000006</v>
      </c>
      <c r="K1447" s="878" t="s">
        <v>1500</v>
      </c>
      <c r="L1447" s="879">
        <f>ROUND(SUM(ORÇAMENTO!L1447),2)</f>
        <v>0</v>
      </c>
      <c r="M1447" s="879">
        <f t="shared" si="386"/>
        <v>0</v>
      </c>
      <c r="N1447" s="868">
        <f t="shared" si="387"/>
        <v>0</v>
      </c>
      <c r="O1447" s="880"/>
      <c r="Q1447" s="317" t="str">
        <f t="shared" si="388"/>
        <v/>
      </c>
      <c r="R1447" s="317" t="str">
        <f t="shared" si="389"/>
        <v/>
      </c>
      <c r="S1447" s="317" t="str">
        <f t="shared" si="390"/>
        <v/>
      </c>
      <c r="V1447" s="314">
        <f>SUM(ORÇAMENTO!N1447)</f>
        <v>0</v>
      </c>
      <c r="W1447" s="315">
        <f t="shared" si="391"/>
        <v>0</v>
      </c>
    </row>
    <row r="1448" spans="1:23" ht="30" hidden="1" customHeight="1">
      <c r="A1448" s="63">
        <v>97613</v>
      </c>
      <c r="B1448" s="870">
        <v>97613</v>
      </c>
      <c r="C1448" s="871" t="s">
        <v>590</v>
      </c>
      <c r="D1448" s="881" t="s">
        <v>1357</v>
      </c>
      <c r="E1448" s="882"/>
      <c r="F1448" s="883"/>
      <c r="G1448" s="887"/>
      <c r="H1448" s="876">
        <v>37.01</v>
      </c>
      <c r="I1448" s="876">
        <f t="shared" si="384"/>
        <v>37.01</v>
      </c>
      <c r="J1448" s="877">
        <f t="shared" si="385"/>
        <v>45.23</v>
      </c>
      <c r="K1448" s="878" t="s">
        <v>1500</v>
      </c>
      <c r="L1448" s="879">
        <f>ROUND(SUM(ORÇAMENTO!L1448),2)</f>
        <v>0</v>
      </c>
      <c r="M1448" s="879">
        <f t="shared" si="386"/>
        <v>0</v>
      </c>
      <c r="N1448" s="868">
        <f t="shared" si="387"/>
        <v>0</v>
      </c>
      <c r="O1448" s="880"/>
      <c r="Q1448" s="317" t="str">
        <f t="shared" si="388"/>
        <v/>
      </c>
      <c r="R1448" s="317" t="str">
        <f t="shared" si="389"/>
        <v/>
      </c>
      <c r="S1448" s="317" t="str">
        <f t="shared" si="390"/>
        <v/>
      </c>
      <c r="V1448" s="314">
        <f>SUM(ORÇAMENTO!N1448)</f>
        <v>0</v>
      </c>
      <c r="W1448" s="315">
        <f t="shared" si="391"/>
        <v>0</v>
      </c>
    </row>
    <row r="1449" spans="1:23" ht="30" hidden="1" customHeight="1">
      <c r="A1449" s="63">
        <v>97614</v>
      </c>
      <c r="B1449" s="870">
        <v>97614</v>
      </c>
      <c r="C1449" s="871" t="s">
        <v>590</v>
      </c>
      <c r="D1449" s="881" t="s">
        <v>1358</v>
      </c>
      <c r="E1449" s="882"/>
      <c r="F1449" s="883"/>
      <c r="G1449" s="887"/>
      <c r="H1449" s="876">
        <v>64.17</v>
      </c>
      <c r="I1449" s="876">
        <f t="shared" si="384"/>
        <v>64.17</v>
      </c>
      <c r="J1449" s="877">
        <f t="shared" si="385"/>
        <v>78.430000000000007</v>
      </c>
      <c r="K1449" s="878" t="s">
        <v>1500</v>
      </c>
      <c r="L1449" s="879">
        <f>ROUND(SUM(ORÇAMENTO!L1449),2)</f>
        <v>0</v>
      </c>
      <c r="M1449" s="879">
        <f t="shared" si="386"/>
        <v>0</v>
      </c>
      <c r="N1449" s="868">
        <f t="shared" si="387"/>
        <v>0</v>
      </c>
      <c r="O1449" s="880"/>
      <c r="Q1449" s="317" t="str">
        <f t="shared" si="388"/>
        <v/>
      </c>
      <c r="R1449" s="317" t="str">
        <f t="shared" si="389"/>
        <v/>
      </c>
      <c r="S1449" s="317" t="str">
        <f t="shared" si="390"/>
        <v/>
      </c>
      <c r="V1449" s="314">
        <f>SUM(ORÇAMENTO!N1449)</f>
        <v>0</v>
      </c>
      <c r="W1449" s="315">
        <f t="shared" si="391"/>
        <v>0</v>
      </c>
    </row>
    <row r="1450" spans="1:23" ht="15" hidden="1" customHeight="1">
      <c r="A1450" s="63">
        <v>101648</v>
      </c>
      <c r="B1450" s="870">
        <v>101648</v>
      </c>
      <c r="C1450" s="871" t="s">
        <v>590</v>
      </c>
      <c r="D1450" s="881" t="s">
        <v>1359</v>
      </c>
      <c r="E1450" s="882"/>
      <c r="F1450" s="883"/>
      <c r="G1450" s="887"/>
      <c r="H1450" s="876">
        <v>57.65</v>
      </c>
      <c r="I1450" s="876">
        <f t="shared" si="384"/>
        <v>57.65</v>
      </c>
      <c r="J1450" s="877">
        <f t="shared" si="385"/>
        <v>70.459999999999994</v>
      </c>
      <c r="K1450" s="878" t="s">
        <v>1500</v>
      </c>
      <c r="L1450" s="879">
        <f>ROUND(SUM(ORÇAMENTO!L1450),2)</f>
        <v>0</v>
      </c>
      <c r="M1450" s="879">
        <f t="shared" si="386"/>
        <v>0</v>
      </c>
      <c r="N1450" s="868">
        <f t="shared" si="387"/>
        <v>0</v>
      </c>
      <c r="O1450" s="880"/>
      <c r="Q1450" s="317" t="str">
        <f t="shared" si="388"/>
        <v/>
      </c>
      <c r="R1450" s="317" t="str">
        <f t="shared" si="389"/>
        <v/>
      </c>
      <c r="S1450" s="317" t="str">
        <f t="shared" si="390"/>
        <v/>
      </c>
      <c r="V1450" s="314">
        <f>SUM(ORÇAMENTO!N1450)</f>
        <v>0</v>
      </c>
      <c r="W1450" s="315">
        <f t="shared" si="391"/>
        <v>0</v>
      </c>
    </row>
    <row r="1451" spans="1:23" ht="15" hidden="1" customHeight="1">
      <c r="A1451" s="63">
        <v>101649</v>
      </c>
      <c r="B1451" s="870">
        <v>101649</v>
      </c>
      <c r="C1451" s="871" t="s">
        <v>590</v>
      </c>
      <c r="D1451" s="881" t="s">
        <v>1360</v>
      </c>
      <c r="E1451" s="882"/>
      <c r="F1451" s="883"/>
      <c r="G1451" s="887"/>
      <c r="H1451" s="876">
        <v>66.41</v>
      </c>
      <c r="I1451" s="876">
        <f t="shared" si="384"/>
        <v>66.41</v>
      </c>
      <c r="J1451" s="877">
        <f t="shared" si="385"/>
        <v>81.17</v>
      </c>
      <c r="K1451" s="878" t="s">
        <v>1500</v>
      </c>
      <c r="L1451" s="879">
        <f>ROUND(SUM(ORÇAMENTO!L1451),2)</f>
        <v>0</v>
      </c>
      <c r="M1451" s="879">
        <f t="shared" si="386"/>
        <v>0</v>
      </c>
      <c r="N1451" s="868">
        <f t="shared" si="387"/>
        <v>0</v>
      </c>
      <c r="O1451" s="880"/>
      <c r="Q1451" s="317" t="str">
        <f t="shared" si="388"/>
        <v/>
      </c>
      <c r="R1451" s="317" t="str">
        <f t="shared" si="389"/>
        <v/>
      </c>
      <c r="S1451" s="317" t="str">
        <f t="shared" si="390"/>
        <v/>
      </c>
      <c r="V1451" s="314">
        <f>SUM(ORÇAMENTO!N1451)</f>
        <v>0</v>
      </c>
      <c r="W1451" s="315">
        <f t="shared" si="391"/>
        <v>0</v>
      </c>
    </row>
    <row r="1452" spans="1:23" ht="15" hidden="1" customHeight="1">
      <c r="A1452" s="63">
        <v>101650</v>
      </c>
      <c r="B1452" s="870">
        <v>101650</v>
      </c>
      <c r="C1452" s="871" t="s">
        <v>590</v>
      </c>
      <c r="D1452" s="881" t="s">
        <v>1361</v>
      </c>
      <c r="E1452" s="882"/>
      <c r="F1452" s="883"/>
      <c r="G1452" s="887"/>
      <c r="H1452" s="876">
        <v>77.16</v>
      </c>
      <c r="I1452" s="876">
        <f t="shared" si="384"/>
        <v>77.16</v>
      </c>
      <c r="J1452" s="877">
        <f t="shared" si="385"/>
        <v>94.3</v>
      </c>
      <c r="K1452" s="878" t="s">
        <v>1500</v>
      </c>
      <c r="L1452" s="879">
        <f>ROUND(SUM(ORÇAMENTO!L1452),2)</f>
        <v>0</v>
      </c>
      <c r="M1452" s="879">
        <f t="shared" si="386"/>
        <v>0</v>
      </c>
      <c r="N1452" s="868">
        <f t="shared" si="387"/>
        <v>0</v>
      </c>
      <c r="O1452" s="880"/>
      <c r="Q1452" s="317" t="str">
        <f t="shared" si="388"/>
        <v/>
      </c>
      <c r="R1452" s="317" t="str">
        <f t="shared" si="389"/>
        <v/>
      </c>
      <c r="S1452" s="317" t="str">
        <f t="shared" si="390"/>
        <v/>
      </c>
      <c r="V1452" s="314">
        <f>SUM(ORÇAMENTO!N1452)</f>
        <v>0</v>
      </c>
      <c r="W1452" s="315">
        <f t="shared" si="391"/>
        <v>0</v>
      </c>
    </row>
    <row r="1453" spans="1:23" ht="15" hidden="1" customHeight="1">
      <c r="A1453" s="63">
        <v>101640</v>
      </c>
      <c r="B1453" s="870">
        <v>101640</v>
      </c>
      <c r="C1453" s="871" t="s">
        <v>590</v>
      </c>
      <c r="D1453" s="881" t="s">
        <v>1362</v>
      </c>
      <c r="E1453" s="882"/>
      <c r="F1453" s="883"/>
      <c r="G1453" s="887"/>
      <c r="H1453" s="876">
        <v>105.4</v>
      </c>
      <c r="I1453" s="876">
        <f t="shared" si="384"/>
        <v>105.4</v>
      </c>
      <c r="J1453" s="877">
        <f t="shared" si="385"/>
        <v>128.82</v>
      </c>
      <c r="K1453" s="878" t="s">
        <v>1500</v>
      </c>
      <c r="L1453" s="879">
        <f>ROUND(SUM(ORÇAMENTO!L1453),2)</f>
        <v>0</v>
      </c>
      <c r="M1453" s="879">
        <f t="shared" si="386"/>
        <v>0</v>
      </c>
      <c r="N1453" s="868">
        <f t="shared" si="387"/>
        <v>0</v>
      </c>
      <c r="O1453" s="880"/>
      <c r="Q1453" s="317" t="str">
        <f t="shared" si="388"/>
        <v/>
      </c>
      <c r="R1453" s="317" t="str">
        <f t="shared" si="389"/>
        <v/>
      </c>
      <c r="S1453" s="317" t="str">
        <f t="shared" si="390"/>
        <v/>
      </c>
      <c r="V1453" s="314">
        <f>SUM(ORÇAMENTO!N1453)</f>
        <v>0</v>
      </c>
      <c r="W1453" s="315">
        <f t="shared" si="391"/>
        <v>0</v>
      </c>
    </row>
    <row r="1454" spans="1:23" ht="15" hidden="1" customHeight="1">
      <c r="A1454" s="63">
        <v>101641</v>
      </c>
      <c r="B1454" s="870">
        <v>101641</v>
      </c>
      <c r="C1454" s="871" t="s">
        <v>590</v>
      </c>
      <c r="D1454" s="881" t="s">
        <v>1363</v>
      </c>
      <c r="E1454" s="882"/>
      <c r="F1454" s="883"/>
      <c r="G1454" s="887"/>
      <c r="H1454" s="876">
        <v>54.66</v>
      </c>
      <c r="I1454" s="876">
        <f t="shared" si="384"/>
        <v>54.66</v>
      </c>
      <c r="J1454" s="877">
        <f t="shared" si="385"/>
        <v>66.81</v>
      </c>
      <c r="K1454" s="878" t="s">
        <v>1500</v>
      </c>
      <c r="L1454" s="879">
        <f>ROUND(SUM(ORÇAMENTO!L1454),2)</f>
        <v>0</v>
      </c>
      <c r="M1454" s="879">
        <f t="shared" si="386"/>
        <v>0</v>
      </c>
      <c r="N1454" s="868">
        <f t="shared" si="387"/>
        <v>0</v>
      </c>
      <c r="O1454" s="880"/>
      <c r="Q1454" s="317" t="str">
        <f t="shared" si="388"/>
        <v/>
      </c>
      <c r="R1454" s="317" t="str">
        <f t="shared" si="389"/>
        <v/>
      </c>
      <c r="S1454" s="317" t="str">
        <f t="shared" si="390"/>
        <v/>
      </c>
      <c r="V1454" s="314">
        <f>SUM(ORÇAMENTO!N1454)</f>
        <v>0</v>
      </c>
      <c r="W1454" s="315">
        <f t="shared" si="391"/>
        <v>0</v>
      </c>
    </row>
    <row r="1455" spans="1:23" ht="15" hidden="1" customHeight="1">
      <c r="A1455" s="63">
        <v>101642</v>
      </c>
      <c r="B1455" s="870">
        <v>101642</v>
      </c>
      <c r="C1455" s="871" t="s">
        <v>590</v>
      </c>
      <c r="D1455" s="881" t="s">
        <v>1364</v>
      </c>
      <c r="E1455" s="882"/>
      <c r="F1455" s="883"/>
      <c r="G1455" s="887"/>
      <c r="H1455" s="876">
        <v>27.5</v>
      </c>
      <c r="I1455" s="876">
        <f t="shared" si="384"/>
        <v>27.5</v>
      </c>
      <c r="J1455" s="877">
        <f t="shared" si="385"/>
        <v>33.61</v>
      </c>
      <c r="K1455" s="878" t="s">
        <v>1500</v>
      </c>
      <c r="L1455" s="879">
        <f>ROUND(SUM(ORÇAMENTO!L1455),2)</f>
        <v>0</v>
      </c>
      <c r="M1455" s="879">
        <f t="shared" si="386"/>
        <v>0</v>
      </c>
      <c r="N1455" s="868">
        <f t="shared" si="387"/>
        <v>0</v>
      </c>
      <c r="O1455" s="880"/>
      <c r="Q1455" s="317" t="str">
        <f t="shared" si="388"/>
        <v/>
      </c>
      <c r="R1455" s="317" t="str">
        <f t="shared" si="389"/>
        <v/>
      </c>
      <c r="S1455" s="317" t="str">
        <f t="shared" si="390"/>
        <v/>
      </c>
      <c r="V1455" s="314">
        <f>SUM(ORÇAMENTO!N1455)</f>
        <v>0</v>
      </c>
      <c r="W1455" s="315">
        <f t="shared" si="391"/>
        <v>0</v>
      </c>
    </row>
    <row r="1456" spans="1:23" ht="15" hidden="1" customHeight="1">
      <c r="A1456" s="63">
        <v>101643</v>
      </c>
      <c r="B1456" s="870">
        <v>101643</v>
      </c>
      <c r="C1456" s="871" t="s">
        <v>590</v>
      </c>
      <c r="D1456" s="881" t="s">
        <v>1365</v>
      </c>
      <c r="E1456" s="882"/>
      <c r="F1456" s="883"/>
      <c r="G1456" s="887"/>
      <c r="H1456" s="876">
        <v>47.73</v>
      </c>
      <c r="I1456" s="876">
        <f t="shared" si="384"/>
        <v>47.73</v>
      </c>
      <c r="J1456" s="877">
        <f t="shared" si="385"/>
        <v>58.34</v>
      </c>
      <c r="K1456" s="878" t="s">
        <v>1500</v>
      </c>
      <c r="L1456" s="879">
        <f>ROUND(SUM(ORÇAMENTO!L1456),2)</f>
        <v>0</v>
      </c>
      <c r="M1456" s="879">
        <f t="shared" si="386"/>
        <v>0</v>
      </c>
      <c r="N1456" s="868">
        <f t="shared" si="387"/>
        <v>0</v>
      </c>
      <c r="O1456" s="880"/>
      <c r="Q1456" s="317" t="str">
        <f t="shared" si="388"/>
        <v/>
      </c>
      <c r="R1456" s="317" t="str">
        <f t="shared" si="389"/>
        <v/>
      </c>
      <c r="S1456" s="317" t="str">
        <f t="shared" si="390"/>
        <v/>
      </c>
      <c r="V1456" s="314">
        <f>SUM(ORÇAMENTO!N1456)</f>
        <v>0</v>
      </c>
      <c r="W1456" s="315">
        <f t="shared" si="391"/>
        <v>0</v>
      </c>
    </row>
    <row r="1457" spans="1:23" ht="15" hidden="1" customHeight="1">
      <c r="A1457" s="63">
        <v>101644</v>
      </c>
      <c r="B1457" s="870">
        <v>101644</v>
      </c>
      <c r="C1457" s="871" t="s">
        <v>590</v>
      </c>
      <c r="D1457" s="881" t="s">
        <v>1366</v>
      </c>
      <c r="E1457" s="882"/>
      <c r="F1457" s="883"/>
      <c r="G1457" s="887"/>
      <c r="H1457" s="876">
        <v>64.540000000000006</v>
      </c>
      <c r="I1457" s="876">
        <f t="shared" si="384"/>
        <v>64.540000000000006</v>
      </c>
      <c r="J1457" s="877">
        <f t="shared" si="385"/>
        <v>78.88</v>
      </c>
      <c r="K1457" s="878" t="s">
        <v>1500</v>
      </c>
      <c r="L1457" s="879">
        <f>ROUND(SUM(ORÇAMENTO!L1457),2)</f>
        <v>0</v>
      </c>
      <c r="M1457" s="879">
        <f t="shared" si="386"/>
        <v>0</v>
      </c>
      <c r="N1457" s="868">
        <f t="shared" si="387"/>
        <v>0</v>
      </c>
      <c r="O1457" s="880"/>
      <c r="Q1457" s="317" t="str">
        <f t="shared" si="388"/>
        <v/>
      </c>
      <c r="R1457" s="317" t="str">
        <f t="shared" si="389"/>
        <v/>
      </c>
      <c r="S1457" s="317" t="str">
        <f t="shared" si="390"/>
        <v/>
      </c>
      <c r="V1457" s="314">
        <f>SUM(ORÇAMENTO!N1457)</f>
        <v>0</v>
      </c>
      <c r="W1457" s="315">
        <f t="shared" si="391"/>
        <v>0</v>
      </c>
    </row>
    <row r="1458" spans="1:23" ht="15" hidden="1" customHeight="1">
      <c r="A1458" s="63">
        <v>101645</v>
      </c>
      <c r="B1458" s="870">
        <v>101645</v>
      </c>
      <c r="C1458" s="871" t="s">
        <v>590</v>
      </c>
      <c r="D1458" s="881" t="s">
        <v>1367</v>
      </c>
      <c r="E1458" s="882"/>
      <c r="F1458" s="883"/>
      <c r="G1458" s="887"/>
      <c r="H1458" s="876">
        <v>30.63</v>
      </c>
      <c r="I1458" s="876">
        <f t="shared" si="384"/>
        <v>30.63</v>
      </c>
      <c r="J1458" s="877">
        <f t="shared" si="385"/>
        <v>37.44</v>
      </c>
      <c r="K1458" s="878" t="s">
        <v>1500</v>
      </c>
      <c r="L1458" s="879">
        <f>ROUND(SUM(ORÇAMENTO!L1458),2)</f>
        <v>0</v>
      </c>
      <c r="M1458" s="879">
        <f t="shared" si="386"/>
        <v>0</v>
      </c>
      <c r="N1458" s="868">
        <f t="shared" si="387"/>
        <v>0</v>
      </c>
      <c r="O1458" s="880"/>
      <c r="Q1458" s="317" t="str">
        <f t="shared" si="388"/>
        <v/>
      </c>
      <c r="R1458" s="317" t="str">
        <f t="shared" si="389"/>
        <v/>
      </c>
      <c r="S1458" s="317" t="str">
        <f t="shared" si="390"/>
        <v/>
      </c>
      <c r="V1458" s="314">
        <f>SUM(ORÇAMENTO!N1458)</f>
        <v>0</v>
      </c>
      <c r="W1458" s="315">
        <f t="shared" si="391"/>
        <v>0</v>
      </c>
    </row>
    <row r="1459" spans="1:23" ht="15" hidden="1" customHeight="1">
      <c r="A1459" s="63">
        <v>101646</v>
      </c>
      <c r="B1459" s="870">
        <v>101646</v>
      </c>
      <c r="C1459" s="871" t="s">
        <v>590</v>
      </c>
      <c r="D1459" s="881" t="s">
        <v>1368</v>
      </c>
      <c r="E1459" s="882"/>
      <c r="F1459" s="883"/>
      <c r="G1459" s="887"/>
      <c r="H1459" s="876">
        <v>40.630000000000003</v>
      </c>
      <c r="I1459" s="876">
        <f t="shared" si="384"/>
        <v>40.630000000000003</v>
      </c>
      <c r="J1459" s="877">
        <f t="shared" si="385"/>
        <v>49.66</v>
      </c>
      <c r="K1459" s="878" t="s">
        <v>1500</v>
      </c>
      <c r="L1459" s="879">
        <f>ROUND(SUM(ORÇAMENTO!L1459),2)</f>
        <v>0</v>
      </c>
      <c r="M1459" s="879">
        <f t="shared" si="386"/>
        <v>0</v>
      </c>
      <c r="N1459" s="868">
        <f t="shared" si="387"/>
        <v>0</v>
      </c>
      <c r="O1459" s="880"/>
      <c r="Q1459" s="317" t="str">
        <f t="shared" si="388"/>
        <v/>
      </c>
      <c r="R1459" s="317" t="str">
        <f t="shared" si="389"/>
        <v/>
      </c>
      <c r="S1459" s="317" t="str">
        <f t="shared" si="390"/>
        <v/>
      </c>
      <c r="V1459" s="314">
        <f>SUM(ORÇAMENTO!N1459)</f>
        <v>0</v>
      </c>
      <c r="W1459" s="315">
        <f t="shared" si="391"/>
        <v>0</v>
      </c>
    </row>
    <row r="1460" spans="1:23" ht="15" hidden="1" customHeight="1">
      <c r="A1460" s="63">
        <v>101647</v>
      </c>
      <c r="B1460" s="870">
        <v>101647</v>
      </c>
      <c r="C1460" s="871" t="s">
        <v>590</v>
      </c>
      <c r="D1460" s="881" t="s">
        <v>1369</v>
      </c>
      <c r="E1460" s="882"/>
      <c r="F1460" s="883"/>
      <c r="G1460" s="887"/>
      <c r="H1460" s="876">
        <v>74.489999999999995</v>
      </c>
      <c r="I1460" s="876">
        <f t="shared" si="384"/>
        <v>74.489999999999995</v>
      </c>
      <c r="J1460" s="877">
        <f t="shared" si="385"/>
        <v>91.04</v>
      </c>
      <c r="K1460" s="878" t="s">
        <v>1500</v>
      </c>
      <c r="L1460" s="879">
        <f>ROUND(SUM(ORÇAMENTO!L1460),2)</f>
        <v>0</v>
      </c>
      <c r="M1460" s="879">
        <f t="shared" si="386"/>
        <v>0</v>
      </c>
      <c r="N1460" s="868">
        <f t="shared" si="387"/>
        <v>0</v>
      </c>
      <c r="O1460" s="880"/>
      <c r="Q1460" s="317" t="str">
        <f t="shared" si="388"/>
        <v/>
      </c>
      <c r="R1460" s="317" t="str">
        <f t="shared" si="389"/>
        <v/>
      </c>
      <c r="S1460" s="317" t="str">
        <f t="shared" si="390"/>
        <v/>
      </c>
      <c r="V1460" s="314">
        <f>SUM(ORÇAMENTO!N1460)</f>
        <v>0</v>
      </c>
      <c r="W1460" s="315">
        <f t="shared" si="391"/>
        <v>0</v>
      </c>
    </row>
    <row r="1461" spans="1:23" ht="30" hidden="1" customHeight="1">
      <c r="A1461" s="63">
        <v>102085</v>
      </c>
      <c r="B1461" s="870">
        <v>102085</v>
      </c>
      <c r="C1461" s="871" t="s">
        <v>590</v>
      </c>
      <c r="D1461" s="881" t="s">
        <v>1370</v>
      </c>
      <c r="E1461" s="882"/>
      <c r="F1461" s="883"/>
      <c r="G1461" s="887"/>
      <c r="H1461" s="876">
        <v>228.92</v>
      </c>
      <c r="I1461" s="876">
        <f t="shared" si="384"/>
        <v>228.92</v>
      </c>
      <c r="J1461" s="877">
        <f t="shared" si="385"/>
        <v>279.79000000000002</v>
      </c>
      <c r="K1461" s="878" t="s">
        <v>1500</v>
      </c>
      <c r="L1461" s="879">
        <f>ROUND(SUM(ORÇAMENTO!L1461),2)</f>
        <v>0</v>
      </c>
      <c r="M1461" s="879">
        <f t="shared" si="386"/>
        <v>0</v>
      </c>
      <c r="N1461" s="868">
        <f t="shared" si="387"/>
        <v>0</v>
      </c>
      <c r="O1461" s="880"/>
      <c r="Q1461" s="317" t="str">
        <f t="shared" si="388"/>
        <v/>
      </c>
      <c r="R1461" s="317" t="str">
        <f t="shared" si="389"/>
        <v/>
      </c>
      <c r="S1461" s="317" t="str">
        <f t="shared" si="390"/>
        <v/>
      </c>
      <c r="V1461" s="314">
        <f>SUM(ORÇAMENTO!N1461)</f>
        <v>0</v>
      </c>
      <c r="W1461" s="315">
        <f t="shared" si="391"/>
        <v>0</v>
      </c>
    </row>
    <row r="1462" spans="1:23" ht="30" hidden="1" customHeight="1">
      <c r="A1462" s="63">
        <v>97605</v>
      </c>
      <c r="B1462" s="870">
        <v>97605</v>
      </c>
      <c r="C1462" s="871" t="s">
        <v>590</v>
      </c>
      <c r="D1462" s="881" t="s">
        <v>1371</v>
      </c>
      <c r="E1462" s="882"/>
      <c r="F1462" s="883"/>
      <c r="G1462" s="887"/>
      <c r="H1462" s="876">
        <v>105.71</v>
      </c>
      <c r="I1462" s="876">
        <f t="shared" si="384"/>
        <v>105.71</v>
      </c>
      <c r="J1462" s="877">
        <f t="shared" si="385"/>
        <v>129.19999999999999</v>
      </c>
      <c r="K1462" s="878" t="s">
        <v>1500</v>
      </c>
      <c r="L1462" s="879">
        <f>ROUND(SUM(ORÇAMENTO!L1462),2)</f>
        <v>0</v>
      </c>
      <c r="M1462" s="879">
        <f t="shared" si="386"/>
        <v>0</v>
      </c>
      <c r="N1462" s="868">
        <f t="shared" si="387"/>
        <v>0</v>
      </c>
      <c r="O1462" s="880"/>
      <c r="Q1462" s="317" t="str">
        <f t="shared" si="388"/>
        <v/>
      </c>
      <c r="R1462" s="317" t="str">
        <f t="shared" si="389"/>
        <v/>
      </c>
      <c r="S1462" s="317" t="str">
        <f t="shared" si="390"/>
        <v/>
      </c>
      <c r="V1462" s="314">
        <f>SUM(ORÇAMENTO!N1462)</f>
        <v>0</v>
      </c>
      <c r="W1462" s="315">
        <f t="shared" si="391"/>
        <v>0</v>
      </c>
    </row>
    <row r="1463" spans="1:23" ht="30" hidden="1" customHeight="1">
      <c r="A1463" s="63">
        <v>101654</v>
      </c>
      <c r="B1463" s="870">
        <v>101654</v>
      </c>
      <c r="C1463" s="871" t="s">
        <v>590</v>
      </c>
      <c r="D1463" s="881" t="s">
        <v>1372</v>
      </c>
      <c r="E1463" s="882"/>
      <c r="F1463" s="883"/>
      <c r="G1463" s="887"/>
      <c r="H1463" s="876">
        <v>292.29000000000002</v>
      </c>
      <c r="I1463" s="876">
        <f t="shared" si="384"/>
        <v>292.29000000000002</v>
      </c>
      <c r="J1463" s="877">
        <f t="shared" si="385"/>
        <v>357.24</v>
      </c>
      <c r="K1463" s="878" t="s">
        <v>1500</v>
      </c>
      <c r="L1463" s="879">
        <f>ROUND(SUM(ORÇAMENTO!L1463),2)</f>
        <v>0</v>
      </c>
      <c r="M1463" s="879">
        <f t="shared" si="386"/>
        <v>0</v>
      </c>
      <c r="N1463" s="868">
        <f t="shared" si="387"/>
        <v>0</v>
      </c>
      <c r="O1463" s="880"/>
      <c r="Q1463" s="317" t="str">
        <f t="shared" si="388"/>
        <v/>
      </c>
      <c r="R1463" s="317" t="str">
        <f t="shared" si="389"/>
        <v/>
      </c>
      <c r="S1463" s="317" t="str">
        <f t="shared" si="390"/>
        <v/>
      </c>
      <c r="V1463" s="314">
        <f>SUM(ORÇAMENTO!N1463)</f>
        <v>0</v>
      </c>
      <c r="W1463" s="315">
        <f t="shared" si="391"/>
        <v>0</v>
      </c>
    </row>
    <row r="1464" spans="1:23" ht="30" hidden="1" customHeight="1">
      <c r="A1464" s="63">
        <v>101655</v>
      </c>
      <c r="B1464" s="870">
        <v>101655</v>
      </c>
      <c r="C1464" s="871" t="s">
        <v>590</v>
      </c>
      <c r="D1464" s="881" t="s">
        <v>1373</v>
      </c>
      <c r="E1464" s="882"/>
      <c r="F1464" s="883"/>
      <c r="G1464" s="887"/>
      <c r="H1464" s="876">
        <v>473.09</v>
      </c>
      <c r="I1464" s="876">
        <f t="shared" si="384"/>
        <v>473.09</v>
      </c>
      <c r="J1464" s="877">
        <f t="shared" si="385"/>
        <v>578.21</v>
      </c>
      <c r="K1464" s="878" t="s">
        <v>1500</v>
      </c>
      <c r="L1464" s="879">
        <f>ROUND(SUM(ORÇAMENTO!L1464),2)</f>
        <v>0</v>
      </c>
      <c r="M1464" s="879">
        <f t="shared" si="386"/>
        <v>0</v>
      </c>
      <c r="N1464" s="868">
        <f t="shared" si="387"/>
        <v>0</v>
      </c>
      <c r="O1464" s="880"/>
      <c r="Q1464" s="317" t="str">
        <f t="shared" si="388"/>
        <v/>
      </c>
      <c r="R1464" s="317" t="str">
        <f t="shared" si="389"/>
        <v/>
      </c>
      <c r="S1464" s="317" t="str">
        <f t="shared" si="390"/>
        <v/>
      </c>
      <c r="V1464" s="314">
        <f>SUM(ORÇAMENTO!N1464)</f>
        <v>0</v>
      </c>
      <c r="W1464" s="315">
        <f t="shared" si="391"/>
        <v>0</v>
      </c>
    </row>
    <row r="1465" spans="1:23" ht="30" hidden="1" customHeight="1">
      <c r="A1465" s="63">
        <v>101656</v>
      </c>
      <c r="B1465" s="870">
        <v>101656</v>
      </c>
      <c r="C1465" s="871" t="s">
        <v>590</v>
      </c>
      <c r="D1465" s="881" t="s">
        <v>1374</v>
      </c>
      <c r="E1465" s="882"/>
      <c r="F1465" s="883"/>
      <c r="G1465" s="887"/>
      <c r="H1465" s="876">
        <v>515.30999999999995</v>
      </c>
      <c r="I1465" s="876">
        <f t="shared" si="384"/>
        <v>515.30999999999995</v>
      </c>
      <c r="J1465" s="877">
        <f t="shared" si="385"/>
        <v>629.80999999999995</v>
      </c>
      <c r="K1465" s="878" t="s">
        <v>1500</v>
      </c>
      <c r="L1465" s="879">
        <f>ROUND(SUM(ORÇAMENTO!L1465),2)</f>
        <v>0</v>
      </c>
      <c r="M1465" s="879">
        <f t="shared" si="386"/>
        <v>0</v>
      </c>
      <c r="N1465" s="868">
        <f t="shared" si="387"/>
        <v>0</v>
      </c>
      <c r="O1465" s="880"/>
      <c r="Q1465" s="317" t="str">
        <f t="shared" si="388"/>
        <v/>
      </c>
      <c r="R1465" s="317" t="str">
        <f t="shared" si="389"/>
        <v/>
      </c>
      <c r="S1465" s="317" t="str">
        <f t="shared" si="390"/>
        <v/>
      </c>
      <c r="V1465" s="314">
        <f>SUM(ORÇAMENTO!N1465)</f>
        <v>0</v>
      </c>
      <c r="W1465" s="315">
        <f t="shared" si="391"/>
        <v>0</v>
      </c>
    </row>
    <row r="1466" spans="1:23" ht="30" hidden="1" customHeight="1">
      <c r="A1466" s="63">
        <v>101657</v>
      </c>
      <c r="B1466" s="870">
        <v>101657</v>
      </c>
      <c r="C1466" s="871" t="s">
        <v>590</v>
      </c>
      <c r="D1466" s="881" t="s">
        <v>1375</v>
      </c>
      <c r="E1466" s="882"/>
      <c r="F1466" s="883"/>
      <c r="G1466" s="887"/>
      <c r="H1466" s="876">
        <v>605.23</v>
      </c>
      <c r="I1466" s="876">
        <f t="shared" si="384"/>
        <v>605.23</v>
      </c>
      <c r="J1466" s="877">
        <f t="shared" si="385"/>
        <v>739.71</v>
      </c>
      <c r="K1466" s="878" t="s">
        <v>1500</v>
      </c>
      <c r="L1466" s="879">
        <f>ROUND(SUM(ORÇAMENTO!L1466),2)</f>
        <v>0</v>
      </c>
      <c r="M1466" s="879">
        <f t="shared" si="386"/>
        <v>0</v>
      </c>
      <c r="N1466" s="868">
        <f t="shared" si="387"/>
        <v>0</v>
      </c>
      <c r="O1466" s="880"/>
      <c r="Q1466" s="317" t="str">
        <f t="shared" si="388"/>
        <v/>
      </c>
      <c r="R1466" s="317" t="str">
        <f t="shared" si="389"/>
        <v/>
      </c>
      <c r="S1466" s="317" t="str">
        <f t="shared" si="390"/>
        <v/>
      </c>
      <c r="V1466" s="314">
        <f>SUM(ORÇAMENTO!N1466)</f>
        <v>0</v>
      </c>
      <c r="W1466" s="315">
        <f t="shared" si="391"/>
        <v>0</v>
      </c>
    </row>
    <row r="1467" spans="1:23" ht="30" hidden="1" customHeight="1">
      <c r="A1467" s="63">
        <v>101658</v>
      </c>
      <c r="B1467" s="870">
        <v>101658</v>
      </c>
      <c r="C1467" s="871" t="s">
        <v>590</v>
      </c>
      <c r="D1467" s="881" t="s">
        <v>1376</v>
      </c>
      <c r="E1467" s="882"/>
      <c r="F1467" s="883"/>
      <c r="G1467" s="887"/>
      <c r="H1467" s="876">
        <v>790.12</v>
      </c>
      <c r="I1467" s="876">
        <f t="shared" si="384"/>
        <v>790.12</v>
      </c>
      <c r="J1467" s="877">
        <f t="shared" si="385"/>
        <v>965.68</v>
      </c>
      <c r="K1467" s="878" t="s">
        <v>1500</v>
      </c>
      <c r="L1467" s="879">
        <f>ROUND(SUM(ORÇAMENTO!L1467),2)</f>
        <v>0</v>
      </c>
      <c r="M1467" s="879">
        <f t="shared" si="386"/>
        <v>0</v>
      </c>
      <c r="N1467" s="868">
        <f t="shared" si="387"/>
        <v>0</v>
      </c>
      <c r="O1467" s="880"/>
      <c r="Q1467" s="317" t="str">
        <f t="shared" si="388"/>
        <v/>
      </c>
      <c r="R1467" s="317" t="str">
        <f t="shared" si="389"/>
        <v/>
      </c>
      <c r="S1467" s="317" t="str">
        <f t="shared" si="390"/>
        <v/>
      </c>
      <c r="V1467" s="314">
        <f>SUM(ORÇAMENTO!N1467)</f>
        <v>0</v>
      </c>
      <c r="W1467" s="315">
        <f t="shared" si="391"/>
        <v>0</v>
      </c>
    </row>
    <row r="1468" spans="1:23" ht="30" hidden="1" customHeight="1">
      <c r="A1468" s="63">
        <v>101659</v>
      </c>
      <c r="B1468" s="870">
        <v>101659</v>
      </c>
      <c r="C1468" s="871" t="s">
        <v>590</v>
      </c>
      <c r="D1468" s="881" t="s">
        <v>1377</v>
      </c>
      <c r="E1468" s="882"/>
      <c r="F1468" s="883"/>
      <c r="G1468" s="887"/>
      <c r="H1468" s="876">
        <v>905.12</v>
      </c>
      <c r="I1468" s="876">
        <f t="shared" si="384"/>
        <v>905.12</v>
      </c>
      <c r="J1468" s="877">
        <f t="shared" si="385"/>
        <v>1106.24</v>
      </c>
      <c r="K1468" s="878" t="s">
        <v>1500</v>
      </c>
      <c r="L1468" s="879">
        <f>ROUND(SUM(ORÇAMENTO!L1468),2)</f>
        <v>0</v>
      </c>
      <c r="M1468" s="879">
        <f t="shared" si="386"/>
        <v>0</v>
      </c>
      <c r="N1468" s="868">
        <f t="shared" si="387"/>
        <v>0</v>
      </c>
      <c r="O1468" s="880"/>
      <c r="Q1468" s="317" t="str">
        <f t="shared" si="388"/>
        <v/>
      </c>
      <c r="R1468" s="317" t="str">
        <f t="shared" si="389"/>
        <v/>
      </c>
      <c r="S1468" s="317" t="str">
        <f t="shared" si="390"/>
        <v/>
      </c>
      <c r="V1468" s="314">
        <f>SUM(ORÇAMENTO!N1468)</f>
        <v>0</v>
      </c>
      <c r="W1468" s="315">
        <f t="shared" si="391"/>
        <v>0</v>
      </c>
    </row>
    <row r="1469" spans="1:23" ht="30" hidden="1" customHeight="1">
      <c r="A1469" s="63">
        <v>101660</v>
      </c>
      <c r="B1469" s="870">
        <v>101660</v>
      </c>
      <c r="C1469" s="871" t="s">
        <v>590</v>
      </c>
      <c r="D1469" s="881" t="s">
        <v>1378</v>
      </c>
      <c r="E1469" s="882"/>
      <c r="F1469" s="883"/>
      <c r="G1469" s="887"/>
      <c r="H1469" s="876">
        <v>1447.98</v>
      </c>
      <c r="I1469" s="876">
        <f t="shared" si="384"/>
        <v>1447.98</v>
      </c>
      <c r="J1469" s="877">
        <f t="shared" si="385"/>
        <v>1769.72</v>
      </c>
      <c r="K1469" s="878" t="s">
        <v>1500</v>
      </c>
      <c r="L1469" s="879">
        <f>ROUND(SUM(ORÇAMENTO!L1469),2)</f>
        <v>0</v>
      </c>
      <c r="M1469" s="879">
        <f t="shared" si="386"/>
        <v>0</v>
      </c>
      <c r="N1469" s="868">
        <f t="shared" si="387"/>
        <v>0</v>
      </c>
      <c r="O1469" s="880"/>
      <c r="Q1469" s="317" t="str">
        <f t="shared" si="388"/>
        <v/>
      </c>
      <c r="R1469" s="317" t="str">
        <f t="shared" si="389"/>
        <v/>
      </c>
      <c r="S1469" s="317" t="str">
        <f t="shared" si="390"/>
        <v/>
      </c>
      <c r="V1469" s="314">
        <f>SUM(ORÇAMENTO!N1469)</f>
        <v>0</v>
      </c>
      <c r="W1469" s="315">
        <f t="shared" si="391"/>
        <v>0</v>
      </c>
    </row>
    <row r="1470" spans="1:23" ht="30" hidden="1" customHeight="1">
      <c r="A1470" s="63">
        <v>97606</v>
      </c>
      <c r="B1470" s="870">
        <v>97606</v>
      </c>
      <c r="C1470" s="871" t="s">
        <v>590</v>
      </c>
      <c r="D1470" s="881" t="s">
        <v>1379</v>
      </c>
      <c r="E1470" s="882"/>
      <c r="F1470" s="883"/>
      <c r="G1470" s="887"/>
      <c r="H1470" s="876">
        <v>114.57</v>
      </c>
      <c r="I1470" s="876">
        <f t="shared" si="384"/>
        <v>114.57</v>
      </c>
      <c r="J1470" s="877">
        <f t="shared" si="385"/>
        <v>140.03</v>
      </c>
      <c r="K1470" s="878" t="s">
        <v>1500</v>
      </c>
      <c r="L1470" s="879">
        <f>ROUND(SUM(ORÇAMENTO!L1470),2)</f>
        <v>0</v>
      </c>
      <c r="M1470" s="879">
        <f t="shared" si="386"/>
        <v>0</v>
      </c>
      <c r="N1470" s="868">
        <f t="shared" si="387"/>
        <v>0</v>
      </c>
      <c r="O1470" s="880"/>
      <c r="Q1470" s="317" t="str">
        <f t="shared" si="388"/>
        <v/>
      </c>
      <c r="R1470" s="317" t="str">
        <f t="shared" si="389"/>
        <v/>
      </c>
      <c r="S1470" s="317" t="str">
        <f t="shared" si="390"/>
        <v/>
      </c>
      <c r="V1470" s="314">
        <f>SUM(ORÇAMENTO!N1470)</f>
        <v>0</v>
      </c>
      <c r="W1470" s="315">
        <f t="shared" si="391"/>
        <v>0</v>
      </c>
    </row>
    <row r="1471" spans="1:23" ht="30" hidden="1" customHeight="1">
      <c r="A1471" s="63">
        <v>97607</v>
      </c>
      <c r="B1471" s="870">
        <v>97607</v>
      </c>
      <c r="C1471" s="871" t="s">
        <v>590</v>
      </c>
      <c r="D1471" s="881" t="s">
        <v>1380</v>
      </c>
      <c r="E1471" s="882"/>
      <c r="F1471" s="883"/>
      <c r="G1471" s="887"/>
      <c r="H1471" s="876">
        <v>127.64</v>
      </c>
      <c r="I1471" s="876">
        <f t="shared" si="384"/>
        <v>127.64</v>
      </c>
      <c r="J1471" s="877">
        <f t="shared" si="385"/>
        <v>156</v>
      </c>
      <c r="K1471" s="878" t="s">
        <v>1500</v>
      </c>
      <c r="L1471" s="879">
        <f>ROUND(SUM(ORÇAMENTO!L1471),2)</f>
        <v>0</v>
      </c>
      <c r="M1471" s="879">
        <f t="shared" si="386"/>
        <v>0</v>
      </c>
      <c r="N1471" s="868">
        <f t="shared" si="387"/>
        <v>0</v>
      </c>
      <c r="O1471" s="880"/>
      <c r="Q1471" s="317" t="str">
        <f t="shared" si="388"/>
        <v/>
      </c>
      <c r="R1471" s="317" t="str">
        <f t="shared" si="389"/>
        <v/>
      </c>
      <c r="S1471" s="317" t="str">
        <f t="shared" si="390"/>
        <v/>
      </c>
      <c r="V1471" s="314">
        <f>SUM(ORÇAMENTO!N1471)</f>
        <v>0</v>
      </c>
      <c r="W1471" s="315">
        <f t="shared" si="391"/>
        <v>0</v>
      </c>
    </row>
    <row r="1472" spans="1:23" ht="38.1" hidden="1" customHeight="1">
      <c r="A1472" s="63">
        <v>97608</v>
      </c>
      <c r="B1472" s="870">
        <v>97608</v>
      </c>
      <c r="C1472" s="871" t="s">
        <v>590</v>
      </c>
      <c r="D1472" s="881" t="s">
        <v>1381</v>
      </c>
      <c r="E1472" s="882"/>
      <c r="F1472" s="883"/>
      <c r="G1472" s="887"/>
      <c r="H1472" s="876">
        <v>136.5</v>
      </c>
      <c r="I1472" s="876">
        <f t="shared" si="384"/>
        <v>136.5</v>
      </c>
      <c r="J1472" s="877">
        <f t="shared" si="385"/>
        <v>166.83</v>
      </c>
      <c r="K1472" s="878" t="s">
        <v>1500</v>
      </c>
      <c r="L1472" s="879">
        <f>ROUND(SUM(ORÇAMENTO!L1472),2)</f>
        <v>0</v>
      </c>
      <c r="M1472" s="879">
        <f t="shared" si="386"/>
        <v>0</v>
      </c>
      <c r="N1472" s="868">
        <f t="shared" si="387"/>
        <v>0</v>
      </c>
      <c r="O1472" s="880"/>
      <c r="Q1472" s="317" t="str">
        <f t="shared" si="388"/>
        <v/>
      </c>
      <c r="R1472" s="317" t="str">
        <f t="shared" si="389"/>
        <v/>
      </c>
      <c r="S1472" s="317" t="str">
        <f t="shared" si="390"/>
        <v/>
      </c>
      <c r="V1472" s="314">
        <f>SUM(ORÇAMENTO!N1472)</f>
        <v>0</v>
      </c>
      <c r="W1472" s="315">
        <f t="shared" si="391"/>
        <v>0</v>
      </c>
    </row>
    <row r="1473" spans="1:23" ht="30" hidden="1" customHeight="1">
      <c r="A1473" s="63">
        <v>100902</v>
      </c>
      <c r="B1473" s="870">
        <v>100902</v>
      </c>
      <c r="C1473" s="871" t="s">
        <v>590</v>
      </c>
      <c r="D1473" s="881" t="s">
        <v>1382</v>
      </c>
      <c r="E1473" s="882"/>
      <c r="F1473" s="883"/>
      <c r="G1473" s="887"/>
      <c r="H1473" s="876">
        <v>29.72</v>
      </c>
      <c r="I1473" s="876">
        <f t="shared" si="384"/>
        <v>29.72</v>
      </c>
      <c r="J1473" s="877">
        <f t="shared" si="385"/>
        <v>36.32</v>
      </c>
      <c r="K1473" s="878" t="s">
        <v>1500</v>
      </c>
      <c r="L1473" s="879">
        <f>ROUND(SUM(ORÇAMENTO!L1473),2)</f>
        <v>0</v>
      </c>
      <c r="M1473" s="879">
        <f t="shared" si="386"/>
        <v>0</v>
      </c>
      <c r="N1473" s="868">
        <f t="shared" si="387"/>
        <v>0</v>
      </c>
      <c r="O1473" s="880"/>
      <c r="Q1473" s="317" t="str">
        <f t="shared" si="388"/>
        <v/>
      </c>
      <c r="R1473" s="317" t="str">
        <f t="shared" si="389"/>
        <v/>
      </c>
      <c r="S1473" s="317" t="str">
        <f t="shared" si="390"/>
        <v/>
      </c>
      <c r="V1473" s="314">
        <f>SUM(ORÇAMENTO!N1473)</f>
        <v>0</v>
      </c>
      <c r="W1473" s="315">
        <f t="shared" si="391"/>
        <v>0</v>
      </c>
    </row>
    <row r="1474" spans="1:23" ht="30" hidden="1" customHeight="1">
      <c r="A1474" s="63">
        <v>100903</v>
      </c>
      <c r="B1474" s="870">
        <v>100903</v>
      </c>
      <c r="C1474" s="871" t="s">
        <v>590</v>
      </c>
      <c r="D1474" s="881" t="s">
        <v>1383</v>
      </c>
      <c r="E1474" s="882"/>
      <c r="F1474" s="883"/>
      <c r="G1474" s="887"/>
      <c r="H1474" s="876">
        <v>34.54</v>
      </c>
      <c r="I1474" s="876">
        <f t="shared" ref="I1474:I1537" si="392">IF(ISBLANK(H1474),"",SUM(G1474:H1474))</f>
        <v>34.54</v>
      </c>
      <c r="J1474" s="877">
        <f t="shared" si="385"/>
        <v>42.21</v>
      </c>
      <c r="K1474" s="878" t="s">
        <v>1500</v>
      </c>
      <c r="L1474" s="879">
        <f>ROUND(SUM(ORÇAMENTO!L1474),2)</f>
        <v>0</v>
      </c>
      <c r="M1474" s="879">
        <f t="shared" si="386"/>
        <v>0</v>
      </c>
      <c r="N1474" s="868">
        <f t="shared" si="387"/>
        <v>0</v>
      </c>
      <c r="O1474" s="880"/>
      <c r="Q1474" s="317" t="str">
        <f t="shared" si="388"/>
        <v/>
      </c>
      <c r="R1474" s="317" t="str">
        <f t="shared" si="389"/>
        <v/>
      </c>
      <c r="S1474" s="317" t="str">
        <f t="shared" si="390"/>
        <v/>
      </c>
      <c r="V1474" s="314">
        <f>SUM(ORÇAMENTO!N1474)</f>
        <v>0</v>
      </c>
      <c r="W1474" s="315">
        <f t="shared" si="391"/>
        <v>0</v>
      </c>
    </row>
    <row r="1475" spans="1:23" ht="38.1" hidden="1" customHeight="1">
      <c r="A1475" s="63">
        <v>100904</v>
      </c>
      <c r="B1475" s="870">
        <v>100904</v>
      </c>
      <c r="C1475" s="871" t="s">
        <v>590</v>
      </c>
      <c r="D1475" s="881" t="s">
        <v>1384</v>
      </c>
      <c r="E1475" s="882"/>
      <c r="F1475" s="883"/>
      <c r="G1475" s="887"/>
      <c r="H1475" s="876">
        <v>99.02</v>
      </c>
      <c r="I1475" s="876">
        <f t="shared" si="392"/>
        <v>99.02</v>
      </c>
      <c r="J1475" s="877">
        <f t="shared" si="385"/>
        <v>121.02</v>
      </c>
      <c r="K1475" s="878" t="s">
        <v>1500</v>
      </c>
      <c r="L1475" s="879">
        <f>ROUND(SUM(ORÇAMENTO!L1475),2)</f>
        <v>0</v>
      </c>
      <c r="M1475" s="879">
        <f t="shared" si="386"/>
        <v>0</v>
      </c>
      <c r="N1475" s="868">
        <f t="shared" si="387"/>
        <v>0</v>
      </c>
      <c r="O1475" s="880"/>
      <c r="Q1475" s="317" t="str">
        <f t="shared" si="388"/>
        <v/>
      </c>
      <c r="R1475" s="317" t="str">
        <f t="shared" si="389"/>
        <v/>
      </c>
      <c r="S1475" s="317" t="str">
        <f t="shared" si="390"/>
        <v/>
      </c>
      <c r="V1475" s="314">
        <f>SUM(ORÇAMENTO!N1475)</f>
        <v>0</v>
      </c>
      <c r="W1475" s="315">
        <f t="shared" si="391"/>
        <v>0</v>
      </c>
    </row>
    <row r="1476" spans="1:23" ht="34.5" hidden="1" thickBot="1">
      <c r="A1476" s="63">
        <v>100905</v>
      </c>
      <c r="B1476" s="870">
        <v>100905</v>
      </c>
      <c r="C1476" s="871" t="s">
        <v>590</v>
      </c>
      <c r="D1476" s="881" t="s">
        <v>1385</v>
      </c>
      <c r="E1476" s="882"/>
      <c r="F1476" s="883"/>
      <c r="G1476" s="887"/>
      <c r="H1476" s="876">
        <v>266.39999999999998</v>
      </c>
      <c r="I1476" s="876">
        <f t="shared" si="392"/>
        <v>266.39999999999998</v>
      </c>
      <c r="J1476" s="877">
        <f t="shared" si="385"/>
        <v>325.58999999999997</v>
      </c>
      <c r="K1476" s="878" t="s">
        <v>1500</v>
      </c>
      <c r="L1476" s="879">
        <f>ROUND(SUM(ORÇAMENTO!L1476),2)</f>
        <v>0</v>
      </c>
      <c r="M1476" s="879">
        <f t="shared" si="386"/>
        <v>0</v>
      </c>
      <c r="N1476" s="868">
        <f t="shared" si="387"/>
        <v>0</v>
      </c>
      <c r="O1476" s="880"/>
      <c r="Q1476" s="317" t="str">
        <f t="shared" si="388"/>
        <v/>
      </c>
      <c r="R1476" s="317" t="str">
        <f t="shared" si="389"/>
        <v/>
      </c>
      <c r="S1476" s="317" t="str">
        <f t="shared" si="390"/>
        <v/>
      </c>
      <c r="V1476" s="314">
        <f>SUM(ORÇAMENTO!N1476)</f>
        <v>0</v>
      </c>
      <c r="W1476" s="315">
        <f t="shared" si="391"/>
        <v>0</v>
      </c>
    </row>
    <row r="1477" spans="1:23" ht="34.5" hidden="1" thickBot="1">
      <c r="A1477" s="63">
        <v>100906</v>
      </c>
      <c r="B1477" s="870">
        <v>100906</v>
      </c>
      <c r="C1477" s="871" t="s">
        <v>590</v>
      </c>
      <c r="D1477" s="881" t="s">
        <v>1386</v>
      </c>
      <c r="E1477" s="882"/>
      <c r="F1477" s="883"/>
      <c r="G1477" s="887"/>
      <c r="H1477" s="876">
        <v>361.6</v>
      </c>
      <c r="I1477" s="876">
        <f t="shared" si="392"/>
        <v>361.6</v>
      </c>
      <c r="J1477" s="877">
        <f t="shared" si="385"/>
        <v>441.95</v>
      </c>
      <c r="K1477" s="878" t="s">
        <v>1500</v>
      </c>
      <c r="L1477" s="879">
        <f>ROUND(SUM(ORÇAMENTO!L1477),2)</f>
        <v>0</v>
      </c>
      <c r="M1477" s="879">
        <f t="shared" si="386"/>
        <v>0</v>
      </c>
      <c r="N1477" s="868">
        <f t="shared" si="387"/>
        <v>0</v>
      </c>
      <c r="O1477" s="880"/>
      <c r="Q1477" s="317" t="str">
        <f t="shared" si="388"/>
        <v/>
      </c>
      <c r="R1477" s="317" t="str">
        <f t="shared" si="389"/>
        <v/>
      </c>
      <c r="S1477" s="317" t="str">
        <f t="shared" si="390"/>
        <v/>
      </c>
      <c r="V1477" s="314">
        <f>SUM(ORÇAMENTO!N1477)</f>
        <v>0</v>
      </c>
      <c r="W1477" s="315">
        <f t="shared" si="391"/>
        <v>0</v>
      </c>
    </row>
    <row r="1478" spans="1:23" ht="23.25" hidden="1" thickBot="1">
      <c r="A1478" s="63">
        <v>100919</v>
      </c>
      <c r="B1478" s="870">
        <v>100919</v>
      </c>
      <c r="C1478" s="871" t="s">
        <v>590</v>
      </c>
      <c r="D1478" s="881" t="s">
        <v>1387</v>
      </c>
      <c r="E1478" s="882"/>
      <c r="F1478" s="883"/>
      <c r="G1478" s="887"/>
      <c r="H1478" s="876">
        <v>73.05</v>
      </c>
      <c r="I1478" s="876">
        <f t="shared" si="392"/>
        <v>73.05</v>
      </c>
      <c r="J1478" s="877">
        <f t="shared" si="385"/>
        <v>89.28</v>
      </c>
      <c r="K1478" s="878" t="s">
        <v>1500</v>
      </c>
      <c r="L1478" s="879">
        <f>ROUND(SUM(ORÇAMENTO!L1478),2)</f>
        <v>0</v>
      </c>
      <c r="M1478" s="879">
        <f t="shared" si="386"/>
        <v>0</v>
      </c>
      <c r="N1478" s="868">
        <f t="shared" si="387"/>
        <v>0</v>
      </c>
      <c r="O1478" s="880"/>
      <c r="Q1478" s="317" t="str">
        <f t="shared" si="388"/>
        <v/>
      </c>
      <c r="R1478" s="317" t="str">
        <f t="shared" si="389"/>
        <v/>
      </c>
      <c r="S1478" s="317" t="str">
        <f t="shared" si="390"/>
        <v/>
      </c>
      <c r="V1478" s="314">
        <f>SUM(ORÇAMENTO!N1478)</f>
        <v>0</v>
      </c>
      <c r="W1478" s="315">
        <f t="shared" si="391"/>
        <v>0</v>
      </c>
    </row>
    <row r="1479" spans="1:23" ht="23.25" hidden="1" thickBot="1">
      <c r="A1479" s="63">
        <v>100920</v>
      </c>
      <c r="B1479" s="870">
        <v>100920</v>
      </c>
      <c r="C1479" s="871" t="s">
        <v>590</v>
      </c>
      <c r="D1479" s="881" t="s">
        <v>1388</v>
      </c>
      <c r="E1479" s="882"/>
      <c r="F1479" s="883"/>
      <c r="G1479" s="887"/>
      <c r="H1479" s="876">
        <v>123.15</v>
      </c>
      <c r="I1479" s="876">
        <f t="shared" si="392"/>
        <v>123.15</v>
      </c>
      <c r="J1479" s="877">
        <f t="shared" si="385"/>
        <v>150.51</v>
      </c>
      <c r="K1479" s="878" t="s">
        <v>1500</v>
      </c>
      <c r="L1479" s="879">
        <f>ROUND(SUM(ORÇAMENTO!L1479),2)</f>
        <v>0</v>
      </c>
      <c r="M1479" s="879">
        <f t="shared" si="386"/>
        <v>0</v>
      </c>
      <c r="N1479" s="868">
        <f t="shared" si="387"/>
        <v>0</v>
      </c>
      <c r="O1479" s="880"/>
      <c r="Q1479" s="317" t="str">
        <f t="shared" si="388"/>
        <v/>
      </c>
      <c r="R1479" s="317" t="str">
        <f t="shared" si="389"/>
        <v/>
      </c>
      <c r="S1479" s="317" t="str">
        <f t="shared" si="390"/>
        <v/>
      </c>
      <c r="V1479" s="314">
        <f>SUM(ORÇAMENTO!N1479)</f>
        <v>0</v>
      </c>
      <c r="W1479" s="315">
        <f t="shared" si="391"/>
        <v>0</v>
      </c>
    </row>
    <row r="1480" spans="1:23" ht="23.25" hidden="1" thickBot="1">
      <c r="A1480" s="63">
        <v>97609</v>
      </c>
      <c r="B1480" s="870">
        <v>97609</v>
      </c>
      <c r="C1480" s="871" t="s">
        <v>590</v>
      </c>
      <c r="D1480" s="881" t="s">
        <v>1389</v>
      </c>
      <c r="E1480" s="882"/>
      <c r="F1480" s="883"/>
      <c r="G1480" s="887"/>
      <c r="H1480" s="876">
        <v>18.36</v>
      </c>
      <c r="I1480" s="876">
        <f t="shared" si="392"/>
        <v>18.36</v>
      </c>
      <c r="J1480" s="877">
        <f t="shared" si="385"/>
        <v>22.44</v>
      </c>
      <c r="K1480" s="878" t="s">
        <v>1500</v>
      </c>
      <c r="L1480" s="879">
        <f>ROUND(SUM(ORÇAMENTO!L1480),2)</f>
        <v>0</v>
      </c>
      <c r="M1480" s="879">
        <f t="shared" si="386"/>
        <v>0</v>
      </c>
      <c r="N1480" s="868">
        <f t="shared" si="387"/>
        <v>0</v>
      </c>
      <c r="O1480" s="880"/>
      <c r="Q1480" s="317" t="str">
        <f t="shared" si="388"/>
        <v/>
      </c>
      <c r="R1480" s="317" t="str">
        <f t="shared" si="389"/>
        <v/>
      </c>
      <c r="S1480" s="317" t="str">
        <f t="shared" si="390"/>
        <v/>
      </c>
      <c r="V1480" s="314">
        <f>SUM(ORÇAMENTO!N1480)</f>
        <v>0</v>
      </c>
      <c r="W1480" s="315">
        <f t="shared" si="391"/>
        <v>0</v>
      </c>
    </row>
    <row r="1481" spans="1:23" ht="23.25" hidden="1" thickBot="1">
      <c r="A1481" s="63">
        <v>97610</v>
      </c>
      <c r="B1481" s="870">
        <v>97610</v>
      </c>
      <c r="C1481" s="871" t="s">
        <v>590</v>
      </c>
      <c r="D1481" s="881" t="s">
        <v>1390</v>
      </c>
      <c r="E1481" s="882"/>
      <c r="F1481" s="883"/>
      <c r="G1481" s="887"/>
      <c r="H1481" s="876">
        <v>19.45</v>
      </c>
      <c r="I1481" s="876">
        <f t="shared" si="392"/>
        <v>19.45</v>
      </c>
      <c r="J1481" s="877">
        <f t="shared" ref="J1481:J1544" si="393">IF(ISBLANK(H1481),0,ROUND(I1481*(1+$E$10),2))</f>
        <v>23.77</v>
      </c>
      <c r="K1481" s="878" t="s">
        <v>1500</v>
      </c>
      <c r="L1481" s="879">
        <f>ROUND(SUM(ORÇAMENTO!L1481),2)</f>
        <v>0</v>
      </c>
      <c r="M1481" s="879">
        <f t="shared" si="386"/>
        <v>0</v>
      </c>
      <c r="N1481" s="868">
        <f t="shared" si="387"/>
        <v>0</v>
      </c>
      <c r="O1481" s="880"/>
      <c r="Q1481" s="317" t="str">
        <f t="shared" si="388"/>
        <v/>
      </c>
      <c r="R1481" s="317" t="str">
        <f t="shared" si="389"/>
        <v/>
      </c>
      <c r="S1481" s="317" t="str">
        <f t="shared" si="390"/>
        <v/>
      </c>
      <c r="V1481" s="314">
        <f>SUM(ORÇAMENTO!N1481)</f>
        <v>0</v>
      </c>
      <c r="W1481" s="315">
        <f t="shared" si="391"/>
        <v>0</v>
      </c>
    </row>
    <row r="1482" spans="1:23" ht="23.25" hidden="1" thickBot="1">
      <c r="A1482" s="63">
        <v>101537</v>
      </c>
      <c r="B1482" s="870">
        <v>101537</v>
      </c>
      <c r="C1482" s="871" t="s">
        <v>590</v>
      </c>
      <c r="D1482" s="881" t="s">
        <v>1391</v>
      </c>
      <c r="E1482" s="882"/>
      <c r="F1482" s="883"/>
      <c r="G1482" s="887"/>
      <c r="H1482" s="876">
        <v>139.63999999999999</v>
      </c>
      <c r="I1482" s="876">
        <f t="shared" si="392"/>
        <v>139.63999999999999</v>
      </c>
      <c r="J1482" s="877">
        <f t="shared" si="393"/>
        <v>170.67</v>
      </c>
      <c r="K1482" s="878" t="s">
        <v>1500</v>
      </c>
      <c r="L1482" s="879">
        <f>ROUND(SUM(ORÇAMENTO!L1482),2)</f>
        <v>0</v>
      </c>
      <c r="M1482" s="879">
        <f t="shared" si="386"/>
        <v>0</v>
      </c>
      <c r="N1482" s="868">
        <f t="shared" si="387"/>
        <v>0</v>
      </c>
      <c r="O1482" s="880"/>
      <c r="Q1482" s="317" t="str">
        <f t="shared" si="388"/>
        <v/>
      </c>
      <c r="R1482" s="317" t="str">
        <f t="shared" si="389"/>
        <v/>
      </c>
      <c r="S1482" s="317" t="str">
        <f t="shared" si="390"/>
        <v/>
      </c>
      <c r="V1482" s="314">
        <f>SUM(ORÇAMENTO!N1482)</f>
        <v>0</v>
      </c>
      <c r="W1482" s="315">
        <f t="shared" si="391"/>
        <v>0</v>
      </c>
    </row>
    <row r="1483" spans="1:23" ht="13.5" hidden="1" thickBot="1">
      <c r="A1483" s="63">
        <v>97054</v>
      </c>
      <c r="B1483" s="870">
        <v>97054</v>
      </c>
      <c r="C1483" s="871" t="s">
        <v>590</v>
      </c>
      <c r="D1483" s="881" t="s">
        <v>1392</v>
      </c>
      <c r="E1483" s="882"/>
      <c r="F1483" s="883"/>
      <c r="G1483" s="887"/>
      <c r="H1483" s="876">
        <v>28.63</v>
      </c>
      <c r="I1483" s="876">
        <f t="shared" si="392"/>
        <v>28.63</v>
      </c>
      <c r="J1483" s="877">
        <f t="shared" si="393"/>
        <v>34.99</v>
      </c>
      <c r="K1483" s="878" t="s">
        <v>1500</v>
      </c>
      <c r="L1483" s="879">
        <f>ROUND(SUM(ORÇAMENTO!L1483),2)</f>
        <v>0</v>
      </c>
      <c r="M1483" s="879">
        <f t="shared" si="386"/>
        <v>0</v>
      </c>
      <c r="N1483" s="868">
        <f t="shared" si="387"/>
        <v>0</v>
      </c>
      <c r="O1483" s="880"/>
      <c r="Q1483" s="317" t="str">
        <f t="shared" si="388"/>
        <v/>
      </c>
      <c r="R1483" s="317" t="str">
        <f t="shared" si="389"/>
        <v/>
      </c>
      <c r="S1483" s="317" t="str">
        <f t="shared" si="390"/>
        <v/>
      </c>
      <c r="V1483" s="314">
        <f>SUM(ORÇAMENTO!N1483)</f>
        <v>0</v>
      </c>
      <c r="W1483" s="315">
        <f t="shared" si="391"/>
        <v>0</v>
      </c>
    </row>
    <row r="1484" spans="1:23" ht="23.25" hidden="1" thickBot="1">
      <c r="A1484" s="63">
        <v>101538</v>
      </c>
      <c r="B1484" s="870">
        <v>101538</v>
      </c>
      <c r="C1484" s="871" t="s">
        <v>590</v>
      </c>
      <c r="D1484" s="881" t="s">
        <v>1393</v>
      </c>
      <c r="E1484" s="882"/>
      <c r="F1484" s="883"/>
      <c r="G1484" s="887"/>
      <c r="H1484" s="876">
        <v>33.369999999999997</v>
      </c>
      <c r="I1484" s="876">
        <f t="shared" si="392"/>
        <v>33.369999999999997</v>
      </c>
      <c r="J1484" s="877">
        <f t="shared" si="393"/>
        <v>40.78</v>
      </c>
      <c r="K1484" s="878" t="s">
        <v>1500</v>
      </c>
      <c r="L1484" s="879">
        <f>ROUND(SUM(ORÇAMENTO!L1484),2)</f>
        <v>0</v>
      </c>
      <c r="M1484" s="879">
        <f t="shared" si="386"/>
        <v>0</v>
      </c>
      <c r="N1484" s="868">
        <f t="shared" si="387"/>
        <v>0</v>
      </c>
      <c r="O1484" s="880"/>
      <c r="Q1484" s="317" t="str">
        <f t="shared" si="388"/>
        <v/>
      </c>
      <c r="R1484" s="317" t="str">
        <f t="shared" si="389"/>
        <v/>
      </c>
      <c r="S1484" s="317" t="str">
        <f t="shared" si="390"/>
        <v/>
      </c>
      <c r="V1484" s="314">
        <f>SUM(ORÇAMENTO!N1484)</f>
        <v>0</v>
      </c>
      <c r="W1484" s="315">
        <f t="shared" si="391"/>
        <v>0</v>
      </c>
    </row>
    <row r="1485" spans="1:23" ht="23.25" hidden="1" thickBot="1">
      <c r="A1485" s="63">
        <v>101539</v>
      </c>
      <c r="B1485" s="870">
        <v>101539</v>
      </c>
      <c r="C1485" s="871" t="s">
        <v>590</v>
      </c>
      <c r="D1485" s="881" t="s">
        <v>1394</v>
      </c>
      <c r="E1485" s="882"/>
      <c r="F1485" s="883"/>
      <c r="G1485" s="887"/>
      <c r="H1485" s="876">
        <v>58.76</v>
      </c>
      <c r="I1485" s="876">
        <f t="shared" si="392"/>
        <v>58.76</v>
      </c>
      <c r="J1485" s="877">
        <f t="shared" si="393"/>
        <v>71.819999999999993</v>
      </c>
      <c r="K1485" s="878" t="s">
        <v>1500</v>
      </c>
      <c r="L1485" s="879">
        <f>ROUND(SUM(ORÇAMENTO!L1485),2)</f>
        <v>0</v>
      </c>
      <c r="M1485" s="879">
        <f t="shared" si="386"/>
        <v>0</v>
      </c>
      <c r="N1485" s="868">
        <f t="shared" si="387"/>
        <v>0</v>
      </c>
      <c r="O1485" s="880"/>
      <c r="Q1485" s="317" t="str">
        <f t="shared" si="388"/>
        <v/>
      </c>
      <c r="R1485" s="317" t="str">
        <f t="shared" si="389"/>
        <v/>
      </c>
      <c r="S1485" s="317" t="str">
        <f t="shared" si="390"/>
        <v/>
      </c>
      <c r="V1485" s="314">
        <f>SUM(ORÇAMENTO!N1485)</f>
        <v>0</v>
      </c>
      <c r="W1485" s="315">
        <f t="shared" si="391"/>
        <v>0</v>
      </c>
    </row>
    <row r="1486" spans="1:23" ht="23.25" hidden="1" thickBot="1">
      <c r="A1486" s="63">
        <v>101540</v>
      </c>
      <c r="B1486" s="870">
        <v>101540</v>
      </c>
      <c r="C1486" s="871" t="s">
        <v>590</v>
      </c>
      <c r="D1486" s="881" t="s">
        <v>1395</v>
      </c>
      <c r="E1486" s="882"/>
      <c r="F1486" s="883"/>
      <c r="G1486" s="887"/>
      <c r="H1486" s="876">
        <v>95.26</v>
      </c>
      <c r="I1486" s="876">
        <f t="shared" si="392"/>
        <v>95.26</v>
      </c>
      <c r="J1486" s="877">
        <f t="shared" si="393"/>
        <v>116.43</v>
      </c>
      <c r="K1486" s="878" t="s">
        <v>1500</v>
      </c>
      <c r="L1486" s="879">
        <f>ROUND(SUM(ORÇAMENTO!L1486),2)</f>
        <v>0</v>
      </c>
      <c r="M1486" s="879">
        <f t="shared" si="386"/>
        <v>0</v>
      </c>
      <c r="N1486" s="868">
        <f t="shared" si="387"/>
        <v>0</v>
      </c>
      <c r="O1486" s="880"/>
      <c r="Q1486" s="317" t="str">
        <f t="shared" si="388"/>
        <v/>
      </c>
      <c r="R1486" s="317" t="str">
        <f t="shared" si="389"/>
        <v/>
      </c>
      <c r="S1486" s="317" t="str">
        <f t="shared" si="390"/>
        <v/>
      </c>
      <c r="V1486" s="314">
        <f>SUM(ORÇAMENTO!N1486)</f>
        <v>0</v>
      </c>
      <c r="W1486" s="315">
        <f t="shared" si="391"/>
        <v>0</v>
      </c>
    </row>
    <row r="1487" spans="1:23" ht="23.25" hidden="1" thickBot="1">
      <c r="A1487" s="63">
        <v>101541</v>
      </c>
      <c r="B1487" s="870">
        <v>101541</v>
      </c>
      <c r="C1487" s="871" t="s">
        <v>590</v>
      </c>
      <c r="D1487" s="881" t="s">
        <v>1396</v>
      </c>
      <c r="E1487" s="882"/>
      <c r="F1487" s="883"/>
      <c r="G1487" s="887"/>
      <c r="H1487" s="876">
        <v>125.15</v>
      </c>
      <c r="I1487" s="876">
        <f t="shared" si="392"/>
        <v>125.15</v>
      </c>
      <c r="J1487" s="877">
        <f t="shared" si="393"/>
        <v>152.96</v>
      </c>
      <c r="K1487" s="878" t="s">
        <v>1500</v>
      </c>
      <c r="L1487" s="879">
        <f>ROUND(SUM(ORÇAMENTO!L1487),2)</f>
        <v>0</v>
      </c>
      <c r="M1487" s="879">
        <f t="shared" si="386"/>
        <v>0</v>
      </c>
      <c r="N1487" s="868">
        <f t="shared" si="387"/>
        <v>0</v>
      </c>
      <c r="O1487" s="880"/>
      <c r="Q1487" s="317" t="str">
        <f t="shared" si="388"/>
        <v/>
      </c>
      <c r="R1487" s="317" t="str">
        <f t="shared" si="389"/>
        <v/>
      </c>
      <c r="S1487" s="317" t="str">
        <f t="shared" si="390"/>
        <v/>
      </c>
      <c r="V1487" s="314">
        <f>SUM(ORÇAMENTO!N1487)</f>
        <v>0</v>
      </c>
      <c r="W1487" s="315">
        <f t="shared" si="391"/>
        <v>0</v>
      </c>
    </row>
    <row r="1488" spans="1:23" ht="23.25" hidden="1" thickBot="1">
      <c r="A1488" s="63">
        <v>101542</v>
      </c>
      <c r="B1488" s="870">
        <v>101542</v>
      </c>
      <c r="C1488" s="871" t="s">
        <v>590</v>
      </c>
      <c r="D1488" s="881" t="s">
        <v>1397</v>
      </c>
      <c r="E1488" s="882"/>
      <c r="F1488" s="883"/>
      <c r="G1488" s="887"/>
      <c r="H1488" s="876">
        <v>26.46</v>
      </c>
      <c r="I1488" s="876">
        <f t="shared" si="392"/>
        <v>26.46</v>
      </c>
      <c r="J1488" s="877">
        <f t="shared" si="393"/>
        <v>32.340000000000003</v>
      </c>
      <c r="K1488" s="878" t="s">
        <v>1500</v>
      </c>
      <c r="L1488" s="879">
        <f>ROUND(SUM(ORÇAMENTO!L1488),2)</f>
        <v>0</v>
      </c>
      <c r="M1488" s="879">
        <f t="shared" si="386"/>
        <v>0</v>
      </c>
      <c r="N1488" s="868">
        <f t="shared" si="387"/>
        <v>0</v>
      </c>
      <c r="O1488" s="880"/>
      <c r="Q1488" s="317" t="str">
        <f t="shared" si="388"/>
        <v/>
      </c>
      <c r="R1488" s="317" t="str">
        <f t="shared" si="389"/>
        <v/>
      </c>
      <c r="S1488" s="317" t="str">
        <f t="shared" si="390"/>
        <v/>
      </c>
      <c r="V1488" s="314">
        <f>SUM(ORÇAMENTO!N1488)</f>
        <v>0</v>
      </c>
      <c r="W1488" s="315">
        <f t="shared" si="391"/>
        <v>0</v>
      </c>
    </row>
    <row r="1489" spans="1:23" ht="23.25" hidden="1" thickBot="1">
      <c r="A1489" s="63">
        <v>101543</v>
      </c>
      <c r="B1489" s="870">
        <v>101543</v>
      </c>
      <c r="C1489" s="871" t="s">
        <v>590</v>
      </c>
      <c r="D1489" s="881" t="s">
        <v>1398</v>
      </c>
      <c r="E1489" s="882"/>
      <c r="F1489" s="883"/>
      <c r="G1489" s="887"/>
      <c r="H1489" s="876">
        <v>49.08</v>
      </c>
      <c r="I1489" s="876">
        <f t="shared" si="392"/>
        <v>49.08</v>
      </c>
      <c r="J1489" s="877">
        <f t="shared" si="393"/>
        <v>59.99</v>
      </c>
      <c r="K1489" s="878" t="s">
        <v>1500</v>
      </c>
      <c r="L1489" s="879">
        <f>ROUND(SUM(ORÇAMENTO!L1489),2)</f>
        <v>0</v>
      </c>
      <c r="M1489" s="879">
        <f t="shared" si="386"/>
        <v>0</v>
      </c>
      <c r="N1489" s="868">
        <f t="shared" si="387"/>
        <v>0</v>
      </c>
      <c r="O1489" s="880"/>
      <c r="Q1489" s="317" t="str">
        <f t="shared" si="388"/>
        <v/>
      </c>
      <c r="R1489" s="317" t="str">
        <f t="shared" si="389"/>
        <v/>
      </c>
      <c r="S1489" s="317" t="str">
        <f t="shared" si="390"/>
        <v/>
      </c>
      <c r="V1489" s="314">
        <f>SUM(ORÇAMENTO!N1489)</f>
        <v>0</v>
      </c>
      <c r="W1489" s="315">
        <f t="shared" si="391"/>
        <v>0</v>
      </c>
    </row>
    <row r="1490" spans="1:23" ht="23.25" hidden="1" thickBot="1">
      <c r="A1490" s="63">
        <v>101544</v>
      </c>
      <c r="B1490" s="870">
        <v>101544</v>
      </c>
      <c r="C1490" s="871" t="s">
        <v>590</v>
      </c>
      <c r="D1490" s="881" t="s">
        <v>1399</v>
      </c>
      <c r="E1490" s="882"/>
      <c r="F1490" s="883"/>
      <c r="G1490" s="887"/>
      <c r="H1490" s="876">
        <v>76.709999999999994</v>
      </c>
      <c r="I1490" s="876">
        <f t="shared" si="392"/>
        <v>76.709999999999994</v>
      </c>
      <c r="J1490" s="877">
        <f t="shared" si="393"/>
        <v>93.75</v>
      </c>
      <c r="K1490" s="878" t="s">
        <v>1500</v>
      </c>
      <c r="L1490" s="879">
        <f>ROUND(SUM(ORÇAMENTO!L1490),2)</f>
        <v>0</v>
      </c>
      <c r="M1490" s="879">
        <f t="shared" ref="M1490:M1553" si="394">IF(L1490=0,0,ROUND(J1490,2))</f>
        <v>0</v>
      </c>
      <c r="N1490" s="868">
        <f t="shared" ref="N1490:N1553" si="395">IF(ISBLANK(L1490),0,ROUND(L1490*M1490,2))</f>
        <v>0</v>
      </c>
      <c r="O1490" s="880"/>
      <c r="Q1490" s="317" t="str">
        <f t="shared" ref="Q1490:Q1553" si="396">IF(P1490="X","x",IF(P1490="xx","x",IF(P1490="xy","x",IF(P1490="y","x",IF(OR(N1490&gt;0,N1490&gt;0),"x","")))))</f>
        <v/>
      </c>
      <c r="R1490" s="317" t="str">
        <f t="shared" ref="R1490:R1553" si="397">IF(P1490="X","x",IF(P1490="y","x",IF(P1490="xx","x",IF(N1490&gt;0,"x",""))))</f>
        <v/>
      </c>
      <c r="S1490" s="317" t="str">
        <f t="shared" ref="S1490:S1553" si="398">IF(P1490="X","x",IF(N1490&gt;0,"x",""))</f>
        <v/>
      </c>
      <c r="V1490" s="314">
        <f>SUM(ORÇAMENTO!N1490)</f>
        <v>0</v>
      </c>
      <c r="W1490" s="315">
        <f t="shared" si="391"/>
        <v>0</v>
      </c>
    </row>
    <row r="1491" spans="1:23" ht="23.25" hidden="1" thickBot="1">
      <c r="A1491" s="63">
        <v>101545</v>
      </c>
      <c r="B1491" s="870">
        <v>101545</v>
      </c>
      <c r="C1491" s="871" t="s">
        <v>590</v>
      </c>
      <c r="D1491" s="881" t="s">
        <v>1400</v>
      </c>
      <c r="E1491" s="882"/>
      <c r="F1491" s="883"/>
      <c r="G1491" s="887"/>
      <c r="H1491" s="876">
        <v>108.1</v>
      </c>
      <c r="I1491" s="876">
        <f t="shared" si="392"/>
        <v>108.1</v>
      </c>
      <c r="J1491" s="877">
        <f t="shared" si="393"/>
        <v>132.12</v>
      </c>
      <c r="K1491" s="878" t="s">
        <v>1500</v>
      </c>
      <c r="L1491" s="879">
        <f>ROUND(SUM(ORÇAMENTO!L1491),2)</f>
        <v>0</v>
      </c>
      <c r="M1491" s="879">
        <f t="shared" si="394"/>
        <v>0</v>
      </c>
      <c r="N1491" s="868">
        <f t="shared" si="395"/>
        <v>0</v>
      </c>
      <c r="O1491" s="880"/>
      <c r="Q1491" s="317" t="str">
        <f t="shared" si="396"/>
        <v/>
      </c>
      <c r="R1491" s="317" t="str">
        <f t="shared" si="397"/>
        <v/>
      </c>
      <c r="S1491" s="317" t="str">
        <f t="shared" si="398"/>
        <v/>
      </c>
      <c r="V1491" s="314">
        <f>SUM(ORÇAMENTO!N1491)</f>
        <v>0</v>
      </c>
      <c r="W1491" s="315">
        <f t="shared" si="391"/>
        <v>0</v>
      </c>
    </row>
    <row r="1492" spans="1:23" ht="23.25" hidden="1" thickBot="1">
      <c r="A1492" s="63">
        <v>101546</v>
      </c>
      <c r="B1492" s="870">
        <v>101546</v>
      </c>
      <c r="C1492" s="871" t="s">
        <v>590</v>
      </c>
      <c r="D1492" s="881" t="s">
        <v>1401</v>
      </c>
      <c r="E1492" s="882"/>
      <c r="F1492" s="883"/>
      <c r="G1492" s="887"/>
      <c r="H1492" s="876">
        <v>28.34</v>
      </c>
      <c r="I1492" s="876">
        <f t="shared" si="392"/>
        <v>28.34</v>
      </c>
      <c r="J1492" s="877">
        <f t="shared" si="393"/>
        <v>34.64</v>
      </c>
      <c r="K1492" s="878" t="s">
        <v>1500</v>
      </c>
      <c r="L1492" s="879">
        <f>ROUND(SUM(ORÇAMENTO!L1492),2)</f>
        <v>0</v>
      </c>
      <c r="M1492" s="879">
        <f t="shared" si="394"/>
        <v>0</v>
      </c>
      <c r="N1492" s="868">
        <f t="shared" si="395"/>
        <v>0</v>
      </c>
      <c r="O1492" s="880"/>
      <c r="Q1492" s="317" t="str">
        <f t="shared" si="396"/>
        <v/>
      </c>
      <c r="R1492" s="317" t="str">
        <f t="shared" si="397"/>
        <v/>
      </c>
      <c r="S1492" s="317" t="str">
        <f t="shared" si="398"/>
        <v/>
      </c>
      <c r="V1492" s="314">
        <f>SUM(ORÇAMENTO!N1492)</f>
        <v>0</v>
      </c>
      <c r="W1492" s="315">
        <f t="shared" si="391"/>
        <v>0</v>
      </c>
    </row>
    <row r="1493" spans="1:23" ht="23.25" hidden="1" thickBot="1">
      <c r="A1493" s="63">
        <v>101547</v>
      </c>
      <c r="B1493" s="870">
        <v>101547</v>
      </c>
      <c r="C1493" s="871" t="s">
        <v>590</v>
      </c>
      <c r="D1493" s="881" t="s">
        <v>1402</v>
      </c>
      <c r="E1493" s="882"/>
      <c r="F1493" s="883"/>
      <c r="G1493" s="887"/>
      <c r="H1493" s="876">
        <v>87.57</v>
      </c>
      <c r="I1493" s="876">
        <f t="shared" si="392"/>
        <v>87.57</v>
      </c>
      <c r="J1493" s="877">
        <f t="shared" si="393"/>
        <v>107.03</v>
      </c>
      <c r="K1493" s="878" t="s">
        <v>1500</v>
      </c>
      <c r="L1493" s="879">
        <f>ROUND(SUM(ORÇAMENTO!L1493),2)</f>
        <v>0</v>
      </c>
      <c r="M1493" s="879">
        <f t="shared" si="394"/>
        <v>0</v>
      </c>
      <c r="N1493" s="868">
        <f t="shared" si="395"/>
        <v>0</v>
      </c>
      <c r="O1493" s="880"/>
      <c r="Q1493" s="317" t="str">
        <f t="shared" si="396"/>
        <v/>
      </c>
      <c r="R1493" s="317" t="str">
        <f t="shared" si="397"/>
        <v/>
      </c>
      <c r="S1493" s="317" t="str">
        <f t="shared" si="398"/>
        <v/>
      </c>
      <c r="V1493" s="314">
        <f>SUM(ORÇAMENTO!N1493)</f>
        <v>0</v>
      </c>
      <c r="W1493" s="315">
        <f t="shared" ref="W1493:W1556" si="399">N1493-V1493</f>
        <v>0</v>
      </c>
    </row>
    <row r="1494" spans="1:23" ht="23.25" hidden="1" thickBot="1">
      <c r="A1494" s="63">
        <v>101548</v>
      </c>
      <c r="B1494" s="870">
        <v>101548</v>
      </c>
      <c r="C1494" s="871" t="s">
        <v>590</v>
      </c>
      <c r="D1494" s="881" t="s">
        <v>1403</v>
      </c>
      <c r="E1494" s="882"/>
      <c r="F1494" s="883"/>
      <c r="G1494" s="887"/>
      <c r="H1494" s="876">
        <v>7.45</v>
      </c>
      <c r="I1494" s="876">
        <f t="shared" si="392"/>
        <v>7.45</v>
      </c>
      <c r="J1494" s="877">
        <f t="shared" si="393"/>
        <v>9.11</v>
      </c>
      <c r="K1494" s="878" t="s">
        <v>1500</v>
      </c>
      <c r="L1494" s="879">
        <f>ROUND(SUM(ORÇAMENTO!L1494),2)</f>
        <v>0</v>
      </c>
      <c r="M1494" s="879">
        <f t="shared" si="394"/>
        <v>0</v>
      </c>
      <c r="N1494" s="868">
        <f t="shared" si="395"/>
        <v>0</v>
      </c>
      <c r="O1494" s="880"/>
      <c r="Q1494" s="317" t="str">
        <f t="shared" si="396"/>
        <v/>
      </c>
      <c r="R1494" s="317" t="str">
        <f t="shared" si="397"/>
        <v/>
      </c>
      <c r="S1494" s="317" t="str">
        <f t="shared" si="398"/>
        <v/>
      </c>
      <c r="V1494" s="314">
        <f>SUM(ORÇAMENTO!N1494)</f>
        <v>0</v>
      </c>
      <c r="W1494" s="315">
        <f t="shared" si="399"/>
        <v>0</v>
      </c>
    </row>
    <row r="1495" spans="1:23" ht="23.25" hidden="1" thickBot="1">
      <c r="A1495" s="63">
        <v>101549</v>
      </c>
      <c r="B1495" s="870">
        <v>101549</v>
      </c>
      <c r="C1495" s="871" t="s">
        <v>590</v>
      </c>
      <c r="D1495" s="881" t="s">
        <v>1404</v>
      </c>
      <c r="E1495" s="882"/>
      <c r="F1495" s="883"/>
      <c r="G1495" s="887"/>
      <c r="H1495" s="876">
        <v>22.14</v>
      </c>
      <c r="I1495" s="876">
        <f t="shared" si="392"/>
        <v>22.14</v>
      </c>
      <c r="J1495" s="877">
        <f t="shared" si="393"/>
        <v>27.06</v>
      </c>
      <c r="K1495" s="878" t="s">
        <v>1500</v>
      </c>
      <c r="L1495" s="879">
        <f>ROUND(SUM(ORÇAMENTO!L1495),2)</f>
        <v>0</v>
      </c>
      <c r="M1495" s="879">
        <f t="shared" si="394"/>
        <v>0</v>
      </c>
      <c r="N1495" s="868">
        <f t="shared" si="395"/>
        <v>0</v>
      </c>
      <c r="O1495" s="880"/>
      <c r="Q1495" s="317" t="str">
        <f t="shared" si="396"/>
        <v/>
      </c>
      <c r="R1495" s="317" t="str">
        <f t="shared" si="397"/>
        <v/>
      </c>
      <c r="S1495" s="317" t="str">
        <f t="shared" si="398"/>
        <v/>
      </c>
      <c r="V1495" s="314">
        <f>SUM(ORÇAMENTO!N1495)</f>
        <v>0</v>
      </c>
      <c r="W1495" s="315">
        <f t="shared" si="399"/>
        <v>0</v>
      </c>
    </row>
    <row r="1496" spans="1:23" ht="23.25" hidden="1" thickBot="1">
      <c r="A1496" s="63">
        <v>101553</v>
      </c>
      <c r="B1496" s="870">
        <v>101553</v>
      </c>
      <c r="C1496" s="871" t="s">
        <v>590</v>
      </c>
      <c r="D1496" s="881" t="s">
        <v>1405</v>
      </c>
      <c r="E1496" s="882"/>
      <c r="F1496" s="883"/>
      <c r="G1496" s="887"/>
      <c r="H1496" s="876">
        <v>11.35</v>
      </c>
      <c r="I1496" s="876">
        <f t="shared" si="392"/>
        <v>11.35</v>
      </c>
      <c r="J1496" s="877">
        <f t="shared" si="393"/>
        <v>13.87</v>
      </c>
      <c r="K1496" s="878" t="s">
        <v>1500</v>
      </c>
      <c r="L1496" s="879">
        <f>ROUND(SUM(ORÇAMENTO!L1496),2)</f>
        <v>0</v>
      </c>
      <c r="M1496" s="879">
        <f t="shared" si="394"/>
        <v>0</v>
      </c>
      <c r="N1496" s="868">
        <f t="shared" si="395"/>
        <v>0</v>
      </c>
      <c r="O1496" s="880"/>
      <c r="Q1496" s="317" t="str">
        <f t="shared" si="396"/>
        <v/>
      </c>
      <c r="R1496" s="317" t="str">
        <f t="shared" si="397"/>
        <v/>
      </c>
      <c r="S1496" s="317" t="str">
        <f t="shared" si="398"/>
        <v/>
      </c>
      <c r="V1496" s="314">
        <f>SUM(ORÇAMENTO!N1496)</f>
        <v>0</v>
      </c>
      <c r="W1496" s="315">
        <f t="shared" si="399"/>
        <v>0</v>
      </c>
    </row>
    <row r="1497" spans="1:23" ht="23.25" hidden="1" thickBot="1">
      <c r="A1497" s="63">
        <v>101554</v>
      </c>
      <c r="B1497" s="870">
        <v>101554</v>
      </c>
      <c r="C1497" s="871" t="s">
        <v>590</v>
      </c>
      <c r="D1497" s="881" t="s">
        <v>1406</v>
      </c>
      <c r="E1497" s="882"/>
      <c r="F1497" s="883"/>
      <c r="G1497" s="887"/>
      <c r="H1497" s="876">
        <v>9.09</v>
      </c>
      <c r="I1497" s="876">
        <f t="shared" si="392"/>
        <v>9.09</v>
      </c>
      <c r="J1497" s="877">
        <f t="shared" si="393"/>
        <v>11.11</v>
      </c>
      <c r="K1497" s="878" t="s">
        <v>1500</v>
      </c>
      <c r="L1497" s="879">
        <f>ROUND(SUM(ORÇAMENTO!L1497),2)</f>
        <v>0</v>
      </c>
      <c r="M1497" s="879">
        <f t="shared" si="394"/>
        <v>0</v>
      </c>
      <c r="N1497" s="868">
        <f t="shared" si="395"/>
        <v>0</v>
      </c>
      <c r="O1497" s="880"/>
      <c r="Q1497" s="317" t="str">
        <f t="shared" si="396"/>
        <v/>
      </c>
      <c r="R1497" s="317" t="str">
        <f t="shared" si="397"/>
        <v/>
      </c>
      <c r="S1497" s="317" t="str">
        <f t="shared" si="398"/>
        <v/>
      </c>
      <c r="V1497" s="314">
        <f>SUM(ORÇAMENTO!N1497)</f>
        <v>0</v>
      </c>
      <c r="W1497" s="315">
        <f t="shared" si="399"/>
        <v>0</v>
      </c>
    </row>
    <row r="1498" spans="1:23" ht="23.25" hidden="1" thickBot="1">
      <c r="A1498" s="63">
        <v>101555</v>
      </c>
      <c r="B1498" s="870">
        <v>101555</v>
      </c>
      <c r="C1498" s="871" t="s">
        <v>590</v>
      </c>
      <c r="D1498" s="881" t="s">
        <v>1407</v>
      </c>
      <c r="E1498" s="882"/>
      <c r="F1498" s="883"/>
      <c r="G1498" s="887"/>
      <c r="H1498" s="876">
        <v>7.02</v>
      </c>
      <c r="I1498" s="876">
        <f t="shared" si="392"/>
        <v>7.02</v>
      </c>
      <c r="J1498" s="877">
        <f t="shared" si="393"/>
        <v>8.58</v>
      </c>
      <c r="K1498" s="878" t="s">
        <v>1500</v>
      </c>
      <c r="L1498" s="879">
        <f>ROUND(SUM(ORÇAMENTO!L1498),2)</f>
        <v>0</v>
      </c>
      <c r="M1498" s="879">
        <f t="shared" si="394"/>
        <v>0</v>
      </c>
      <c r="N1498" s="868">
        <f t="shared" si="395"/>
        <v>0</v>
      </c>
      <c r="O1498" s="880"/>
      <c r="Q1498" s="317" t="str">
        <f t="shared" si="396"/>
        <v/>
      </c>
      <c r="R1498" s="317" t="str">
        <f t="shared" si="397"/>
        <v/>
      </c>
      <c r="S1498" s="317" t="str">
        <f t="shared" si="398"/>
        <v/>
      </c>
      <c r="V1498" s="314">
        <f>SUM(ORÇAMENTO!N1498)</f>
        <v>0</v>
      </c>
      <c r="W1498" s="315">
        <f t="shared" si="399"/>
        <v>0</v>
      </c>
    </row>
    <row r="1499" spans="1:23" ht="23.25" hidden="1" thickBot="1">
      <c r="A1499" s="63">
        <v>101556</v>
      </c>
      <c r="B1499" s="870">
        <v>101556</v>
      </c>
      <c r="C1499" s="871" t="s">
        <v>590</v>
      </c>
      <c r="D1499" s="881" t="s">
        <v>1408</v>
      </c>
      <c r="E1499" s="882"/>
      <c r="F1499" s="883"/>
      <c r="G1499" s="887"/>
      <c r="H1499" s="876">
        <v>6.69</v>
      </c>
      <c r="I1499" s="876">
        <f t="shared" si="392"/>
        <v>6.69</v>
      </c>
      <c r="J1499" s="877">
        <f t="shared" si="393"/>
        <v>8.18</v>
      </c>
      <c r="K1499" s="878" t="s">
        <v>1500</v>
      </c>
      <c r="L1499" s="879">
        <f>ROUND(SUM(ORÇAMENTO!L1499),2)</f>
        <v>0</v>
      </c>
      <c r="M1499" s="879">
        <f t="shared" si="394"/>
        <v>0</v>
      </c>
      <c r="N1499" s="868">
        <f t="shared" si="395"/>
        <v>0</v>
      </c>
      <c r="O1499" s="880"/>
      <c r="Q1499" s="317" t="str">
        <f t="shared" si="396"/>
        <v/>
      </c>
      <c r="R1499" s="317" t="str">
        <f t="shared" si="397"/>
        <v/>
      </c>
      <c r="S1499" s="317" t="str">
        <f t="shared" si="398"/>
        <v/>
      </c>
      <c r="V1499" s="314">
        <f>SUM(ORÇAMENTO!N1499)</f>
        <v>0</v>
      </c>
      <c r="W1499" s="315">
        <f t="shared" si="399"/>
        <v>0</v>
      </c>
    </row>
    <row r="1500" spans="1:23" ht="23.25" hidden="1" thickBot="1">
      <c r="A1500" s="63">
        <v>101626</v>
      </c>
      <c r="B1500" s="870">
        <v>101626</v>
      </c>
      <c r="C1500" s="871" t="s">
        <v>590</v>
      </c>
      <c r="D1500" s="881" t="s">
        <v>1409</v>
      </c>
      <c r="E1500" s="882"/>
      <c r="F1500" s="883"/>
      <c r="G1500" s="887"/>
      <c r="H1500" s="876">
        <v>195.03</v>
      </c>
      <c r="I1500" s="876">
        <f t="shared" si="392"/>
        <v>195.03</v>
      </c>
      <c r="J1500" s="877">
        <f t="shared" si="393"/>
        <v>238.37</v>
      </c>
      <c r="K1500" s="878" t="s">
        <v>1500</v>
      </c>
      <c r="L1500" s="879">
        <f>ROUND(SUM(ORÇAMENTO!L1500),2)</f>
        <v>0</v>
      </c>
      <c r="M1500" s="879">
        <f t="shared" si="394"/>
        <v>0</v>
      </c>
      <c r="N1500" s="868">
        <f t="shared" si="395"/>
        <v>0</v>
      </c>
      <c r="O1500" s="880"/>
      <c r="Q1500" s="317" t="str">
        <f t="shared" si="396"/>
        <v/>
      </c>
      <c r="R1500" s="317" t="str">
        <f t="shared" si="397"/>
        <v/>
      </c>
      <c r="S1500" s="317" t="str">
        <f t="shared" si="398"/>
        <v/>
      </c>
      <c r="V1500" s="314">
        <f>SUM(ORÇAMENTO!N1500)</f>
        <v>0</v>
      </c>
      <c r="W1500" s="315">
        <f t="shared" si="399"/>
        <v>0</v>
      </c>
    </row>
    <row r="1501" spans="1:23" ht="23.25" hidden="1" thickBot="1">
      <c r="A1501" s="63">
        <v>101627</v>
      </c>
      <c r="B1501" s="870">
        <v>101627</v>
      </c>
      <c r="C1501" s="871" t="s">
        <v>590</v>
      </c>
      <c r="D1501" s="881" t="s">
        <v>1410</v>
      </c>
      <c r="E1501" s="882"/>
      <c r="F1501" s="883"/>
      <c r="G1501" s="887"/>
      <c r="H1501" s="876">
        <v>302.79000000000002</v>
      </c>
      <c r="I1501" s="876">
        <f t="shared" si="392"/>
        <v>302.79000000000002</v>
      </c>
      <c r="J1501" s="877">
        <f t="shared" si="393"/>
        <v>370.07</v>
      </c>
      <c r="K1501" s="878" t="s">
        <v>1500</v>
      </c>
      <c r="L1501" s="879">
        <f>ROUND(SUM(ORÇAMENTO!L1501),2)</f>
        <v>0</v>
      </c>
      <c r="M1501" s="879">
        <f t="shared" si="394"/>
        <v>0</v>
      </c>
      <c r="N1501" s="868">
        <f t="shared" si="395"/>
        <v>0</v>
      </c>
      <c r="O1501" s="880"/>
      <c r="Q1501" s="317" t="str">
        <f t="shared" si="396"/>
        <v/>
      </c>
      <c r="R1501" s="317" t="str">
        <f t="shared" si="397"/>
        <v/>
      </c>
      <c r="S1501" s="317" t="str">
        <f t="shared" si="398"/>
        <v/>
      </c>
      <c r="V1501" s="314">
        <f>SUM(ORÇAMENTO!N1501)</f>
        <v>0</v>
      </c>
      <c r="W1501" s="315">
        <f t="shared" si="399"/>
        <v>0</v>
      </c>
    </row>
    <row r="1502" spans="1:23" ht="23.25" hidden="1" thickBot="1">
      <c r="A1502" s="63">
        <v>101628</v>
      </c>
      <c r="B1502" s="870">
        <v>101628</v>
      </c>
      <c r="C1502" s="871" t="s">
        <v>590</v>
      </c>
      <c r="D1502" s="881" t="s">
        <v>1411</v>
      </c>
      <c r="E1502" s="882"/>
      <c r="F1502" s="883"/>
      <c r="G1502" s="887"/>
      <c r="H1502" s="876">
        <v>145.18</v>
      </c>
      <c r="I1502" s="876">
        <f t="shared" si="392"/>
        <v>145.18</v>
      </c>
      <c r="J1502" s="877">
        <f t="shared" si="393"/>
        <v>177.44</v>
      </c>
      <c r="K1502" s="878" t="s">
        <v>1500</v>
      </c>
      <c r="L1502" s="879">
        <f>ROUND(SUM(ORÇAMENTO!L1502),2)</f>
        <v>0</v>
      </c>
      <c r="M1502" s="879">
        <f t="shared" si="394"/>
        <v>0</v>
      </c>
      <c r="N1502" s="868">
        <f t="shared" si="395"/>
        <v>0</v>
      </c>
      <c r="O1502" s="880"/>
      <c r="Q1502" s="317" t="str">
        <f t="shared" si="396"/>
        <v/>
      </c>
      <c r="R1502" s="317" t="str">
        <f t="shared" si="397"/>
        <v/>
      </c>
      <c r="S1502" s="317" t="str">
        <f t="shared" si="398"/>
        <v/>
      </c>
      <c r="V1502" s="314">
        <f>SUM(ORÇAMENTO!N1502)</f>
        <v>0</v>
      </c>
      <c r="W1502" s="315">
        <f t="shared" si="399"/>
        <v>0</v>
      </c>
    </row>
    <row r="1503" spans="1:23" ht="23.25" hidden="1" thickBot="1">
      <c r="A1503" s="63">
        <v>101629</v>
      </c>
      <c r="B1503" s="870">
        <v>101629</v>
      </c>
      <c r="C1503" s="871" t="s">
        <v>590</v>
      </c>
      <c r="D1503" s="881" t="s">
        <v>1412</v>
      </c>
      <c r="E1503" s="882"/>
      <c r="F1503" s="883"/>
      <c r="G1503" s="887"/>
      <c r="H1503" s="876">
        <v>170.85</v>
      </c>
      <c r="I1503" s="876">
        <f t="shared" si="392"/>
        <v>170.85</v>
      </c>
      <c r="J1503" s="877">
        <f t="shared" si="393"/>
        <v>208.81</v>
      </c>
      <c r="K1503" s="878" t="s">
        <v>1500</v>
      </c>
      <c r="L1503" s="879">
        <f>ROUND(SUM(ORÇAMENTO!L1503),2)</f>
        <v>0</v>
      </c>
      <c r="M1503" s="879">
        <f t="shared" si="394"/>
        <v>0</v>
      </c>
      <c r="N1503" s="868">
        <f t="shared" si="395"/>
        <v>0</v>
      </c>
      <c r="O1503" s="880"/>
      <c r="Q1503" s="317" t="str">
        <f t="shared" si="396"/>
        <v/>
      </c>
      <c r="R1503" s="317" t="str">
        <f t="shared" si="397"/>
        <v/>
      </c>
      <c r="S1503" s="317" t="str">
        <f t="shared" si="398"/>
        <v/>
      </c>
      <c r="V1503" s="314">
        <f>SUM(ORÇAMENTO!N1503)</f>
        <v>0</v>
      </c>
      <c r="W1503" s="315">
        <f t="shared" si="399"/>
        <v>0</v>
      </c>
    </row>
    <row r="1504" spans="1:23" ht="23.25" hidden="1" thickBot="1">
      <c r="A1504" s="63">
        <v>100921</v>
      </c>
      <c r="B1504" s="870">
        <v>100921</v>
      </c>
      <c r="C1504" s="871" t="s">
        <v>590</v>
      </c>
      <c r="D1504" s="881" t="s">
        <v>1413</v>
      </c>
      <c r="E1504" s="882"/>
      <c r="F1504" s="883"/>
      <c r="G1504" s="887"/>
      <c r="H1504" s="876">
        <v>76.739999999999995</v>
      </c>
      <c r="I1504" s="876">
        <f t="shared" si="392"/>
        <v>76.739999999999995</v>
      </c>
      <c r="J1504" s="877">
        <f t="shared" si="393"/>
        <v>93.79</v>
      </c>
      <c r="K1504" s="878" t="s">
        <v>1500</v>
      </c>
      <c r="L1504" s="879">
        <f>ROUND(SUM(ORÇAMENTO!L1504),2)</f>
        <v>0</v>
      </c>
      <c r="M1504" s="879">
        <f t="shared" si="394"/>
        <v>0</v>
      </c>
      <c r="N1504" s="868">
        <f t="shared" si="395"/>
        <v>0</v>
      </c>
      <c r="O1504" s="880"/>
      <c r="Q1504" s="317" t="str">
        <f t="shared" si="396"/>
        <v/>
      </c>
      <c r="R1504" s="317" t="str">
        <f t="shared" si="397"/>
        <v/>
      </c>
      <c r="S1504" s="317" t="str">
        <f t="shared" si="398"/>
        <v/>
      </c>
      <c r="V1504" s="314">
        <f>SUM(ORÇAMENTO!N1504)</f>
        <v>0</v>
      </c>
      <c r="W1504" s="315">
        <f t="shared" si="399"/>
        <v>0</v>
      </c>
    </row>
    <row r="1505" spans="1:23" ht="23.25" hidden="1" thickBot="1">
      <c r="A1505" s="63">
        <v>100922</v>
      </c>
      <c r="B1505" s="870">
        <v>100922</v>
      </c>
      <c r="C1505" s="871" t="s">
        <v>590</v>
      </c>
      <c r="D1505" s="881" t="s">
        <v>1414</v>
      </c>
      <c r="E1505" s="882"/>
      <c r="F1505" s="883"/>
      <c r="G1505" s="887"/>
      <c r="H1505" s="876">
        <v>55.07</v>
      </c>
      <c r="I1505" s="876">
        <f t="shared" si="392"/>
        <v>55.07</v>
      </c>
      <c r="J1505" s="877">
        <f t="shared" si="393"/>
        <v>67.31</v>
      </c>
      <c r="K1505" s="878" t="s">
        <v>1500</v>
      </c>
      <c r="L1505" s="879">
        <f>ROUND(SUM(ORÇAMENTO!L1505),2)</f>
        <v>0</v>
      </c>
      <c r="M1505" s="879">
        <f t="shared" si="394"/>
        <v>0</v>
      </c>
      <c r="N1505" s="868">
        <f t="shared" si="395"/>
        <v>0</v>
      </c>
      <c r="O1505" s="880"/>
      <c r="Q1505" s="317" t="str">
        <f t="shared" si="396"/>
        <v/>
      </c>
      <c r="R1505" s="317" t="str">
        <f t="shared" si="397"/>
        <v/>
      </c>
      <c r="S1505" s="317" t="str">
        <f t="shared" si="398"/>
        <v/>
      </c>
      <c r="V1505" s="314">
        <f>SUM(ORÇAMENTO!N1505)</f>
        <v>0</v>
      </c>
      <c r="W1505" s="315">
        <f t="shared" si="399"/>
        <v>0</v>
      </c>
    </row>
    <row r="1506" spans="1:23" ht="23.25" hidden="1" thickBot="1">
      <c r="A1506" s="63">
        <v>100923</v>
      </c>
      <c r="B1506" s="870">
        <v>100923</v>
      </c>
      <c r="C1506" s="871" t="s">
        <v>590</v>
      </c>
      <c r="D1506" s="881" t="s">
        <v>1415</v>
      </c>
      <c r="E1506" s="882"/>
      <c r="F1506" s="883"/>
      <c r="G1506" s="887"/>
      <c r="H1506" s="876">
        <v>63.57</v>
      </c>
      <c r="I1506" s="876">
        <f t="shared" si="392"/>
        <v>63.57</v>
      </c>
      <c r="J1506" s="877">
        <f t="shared" si="393"/>
        <v>77.7</v>
      </c>
      <c r="K1506" s="878" t="s">
        <v>1500</v>
      </c>
      <c r="L1506" s="879">
        <f>ROUND(SUM(ORÇAMENTO!L1506),2)</f>
        <v>0</v>
      </c>
      <c r="M1506" s="879">
        <f t="shared" si="394"/>
        <v>0</v>
      </c>
      <c r="N1506" s="868">
        <f t="shared" si="395"/>
        <v>0</v>
      </c>
      <c r="O1506" s="880"/>
      <c r="Q1506" s="317" t="str">
        <f t="shared" si="396"/>
        <v/>
      </c>
      <c r="R1506" s="317" t="str">
        <f t="shared" si="397"/>
        <v/>
      </c>
      <c r="S1506" s="317" t="str">
        <f t="shared" si="398"/>
        <v/>
      </c>
      <c r="V1506" s="314">
        <f>SUM(ORÇAMENTO!N1506)</f>
        <v>0</v>
      </c>
      <c r="W1506" s="315">
        <f t="shared" si="399"/>
        <v>0</v>
      </c>
    </row>
    <row r="1507" spans="1:23" ht="34.5" hidden="1" thickBot="1">
      <c r="A1507" s="63">
        <v>101661</v>
      </c>
      <c r="B1507" s="870">
        <v>101661</v>
      </c>
      <c r="C1507" s="871" t="s">
        <v>590</v>
      </c>
      <c r="D1507" s="881" t="s">
        <v>1416</v>
      </c>
      <c r="E1507" s="882"/>
      <c r="F1507" s="883"/>
      <c r="G1507" s="887"/>
      <c r="H1507" s="876">
        <v>126.97</v>
      </c>
      <c r="I1507" s="876">
        <f t="shared" si="392"/>
        <v>126.97</v>
      </c>
      <c r="J1507" s="877">
        <f t="shared" si="393"/>
        <v>155.18</v>
      </c>
      <c r="K1507" s="878" t="s">
        <v>1500</v>
      </c>
      <c r="L1507" s="879">
        <f>ROUND(SUM(ORÇAMENTO!L1507),2)</f>
        <v>0</v>
      </c>
      <c r="M1507" s="879">
        <f t="shared" si="394"/>
        <v>0</v>
      </c>
      <c r="N1507" s="868">
        <f t="shared" si="395"/>
        <v>0</v>
      </c>
      <c r="O1507" s="880"/>
      <c r="Q1507" s="317" t="str">
        <f t="shared" si="396"/>
        <v/>
      </c>
      <c r="R1507" s="317" t="str">
        <f t="shared" si="397"/>
        <v/>
      </c>
      <c r="S1507" s="317" t="str">
        <f t="shared" si="398"/>
        <v/>
      </c>
      <c r="V1507" s="314">
        <f>SUM(ORÇAMENTO!N1507)</f>
        <v>0</v>
      </c>
      <c r="W1507" s="315">
        <f t="shared" si="399"/>
        <v>0</v>
      </c>
    </row>
    <row r="1508" spans="1:23" ht="23.25" hidden="1" thickBot="1">
      <c r="A1508" s="63">
        <v>101651</v>
      </c>
      <c r="B1508" s="870">
        <v>101651</v>
      </c>
      <c r="C1508" s="871" t="s">
        <v>590</v>
      </c>
      <c r="D1508" s="881" t="s">
        <v>1417</v>
      </c>
      <c r="E1508" s="882"/>
      <c r="F1508" s="883"/>
      <c r="G1508" s="887"/>
      <c r="H1508" s="876">
        <v>67.55</v>
      </c>
      <c r="I1508" s="876">
        <f t="shared" si="392"/>
        <v>67.55</v>
      </c>
      <c r="J1508" s="877">
        <f t="shared" si="393"/>
        <v>82.56</v>
      </c>
      <c r="K1508" s="878" t="s">
        <v>1500</v>
      </c>
      <c r="L1508" s="879">
        <f>ROUND(SUM(ORÇAMENTO!L1508),2)</f>
        <v>0</v>
      </c>
      <c r="M1508" s="879">
        <f t="shared" si="394"/>
        <v>0</v>
      </c>
      <c r="N1508" s="868">
        <f t="shared" si="395"/>
        <v>0</v>
      </c>
      <c r="O1508" s="880"/>
      <c r="Q1508" s="317" t="str">
        <f t="shared" si="396"/>
        <v/>
      </c>
      <c r="R1508" s="317" t="str">
        <f t="shared" si="397"/>
        <v/>
      </c>
      <c r="S1508" s="317" t="str">
        <f t="shared" si="398"/>
        <v/>
      </c>
      <c r="V1508" s="314">
        <f>SUM(ORÇAMENTO!N1508)</f>
        <v>0</v>
      </c>
      <c r="W1508" s="315">
        <f t="shared" si="399"/>
        <v>0</v>
      </c>
    </row>
    <row r="1509" spans="1:23" ht="23.25" hidden="1" thickBot="1">
      <c r="A1509" s="63">
        <v>101630</v>
      </c>
      <c r="B1509" s="870">
        <v>101630</v>
      </c>
      <c r="C1509" s="871" t="s">
        <v>590</v>
      </c>
      <c r="D1509" s="881" t="s">
        <v>1418</v>
      </c>
      <c r="E1509" s="882"/>
      <c r="F1509" s="883"/>
      <c r="G1509" s="887"/>
      <c r="H1509" s="876">
        <v>80.7</v>
      </c>
      <c r="I1509" s="876">
        <f t="shared" si="392"/>
        <v>80.7</v>
      </c>
      <c r="J1509" s="877">
        <f t="shared" si="393"/>
        <v>98.63</v>
      </c>
      <c r="K1509" s="878" t="s">
        <v>1500</v>
      </c>
      <c r="L1509" s="879">
        <f>ROUND(SUM(ORÇAMENTO!L1509),2)</f>
        <v>0</v>
      </c>
      <c r="M1509" s="879">
        <f t="shared" si="394"/>
        <v>0</v>
      </c>
      <c r="N1509" s="868">
        <f t="shared" si="395"/>
        <v>0</v>
      </c>
      <c r="O1509" s="880"/>
      <c r="Q1509" s="317" t="str">
        <f t="shared" si="396"/>
        <v/>
      </c>
      <c r="R1509" s="317" t="str">
        <f t="shared" si="397"/>
        <v/>
      </c>
      <c r="S1509" s="317" t="str">
        <f t="shared" si="398"/>
        <v/>
      </c>
      <c r="V1509" s="314">
        <f>SUM(ORÇAMENTO!N1509)</f>
        <v>0</v>
      </c>
      <c r="W1509" s="315">
        <f t="shared" si="399"/>
        <v>0</v>
      </c>
    </row>
    <row r="1510" spans="1:23" ht="23.25" hidden="1" thickBot="1">
      <c r="A1510" s="63">
        <v>101631</v>
      </c>
      <c r="B1510" s="870">
        <v>101631</v>
      </c>
      <c r="C1510" s="871" t="s">
        <v>590</v>
      </c>
      <c r="D1510" s="881" t="s">
        <v>1419</v>
      </c>
      <c r="E1510" s="882"/>
      <c r="F1510" s="883"/>
      <c r="G1510" s="887"/>
      <c r="H1510" s="876">
        <v>39.08</v>
      </c>
      <c r="I1510" s="876">
        <f t="shared" si="392"/>
        <v>39.08</v>
      </c>
      <c r="J1510" s="877">
        <f t="shared" si="393"/>
        <v>47.76</v>
      </c>
      <c r="K1510" s="878" t="s">
        <v>1500</v>
      </c>
      <c r="L1510" s="879">
        <f>ROUND(SUM(ORÇAMENTO!L1510),2)</f>
        <v>0</v>
      </c>
      <c r="M1510" s="879">
        <f t="shared" si="394"/>
        <v>0</v>
      </c>
      <c r="N1510" s="868">
        <f t="shared" si="395"/>
        <v>0</v>
      </c>
      <c r="O1510" s="880"/>
      <c r="Q1510" s="317" t="str">
        <f t="shared" si="396"/>
        <v/>
      </c>
      <c r="R1510" s="317" t="str">
        <f t="shared" si="397"/>
        <v/>
      </c>
      <c r="S1510" s="317" t="str">
        <f t="shared" si="398"/>
        <v/>
      </c>
      <c r="V1510" s="314">
        <f>SUM(ORÇAMENTO!N1510)</f>
        <v>0</v>
      </c>
      <c r="W1510" s="315">
        <f t="shared" si="399"/>
        <v>0</v>
      </c>
    </row>
    <row r="1511" spans="1:23" ht="23.25" hidden="1" thickBot="1">
      <c r="A1511" s="63">
        <v>101632</v>
      </c>
      <c r="B1511" s="870">
        <v>101632</v>
      </c>
      <c r="C1511" s="871" t="s">
        <v>590</v>
      </c>
      <c r="D1511" s="881" t="s">
        <v>1420</v>
      </c>
      <c r="E1511" s="882"/>
      <c r="F1511" s="883"/>
      <c r="G1511" s="887"/>
      <c r="H1511" s="876">
        <v>43.27</v>
      </c>
      <c r="I1511" s="876">
        <f t="shared" si="392"/>
        <v>43.27</v>
      </c>
      <c r="J1511" s="877">
        <f t="shared" si="393"/>
        <v>52.88</v>
      </c>
      <c r="K1511" s="878" t="s">
        <v>1500</v>
      </c>
      <c r="L1511" s="879">
        <f>ROUND(SUM(ORÇAMENTO!L1511),2)</f>
        <v>0</v>
      </c>
      <c r="M1511" s="879">
        <f t="shared" si="394"/>
        <v>0</v>
      </c>
      <c r="N1511" s="868">
        <f t="shared" si="395"/>
        <v>0</v>
      </c>
      <c r="O1511" s="880"/>
      <c r="Q1511" s="317" t="str">
        <f t="shared" si="396"/>
        <v/>
      </c>
      <c r="R1511" s="317" t="str">
        <f t="shared" si="397"/>
        <v/>
      </c>
      <c r="S1511" s="317" t="str">
        <f t="shared" si="398"/>
        <v/>
      </c>
      <c r="V1511" s="314">
        <f>SUM(ORÇAMENTO!N1511)</f>
        <v>0</v>
      </c>
      <c r="W1511" s="315">
        <f t="shared" si="399"/>
        <v>0</v>
      </c>
    </row>
    <row r="1512" spans="1:23" ht="23.25" hidden="1" thickBot="1">
      <c r="A1512" s="63">
        <v>101633</v>
      </c>
      <c r="B1512" s="870">
        <v>101633</v>
      </c>
      <c r="C1512" s="871" t="s">
        <v>590</v>
      </c>
      <c r="D1512" s="881" t="s">
        <v>1421</v>
      </c>
      <c r="E1512" s="882"/>
      <c r="F1512" s="883"/>
      <c r="G1512" s="887"/>
      <c r="H1512" s="876">
        <v>108.32</v>
      </c>
      <c r="I1512" s="876">
        <f t="shared" si="392"/>
        <v>108.32</v>
      </c>
      <c r="J1512" s="877">
        <f t="shared" si="393"/>
        <v>132.38999999999999</v>
      </c>
      <c r="K1512" s="878" t="s">
        <v>1500</v>
      </c>
      <c r="L1512" s="879">
        <f>ROUND(SUM(ORÇAMENTO!L1512),2)</f>
        <v>0</v>
      </c>
      <c r="M1512" s="879">
        <f t="shared" si="394"/>
        <v>0</v>
      </c>
      <c r="N1512" s="868">
        <f t="shared" si="395"/>
        <v>0</v>
      </c>
      <c r="O1512" s="880"/>
      <c r="Q1512" s="317" t="str">
        <f t="shared" si="396"/>
        <v/>
      </c>
      <c r="R1512" s="317" t="str">
        <f t="shared" si="397"/>
        <v/>
      </c>
      <c r="S1512" s="317" t="str">
        <f t="shared" si="398"/>
        <v/>
      </c>
      <c r="V1512" s="314">
        <f>SUM(ORÇAMENTO!N1512)</f>
        <v>0</v>
      </c>
      <c r="W1512" s="315">
        <f t="shared" si="399"/>
        <v>0</v>
      </c>
    </row>
    <row r="1513" spans="1:23" ht="34.5" hidden="1" thickBot="1">
      <c r="A1513" s="63">
        <v>101636</v>
      </c>
      <c r="B1513" s="870">
        <v>101636</v>
      </c>
      <c r="C1513" s="871" t="s">
        <v>590</v>
      </c>
      <c r="D1513" s="881" t="s">
        <v>1422</v>
      </c>
      <c r="E1513" s="882"/>
      <c r="F1513" s="883"/>
      <c r="G1513" s="887"/>
      <c r="H1513" s="876">
        <v>163.68</v>
      </c>
      <c r="I1513" s="876">
        <f t="shared" si="392"/>
        <v>163.68</v>
      </c>
      <c r="J1513" s="877">
        <f t="shared" si="393"/>
        <v>200.05</v>
      </c>
      <c r="K1513" s="878" t="s">
        <v>1500</v>
      </c>
      <c r="L1513" s="879">
        <f>ROUND(SUM(ORÇAMENTO!L1513),2)</f>
        <v>0</v>
      </c>
      <c r="M1513" s="879">
        <f t="shared" si="394"/>
        <v>0</v>
      </c>
      <c r="N1513" s="868">
        <f t="shared" si="395"/>
        <v>0</v>
      </c>
      <c r="O1513" s="880"/>
      <c r="Q1513" s="317" t="str">
        <f t="shared" si="396"/>
        <v/>
      </c>
      <c r="R1513" s="317" t="str">
        <f t="shared" si="397"/>
        <v/>
      </c>
      <c r="S1513" s="317" t="str">
        <f t="shared" si="398"/>
        <v/>
      </c>
      <c r="V1513" s="314">
        <f>SUM(ORÇAMENTO!N1513)</f>
        <v>0</v>
      </c>
      <c r="W1513" s="315">
        <f t="shared" si="399"/>
        <v>0</v>
      </c>
    </row>
    <row r="1514" spans="1:23" ht="34.5" hidden="1" thickBot="1">
      <c r="A1514" s="63">
        <v>101637</v>
      </c>
      <c r="B1514" s="870">
        <v>101637</v>
      </c>
      <c r="C1514" s="871" t="s">
        <v>590</v>
      </c>
      <c r="D1514" s="881" t="s">
        <v>1423</v>
      </c>
      <c r="E1514" s="882"/>
      <c r="F1514" s="883"/>
      <c r="G1514" s="887"/>
      <c r="H1514" s="876">
        <v>158.52000000000001</v>
      </c>
      <c r="I1514" s="876">
        <f t="shared" si="392"/>
        <v>158.52000000000001</v>
      </c>
      <c r="J1514" s="877">
        <f t="shared" si="393"/>
        <v>193.74</v>
      </c>
      <c r="K1514" s="878" t="s">
        <v>1500</v>
      </c>
      <c r="L1514" s="879">
        <f>ROUND(SUM(ORÇAMENTO!L1514),2)</f>
        <v>0</v>
      </c>
      <c r="M1514" s="879">
        <f t="shared" si="394"/>
        <v>0</v>
      </c>
      <c r="N1514" s="868">
        <f t="shared" si="395"/>
        <v>0</v>
      </c>
      <c r="O1514" s="880"/>
      <c r="Q1514" s="317" t="str">
        <f t="shared" si="396"/>
        <v/>
      </c>
      <c r="R1514" s="317" t="str">
        <f t="shared" si="397"/>
        <v/>
      </c>
      <c r="S1514" s="317" t="str">
        <f t="shared" si="398"/>
        <v/>
      </c>
      <c r="V1514" s="314">
        <f>SUM(ORÇAMENTO!N1514)</f>
        <v>0</v>
      </c>
      <c r="W1514" s="315">
        <f t="shared" si="399"/>
        <v>0</v>
      </c>
    </row>
    <row r="1515" spans="1:23" ht="23.25" hidden="1" thickBot="1">
      <c r="A1515" s="63">
        <v>96985</v>
      </c>
      <c r="B1515" s="870">
        <v>96985</v>
      </c>
      <c r="C1515" s="871" t="s">
        <v>590</v>
      </c>
      <c r="D1515" s="881" t="s">
        <v>1424</v>
      </c>
      <c r="E1515" s="882"/>
      <c r="F1515" s="883"/>
      <c r="G1515" s="887"/>
      <c r="H1515" s="876">
        <v>91.92</v>
      </c>
      <c r="I1515" s="876">
        <f t="shared" si="392"/>
        <v>91.92</v>
      </c>
      <c r="J1515" s="877">
        <f t="shared" si="393"/>
        <v>112.34</v>
      </c>
      <c r="K1515" s="878" t="s">
        <v>1500</v>
      </c>
      <c r="L1515" s="879">
        <f>ROUND(SUM(ORÇAMENTO!L1515),2)</f>
        <v>0</v>
      </c>
      <c r="M1515" s="879">
        <f t="shared" si="394"/>
        <v>0</v>
      </c>
      <c r="N1515" s="868">
        <f t="shared" si="395"/>
        <v>0</v>
      </c>
      <c r="O1515" s="880"/>
      <c r="Q1515" s="317" t="str">
        <f t="shared" si="396"/>
        <v/>
      </c>
      <c r="R1515" s="317" t="str">
        <f t="shared" si="397"/>
        <v/>
      </c>
      <c r="S1515" s="317" t="str">
        <f t="shared" si="398"/>
        <v/>
      </c>
      <c r="V1515" s="314">
        <f>SUM(ORÇAMENTO!N1515)</f>
        <v>0</v>
      </c>
      <c r="W1515" s="315">
        <f t="shared" si="399"/>
        <v>0</v>
      </c>
    </row>
    <row r="1516" spans="1:23" ht="23.25" hidden="1" thickBot="1">
      <c r="A1516" s="63">
        <v>96986</v>
      </c>
      <c r="B1516" s="870">
        <v>96986</v>
      </c>
      <c r="C1516" s="871" t="s">
        <v>590</v>
      </c>
      <c r="D1516" s="881" t="s">
        <v>1425</v>
      </c>
      <c r="E1516" s="882"/>
      <c r="F1516" s="883"/>
      <c r="G1516" s="887"/>
      <c r="H1516" s="876">
        <v>137.30000000000001</v>
      </c>
      <c r="I1516" s="876">
        <f t="shared" si="392"/>
        <v>137.30000000000001</v>
      </c>
      <c r="J1516" s="877">
        <f t="shared" si="393"/>
        <v>167.81</v>
      </c>
      <c r="K1516" s="878" t="s">
        <v>1500</v>
      </c>
      <c r="L1516" s="879">
        <f>ROUND(SUM(ORÇAMENTO!L1516),2)</f>
        <v>0</v>
      </c>
      <c r="M1516" s="879">
        <f t="shared" si="394"/>
        <v>0</v>
      </c>
      <c r="N1516" s="868">
        <f t="shared" si="395"/>
        <v>0</v>
      </c>
      <c r="O1516" s="880"/>
      <c r="Q1516" s="317" t="str">
        <f t="shared" si="396"/>
        <v/>
      </c>
      <c r="R1516" s="317" t="str">
        <f t="shared" si="397"/>
        <v/>
      </c>
      <c r="S1516" s="317" t="str">
        <f t="shared" si="398"/>
        <v/>
      </c>
      <c r="V1516" s="314">
        <f>SUM(ORÇAMENTO!N1516)</f>
        <v>0</v>
      </c>
      <c r="W1516" s="315">
        <f t="shared" si="399"/>
        <v>0</v>
      </c>
    </row>
    <row r="1517" spans="1:23" ht="23.25" hidden="1" thickBot="1">
      <c r="A1517" s="63">
        <v>96987</v>
      </c>
      <c r="B1517" s="870">
        <v>96987</v>
      </c>
      <c r="C1517" s="871" t="s">
        <v>590</v>
      </c>
      <c r="D1517" s="881" t="s">
        <v>1426</v>
      </c>
      <c r="E1517" s="882"/>
      <c r="F1517" s="883"/>
      <c r="G1517" s="887"/>
      <c r="H1517" s="876">
        <v>118</v>
      </c>
      <c r="I1517" s="876">
        <f t="shared" si="392"/>
        <v>118</v>
      </c>
      <c r="J1517" s="877">
        <f t="shared" si="393"/>
        <v>144.22</v>
      </c>
      <c r="K1517" s="878" t="s">
        <v>1500</v>
      </c>
      <c r="L1517" s="879">
        <f>ROUND(SUM(ORÇAMENTO!L1517),2)</f>
        <v>0</v>
      </c>
      <c r="M1517" s="879">
        <f t="shared" si="394"/>
        <v>0</v>
      </c>
      <c r="N1517" s="868">
        <f t="shared" si="395"/>
        <v>0</v>
      </c>
      <c r="O1517" s="880"/>
      <c r="Q1517" s="317" t="str">
        <f t="shared" si="396"/>
        <v/>
      </c>
      <c r="R1517" s="317" t="str">
        <f t="shared" si="397"/>
        <v/>
      </c>
      <c r="S1517" s="317" t="str">
        <f t="shared" si="398"/>
        <v/>
      </c>
      <c r="V1517" s="314">
        <f>SUM(ORÇAMENTO!N1517)</f>
        <v>0</v>
      </c>
      <c r="W1517" s="315">
        <f t="shared" si="399"/>
        <v>0</v>
      </c>
    </row>
    <row r="1518" spans="1:23" ht="13.5" hidden="1" thickBot="1">
      <c r="A1518" s="63">
        <v>96988</v>
      </c>
      <c r="B1518" s="870">
        <v>96988</v>
      </c>
      <c r="C1518" s="871" t="s">
        <v>590</v>
      </c>
      <c r="D1518" s="881" t="s">
        <v>1427</v>
      </c>
      <c r="E1518" s="882"/>
      <c r="F1518" s="883"/>
      <c r="G1518" s="887"/>
      <c r="H1518" s="876">
        <v>157.33000000000001</v>
      </c>
      <c r="I1518" s="876">
        <f t="shared" si="392"/>
        <v>157.33000000000001</v>
      </c>
      <c r="J1518" s="877">
        <f t="shared" si="393"/>
        <v>192.29</v>
      </c>
      <c r="K1518" s="878" t="s">
        <v>1500</v>
      </c>
      <c r="L1518" s="879">
        <f>ROUND(SUM(ORÇAMENTO!L1518),2)</f>
        <v>0</v>
      </c>
      <c r="M1518" s="879">
        <f t="shared" si="394"/>
        <v>0</v>
      </c>
      <c r="N1518" s="868">
        <f t="shared" si="395"/>
        <v>0</v>
      </c>
      <c r="O1518" s="880"/>
      <c r="Q1518" s="317" t="str">
        <f t="shared" si="396"/>
        <v/>
      </c>
      <c r="R1518" s="317" t="str">
        <f t="shared" si="397"/>
        <v/>
      </c>
      <c r="S1518" s="317" t="str">
        <f t="shared" si="398"/>
        <v/>
      </c>
      <c r="V1518" s="314">
        <f>SUM(ORÇAMENTO!N1518)</f>
        <v>0</v>
      </c>
      <c r="W1518" s="315">
        <f t="shared" si="399"/>
        <v>0</v>
      </c>
    </row>
    <row r="1519" spans="1:23" ht="23.25" hidden="1" thickBot="1">
      <c r="A1519" s="63">
        <v>96971</v>
      </c>
      <c r="B1519" s="870">
        <v>96971</v>
      </c>
      <c r="C1519" s="871" t="s">
        <v>590</v>
      </c>
      <c r="D1519" s="881" t="s">
        <v>1428</v>
      </c>
      <c r="E1519" s="882"/>
      <c r="F1519" s="883"/>
      <c r="G1519" s="887"/>
      <c r="H1519" s="876">
        <v>37.03</v>
      </c>
      <c r="I1519" s="876">
        <f t="shared" si="392"/>
        <v>37.03</v>
      </c>
      <c r="J1519" s="877">
        <f t="shared" si="393"/>
        <v>45.26</v>
      </c>
      <c r="K1519" s="878" t="s">
        <v>62</v>
      </c>
      <c r="L1519" s="879">
        <f>ROUND(SUM(ORÇAMENTO!L1519),2)</f>
        <v>0</v>
      </c>
      <c r="M1519" s="879">
        <f t="shared" si="394"/>
        <v>0</v>
      </c>
      <c r="N1519" s="868">
        <f t="shared" si="395"/>
        <v>0</v>
      </c>
      <c r="O1519" s="880"/>
      <c r="Q1519" s="317" t="str">
        <f t="shared" si="396"/>
        <v/>
      </c>
      <c r="R1519" s="317" t="str">
        <f t="shared" si="397"/>
        <v/>
      </c>
      <c r="S1519" s="317" t="str">
        <f t="shared" si="398"/>
        <v/>
      </c>
      <c r="V1519" s="314">
        <f>SUM(ORÇAMENTO!N1519)</f>
        <v>0</v>
      </c>
      <c r="W1519" s="315">
        <f t="shared" si="399"/>
        <v>0</v>
      </c>
    </row>
    <row r="1520" spans="1:23" ht="23.25" hidden="1" thickBot="1">
      <c r="A1520" s="63">
        <v>96972</v>
      </c>
      <c r="B1520" s="870">
        <v>96972</v>
      </c>
      <c r="C1520" s="871" t="s">
        <v>590</v>
      </c>
      <c r="D1520" s="881" t="s">
        <v>1429</v>
      </c>
      <c r="E1520" s="882"/>
      <c r="F1520" s="883"/>
      <c r="G1520" s="887"/>
      <c r="H1520" s="876">
        <v>50.05</v>
      </c>
      <c r="I1520" s="876">
        <f t="shared" si="392"/>
        <v>50.05</v>
      </c>
      <c r="J1520" s="877">
        <f t="shared" si="393"/>
        <v>61.17</v>
      </c>
      <c r="K1520" s="878" t="s">
        <v>62</v>
      </c>
      <c r="L1520" s="879">
        <f>ROUND(SUM(ORÇAMENTO!L1520),2)</f>
        <v>0</v>
      </c>
      <c r="M1520" s="879">
        <f t="shared" si="394"/>
        <v>0</v>
      </c>
      <c r="N1520" s="868">
        <f t="shared" si="395"/>
        <v>0</v>
      </c>
      <c r="O1520" s="880"/>
      <c r="Q1520" s="317" t="str">
        <f t="shared" si="396"/>
        <v/>
      </c>
      <c r="R1520" s="317" t="str">
        <f t="shared" si="397"/>
        <v/>
      </c>
      <c r="S1520" s="317" t="str">
        <f t="shared" si="398"/>
        <v/>
      </c>
      <c r="V1520" s="314">
        <f>SUM(ORÇAMENTO!N1520)</f>
        <v>0</v>
      </c>
      <c r="W1520" s="315">
        <f t="shared" si="399"/>
        <v>0</v>
      </c>
    </row>
    <row r="1521" spans="1:23" ht="23.25" hidden="1" thickBot="1">
      <c r="A1521" s="63">
        <v>96973</v>
      </c>
      <c r="B1521" s="870">
        <v>96973</v>
      </c>
      <c r="C1521" s="871" t="s">
        <v>590</v>
      </c>
      <c r="D1521" s="881" t="s">
        <v>1430</v>
      </c>
      <c r="E1521" s="882"/>
      <c r="F1521" s="883"/>
      <c r="G1521" s="887"/>
      <c r="H1521" s="876">
        <v>66.23</v>
      </c>
      <c r="I1521" s="876">
        <f t="shared" si="392"/>
        <v>66.23</v>
      </c>
      <c r="J1521" s="877">
        <f t="shared" si="393"/>
        <v>80.95</v>
      </c>
      <c r="K1521" s="878" t="s">
        <v>62</v>
      </c>
      <c r="L1521" s="879">
        <f>ROUND(SUM(ORÇAMENTO!L1521),2)</f>
        <v>0</v>
      </c>
      <c r="M1521" s="879">
        <f t="shared" si="394"/>
        <v>0</v>
      </c>
      <c r="N1521" s="868">
        <f t="shared" si="395"/>
        <v>0</v>
      </c>
      <c r="O1521" s="880"/>
      <c r="Q1521" s="317" t="str">
        <f t="shared" si="396"/>
        <v/>
      </c>
      <c r="R1521" s="317" t="str">
        <f t="shared" si="397"/>
        <v/>
      </c>
      <c r="S1521" s="317" t="str">
        <f t="shared" si="398"/>
        <v/>
      </c>
      <c r="V1521" s="314">
        <f>SUM(ORÇAMENTO!N1521)</f>
        <v>0</v>
      </c>
      <c r="W1521" s="315">
        <f t="shared" si="399"/>
        <v>0</v>
      </c>
    </row>
    <row r="1522" spans="1:23" ht="23.25" hidden="1" thickBot="1">
      <c r="A1522" s="63">
        <v>96974</v>
      </c>
      <c r="B1522" s="870">
        <v>96974</v>
      </c>
      <c r="C1522" s="871" t="s">
        <v>590</v>
      </c>
      <c r="D1522" s="881" t="s">
        <v>1431</v>
      </c>
      <c r="E1522" s="882"/>
      <c r="F1522" s="883"/>
      <c r="G1522" s="887"/>
      <c r="H1522" s="876">
        <v>86.55</v>
      </c>
      <c r="I1522" s="876">
        <f t="shared" si="392"/>
        <v>86.55</v>
      </c>
      <c r="J1522" s="877">
        <f t="shared" si="393"/>
        <v>105.78</v>
      </c>
      <c r="K1522" s="878" t="s">
        <v>62</v>
      </c>
      <c r="L1522" s="879">
        <f>ROUND(SUM(ORÇAMENTO!L1522),2)</f>
        <v>0</v>
      </c>
      <c r="M1522" s="879">
        <f t="shared" si="394"/>
        <v>0</v>
      </c>
      <c r="N1522" s="868">
        <f t="shared" si="395"/>
        <v>0</v>
      </c>
      <c r="O1522" s="880"/>
      <c r="Q1522" s="317" t="str">
        <f t="shared" si="396"/>
        <v/>
      </c>
      <c r="R1522" s="317" t="str">
        <f t="shared" si="397"/>
        <v/>
      </c>
      <c r="S1522" s="317" t="str">
        <f t="shared" si="398"/>
        <v/>
      </c>
      <c r="V1522" s="314">
        <f>SUM(ORÇAMENTO!N1522)</f>
        <v>0</v>
      </c>
      <c r="W1522" s="315">
        <f t="shared" si="399"/>
        <v>0</v>
      </c>
    </row>
    <row r="1523" spans="1:23" ht="23.25" hidden="1" thickBot="1">
      <c r="A1523" s="63">
        <v>96975</v>
      </c>
      <c r="B1523" s="870">
        <v>96975</v>
      </c>
      <c r="C1523" s="871" t="s">
        <v>590</v>
      </c>
      <c r="D1523" s="881" t="s">
        <v>1432</v>
      </c>
      <c r="E1523" s="882"/>
      <c r="F1523" s="883"/>
      <c r="G1523" s="887"/>
      <c r="H1523" s="876">
        <v>107.85</v>
      </c>
      <c r="I1523" s="876">
        <f t="shared" si="392"/>
        <v>107.85</v>
      </c>
      <c r="J1523" s="877">
        <f t="shared" si="393"/>
        <v>131.81</v>
      </c>
      <c r="K1523" s="878" t="s">
        <v>62</v>
      </c>
      <c r="L1523" s="879">
        <f>ROUND(SUM(ORÇAMENTO!L1523),2)</f>
        <v>0</v>
      </c>
      <c r="M1523" s="879">
        <f t="shared" si="394"/>
        <v>0</v>
      </c>
      <c r="N1523" s="868">
        <f t="shared" si="395"/>
        <v>0</v>
      </c>
      <c r="O1523" s="880"/>
      <c r="Q1523" s="317" t="str">
        <f t="shared" si="396"/>
        <v/>
      </c>
      <c r="R1523" s="317" t="str">
        <f t="shared" si="397"/>
        <v/>
      </c>
      <c r="S1523" s="317" t="str">
        <f t="shared" si="398"/>
        <v/>
      </c>
      <c r="V1523" s="314">
        <f>SUM(ORÇAMENTO!N1523)</f>
        <v>0</v>
      </c>
      <c r="W1523" s="315">
        <f t="shared" si="399"/>
        <v>0</v>
      </c>
    </row>
    <row r="1524" spans="1:23" ht="23.25" hidden="1" thickBot="1">
      <c r="A1524" s="63">
        <v>96976</v>
      </c>
      <c r="B1524" s="870">
        <v>96976</v>
      </c>
      <c r="C1524" s="871" t="s">
        <v>590</v>
      </c>
      <c r="D1524" s="881" t="s">
        <v>1433</v>
      </c>
      <c r="E1524" s="882"/>
      <c r="F1524" s="883"/>
      <c r="G1524" s="887"/>
      <c r="H1524" s="876">
        <v>142.65</v>
      </c>
      <c r="I1524" s="876">
        <f t="shared" si="392"/>
        <v>142.65</v>
      </c>
      <c r="J1524" s="877">
        <f t="shared" si="393"/>
        <v>174.35</v>
      </c>
      <c r="K1524" s="878" t="s">
        <v>62</v>
      </c>
      <c r="L1524" s="879">
        <f>ROUND(SUM(ORÇAMENTO!L1524),2)</f>
        <v>0</v>
      </c>
      <c r="M1524" s="879">
        <f t="shared" si="394"/>
        <v>0</v>
      </c>
      <c r="N1524" s="868">
        <f t="shared" si="395"/>
        <v>0</v>
      </c>
      <c r="O1524" s="880"/>
      <c r="Q1524" s="317" t="str">
        <f t="shared" si="396"/>
        <v/>
      </c>
      <c r="R1524" s="317" t="str">
        <f t="shared" si="397"/>
        <v/>
      </c>
      <c r="S1524" s="317" t="str">
        <f t="shared" si="398"/>
        <v/>
      </c>
      <c r="V1524" s="314">
        <f>SUM(ORÇAMENTO!N1524)</f>
        <v>0</v>
      </c>
      <c r="W1524" s="315">
        <f t="shared" si="399"/>
        <v>0</v>
      </c>
    </row>
    <row r="1525" spans="1:23" ht="23.25" hidden="1" thickBot="1">
      <c r="A1525" s="63">
        <v>96977</v>
      </c>
      <c r="B1525" s="870">
        <v>96977</v>
      </c>
      <c r="C1525" s="871" t="s">
        <v>590</v>
      </c>
      <c r="D1525" s="881" t="s">
        <v>1434</v>
      </c>
      <c r="E1525" s="882"/>
      <c r="F1525" s="883"/>
      <c r="G1525" s="887"/>
      <c r="H1525" s="876">
        <v>58.29</v>
      </c>
      <c r="I1525" s="876">
        <f t="shared" si="392"/>
        <v>58.29</v>
      </c>
      <c r="J1525" s="877">
        <f t="shared" si="393"/>
        <v>71.239999999999995</v>
      </c>
      <c r="K1525" s="878" t="s">
        <v>62</v>
      </c>
      <c r="L1525" s="879">
        <f>ROUND(SUM(ORÇAMENTO!L1525),2)</f>
        <v>0</v>
      </c>
      <c r="M1525" s="879">
        <f t="shared" si="394"/>
        <v>0</v>
      </c>
      <c r="N1525" s="868">
        <f t="shared" si="395"/>
        <v>0</v>
      </c>
      <c r="O1525" s="880"/>
      <c r="Q1525" s="317" t="str">
        <f t="shared" si="396"/>
        <v/>
      </c>
      <c r="R1525" s="317" t="str">
        <f t="shared" si="397"/>
        <v/>
      </c>
      <c r="S1525" s="317" t="str">
        <f t="shared" si="398"/>
        <v/>
      </c>
      <c r="V1525" s="314">
        <f>SUM(ORÇAMENTO!N1525)</f>
        <v>0</v>
      </c>
      <c r="W1525" s="315">
        <f t="shared" si="399"/>
        <v>0</v>
      </c>
    </row>
    <row r="1526" spans="1:23" ht="23.25" hidden="1" thickBot="1">
      <c r="A1526" s="63">
        <v>96978</v>
      </c>
      <c r="B1526" s="870">
        <v>96978</v>
      </c>
      <c r="C1526" s="871" t="s">
        <v>590</v>
      </c>
      <c r="D1526" s="881" t="s">
        <v>1435</v>
      </c>
      <c r="E1526" s="882"/>
      <c r="F1526" s="883"/>
      <c r="G1526" s="887"/>
      <c r="H1526" s="876">
        <v>76.77</v>
      </c>
      <c r="I1526" s="876">
        <f t="shared" si="392"/>
        <v>76.77</v>
      </c>
      <c r="J1526" s="877">
        <f t="shared" si="393"/>
        <v>93.83</v>
      </c>
      <c r="K1526" s="878" t="s">
        <v>62</v>
      </c>
      <c r="L1526" s="879">
        <f>ROUND(SUM(ORÇAMENTO!L1526),2)</f>
        <v>0</v>
      </c>
      <c r="M1526" s="879">
        <f t="shared" si="394"/>
        <v>0</v>
      </c>
      <c r="N1526" s="868">
        <f t="shared" si="395"/>
        <v>0</v>
      </c>
      <c r="O1526" s="880"/>
      <c r="Q1526" s="317" t="str">
        <f t="shared" si="396"/>
        <v/>
      </c>
      <c r="R1526" s="317" t="str">
        <f t="shared" si="397"/>
        <v/>
      </c>
      <c r="S1526" s="317" t="str">
        <f t="shared" si="398"/>
        <v/>
      </c>
      <c r="V1526" s="314">
        <f>SUM(ORÇAMENTO!N1526)</f>
        <v>0</v>
      </c>
      <c r="W1526" s="315">
        <f t="shared" si="399"/>
        <v>0</v>
      </c>
    </row>
    <row r="1527" spans="1:23" ht="23.25" hidden="1" thickBot="1">
      <c r="A1527" s="63">
        <v>96979</v>
      </c>
      <c r="B1527" s="870">
        <v>96979</v>
      </c>
      <c r="C1527" s="871" t="s">
        <v>590</v>
      </c>
      <c r="D1527" s="881" t="s">
        <v>1436</v>
      </c>
      <c r="E1527" s="882"/>
      <c r="F1527" s="883"/>
      <c r="G1527" s="887"/>
      <c r="H1527" s="876">
        <v>109.74</v>
      </c>
      <c r="I1527" s="876">
        <f t="shared" si="392"/>
        <v>109.74</v>
      </c>
      <c r="J1527" s="877">
        <f t="shared" si="393"/>
        <v>134.12</v>
      </c>
      <c r="K1527" s="878" t="s">
        <v>62</v>
      </c>
      <c r="L1527" s="879">
        <f>ROUND(SUM(ORÇAMENTO!L1527),2)</f>
        <v>0</v>
      </c>
      <c r="M1527" s="879">
        <f t="shared" si="394"/>
        <v>0</v>
      </c>
      <c r="N1527" s="868">
        <f t="shared" si="395"/>
        <v>0</v>
      </c>
      <c r="O1527" s="880"/>
      <c r="Q1527" s="317" t="str">
        <f t="shared" si="396"/>
        <v/>
      </c>
      <c r="R1527" s="317" t="str">
        <f t="shared" si="397"/>
        <v/>
      </c>
      <c r="S1527" s="317" t="str">
        <f t="shared" si="398"/>
        <v/>
      </c>
      <c r="V1527" s="314">
        <f>SUM(ORÇAMENTO!N1527)</f>
        <v>0</v>
      </c>
      <c r="W1527" s="315">
        <f t="shared" si="399"/>
        <v>0</v>
      </c>
    </row>
    <row r="1528" spans="1:23" ht="13.5" hidden="1" thickBot="1">
      <c r="A1528" s="63">
        <v>96989</v>
      </c>
      <c r="B1528" s="870">
        <v>96989</v>
      </c>
      <c r="C1528" s="871" t="s">
        <v>590</v>
      </c>
      <c r="D1528" s="881" t="s">
        <v>1437</v>
      </c>
      <c r="E1528" s="882"/>
      <c r="F1528" s="883"/>
      <c r="G1528" s="887"/>
      <c r="H1528" s="876">
        <v>131.58000000000001</v>
      </c>
      <c r="I1528" s="876">
        <f t="shared" si="392"/>
        <v>131.58000000000001</v>
      </c>
      <c r="J1528" s="877">
        <f t="shared" si="393"/>
        <v>160.82</v>
      </c>
      <c r="K1528" s="878" t="s">
        <v>1500</v>
      </c>
      <c r="L1528" s="879">
        <f>ROUND(SUM(ORÇAMENTO!L1528),2)</f>
        <v>0</v>
      </c>
      <c r="M1528" s="879">
        <f t="shared" si="394"/>
        <v>0</v>
      </c>
      <c r="N1528" s="868">
        <f t="shared" si="395"/>
        <v>0</v>
      </c>
      <c r="O1528" s="880"/>
      <c r="Q1528" s="317" t="str">
        <f t="shared" si="396"/>
        <v/>
      </c>
      <c r="R1528" s="317" t="str">
        <f t="shared" si="397"/>
        <v/>
      </c>
      <c r="S1528" s="317" t="str">
        <f t="shared" si="398"/>
        <v/>
      </c>
      <c r="V1528" s="314">
        <f>SUM(ORÇAMENTO!N1528)</f>
        <v>0</v>
      </c>
      <c r="W1528" s="315">
        <f t="shared" si="399"/>
        <v>0</v>
      </c>
    </row>
    <row r="1529" spans="1:23" ht="23.25" hidden="1" thickBot="1">
      <c r="A1529" s="63">
        <v>98463</v>
      </c>
      <c r="B1529" s="870">
        <v>98463</v>
      </c>
      <c r="C1529" s="871" t="s">
        <v>590</v>
      </c>
      <c r="D1529" s="881" t="s">
        <v>1438</v>
      </c>
      <c r="E1529" s="882"/>
      <c r="F1529" s="883"/>
      <c r="G1529" s="887"/>
      <c r="H1529" s="876">
        <v>26.69</v>
      </c>
      <c r="I1529" s="876">
        <f t="shared" si="392"/>
        <v>26.69</v>
      </c>
      <c r="J1529" s="877">
        <f t="shared" si="393"/>
        <v>32.619999999999997</v>
      </c>
      <c r="K1529" s="878" t="s">
        <v>1500</v>
      </c>
      <c r="L1529" s="879">
        <f>ROUND(SUM(ORÇAMENTO!L1529),2)</f>
        <v>0</v>
      </c>
      <c r="M1529" s="879">
        <f t="shared" si="394"/>
        <v>0</v>
      </c>
      <c r="N1529" s="868">
        <f t="shared" si="395"/>
        <v>0</v>
      </c>
      <c r="O1529" s="880"/>
      <c r="Q1529" s="317" t="str">
        <f t="shared" si="396"/>
        <v/>
      </c>
      <c r="R1529" s="317" t="str">
        <f t="shared" si="397"/>
        <v/>
      </c>
      <c r="S1529" s="317" t="str">
        <f t="shared" si="398"/>
        <v/>
      </c>
      <c r="V1529" s="314">
        <f>SUM(ORÇAMENTO!N1529)</f>
        <v>0</v>
      </c>
      <c r="W1529" s="315">
        <f t="shared" si="399"/>
        <v>0</v>
      </c>
    </row>
    <row r="1530" spans="1:23" ht="34.5" hidden="1" thickBot="1">
      <c r="A1530" s="63">
        <v>100560</v>
      </c>
      <c r="B1530" s="870">
        <v>100560</v>
      </c>
      <c r="C1530" s="871" t="s">
        <v>590</v>
      </c>
      <c r="D1530" s="881" t="s">
        <v>1439</v>
      </c>
      <c r="E1530" s="882"/>
      <c r="F1530" s="883"/>
      <c r="G1530" s="887"/>
      <c r="H1530" s="876">
        <v>139.51</v>
      </c>
      <c r="I1530" s="876">
        <f t="shared" si="392"/>
        <v>139.51</v>
      </c>
      <c r="J1530" s="877">
        <f t="shared" si="393"/>
        <v>170.51</v>
      </c>
      <c r="K1530" s="878" t="s">
        <v>1500</v>
      </c>
      <c r="L1530" s="879">
        <f>ROUND(SUM(ORÇAMENTO!L1530),2)</f>
        <v>0</v>
      </c>
      <c r="M1530" s="879">
        <f t="shared" si="394"/>
        <v>0</v>
      </c>
      <c r="N1530" s="868">
        <f t="shared" si="395"/>
        <v>0</v>
      </c>
      <c r="O1530" s="880"/>
      <c r="Q1530" s="317" t="str">
        <f t="shared" si="396"/>
        <v/>
      </c>
      <c r="R1530" s="317" t="str">
        <f t="shared" si="397"/>
        <v/>
      </c>
      <c r="S1530" s="317" t="str">
        <f t="shared" si="398"/>
        <v/>
      </c>
      <c r="V1530" s="314">
        <f>SUM(ORÇAMENTO!N1530)</f>
        <v>0</v>
      </c>
      <c r="W1530" s="315">
        <f t="shared" si="399"/>
        <v>0</v>
      </c>
    </row>
    <row r="1531" spans="1:23" ht="34.5" hidden="1" thickBot="1">
      <c r="A1531" s="63">
        <v>100561</v>
      </c>
      <c r="B1531" s="870">
        <v>100561</v>
      </c>
      <c r="C1531" s="871" t="s">
        <v>590</v>
      </c>
      <c r="D1531" s="881" t="s">
        <v>1440</v>
      </c>
      <c r="E1531" s="882"/>
      <c r="F1531" s="883"/>
      <c r="G1531" s="887"/>
      <c r="H1531" s="876">
        <v>252.88</v>
      </c>
      <c r="I1531" s="876">
        <f t="shared" si="392"/>
        <v>252.88</v>
      </c>
      <c r="J1531" s="877">
        <f t="shared" si="393"/>
        <v>309.07</v>
      </c>
      <c r="K1531" s="878" t="s">
        <v>1500</v>
      </c>
      <c r="L1531" s="879">
        <f>ROUND(SUM(ORÇAMENTO!L1531),2)</f>
        <v>0</v>
      </c>
      <c r="M1531" s="879">
        <f t="shared" si="394"/>
        <v>0</v>
      </c>
      <c r="N1531" s="868">
        <f t="shared" si="395"/>
        <v>0</v>
      </c>
      <c r="O1531" s="880"/>
      <c r="Q1531" s="317" t="str">
        <f t="shared" si="396"/>
        <v/>
      </c>
      <c r="R1531" s="317" t="str">
        <f t="shared" si="397"/>
        <v/>
      </c>
      <c r="S1531" s="317" t="str">
        <f t="shared" si="398"/>
        <v/>
      </c>
      <c r="V1531" s="314">
        <f>SUM(ORÇAMENTO!N1531)</f>
        <v>0</v>
      </c>
      <c r="W1531" s="315">
        <f t="shared" si="399"/>
        <v>0</v>
      </c>
    </row>
    <row r="1532" spans="1:23" ht="34.5" hidden="1" thickBot="1">
      <c r="A1532" s="63">
        <v>100562</v>
      </c>
      <c r="B1532" s="870">
        <v>100562</v>
      </c>
      <c r="C1532" s="871" t="s">
        <v>590</v>
      </c>
      <c r="D1532" s="881" t="s">
        <v>1441</v>
      </c>
      <c r="E1532" s="882"/>
      <c r="F1532" s="883"/>
      <c r="G1532" s="887"/>
      <c r="H1532" s="876">
        <v>389.51</v>
      </c>
      <c r="I1532" s="876">
        <f t="shared" si="392"/>
        <v>389.51</v>
      </c>
      <c r="J1532" s="877">
        <f t="shared" si="393"/>
        <v>476.06</v>
      </c>
      <c r="K1532" s="878" t="s">
        <v>1500</v>
      </c>
      <c r="L1532" s="879">
        <f>ROUND(SUM(ORÇAMENTO!L1532),2)</f>
        <v>0</v>
      </c>
      <c r="M1532" s="879">
        <f t="shared" si="394"/>
        <v>0</v>
      </c>
      <c r="N1532" s="868">
        <f t="shared" si="395"/>
        <v>0</v>
      </c>
      <c r="O1532" s="880"/>
      <c r="Q1532" s="317" t="str">
        <f t="shared" si="396"/>
        <v/>
      </c>
      <c r="R1532" s="317" t="str">
        <f t="shared" si="397"/>
        <v/>
      </c>
      <c r="S1532" s="317" t="str">
        <f t="shared" si="398"/>
        <v/>
      </c>
      <c r="V1532" s="314">
        <f>SUM(ORÇAMENTO!N1532)</f>
        <v>0</v>
      </c>
      <c r="W1532" s="315">
        <f t="shared" si="399"/>
        <v>0</v>
      </c>
    </row>
    <row r="1533" spans="1:23" ht="23.25" hidden="1" thickBot="1">
      <c r="A1533" s="63">
        <v>100563</v>
      </c>
      <c r="B1533" s="870">
        <v>100563</v>
      </c>
      <c r="C1533" s="871" t="s">
        <v>590</v>
      </c>
      <c r="D1533" s="881" t="s">
        <v>1442</v>
      </c>
      <c r="E1533" s="882"/>
      <c r="F1533" s="883"/>
      <c r="G1533" s="887"/>
      <c r="H1533" s="876">
        <v>559.6</v>
      </c>
      <c r="I1533" s="876">
        <f t="shared" si="392"/>
        <v>559.6</v>
      </c>
      <c r="J1533" s="877">
        <f t="shared" si="393"/>
        <v>683.94</v>
      </c>
      <c r="K1533" s="878" t="s">
        <v>1500</v>
      </c>
      <c r="L1533" s="879">
        <f>ROUND(SUM(ORÇAMENTO!L1533),2)</f>
        <v>0</v>
      </c>
      <c r="M1533" s="879">
        <f t="shared" si="394"/>
        <v>0</v>
      </c>
      <c r="N1533" s="868">
        <f t="shared" si="395"/>
        <v>0</v>
      </c>
      <c r="O1533" s="880"/>
      <c r="Q1533" s="317" t="str">
        <f t="shared" si="396"/>
        <v/>
      </c>
      <c r="R1533" s="317" t="str">
        <f t="shared" si="397"/>
        <v/>
      </c>
      <c r="S1533" s="317" t="str">
        <f t="shared" si="398"/>
        <v/>
      </c>
      <c r="V1533" s="314">
        <f>SUM(ORÇAMENTO!N1533)</f>
        <v>0</v>
      </c>
      <c r="W1533" s="315">
        <f t="shared" si="399"/>
        <v>0</v>
      </c>
    </row>
    <row r="1534" spans="1:23" ht="23.25" hidden="1" thickBot="1">
      <c r="A1534" s="63">
        <v>100556</v>
      </c>
      <c r="B1534" s="870">
        <v>100556</v>
      </c>
      <c r="C1534" s="871" t="s">
        <v>590</v>
      </c>
      <c r="D1534" s="881" t="s">
        <v>1443</v>
      </c>
      <c r="E1534" s="882"/>
      <c r="F1534" s="883"/>
      <c r="G1534" s="887"/>
      <c r="H1534" s="876">
        <v>51.63</v>
      </c>
      <c r="I1534" s="876">
        <f t="shared" si="392"/>
        <v>51.63</v>
      </c>
      <c r="J1534" s="877">
        <f t="shared" si="393"/>
        <v>63.1</v>
      </c>
      <c r="K1534" s="878" t="s">
        <v>1500</v>
      </c>
      <c r="L1534" s="879">
        <f>ROUND(SUM(ORÇAMENTO!L1534),2)</f>
        <v>0</v>
      </c>
      <c r="M1534" s="879">
        <f t="shared" si="394"/>
        <v>0</v>
      </c>
      <c r="N1534" s="868">
        <f t="shared" si="395"/>
        <v>0</v>
      </c>
      <c r="O1534" s="880"/>
      <c r="Q1534" s="317" t="str">
        <f t="shared" si="396"/>
        <v/>
      </c>
      <c r="R1534" s="317" t="str">
        <f t="shared" si="397"/>
        <v/>
      </c>
      <c r="S1534" s="317" t="str">
        <f t="shared" si="398"/>
        <v/>
      </c>
      <c r="V1534" s="314">
        <f>SUM(ORÇAMENTO!N1534)</f>
        <v>0</v>
      </c>
      <c r="W1534" s="315">
        <f t="shared" si="399"/>
        <v>0</v>
      </c>
    </row>
    <row r="1535" spans="1:23" ht="23.25" hidden="1" thickBot="1">
      <c r="A1535" s="63">
        <v>100557</v>
      </c>
      <c r="B1535" s="870">
        <v>100557</v>
      </c>
      <c r="C1535" s="871" t="s">
        <v>590</v>
      </c>
      <c r="D1535" s="881" t="s">
        <v>1444</v>
      </c>
      <c r="E1535" s="882"/>
      <c r="F1535" s="883"/>
      <c r="G1535" s="887"/>
      <c r="H1535" s="876">
        <v>638.92999999999995</v>
      </c>
      <c r="I1535" s="876">
        <f t="shared" si="392"/>
        <v>638.92999999999995</v>
      </c>
      <c r="J1535" s="877">
        <f t="shared" si="393"/>
        <v>780.9</v>
      </c>
      <c r="K1535" s="878" t="s">
        <v>1500</v>
      </c>
      <c r="L1535" s="879">
        <f>ROUND(SUM(ORÇAMENTO!L1535),2)</f>
        <v>0</v>
      </c>
      <c r="M1535" s="879">
        <f t="shared" si="394"/>
        <v>0</v>
      </c>
      <c r="N1535" s="868">
        <f t="shared" si="395"/>
        <v>0</v>
      </c>
      <c r="O1535" s="880"/>
      <c r="Q1535" s="317" t="str">
        <f t="shared" si="396"/>
        <v/>
      </c>
      <c r="R1535" s="317" t="str">
        <f t="shared" si="397"/>
        <v/>
      </c>
      <c r="S1535" s="317" t="str">
        <f t="shared" si="398"/>
        <v/>
      </c>
      <c r="V1535" s="314">
        <f>SUM(ORÇAMENTO!N1535)</f>
        <v>0</v>
      </c>
      <c r="W1535" s="315">
        <f t="shared" si="399"/>
        <v>0</v>
      </c>
    </row>
    <row r="1536" spans="1:23" ht="23.25" hidden="1" thickBot="1">
      <c r="A1536" s="63">
        <v>98294</v>
      </c>
      <c r="B1536" s="870">
        <v>98294</v>
      </c>
      <c r="C1536" s="871" t="s">
        <v>590</v>
      </c>
      <c r="D1536" s="881" t="s">
        <v>1445</v>
      </c>
      <c r="E1536" s="882"/>
      <c r="F1536" s="883"/>
      <c r="G1536" s="887"/>
      <c r="H1536" s="876">
        <v>8.24</v>
      </c>
      <c r="I1536" s="876">
        <f t="shared" si="392"/>
        <v>8.24</v>
      </c>
      <c r="J1536" s="877">
        <f t="shared" si="393"/>
        <v>10.07</v>
      </c>
      <c r="K1536" s="878" t="s">
        <v>62</v>
      </c>
      <c r="L1536" s="879">
        <f>ROUND(SUM(ORÇAMENTO!L1536),2)</f>
        <v>0</v>
      </c>
      <c r="M1536" s="879">
        <f t="shared" si="394"/>
        <v>0</v>
      </c>
      <c r="N1536" s="868">
        <f t="shared" si="395"/>
        <v>0</v>
      </c>
      <c r="O1536" s="880"/>
      <c r="Q1536" s="317" t="str">
        <f t="shared" si="396"/>
        <v/>
      </c>
      <c r="R1536" s="317" t="str">
        <f t="shared" si="397"/>
        <v/>
      </c>
      <c r="S1536" s="317" t="str">
        <f t="shared" si="398"/>
        <v/>
      </c>
      <c r="V1536" s="314">
        <f>SUM(ORÇAMENTO!N1536)</f>
        <v>0</v>
      </c>
      <c r="W1536" s="315">
        <f t="shared" si="399"/>
        <v>0</v>
      </c>
    </row>
    <row r="1537" spans="1:23" ht="23.25" hidden="1" thickBot="1">
      <c r="A1537" s="63">
        <v>98295</v>
      </c>
      <c r="B1537" s="870">
        <v>98295</v>
      </c>
      <c r="C1537" s="871" t="s">
        <v>590</v>
      </c>
      <c r="D1537" s="881" t="s">
        <v>1446</v>
      </c>
      <c r="E1537" s="882"/>
      <c r="F1537" s="883"/>
      <c r="G1537" s="887"/>
      <c r="H1537" s="876">
        <v>7.4</v>
      </c>
      <c r="I1537" s="876">
        <f t="shared" si="392"/>
        <v>7.4</v>
      </c>
      <c r="J1537" s="877">
        <f t="shared" si="393"/>
        <v>9.0399999999999991</v>
      </c>
      <c r="K1537" s="878" t="s">
        <v>62</v>
      </c>
      <c r="L1537" s="879">
        <f>ROUND(SUM(ORÇAMENTO!L1537),2)</f>
        <v>0</v>
      </c>
      <c r="M1537" s="879">
        <f t="shared" si="394"/>
        <v>0</v>
      </c>
      <c r="N1537" s="868">
        <f t="shared" si="395"/>
        <v>0</v>
      </c>
      <c r="O1537" s="880"/>
      <c r="Q1537" s="317" t="str">
        <f t="shared" si="396"/>
        <v/>
      </c>
      <c r="R1537" s="317" t="str">
        <f t="shared" si="397"/>
        <v/>
      </c>
      <c r="S1537" s="317" t="str">
        <f t="shared" si="398"/>
        <v/>
      </c>
      <c r="V1537" s="314">
        <f>SUM(ORÇAMENTO!N1537)</f>
        <v>0</v>
      </c>
      <c r="W1537" s="315">
        <f t="shared" si="399"/>
        <v>0</v>
      </c>
    </row>
    <row r="1538" spans="1:23" ht="23.25" hidden="1" thickBot="1">
      <c r="A1538" s="63">
        <v>98296</v>
      </c>
      <c r="B1538" s="870">
        <v>98296</v>
      </c>
      <c r="C1538" s="871" t="s">
        <v>590</v>
      </c>
      <c r="D1538" s="881" t="s">
        <v>1447</v>
      </c>
      <c r="E1538" s="882"/>
      <c r="F1538" s="883"/>
      <c r="G1538" s="887"/>
      <c r="H1538" s="876">
        <v>12.01</v>
      </c>
      <c r="I1538" s="876">
        <f t="shared" ref="I1538:I1590" si="400">IF(ISBLANK(H1538),"",SUM(G1538:H1538))</f>
        <v>12.01</v>
      </c>
      <c r="J1538" s="877">
        <f t="shared" si="393"/>
        <v>14.68</v>
      </c>
      <c r="K1538" s="878" t="s">
        <v>62</v>
      </c>
      <c r="L1538" s="879">
        <f>ROUND(SUM(ORÇAMENTO!L1538),2)</f>
        <v>0</v>
      </c>
      <c r="M1538" s="879">
        <f t="shared" si="394"/>
        <v>0</v>
      </c>
      <c r="N1538" s="868">
        <f t="shared" si="395"/>
        <v>0</v>
      </c>
      <c r="O1538" s="880"/>
      <c r="Q1538" s="317" t="str">
        <f t="shared" si="396"/>
        <v/>
      </c>
      <c r="R1538" s="317" t="str">
        <f t="shared" si="397"/>
        <v/>
      </c>
      <c r="S1538" s="317" t="str">
        <f t="shared" si="398"/>
        <v/>
      </c>
      <c r="V1538" s="314">
        <f>SUM(ORÇAMENTO!N1538)</f>
        <v>0</v>
      </c>
      <c r="W1538" s="315">
        <f t="shared" si="399"/>
        <v>0</v>
      </c>
    </row>
    <row r="1539" spans="1:23" ht="23.25" hidden="1" thickBot="1">
      <c r="A1539" s="63">
        <v>98297</v>
      </c>
      <c r="B1539" s="870">
        <v>98297</v>
      </c>
      <c r="C1539" s="871" t="s">
        <v>590</v>
      </c>
      <c r="D1539" s="881" t="s">
        <v>1448</v>
      </c>
      <c r="E1539" s="882"/>
      <c r="F1539" s="883"/>
      <c r="G1539" s="887"/>
      <c r="H1539" s="876">
        <v>10.67</v>
      </c>
      <c r="I1539" s="876">
        <f t="shared" si="400"/>
        <v>10.67</v>
      </c>
      <c r="J1539" s="877">
        <f t="shared" si="393"/>
        <v>13.04</v>
      </c>
      <c r="K1539" s="878" t="s">
        <v>62</v>
      </c>
      <c r="L1539" s="879">
        <f>ROUND(SUM(ORÇAMENTO!L1539),2)</f>
        <v>0</v>
      </c>
      <c r="M1539" s="879">
        <f t="shared" si="394"/>
        <v>0</v>
      </c>
      <c r="N1539" s="868">
        <f t="shared" si="395"/>
        <v>0</v>
      </c>
      <c r="O1539" s="880"/>
      <c r="Q1539" s="317" t="str">
        <f t="shared" si="396"/>
        <v/>
      </c>
      <c r="R1539" s="317" t="str">
        <f t="shared" si="397"/>
        <v/>
      </c>
      <c r="S1539" s="317" t="str">
        <f t="shared" si="398"/>
        <v/>
      </c>
      <c r="V1539" s="314">
        <f>SUM(ORÇAMENTO!N1539)</f>
        <v>0</v>
      </c>
      <c r="W1539" s="315">
        <f t="shared" si="399"/>
        <v>0</v>
      </c>
    </row>
    <row r="1540" spans="1:23" ht="23.25" hidden="1" thickBot="1">
      <c r="A1540" s="63">
        <v>98301</v>
      </c>
      <c r="B1540" s="870">
        <v>98301</v>
      </c>
      <c r="C1540" s="871" t="s">
        <v>590</v>
      </c>
      <c r="D1540" s="881" t="s">
        <v>1449</v>
      </c>
      <c r="E1540" s="882"/>
      <c r="F1540" s="883"/>
      <c r="G1540" s="887"/>
      <c r="H1540" s="876">
        <v>792.1</v>
      </c>
      <c r="I1540" s="876">
        <f t="shared" si="400"/>
        <v>792.1</v>
      </c>
      <c r="J1540" s="877">
        <f t="shared" si="393"/>
        <v>968.1</v>
      </c>
      <c r="K1540" s="878" t="s">
        <v>1500</v>
      </c>
      <c r="L1540" s="879">
        <f>ROUND(SUM(ORÇAMENTO!L1540),2)</f>
        <v>0</v>
      </c>
      <c r="M1540" s="879">
        <f t="shared" si="394"/>
        <v>0</v>
      </c>
      <c r="N1540" s="868">
        <f t="shared" si="395"/>
        <v>0</v>
      </c>
      <c r="O1540" s="880"/>
      <c r="Q1540" s="317" t="str">
        <f t="shared" si="396"/>
        <v/>
      </c>
      <c r="R1540" s="317" t="str">
        <f t="shared" si="397"/>
        <v/>
      </c>
      <c r="S1540" s="317" t="str">
        <f t="shared" si="398"/>
        <v/>
      </c>
      <c r="V1540" s="314">
        <f>SUM(ORÇAMENTO!N1540)</f>
        <v>0</v>
      </c>
      <c r="W1540" s="315">
        <f t="shared" si="399"/>
        <v>0</v>
      </c>
    </row>
    <row r="1541" spans="1:23" ht="23.25" hidden="1" thickBot="1">
      <c r="A1541" s="63">
        <v>98302</v>
      </c>
      <c r="B1541" s="870">
        <v>98302</v>
      </c>
      <c r="C1541" s="871" t="s">
        <v>590</v>
      </c>
      <c r="D1541" s="881" t="s">
        <v>1450</v>
      </c>
      <c r="E1541" s="882"/>
      <c r="F1541" s="883"/>
      <c r="G1541" s="887"/>
      <c r="H1541" s="876">
        <v>1496.89</v>
      </c>
      <c r="I1541" s="876">
        <f t="shared" si="400"/>
        <v>1496.89</v>
      </c>
      <c r="J1541" s="877">
        <f t="shared" si="393"/>
        <v>1829.5</v>
      </c>
      <c r="K1541" s="878" t="s">
        <v>1500</v>
      </c>
      <c r="L1541" s="879">
        <f>ROUND(SUM(ORÇAMENTO!L1541),2)</f>
        <v>0</v>
      </c>
      <c r="M1541" s="879">
        <f t="shared" si="394"/>
        <v>0</v>
      </c>
      <c r="N1541" s="868">
        <f t="shared" si="395"/>
        <v>0</v>
      </c>
      <c r="O1541" s="880"/>
      <c r="Q1541" s="317" t="str">
        <f t="shared" si="396"/>
        <v/>
      </c>
      <c r="R1541" s="317" t="str">
        <f t="shared" si="397"/>
        <v/>
      </c>
      <c r="S1541" s="317" t="str">
        <f t="shared" si="398"/>
        <v/>
      </c>
      <c r="V1541" s="314">
        <f>SUM(ORÇAMENTO!N1541)</f>
        <v>0</v>
      </c>
      <c r="W1541" s="315">
        <f t="shared" si="399"/>
        <v>0</v>
      </c>
    </row>
    <row r="1542" spans="1:23" ht="23.25" hidden="1" thickBot="1">
      <c r="A1542" s="63">
        <v>98304</v>
      </c>
      <c r="B1542" s="870">
        <v>98304</v>
      </c>
      <c r="C1542" s="871" t="s">
        <v>590</v>
      </c>
      <c r="D1542" s="881" t="s">
        <v>1451</v>
      </c>
      <c r="E1542" s="882"/>
      <c r="F1542" s="883"/>
      <c r="G1542" s="887"/>
      <c r="H1542" s="876">
        <v>4703.87</v>
      </c>
      <c r="I1542" s="876">
        <f t="shared" si="400"/>
        <v>4703.87</v>
      </c>
      <c r="J1542" s="877">
        <f t="shared" si="393"/>
        <v>5749.07</v>
      </c>
      <c r="K1542" s="878" t="s">
        <v>1500</v>
      </c>
      <c r="L1542" s="879">
        <f>ROUND(SUM(ORÇAMENTO!L1542),2)</f>
        <v>0</v>
      </c>
      <c r="M1542" s="879">
        <f t="shared" si="394"/>
        <v>0</v>
      </c>
      <c r="N1542" s="868">
        <f t="shared" si="395"/>
        <v>0</v>
      </c>
      <c r="O1542" s="880"/>
      <c r="Q1542" s="317" t="str">
        <f t="shared" si="396"/>
        <v/>
      </c>
      <c r="R1542" s="317" t="str">
        <f t="shared" si="397"/>
        <v/>
      </c>
      <c r="S1542" s="317" t="str">
        <f t="shared" si="398"/>
        <v/>
      </c>
      <c r="V1542" s="314">
        <f>SUM(ORÇAMENTO!N1542)</f>
        <v>0</v>
      </c>
      <c r="W1542" s="315">
        <f t="shared" si="399"/>
        <v>0</v>
      </c>
    </row>
    <row r="1543" spans="1:23" ht="13.5" hidden="1" thickBot="1">
      <c r="A1543" s="63">
        <v>98307</v>
      </c>
      <c r="B1543" s="870">
        <v>98307</v>
      </c>
      <c r="C1543" s="871" t="s">
        <v>590</v>
      </c>
      <c r="D1543" s="881" t="s">
        <v>1452</v>
      </c>
      <c r="E1543" s="882"/>
      <c r="F1543" s="883"/>
      <c r="G1543" s="887"/>
      <c r="H1543" s="876">
        <v>54.02</v>
      </c>
      <c r="I1543" s="876">
        <f t="shared" si="400"/>
        <v>54.02</v>
      </c>
      <c r="J1543" s="877">
        <f t="shared" si="393"/>
        <v>66.02</v>
      </c>
      <c r="K1543" s="878" t="s">
        <v>1500</v>
      </c>
      <c r="L1543" s="879">
        <f>ROUND(SUM(ORÇAMENTO!L1543),2)</f>
        <v>0</v>
      </c>
      <c r="M1543" s="879">
        <f t="shared" si="394"/>
        <v>0</v>
      </c>
      <c r="N1543" s="868">
        <f t="shared" si="395"/>
        <v>0</v>
      </c>
      <c r="O1543" s="880"/>
      <c r="Q1543" s="317" t="str">
        <f t="shared" si="396"/>
        <v/>
      </c>
      <c r="R1543" s="317" t="str">
        <f t="shared" si="397"/>
        <v/>
      </c>
      <c r="S1543" s="317" t="str">
        <f t="shared" si="398"/>
        <v/>
      </c>
      <c r="V1543" s="314">
        <f>SUM(ORÇAMENTO!N1543)</f>
        <v>0</v>
      </c>
      <c r="W1543" s="315">
        <f t="shared" si="399"/>
        <v>0</v>
      </c>
    </row>
    <row r="1544" spans="1:23" ht="13.5" hidden="1" thickBot="1">
      <c r="A1544" s="63">
        <v>98308</v>
      </c>
      <c r="B1544" s="870">
        <v>98308</v>
      </c>
      <c r="C1544" s="871" t="s">
        <v>590</v>
      </c>
      <c r="D1544" s="881" t="s">
        <v>1453</v>
      </c>
      <c r="E1544" s="882"/>
      <c r="F1544" s="883"/>
      <c r="G1544" s="887"/>
      <c r="H1544" s="876">
        <v>35.97</v>
      </c>
      <c r="I1544" s="876">
        <f t="shared" si="400"/>
        <v>35.97</v>
      </c>
      <c r="J1544" s="877">
        <f t="shared" si="393"/>
        <v>43.96</v>
      </c>
      <c r="K1544" s="878" t="s">
        <v>1500</v>
      </c>
      <c r="L1544" s="879">
        <f>ROUND(SUM(ORÇAMENTO!L1544),2)</f>
        <v>0</v>
      </c>
      <c r="M1544" s="879">
        <f t="shared" si="394"/>
        <v>0</v>
      </c>
      <c r="N1544" s="868">
        <f t="shared" si="395"/>
        <v>0</v>
      </c>
      <c r="O1544" s="880"/>
      <c r="Q1544" s="317" t="str">
        <f t="shared" si="396"/>
        <v/>
      </c>
      <c r="R1544" s="317" t="str">
        <f t="shared" si="397"/>
        <v/>
      </c>
      <c r="S1544" s="317" t="str">
        <f t="shared" si="398"/>
        <v/>
      </c>
      <c r="V1544" s="314">
        <f>SUM(ORÇAMENTO!N1544)</f>
        <v>0</v>
      </c>
      <c r="W1544" s="315">
        <f t="shared" si="399"/>
        <v>0</v>
      </c>
    </row>
    <row r="1545" spans="1:23" ht="23.25" hidden="1" thickBot="1">
      <c r="A1545" s="63">
        <v>98593</v>
      </c>
      <c r="B1545" s="870">
        <v>98593</v>
      </c>
      <c r="C1545" s="871" t="s">
        <v>590</v>
      </c>
      <c r="D1545" s="881" t="s">
        <v>1454</v>
      </c>
      <c r="E1545" s="882"/>
      <c r="F1545" s="883"/>
      <c r="G1545" s="887"/>
      <c r="H1545" s="876">
        <v>3266.78</v>
      </c>
      <c r="I1545" s="876">
        <f t="shared" si="400"/>
        <v>3266.78</v>
      </c>
      <c r="J1545" s="877">
        <f t="shared" ref="J1545:J1592" si="401">IF(ISBLANK(H1545),0,ROUND(I1545*(1+$E$10),2))</f>
        <v>3992.66</v>
      </c>
      <c r="K1545" s="878" t="s">
        <v>1500</v>
      </c>
      <c r="L1545" s="879">
        <f>ROUND(SUM(ORÇAMENTO!L1545),2)</f>
        <v>0</v>
      </c>
      <c r="M1545" s="879">
        <f t="shared" si="394"/>
        <v>0</v>
      </c>
      <c r="N1545" s="868">
        <f t="shared" si="395"/>
        <v>0</v>
      </c>
      <c r="O1545" s="880"/>
      <c r="Q1545" s="317" t="str">
        <f t="shared" si="396"/>
        <v/>
      </c>
      <c r="R1545" s="317" t="str">
        <f t="shared" si="397"/>
        <v/>
      </c>
      <c r="S1545" s="317" t="str">
        <f t="shared" si="398"/>
        <v/>
      </c>
      <c r="V1545" s="314">
        <f>SUM(ORÇAMENTO!N1545)</f>
        <v>0</v>
      </c>
      <c r="W1545" s="315">
        <f t="shared" si="399"/>
        <v>0</v>
      </c>
    </row>
    <row r="1546" spans="1:23" ht="23.25" hidden="1" thickBot="1">
      <c r="A1546" s="63">
        <v>98400</v>
      </c>
      <c r="B1546" s="870">
        <v>98400</v>
      </c>
      <c r="C1546" s="871" t="s">
        <v>590</v>
      </c>
      <c r="D1546" s="881" t="s">
        <v>1455</v>
      </c>
      <c r="E1546" s="882"/>
      <c r="F1546" s="883"/>
      <c r="G1546" s="887"/>
      <c r="H1546" s="876">
        <v>16.71</v>
      </c>
      <c r="I1546" s="876">
        <f t="shared" si="400"/>
        <v>16.71</v>
      </c>
      <c r="J1546" s="877">
        <f t="shared" si="401"/>
        <v>20.420000000000002</v>
      </c>
      <c r="K1546" s="878" t="s">
        <v>62</v>
      </c>
      <c r="L1546" s="879">
        <f>ROUND(SUM(ORÇAMENTO!L1546),2)</f>
        <v>0</v>
      </c>
      <c r="M1546" s="879">
        <f t="shared" si="394"/>
        <v>0</v>
      </c>
      <c r="N1546" s="868">
        <f t="shared" si="395"/>
        <v>0</v>
      </c>
      <c r="O1546" s="880"/>
      <c r="Q1546" s="317" t="str">
        <f t="shared" si="396"/>
        <v/>
      </c>
      <c r="R1546" s="317" t="str">
        <f t="shared" si="397"/>
        <v/>
      </c>
      <c r="S1546" s="317" t="str">
        <f t="shared" si="398"/>
        <v/>
      </c>
      <c r="V1546" s="314">
        <f>SUM(ORÇAMENTO!N1546)</f>
        <v>0</v>
      </c>
      <c r="W1546" s="315">
        <f t="shared" si="399"/>
        <v>0</v>
      </c>
    </row>
    <row r="1547" spans="1:23" ht="23.25" hidden="1" thickBot="1">
      <c r="A1547" s="63">
        <v>98401</v>
      </c>
      <c r="B1547" s="870">
        <v>98401</v>
      </c>
      <c r="C1547" s="871" t="s">
        <v>590</v>
      </c>
      <c r="D1547" s="881" t="s">
        <v>1456</v>
      </c>
      <c r="E1547" s="882"/>
      <c r="F1547" s="883"/>
      <c r="G1547" s="887"/>
      <c r="H1547" s="876">
        <v>25.99</v>
      </c>
      <c r="I1547" s="876">
        <f t="shared" si="400"/>
        <v>25.99</v>
      </c>
      <c r="J1547" s="877">
        <f t="shared" si="401"/>
        <v>31.76</v>
      </c>
      <c r="K1547" s="878" t="s">
        <v>62</v>
      </c>
      <c r="L1547" s="879">
        <f>ROUND(SUM(ORÇAMENTO!L1547),2)</f>
        <v>0</v>
      </c>
      <c r="M1547" s="879">
        <f t="shared" si="394"/>
        <v>0</v>
      </c>
      <c r="N1547" s="868">
        <f t="shared" si="395"/>
        <v>0</v>
      </c>
      <c r="O1547" s="880"/>
      <c r="Q1547" s="317" t="str">
        <f t="shared" si="396"/>
        <v/>
      </c>
      <c r="R1547" s="317" t="str">
        <f t="shared" si="397"/>
        <v/>
      </c>
      <c r="S1547" s="317" t="str">
        <f t="shared" si="398"/>
        <v/>
      </c>
      <c r="V1547" s="314">
        <f>SUM(ORÇAMENTO!N1547)</f>
        <v>0</v>
      </c>
      <c r="W1547" s="315">
        <f t="shared" si="399"/>
        <v>0</v>
      </c>
    </row>
    <row r="1548" spans="1:23" ht="23.25" hidden="1" thickBot="1">
      <c r="A1548" s="63">
        <v>98402</v>
      </c>
      <c r="B1548" s="870">
        <v>98402</v>
      </c>
      <c r="C1548" s="871" t="s">
        <v>590</v>
      </c>
      <c r="D1548" s="881" t="s">
        <v>1457</v>
      </c>
      <c r="E1548" s="882"/>
      <c r="F1548" s="883"/>
      <c r="G1548" s="887"/>
      <c r="H1548" s="876">
        <v>30.27</v>
      </c>
      <c r="I1548" s="876">
        <f t="shared" si="400"/>
        <v>30.27</v>
      </c>
      <c r="J1548" s="877">
        <f t="shared" si="401"/>
        <v>37</v>
      </c>
      <c r="K1548" s="878" t="s">
        <v>62</v>
      </c>
      <c r="L1548" s="879">
        <f>ROUND(SUM(ORÇAMENTO!L1548),2)</f>
        <v>0</v>
      </c>
      <c r="M1548" s="879">
        <f t="shared" si="394"/>
        <v>0</v>
      </c>
      <c r="N1548" s="868">
        <f t="shared" si="395"/>
        <v>0</v>
      </c>
      <c r="O1548" s="880"/>
      <c r="Q1548" s="317" t="str">
        <f t="shared" si="396"/>
        <v/>
      </c>
      <c r="R1548" s="317" t="str">
        <f t="shared" si="397"/>
        <v/>
      </c>
      <c r="S1548" s="317" t="str">
        <f t="shared" si="398"/>
        <v/>
      </c>
      <c r="V1548" s="314">
        <f>SUM(ORÇAMENTO!N1548)</f>
        <v>0</v>
      </c>
      <c r="W1548" s="315">
        <f t="shared" si="399"/>
        <v>0</v>
      </c>
    </row>
    <row r="1549" spans="1:23" ht="23.25" hidden="1" thickBot="1">
      <c r="A1549" s="63">
        <v>98267</v>
      </c>
      <c r="B1549" s="870">
        <v>98267</v>
      </c>
      <c r="C1549" s="871" t="s">
        <v>590</v>
      </c>
      <c r="D1549" s="881" t="s">
        <v>1458</v>
      </c>
      <c r="E1549" s="882"/>
      <c r="F1549" s="883"/>
      <c r="G1549" s="887"/>
      <c r="H1549" s="876">
        <v>13.69</v>
      </c>
      <c r="I1549" s="876">
        <f t="shared" si="400"/>
        <v>13.69</v>
      </c>
      <c r="J1549" s="877">
        <f t="shared" si="401"/>
        <v>16.73</v>
      </c>
      <c r="K1549" s="878" t="s">
        <v>62</v>
      </c>
      <c r="L1549" s="879">
        <f>ROUND(SUM(ORÇAMENTO!L1549),2)</f>
        <v>0</v>
      </c>
      <c r="M1549" s="879">
        <f t="shared" si="394"/>
        <v>0</v>
      </c>
      <c r="N1549" s="868">
        <f t="shared" si="395"/>
        <v>0</v>
      </c>
      <c r="O1549" s="880"/>
      <c r="Q1549" s="317" t="str">
        <f t="shared" si="396"/>
        <v/>
      </c>
      <c r="R1549" s="317" t="str">
        <f t="shared" si="397"/>
        <v/>
      </c>
      <c r="S1549" s="317" t="str">
        <f t="shared" si="398"/>
        <v/>
      </c>
      <c r="V1549" s="314">
        <f>SUM(ORÇAMENTO!N1549)</f>
        <v>0</v>
      </c>
      <c r="W1549" s="315">
        <f t="shared" si="399"/>
        <v>0</v>
      </c>
    </row>
    <row r="1550" spans="1:23" ht="23.25" hidden="1" thickBot="1">
      <c r="A1550" s="63">
        <v>98268</v>
      </c>
      <c r="B1550" s="870">
        <v>98268</v>
      </c>
      <c r="C1550" s="871" t="s">
        <v>590</v>
      </c>
      <c r="D1550" s="881" t="s">
        <v>1459</v>
      </c>
      <c r="E1550" s="882"/>
      <c r="F1550" s="883"/>
      <c r="G1550" s="887"/>
      <c r="H1550" s="876">
        <v>21.8</v>
      </c>
      <c r="I1550" s="876">
        <f t="shared" si="400"/>
        <v>21.8</v>
      </c>
      <c r="J1550" s="877">
        <f t="shared" si="401"/>
        <v>26.64</v>
      </c>
      <c r="K1550" s="878" t="s">
        <v>62</v>
      </c>
      <c r="L1550" s="879">
        <f>ROUND(SUM(ORÇAMENTO!L1550),2)</f>
        <v>0</v>
      </c>
      <c r="M1550" s="879">
        <f t="shared" si="394"/>
        <v>0</v>
      </c>
      <c r="N1550" s="868">
        <f t="shared" si="395"/>
        <v>0</v>
      </c>
      <c r="O1550" s="880"/>
      <c r="Q1550" s="317" t="str">
        <f t="shared" si="396"/>
        <v/>
      </c>
      <c r="R1550" s="317" t="str">
        <f t="shared" si="397"/>
        <v/>
      </c>
      <c r="S1550" s="317" t="str">
        <f t="shared" si="398"/>
        <v/>
      </c>
      <c r="V1550" s="314">
        <f>SUM(ORÇAMENTO!N1550)</f>
        <v>0</v>
      </c>
      <c r="W1550" s="315">
        <f t="shared" si="399"/>
        <v>0</v>
      </c>
    </row>
    <row r="1551" spans="1:23" ht="23.25" hidden="1" thickBot="1">
      <c r="A1551" s="63">
        <v>98269</v>
      </c>
      <c r="B1551" s="870">
        <v>98269</v>
      </c>
      <c r="C1551" s="871" t="s">
        <v>590</v>
      </c>
      <c r="D1551" s="881" t="s">
        <v>1460</v>
      </c>
      <c r="E1551" s="882"/>
      <c r="F1551" s="883"/>
      <c r="G1551" s="887"/>
      <c r="H1551" s="876">
        <v>29.62</v>
      </c>
      <c r="I1551" s="876">
        <f t="shared" si="400"/>
        <v>29.62</v>
      </c>
      <c r="J1551" s="877">
        <f t="shared" si="401"/>
        <v>36.200000000000003</v>
      </c>
      <c r="K1551" s="878" t="s">
        <v>62</v>
      </c>
      <c r="L1551" s="879">
        <f>ROUND(SUM(ORÇAMENTO!L1551),2)</f>
        <v>0</v>
      </c>
      <c r="M1551" s="879">
        <f t="shared" si="394"/>
        <v>0</v>
      </c>
      <c r="N1551" s="868">
        <f t="shared" si="395"/>
        <v>0</v>
      </c>
      <c r="O1551" s="880"/>
      <c r="Q1551" s="317" t="str">
        <f t="shared" si="396"/>
        <v/>
      </c>
      <c r="R1551" s="317" t="str">
        <f t="shared" si="397"/>
        <v/>
      </c>
      <c r="S1551" s="317" t="str">
        <f t="shared" si="398"/>
        <v/>
      </c>
      <c r="V1551" s="314">
        <f>SUM(ORÇAMENTO!N1551)</f>
        <v>0</v>
      </c>
      <c r="W1551" s="315">
        <f t="shared" si="399"/>
        <v>0</v>
      </c>
    </row>
    <row r="1552" spans="1:23" ht="23.25" hidden="1" thickBot="1">
      <c r="A1552" s="63">
        <v>98270</v>
      </c>
      <c r="B1552" s="870">
        <v>98270</v>
      </c>
      <c r="C1552" s="871" t="s">
        <v>590</v>
      </c>
      <c r="D1552" s="881" t="s">
        <v>1461</v>
      </c>
      <c r="E1552" s="882"/>
      <c r="F1552" s="883"/>
      <c r="G1552" s="887"/>
      <c r="H1552" s="876">
        <v>44.42</v>
      </c>
      <c r="I1552" s="876">
        <f t="shared" si="400"/>
        <v>44.42</v>
      </c>
      <c r="J1552" s="877">
        <f t="shared" si="401"/>
        <v>54.29</v>
      </c>
      <c r="K1552" s="878" t="s">
        <v>62</v>
      </c>
      <c r="L1552" s="879">
        <f>ROUND(SUM(ORÇAMENTO!L1552),2)</f>
        <v>0</v>
      </c>
      <c r="M1552" s="879">
        <f t="shared" si="394"/>
        <v>0</v>
      </c>
      <c r="N1552" s="868">
        <f t="shared" si="395"/>
        <v>0</v>
      </c>
      <c r="O1552" s="880"/>
      <c r="Q1552" s="317" t="str">
        <f t="shared" si="396"/>
        <v/>
      </c>
      <c r="R1552" s="317" t="str">
        <f t="shared" si="397"/>
        <v/>
      </c>
      <c r="S1552" s="317" t="str">
        <f t="shared" si="398"/>
        <v/>
      </c>
      <c r="V1552" s="314">
        <f>SUM(ORÇAMENTO!N1552)</f>
        <v>0</v>
      </c>
      <c r="W1552" s="315">
        <f t="shared" si="399"/>
        <v>0</v>
      </c>
    </row>
    <row r="1553" spans="1:23" ht="23.25" hidden="1" thickBot="1">
      <c r="A1553" s="63">
        <v>98271</v>
      </c>
      <c r="B1553" s="870">
        <v>98271</v>
      </c>
      <c r="C1553" s="871" t="s">
        <v>590</v>
      </c>
      <c r="D1553" s="881" t="s">
        <v>1462</v>
      </c>
      <c r="E1553" s="882"/>
      <c r="F1553" s="883"/>
      <c r="G1553" s="887"/>
      <c r="H1553" s="876">
        <v>62.23</v>
      </c>
      <c r="I1553" s="876">
        <f t="shared" si="400"/>
        <v>62.23</v>
      </c>
      <c r="J1553" s="877">
        <f t="shared" si="401"/>
        <v>76.06</v>
      </c>
      <c r="K1553" s="878" t="s">
        <v>62</v>
      </c>
      <c r="L1553" s="879">
        <f>ROUND(SUM(ORÇAMENTO!L1553),2)</f>
        <v>0</v>
      </c>
      <c r="M1553" s="879">
        <f t="shared" si="394"/>
        <v>0</v>
      </c>
      <c r="N1553" s="868">
        <f t="shared" si="395"/>
        <v>0</v>
      </c>
      <c r="O1553" s="880"/>
      <c r="Q1553" s="317" t="str">
        <f t="shared" si="396"/>
        <v/>
      </c>
      <c r="R1553" s="317" t="str">
        <f t="shared" si="397"/>
        <v/>
      </c>
      <c r="S1553" s="317" t="str">
        <f t="shared" si="398"/>
        <v/>
      </c>
      <c r="V1553" s="314">
        <f>SUM(ORÇAMENTO!N1553)</f>
        <v>0</v>
      </c>
      <c r="W1553" s="315">
        <f t="shared" si="399"/>
        <v>0</v>
      </c>
    </row>
    <row r="1554" spans="1:23" ht="23.25" hidden="1" thickBot="1">
      <c r="A1554" s="63">
        <v>98272</v>
      </c>
      <c r="B1554" s="870">
        <v>98272</v>
      </c>
      <c r="C1554" s="871" t="s">
        <v>590</v>
      </c>
      <c r="D1554" s="881" t="s">
        <v>1463</v>
      </c>
      <c r="E1554" s="882"/>
      <c r="F1554" s="883"/>
      <c r="G1554" s="887"/>
      <c r="H1554" s="876">
        <v>142.05000000000001</v>
      </c>
      <c r="I1554" s="876">
        <f t="shared" si="400"/>
        <v>142.05000000000001</v>
      </c>
      <c r="J1554" s="877">
        <f t="shared" si="401"/>
        <v>173.61</v>
      </c>
      <c r="K1554" s="878" t="s">
        <v>62</v>
      </c>
      <c r="L1554" s="879">
        <f>ROUND(SUM(ORÇAMENTO!L1554),2)</f>
        <v>0</v>
      </c>
      <c r="M1554" s="879">
        <f t="shared" ref="M1554:M1617" si="402">IF(L1554=0,0,ROUND(J1554,2))</f>
        <v>0</v>
      </c>
      <c r="N1554" s="868">
        <f t="shared" ref="N1554:N1617" si="403">IF(ISBLANK(L1554),0,ROUND(L1554*M1554,2))</f>
        <v>0</v>
      </c>
      <c r="O1554" s="880"/>
      <c r="Q1554" s="317" t="str">
        <f t="shared" ref="Q1554:Q1617" si="404">IF(P1554="X","x",IF(P1554="xx","x",IF(P1554="xy","x",IF(P1554="y","x",IF(OR(N1554&gt;0,N1554&gt;0),"x","")))))</f>
        <v/>
      </c>
      <c r="R1554" s="317" t="str">
        <f t="shared" ref="R1554:R1617" si="405">IF(P1554="X","x",IF(P1554="y","x",IF(P1554="xx","x",IF(N1554&gt;0,"x",""))))</f>
        <v/>
      </c>
      <c r="S1554" s="317" t="str">
        <f t="shared" ref="S1554:S1617" si="406">IF(P1554="X","x",IF(N1554&gt;0,"x",""))</f>
        <v/>
      </c>
      <c r="V1554" s="314">
        <f>SUM(ORÇAMENTO!N1554)</f>
        <v>0</v>
      </c>
      <c r="W1554" s="315">
        <f t="shared" si="399"/>
        <v>0</v>
      </c>
    </row>
    <row r="1555" spans="1:23" ht="23.25" hidden="1" thickBot="1">
      <c r="A1555" s="63">
        <v>98276</v>
      </c>
      <c r="B1555" s="870">
        <v>98276</v>
      </c>
      <c r="C1555" s="871" t="s">
        <v>590</v>
      </c>
      <c r="D1555" s="881" t="s">
        <v>1464</v>
      </c>
      <c r="E1555" s="882"/>
      <c r="F1555" s="883"/>
      <c r="G1555" s="887"/>
      <c r="H1555" s="876">
        <v>10.08</v>
      </c>
      <c r="I1555" s="876">
        <f t="shared" si="400"/>
        <v>10.08</v>
      </c>
      <c r="J1555" s="877">
        <f t="shared" si="401"/>
        <v>12.32</v>
      </c>
      <c r="K1555" s="878" t="s">
        <v>62</v>
      </c>
      <c r="L1555" s="879">
        <f>ROUND(SUM(ORÇAMENTO!L1555),2)</f>
        <v>0</v>
      </c>
      <c r="M1555" s="879">
        <f t="shared" si="402"/>
        <v>0</v>
      </c>
      <c r="N1555" s="868">
        <f t="shared" si="403"/>
        <v>0</v>
      </c>
      <c r="O1555" s="880"/>
      <c r="Q1555" s="317" t="str">
        <f t="shared" si="404"/>
        <v/>
      </c>
      <c r="R1555" s="317" t="str">
        <f t="shared" si="405"/>
        <v/>
      </c>
      <c r="S1555" s="317" t="str">
        <f t="shared" si="406"/>
        <v/>
      </c>
      <c r="V1555" s="314">
        <f>SUM(ORÇAMENTO!N1555)</f>
        <v>0</v>
      </c>
      <c r="W1555" s="315">
        <f t="shared" si="399"/>
        <v>0</v>
      </c>
    </row>
    <row r="1556" spans="1:23" ht="23.25" hidden="1" thickBot="1">
      <c r="A1556" s="63">
        <v>98277</v>
      </c>
      <c r="B1556" s="870">
        <v>98277</v>
      </c>
      <c r="C1556" s="871" t="s">
        <v>590</v>
      </c>
      <c r="D1556" s="881" t="s">
        <v>1465</v>
      </c>
      <c r="E1556" s="882"/>
      <c r="F1556" s="883"/>
      <c r="G1556" s="887"/>
      <c r="H1556" s="876">
        <v>18.18</v>
      </c>
      <c r="I1556" s="876">
        <f t="shared" si="400"/>
        <v>18.18</v>
      </c>
      <c r="J1556" s="877">
        <f t="shared" si="401"/>
        <v>22.22</v>
      </c>
      <c r="K1556" s="878" t="s">
        <v>62</v>
      </c>
      <c r="L1556" s="879">
        <f>ROUND(SUM(ORÇAMENTO!L1556),2)</f>
        <v>0</v>
      </c>
      <c r="M1556" s="879">
        <f t="shared" si="402"/>
        <v>0</v>
      </c>
      <c r="N1556" s="868">
        <f t="shared" si="403"/>
        <v>0</v>
      </c>
      <c r="O1556" s="880"/>
      <c r="Q1556" s="317" t="str">
        <f t="shared" si="404"/>
        <v/>
      </c>
      <c r="R1556" s="317" t="str">
        <f t="shared" si="405"/>
        <v/>
      </c>
      <c r="S1556" s="317" t="str">
        <f t="shared" si="406"/>
        <v/>
      </c>
      <c r="V1556" s="314">
        <f>SUM(ORÇAMENTO!N1556)</f>
        <v>0</v>
      </c>
      <c r="W1556" s="315">
        <f t="shared" si="399"/>
        <v>0</v>
      </c>
    </row>
    <row r="1557" spans="1:23" ht="23.25" hidden="1" thickBot="1">
      <c r="A1557" s="63">
        <v>98278</v>
      </c>
      <c r="B1557" s="870">
        <v>98278</v>
      </c>
      <c r="C1557" s="871" t="s">
        <v>590</v>
      </c>
      <c r="D1557" s="881" t="s">
        <v>1466</v>
      </c>
      <c r="E1557" s="882"/>
      <c r="F1557" s="883"/>
      <c r="G1557" s="887"/>
      <c r="H1557" s="876">
        <v>26.01</v>
      </c>
      <c r="I1557" s="876">
        <f t="shared" si="400"/>
        <v>26.01</v>
      </c>
      <c r="J1557" s="877">
        <f t="shared" si="401"/>
        <v>31.79</v>
      </c>
      <c r="K1557" s="878" t="s">
        <v>62</v>
      </c>
      <c r="L1557" s="879">
        <f>ROUND(SUM(ORÇAMENTO!L1557),2)</f>
        <v>0</v>
      </c>
      <c r="M1557" s="879">
        <f t="shared" si="402"/>
        <v>0</v>
      </c>
      <c r="N1557" s="868">
        <f t="shared" si="403"/>
        <v>0</v>
      </c>
      <c r="O1557" s="880"/>
      <c r="Q1557" s="317" t="str">
        <f t="shared" si="404"/>
        <v/>
      </c>
      <c r="R1557" s="317" t="str">
        <f t="shared" si="405"/>
        <v/>
      </c>
      <c r="S1557" s="317" t="str">
        <f t="shared" si="406"/>
        <v/>
      </c>
      <c r="V1557" s="314">
        <f>SUM(ORÇAMENTO!N1557)</f>
        <v>0</v>
      </c>
      <c r="W1557" s="315">
        <f t="shared" ref="W1557:W1620" si="407">N1557-V1557</f>
        <v>0</v>
      </c>
    </row>
    <row r="1558" spans="1:23" ht="23.25" hidden="1" thickBot="1">
      <c r="A1558" s="63">
        <v>98279</v>
      </c>
      <c r="B1558" s="870">
        <v>98279</v>
      </c>
      <c r="C1558" s="871" t="s">
        <v>590</v>
      </c>
      <c r="D1558" s="881" t="s">
        <v>1467</v>
      </c>
      <c r="E1558" s="882"/>
      <c r="F1558" s="883"/>
      <c r="G1558" s="887"/>
      <c r="H1558" s="876">
        <v>40.799999999999997</v>
      </c>
      <c r="I1558" s="876">
        <f t="shared" si="400"/>
        <v>40.799999999999997</v>
      </c>
      <c r="J1558" s="877">
        <f t="shared" si="401"/>
        <v>49.87</v>
      </c>
      <c r="K1558" s="878" t="s">
        <v>62</v>
      </c>
      <c r="L1558" s="879">
        <f>ROUND(SUM(ORÇAMENTO!L1558),2)</f>
        <v>0</v>
      </c>
      <c r="M1558" s="879">
        <f t="shared" si="402"/>
        <v>0</v>
      </c>
      <c r="N1558" s="868">
        <f t="shared" si="403"/>
        <v>0</v>
      </c>
      <c r="O1558" s="880"/>
      <c r="Q1558" s="317" t="str">
        <f t="shared" si="404"/>
        <v/>
      </c>
      <c r="R1558" s="317" t="str">
        <f t="shared" si="405"/>
        <v/>
      </c>
      <c r="S1558" s="317" t="str">
        <f t="shared" si="406"/>
        <v/>
      </c>
      <c r="V1558" s="314">
        <f>SUM(ORÇAMENTO!N1558)</f>
        <v>0</v>
      </c>
      <c r="W1558" s="315">
        <f t="shared" si="407"/>
        <v>0</v>
      </c>
    </row>
    <row r="1559" spans="1:23" ht="23.25" hidden="1" thickBot="1">
      <c r="A1559" s="63">
        <v>98286</v>
      </c>
      <c r="B1559" s="870">
        <v>98286</v>
      </c>
      <c r="C1559" s="871" t="s">
        <v>590</v>
      </c>
      <c r="D1559" s="881" t="s">
        <v>1468</v>
      </c>
      <c r="E1559" s="882"/>
      <c r="F1559" s="883"/>
      <c r="G1559" s="887"/>
      <c r="H1559" s="876">
        <v>18.350000000000001</v>
      </c>
      <c r="I1559" s="876">
        <f t="shared" si="400"/>
        <v>18.350000000000001</v>
      </c>
      <c r="J1559" s="877">
        <f t="shared" si="401"/>
        <v>22.43</v>
      </c>
      <c r="K1559" s="878" t="s">
        <v>62</v>
      </c>
      <c r="L1559" s="879">
        <f>ROUND(SUM(ORÇAMENTO!L1559),2)</f>
        <v>0</v>
      </c>
      <c r="M1559" s="879">
        <f t="shared" si="402"/>
        <v>0</v>
      </c>
      <c r="N1559" s="868">
        <f t="shared" si="403"/>
        <v>0</v>
      </c>
      <c r="O1559" s="880"/>
      <c r="Q1559" s="317" t="str">
        <f t="shared" si="404"/>
        <v/>
      </c>
      <c r="R1559" s="317" t="str">
        <f t="shared" si="405"/>
        <v/>
      </c>
      <c r="S1559" s="317" t="str">
        <f t="shared" si="406"/>
        <v/>
      </c>
      <c r="V1559" s="314">
        <f>SUM(ORÇAMENTO!N1559)</f>
        <v>0</v>
      </c>
      <c r="W1559" s="315">
        <f t="shared" si="407"/>
        <v>0</v>
      </c>
    </row>
    <row r="1560" spans="1:23" ht="23.25" hidden="1" thickBot="1">
      <c r="A1560" s="63">
        <v>98293</v>
      </c>
      <c r="B1560" s="870">
        <v>98293</v>
      </c>
      <c r="C1560" s="871" t="s">
        <v>590</v>
      </c>
      <c r="D1560" s="881" t="s">
        <v>1469</v>
      </c>
      <c r="E1560" s="882"/>
      <c r="F1560" s="883"/>
      <c r="G1560" s="887"/>
      <c r="H1560" s="876">
        <v>10.9</v>
      </c>
      <c r="I1560" s="876">
        <f t="shared" si="400"/>
        <v>10.9</v>
      </c>
      <c r="J1560" s="877">
        <f t="shared" si="401"/>
        <v>13.32</v>
      </c>
      <c r="K1560" s="878" t="s">
        <v>62</v>
      </c>
      <c r="L1560" s="879">
        <f>ROUND(SUM(ORÇAMENTO!L1560),2)</f>
        <v>0</v>
      </c>
      <c r="M1560" s="879">
        <f t="shared" si="402"/>
        <v>0</v>
      </c>
      <c r="N1560" s="868">
        <f t="shared" si="403"/>
        <v>0</v>
      </c>
      <c r="O1560" s="880"/>
      <c r="Q1560" s="317" t="str">
        <f t="shared" si="404"/>
        <v/>
      </c>
      <c r="R1560" s="317" t="str">
        <f t="shared" si="405"/>
        <v/>
      </c>
      <c r="S1560" s="317" t="str">
        <f t="shared" si="406"/>
        <v/>
      </c>
      <c r="V1560" s="314">
        <f>SUM(ORÇAMENTO!N1560)</f>
        <v>0</v>
      </c>
      <c r="W1560" s="315">
        <f t="shared" si="407"/>
        <v>0</v>
      </c>
    </row>
    <row r="1561" spans="1:23" ht="23.25" hidden="1" thickBot="1">
      <c r="A1561" s="63">
        <v>98261</v>
      </c>
      <c r="B1561" s="870">
        <v>98261</v>
      </c>
      <c r="C1561" s="871" t="s">
        <v>590</v>
      </c>
      <c r="D1561" s="881" t="s">
        <v>1470</v>
      </c>
      <c r="E1561" s="882"/>
      <c r="F1561" s="883"/>
      <c r="G1561" s="887"/>
      <c r="H1561" s="876">
        <v>4.59</v>
      </c>
      <c r="I1561" s="876">
        <f t="shared" si="400"/>
        <v>4.59</v>
      </c>
      <c r="J1561" s="877">
        <f t="shared" si="401"/>
        <v>5.61</v>
      </c>
      <c r="K1561" s="878" t="s">
        <v>62</v>
      </c>
      <c r="L1561" s="879">
        <f>ROUND(SUM(ORÇAMENTO!L1561),2)</f>
        <v>0</v>
      </c>
      <c r="M1561" s="879">
        <f t="shared" si="402"/>
        <v>0</v>
      </c>
      <c r="N1561" s="868">
        <f t="shared" si="403"/>
        <v>0</v>
      </c>
      <c r="O1561" s="880"/>
      <c r="Q1561" s="317" t="str">
        <f t="shared" si="404"/>
        <v/>
      </c>
      <c r="R1561" s="317" t="str">
        <f t="shared" si="405"/>
        <v/>
      </c>
      <c r="S1561" s="317" t="str">
        <f t="shared" si="406"/>
        <v/>
      </c>
      <c r="V1561" s="314">
        <f>SUM(ORÇAMENTO!N1561)</f>
        <v>0</v>
      </c>
      <c r="W1561" s="315">
        <f t="shared" si="407"/>
        <v>0</v>
      </c>
    </row>
    <row r="1562" spans="1:23" ht="23.25" hidden="1" thickBot="1">
      <c r="A1562" s="63">
        <v>98262</v>
      </c>
      <c r="B1562" s="870">
        <v>98262</v>
      </c>
      <c r="C1562" s="871" t="s">
        <v>590</v>
      </c>
      <c r="D1562" s="881" t="s">
        <v>1471</v>
      </c>
      <c r="E1562" s="882"/>
      <c r="F1562" s="883"/>
      <c r="G1562" s="887"/>
      <c r="H1562" s="876">
        <v>5.63</v>
      </c>
      <c r="I1562" s="876">
        <f t="shared" si="400"/>
        <v>5.63</v>
      </c>
      <c r="J1562" s="877">
        <f t="shared" si="401"/>
        <v>6.88</v>
      </c>
      <c r="K1562" s="878" t="s">
        <v>62</v>
      </c>
      <c r="L1562" s="879">
        <f>ROUND(SUM(ORÇAMENTO!L1562),2)</f>
        <v>0</v>
      </c>
      <c r="M1562" s="879">
        <f t="shared" si="402"/>
        <v>0</v>
      </c>
      <c r="N1562" s="868">
        <f t="shared" si="403"/>
        <v>0</v>
      </c>
      <c r="O1562" s="880"/>
      <c r="Q1562" s="317" t="str">
        <f t="shared" si="404"/>
        <v/>
      </c>
      <c r="R1562" s="317" t="str">
        <f t="shared" si="405"/>
        <v/>
      </c>
      <c r="S1562" s="317" t="str">
        <f t="shared" si="406"/>
        <v/>
      </c>
      <c r="V1562" s="314">
        <f>SUM(ORÇAMENTO!N1562)</f>
        <v>0</v>
      </c>
      <c r="W1562" s="315">
        <f t="shared" si="407"/>
        <v>0</v>
      </c>
    </row>
    <row r="1563" spans="1:23" ht="23.25" hidden="1" thickBot="1">
      <c r="A1563" s="63">
        <v>98263</v>
      </c>
      <c r="B1563" s="870">
        <v>98263</v>
      </c>
      <c r="C1563" s="871" t="s">
        <v>590</v>
      </c>
      <c r="D1563" s="881" t="s">
        <v>1472</v>
      </c>
      <c r="E1563" s="882"/>
      <c r="F1563" s="883"/>
      <c r="G1563" s="887"/>
      <c r="H1563" s="876">
        <v>5.89</v>
      </c>
      <c r="I1563" s="876">
        <f t="shared" si="400"/>
        <v>5.89</v>
      </c>
      <c r="J1563" s="877">
        <f t="shared" si="401"/>
        <v>7.2</v>
      </c>
      <c r="K1563" s="878" t="s">
        <v>62</v>
      </c>
      <c r="L1563" s="879">
        <f>ROUND(SUM(ORÇAMENTO!L1563),2)</f>
        <v>0</v>
      </c>
      <c r="M1563" s="879">
        <f t="shared" si="402"/>
        <v>0</v>
      </c>
      <c r="N1563" s="868">
        <f t="shared" si="403"/>
        <v>0</v>
      </c>
      <c r="O1563" s="880"/>
      <c r="Q1563" s="317" t="str">
        <f t="shared" si="404"/>
        <v/>
      </c>
      <c r="R1563" s="317" t="str">
        <f t="shared" si="405"/>
        <v/>
      </c>
      <c r="S1563" s="317" t="str">
        <f t="shared" si="406"/>
        <v/>
      </c>
      <c r="V1563" s="314">
        <f>SUM(ORÇAMENTO!N1563)</f>
        <v>0</v>
      </c>
      <c r="W1563" s="315">
        <f t="shared" si="407"/>
        <v>0</v>
      </c>
    </row>
    <row r="1564" spans="1:23" ht="23.25" hidden="1" thickBot="1">
      <c r="A1564" s="63">
        <v>98264</v>
      </c>
      <c r="B1564" s="870">
        <v>98264</v>
      </c>
      <c r="C1564" s="871" t="s">
        <v>590</v>
      </c>
      <c r="D1564" s="881" t="s">
        <v>1473</v>
      </c>
      <c r="E1564" s="882"/>
      <c r="F1564" s="883"/>
      <c r="G1564" s="887"/>
      <c r="H1564" s="876">
        <v>6.99</v>
      </c>
      <c r="I1564" s="876">
        <f t="shared" si="400"/>
        <v>6.99</v>
      </c>
      <c r="J1564" s="877">
        <f t="shared" si="401"/>
        <v>8.5399999999999991</v>
      </c>
      <c r="K1564" s="878" t="s">
        <v>62</v>
      </c>
      <c r="L1564" s="879">
        <f>ROUND(SUM(ORÇAMENTO!L1564),2)</f>
        <v>0</v>
      </c>
      <c r="M1564" s="879">
        <f t="shared" si="402"/>
        <v>0</v>
      </c>
      <c r="N1564" s="868">
        <f t="shared" si="403"/>
        <v>0</v>
      </c>
      <c r="O1564" s="880"/>
      <c r="Q1564" s="317" t="str">
        <f t="shared" si="404"/>
        <v/>
      </c>
      <c r="R1564" s="317" t="str">
        <f t="shared" si="405"/>
        <v/>
      </c>
      <c r="S1564" s="317" t="str">
        <f t="shared" si="406"/>
        <v/>
      </c>
      <c r="V1564" s="314">
        <f>SUM(ORÇAMENTO!N1564)</f>
        <v>0</v>
      </c>
      <c r="W1564" s="315">
        <f t="shared" si="407"/>
        <v>0</v>
      </c>
    </row>
    <row r="1565" spans="1:23" ht="23.25" hidden="1" thickBot="1">
      <c r="A1565" s="63">
        <v>98265</v>
      </c>
      <c r="B1565" s="870">
        <v>98265</v>
      </c>
      <c r="C1565" s="871" t="s">
        <v>590</v>
      </c>
      <c r="D1565" s="881" t="s">
        <v>1474</v>
      </c>
      <c r="E1565" s="882"/>
      <c r="F1565" s="883"/>
      <c r="G1565" s="887"/>
      <c r="H1565" s="876">
        <v>7.72</v>
      </c>
      <c r="I1565" s="876">
        <f t="shared" si="400"/>
        <v>7.72</v>
      </c>
      <c r="J1565" s="877">
        <f t="shared" si="401"/>
        <v>9.44</v>
      </c>
      <c r="K1565" s="878" t="s">
        <v>62</v>
      </c>
      <c r="L1565" s="879">
        <f>ROUND(SUM(ORÇAMENTO!L1565),2)</f>
        <v>0</v>
      </c>
      <c r="M1565" s="879">
        <f t="shared" si="402"/>
        <v>0</v>
      </c>
      <c r="N1565" s="868">
        <f t="shared" si="403"/>
        <v>0</v>
      </c>
      <c r="O1565" s="880"/>
      <c r="Q1565" s="317" t="str">
        <f t="shared" si="404"/>
        <v/>
      </c>
      <c r="R1565" s="317" t="str">
        <f t="shared" si="405"/>
        <v/>
      </c>
      <c r="S1565" s="317" t="str">
        <f t="shared" si="406"/>
        <v/>
      </c>
      <c r="V1565" s="314">
        <f>SUM(ORÇAMENTO!N1565)</f>
        <v>0</v>
      </c>
      <c r="W1565" s="315">
        <f t="shared" si="407"/>
        <v>0</v>
      </c>
    </row>
    <row r="1566" spans="1:23" ht="23.25" hidden="1" thickBot="1">
      <c r="A1566" s="63">
        <v>98266</v>
      </c>
      <c r="B1566" s="870">
        <v>98266</v>
      </c>
      <c r="C1566" s="871" t="s">
        <v>590</v>
      </c>
      <c r="D1566" s="881" t="s">
        <v>1475</v>
      </c>
      <c r="E1566" s="882"/>
      <c r="F1566" s="883"/>
      <c r="G1566" s="887"/>
      <c r="H1566" s="876">
        <v>8.73</v>
      </c>
      <c r="I1566" s="876">
        <f t="shared" si="400"/>
        <v>8.73</v>
      </c>
      <c r="J1566" s="877">
        <f t="shared" si="401"/>
        <v>10.67</v>
      </c>
      <c r="K1566" s="878" t="s">
        <v>62</v>
      </c>
      <c r="L1566" s="879">
        <f>ROUND(SUM(ORÇAMENTO!L1566),2)</f>
        <v>0</v>
      </c>
      <c r="M1566" s="879">
        <f t="shared" si="402"/>
        <v>0</v>
      </c>
      <c r="N1566" s="868">
        <f t="shared" si="403"/>
        <v>0</v>
      </c>
      <c r="O1566" s="880"/>
      <c r="Q1566" s="317" t="str">
        <f t="shared" si="404"/>
        <v/>
      </c>
      <c r="R1566" s="317" t="str">
        <f t="shared" si="405"/>
        <v/>
      </c>
      <c r="S1566" s="317" t="str">
        <f t="shared" si="406"/>
        <v/>
      </c>
      <c r="V1566" s="314">
        <f>SUM(ORÇAMENTO!N1566)</f>
        <v>0</v>
      </c>
      <c r="W1566" s="315">
        <f t="shared" si="407"/>
        <v>0</v>
      </c>
    </row>
    <row r="1567" spans="1:23" ht="23.25" hidden="1" thickBot="1">
      <c r="A1567" s="63">
        <v>98273</v>
      </c>
      <c r="B1567" s="870">
        <v>98273</v>
      </c>
      <c r="C1567" s="871" t="s">
        <v>590</v>
      </c>
      <c r="D1567" s="881" t="s">
        <v>1476</v>
      </c>
      <c r="E1567" s="882"/>
      <c r="F1567" s="883"/>
      <c r="G1567" s="887"/>
      <c r="H1567" s="876">
        <v>3.37</v>
      </c>
      <c r="I1567" s="876">
        <f t="shared" si="400"/>
        <v>3.37</v>
      </c>
      <c r="J1567" s="877">
        <f t="shared" si="401"/>
        <v>4.12</v>
      </c>
      <c r="K1567" s="878" t="s">
        <v>62</v>
      </c>
      <c r="L1567" s="879">
        <f>ROUND(SUM(ORÇAMENTO!L1567),2)</f>
        <v>0</v>
      </c>
      <c r="M1567" s="879">
        <f t="shared" si="402"/>
        <v>0</v>
      </c>
      <c r="N1567" s="868">
        <f t="shared" si="403"/>
        <v>0</v>
      </c>
      <c r="O1567" s="880"/>
      <c r="Q1567" s="317" t="str">
        <f t="shared" si="404"/>
        <v/>
      </c>
      <c r="R1567" s="317" t="str">
        <f t="shared" si="405"/>
        <v/>
      </c>
      <c r="S1567" s="317" t="str">
        <f t="shared" si="406"/>
        <v/>
      </c>
      <c r="V1567" s="314">
        <f>SUM(ORÇAMENTO!N1567)</f>
        <v>0</v>
      </c>
      <c r="W1567" s="315">
        <f t="shared" si="407"/>
        <v>0</v>
      </c>
    </row>
    <row r="1568" spans="1:23" ht="23.25" hidden="1" thickBot="1">
      <c r="A1568" s="63">
        <v>98274</v>
      </c>
      <c r="B1568" s="870">
        <v>98274</v>
      </c>
      <c r="C1568" s="871" t="s">
        <v>590</v>
      </c>
      <c r="D1568" s="881" t="s">
        <v>1477</v>
      </c>
      <c r="E1568" s="882"/>
      <c r="F1568" s="883"/>
      <c r="G1568" s="887"/>
      <c r="H1568" s="876">
        <v>4.0999999999999996</v>
      </c>
      <c r="I1568" s="876">
        <f t="shared" si="400"/>
        <v>4.0999999999999996</v>
      </c>
      <c r="J1568" s="877">
        <f t="shared" si="401"/>
        <v>5.01</v>
      </c>
      <c r="K1568" s="878" t="s">
        <v>62</v>
      </c>
      <c r="L1568" s="879">
        <f>ROUND(SUM(ORÇAMENTO!L1568),2)</f>
        <v>0</v>
      </c>
      <c r="M1568" s="879">
        <f t="shared" si="402"/>
        <v>0</v>
      </c>
      <c r="N1568" s="868">
        <f t="shared" si="403"/>
        <v>0</v>
      </c>
      <c r="O1568" s="880"/>
      <c r="Q1568" s="317" t="str">
        <f t="shared" si="404"/>
        <v/>
      </c>
      <c r="R1568" s="317" t="str">
        <f t="shared" si="405"/>
        <v/>
      </c>
      <c r="S1568" s="317" t="str">
        <f t="shared" si="406"/>
        <v/>
      </c>
      <c r="V1568" s="314">
        <f>SUM(ORÇAMENTO!N1568)</f>
        <v>0</v>
      </c>
      <c r="W1568" s="315">
        <f t="shared" si="407"/>
        <v>0</v>
      </c>
    </row>
    <row r="1569" spans="1:23" ht="23.25" hidden="1" thickBot="1">
      <c r="A1569" s="63">
        <v>98275</v>
      </c>
      <c r="B1569" s="870">
        <v>98275</v>
      </c>
      <c r="C1569" s="871" t="s">
        <v>590</v>
      </c>
      <c r="D1569" s="881" t="s">
        <v>1478</v>
      </c>
      <c r="E1569" s="882"/>
      <c r="F1569" s="883"/>
      <c r="G1569" s="887"/>
      <c r="H1569" s="876">
        <v>5.1100000000000003</v>
      </c>
      <c r="I1569" s="876">
        <f t="shared" si="400"/>
        <v>5.1100000000000003</v>
      </c>
      <c r="J1569" s="877">
        <f t="shared" si="401"/>
        <v>6.25</v>
      </c>
      <c r="K1569" s="878" t="s">
        <v>62</v>
      </c>
      <c r="L1569" s="879">
        <f>ROUND(SUM(ORÇAMENTO!L1569),2)</f>
        <v>0</v>
      </c>
      <c r="M1569" s="879">
        <f t="shared" si="402"/>
        <v>0</v>
      </c>
      <c r="N1569" s="868">
        <f t="shared" si="403"/>
        <v>0</v>
      </c>
      <c r="O1569" s="880"/>
      <c r="Q1569" s="317" t="str">
        <f t="shared" si="404"/>
        <v/>
      </c>
      <c r="R1569" s="317" t="str">
        <f t="shared" si="405"/>
        <v/>
      </c>
      <c r="S1569" s="317" t="str">
        <f t="shared" si="406"/>
        <v/>
      </c>
      <c r="V1569" s="314">
        <f>SUM(ORÇAMENTO!N1569)</f>
        <v>0</v>
      </c>
      <c r="W1569" s="315">
        <f t="shared" si="407"/>
        <v>0</v>
      </c>
    </row>
    <row r="1570" spans="1:23" ht="23.25" hidden="1" thickBot="1">
      <c r="A1570" s="63">
        <v>98280</v>
      </c>
      <c r="B1570" s="870">
        <v>98280</v>
      </c>
      <c r="C1570" s="871" t="s">
        <v>590</v>
      </c>
      <c r="D1570" s="881" t="s">
        <v>1479</v>
      </c>
      <c r="E1570" s="882"/>
      <c r="F1570" s="883"/>
      <c r="G1570" s="887"/>
      <c r="H1570" s="876">
        <v>9.25</v>
      </c>
      <c r="I1570" s="876">
        <f t="shared" si="400"/>
        <v>9.25</v>
      </c>
      <c r="J1570" s="877">
        <f t="shared" si="401"/>
        <v>11.31</v>
      </c>
      <c r="K1570" s="878" t="s">
        <v>62</v>
      </c>
      <c r="L1570" s="879">
        <f>ROUND(SUM(ORÇAMENTO!L1570),2)</f>
        <v>0</v>
      </c>
      <c r="M1570" s="879">
        <f t="shared" si="402"/>
        <v>0</v>
      </c>
      <c r="N1570" s="868">
        <f t="shared" si="403"/>
        <v>0</v>
      </c>
      <c r="O1570" s="880"/>
      <c r="Q1570" s="317" t="str">
        <f t="shared" si="404"/>
        <v/>
      </c>
      <c r="R1570" s="317" t="str">
        <f t="shared" si="405"/>
        <v/>
      </c>
      <c r="S1570" s="317" t="str">
        <f t="shared" si="406"/>
        <v/>
      </c>
      <c r="V1570" s="314">
        <f>SUM(ORÇAMENTO!N1570)</f>
        <v>0</v>
      </c>
      <c r="W1570" s="315">
        <f t="shared" si="407"/>
        <v>0</v>
      </c>
    </row>
    <row r="1571" spans="1:23" ht="23.25" hidden="1" thickBot="1">
      <c r="A1571" s="63">
        <v>98281</v>
      </c>
      <c r="B1571" s="870">
        <v>98281</v>
      </c>
      <c r="C1571" s="871" t="s">
        <v>590</v>
      </c>
      <c r="D1571" s="881" t="s">
        <v>1480</v>
      </c>
      <c r="E1571" s="882"/>
      <c r="F1571" s="883"/>
      <c r="G1571" s="887"/>
      <c r="H1571" s="876">
        <v>10.28</v>
      </c>
      <c r="I1571" s="876">
        <f t="shared" si="400"/>
        <v>10.28</v>
      </c>
      <c r="J1571" s="877">
        <f t="shared" si="401"/>
        <v>12.56</v>
      </c>
      <c r="K1571" s="878" t="s">
        <v>62</v>
      </c>
      <c r="L1571" s="879">
        <f>ROUND(SUM(ORÇAMENTO!L1571),2)</f>
        <v>0</v>
      </c>
      <c r="M1571" s="879">
        <f t="shared" si="402"/>
        <v>0</v>
      </c>
      <c r="N1571" s="868">
        <f t="shared" si="403"/>
        <v>0</v>
      </c>
      <c r="O1571" s="880"/>
      <c r="Q1571" s="317" t="str">
        <f t="shared" si="404"/>
        <v/>
      </c>
      <c r="R1571" s="317" t="str">
        <f t="shared" si="405"/>
        <v/>
      </c>
      <c r="S1571" s="317" t="str">
        <f t="shared" si="406"/>
        <v/>
      </c>
      <c r="V1571" s="314">
        <f>SUM(ORÇAMENTO!N1571)</f>
        <v>0</v>
      </c>
      <c r="W1571" s="315">
        <f t="shared" si="407"/>
        <v>0</v>
      </c>
    </row>
    <row r="1572" spans="1:23" ht="23.25" hidden="1" thickBot="1">
      <c r="A1572" s="63">
        <v>98282</v>
      </c>
      <c r="B1572" s="870">
        <v>98282</v>
      </c>
      <c r="C1572" s="871" t="s">
        <v>590</v>
      </c>
      <c r="D1572" s="881" t="s">
        <v>1481</v>
      </c>
      <c r="E1572" s="882"/>
      <c r="F1572" s="883"/>
      <c r="G1572" s="887"/>
      <c r="H1572" s="876">
        <v>10.53</v>
      </c>
      <c r="I1572" s="876">
        <f t="shared" si="400"/>
        <v>10.53</v>
      </c>
      <c r="J1572" s="877">
        <f t="shared" si="401"/>
        <v>12.87</v>
      </c>
      <c r="K1572" s="878" t="s">
        <v>62</v>
      </c>
      <c r="L1572" s="879">
        <f>ROUND(SUM(ORÇAMENTO!L1572),2)</f>
        <v>0</v>
      </c>
      <c r="M1572" s="879">
        <f t="shared" si="402"/>
        <v>0</v>
      </c>
      <c r="N1572" s="868">
        <f t="shared" si="403"/>
        <v>0</v>
      </c>
      <c r="O1572" s="880"/>
      <c r="Q1572" s="317" t="str">
        <f t="shared" si="404"/>
        <v/>
      </c>
      <c r="R1572" s="317" t="str">
        <f t="shared" si="405"/>
        <v/>
      </c>
      <c r="S1572" s="317" t="str">
        <f t="shared" si="406"/>
        <v/>
      </c>
      <c r="V1572" s="314">
        <f>SUM(ORÇAMENTO!N1572)</f>
        <v>0</v>
      </c>
      <c r="W1572" s="315">
        <f t="shared" si="407"/>
        <v>0</v>
      </c>
    </row>
    <row r="1573" spans="1:23" ht="23.25" hidden="1" thickBot="1">
      <c r="A1573" s="63">
        <v>98283</v>
      </c>
      <c r="B1573" s="870">
        <v>98283</v>
      </c>
      <c r="C1573" s="871" t="s">
        <v>590</v>
      </c>
      <c r="D1573" s="881" t="s">
        <v>1482</v>
      </c>
      <c r="E1573" s="882"/>
      <c r="F1573" s="883"/>
      <c r="G1573" s="887"/>
      <c r="H1573" s="876">
        <v>11.64</v>
      </c>
      <c r="I1573" s="876">
        <f t="shared" si="400"/>
        <v>11.64</v>
      </c>
      <c r="J1573" s="877">
        <f t="shared" si="401"/>
        <v>14.23</v>
      </c>
      <c r="K1573" s="878" t="s">
        <v>62</v>
      </c>
      <c r="L1573" s="879">
        <f>ROUND(SUM(ORÇAMENTO!L1573),2)</f>
        <v>0</v>
      </c>
      <c r="M1573" s="879">
        <f t="shared" si="402"/>
        <v>0</v>
      </c>
      <c r="N1573" s="868">
        <f t="shared" si="403"/>
        <v>0</v>
      </c>
      <c r="O1573" s="880"/>
      <c r="Q1573" s="317" t="str">
        <f t="shared" si="404"/>
        <v/>
      </c>
      <c r="R1573" s="317" t="str">
        <f t="shared" si="405"/>
        <v/>
      </c>
      <c r="S1573" s="317" t="str">
        <f t="shared" si="406"/>
        <v/>
      </c>
      <c r="V1573" s="314">
        <f>SUM(ORÇAMENTO!N1573)</f>
        <v>0</v>
      </c>
      <c r="W1573" s="315">
        <f t="shared" si="407"/>
        <v>0</v>
      </c>
    </row>
    <row r="1574" spans="1:23" ht="23.25" hidden="1" thickBot="1">
      <c r="A1574" s="63">
        <v>98284</v>
      </c>
      <c r="B1574" s="870">
        <v>98284</v>
      </c>
      <c r="C1574" s="871" t="s">
        <v>590</v>
      </c>
      <c r="D1574" s="881" t="s">
        <v>1483</v>
      </c>
      <c r="E1574" s="882"/>
      <c r="F1574" s="883"/>
      <c r="G1574" s="887"/>
      <c r="H1574" s="876">
        <v>12.36</v>
      </c>
      <c r="I1574" s="876">
        <f t="shared" si="400"/>
        <v>12.36</v>
      </c>
      <c r="J1574" s="877">
        <f t="shared" si="401"/>
        <v>15.11</v>
      </c>
      <c r="K1574" s="878" t="s">
        <v>62</v>
      </c>
      <c r="L1574" s="879">
        <f>ROUND(SUM(ORÇAMENTO!L1574),2)</f>
        <v>0</v>
      </c>
      <c r="M1574" s="879">
        <f t="shared" si="402"/>
        <v>0</v>
      </c>
      <c r="N1574" s="868">
        <f t="shared" si="403"/>
        <v>0</v>
      </c>
      <c r="O1574" s="880"/>
      <c r="Q1574" s="317" t="str">
        <f t="shared" si="404"/>
        <v/>
      </c>
      <c r="R1574" s="317" t="str">
        <f t="shared" si="405"/>
        <v/>
      </c>
      <c r="S1574" s="317" t="str">
        <f t="shared" si="406"/>
        <v/>
      </c>
      <c r="V1574" s="314">
        <f>SUM(ORÇAMENTO!N1574)</f>
        <v>0</v>
      </c>
      <c r="W1574" s="315">
        <f t="shared" si="407"/>
        <v>0</v>
      </c>
    </row>
    <row r="1575" spans="1:23" ht="23.25" hidden="1" thickBot="1">
      <c r="A1575" s="63">
        <v>98285</v>
      </c>
      <c r="B1575" s="870">
        <v>98285</v>
      </c>
      <c r="C1575" s="871" t="s">
        <v>590</v>
      </c>
      <c r="D1575" s="881" t="s">
        <v>1484</v>
      </c>
      <c r="E1575" s="882"/>
      <c r="F1575" s="883"/>
      <c r="G1575" s="887"/>
      <c r="H1575" s="876">
        <v>13.38</v>
      </c>
      <c r="I1575" s="876">
        <f t="shared" si="400"/>
        <v>13.38</v>
      </c>
      <c r="J1575" s="877">
        <f t="shared" si="401"/>
        <v>16.350000000000001</v>
      </c>
      <c r="K1575" s="878" t="s">
        <v>62</v>
      </c>
      <c r="L1575" s="879">
        <f>ROUND(SUM(ORÇAMENTO!L1575),2)</f>
        <v>0</v>
      </c>
      <c r="M1575" s="879">
        <f t="shared" si="402"/>
        <v>0</v>
      </c>
      <c r="N1575" s="868">
        <f t="shared" si="403"/>
        <v>0</v>
      </c>
      <c r="O1575" s="880"/>
      <c r="Q1575" s="317" t="str">
        <f t="shared" si="404"/>
        <v/>
      </c>
      <c r="R1575" s="317" t="str">
        <f t="shared" si="405"/>
        <v/>
      </c>
      <c r="S1575" s="317" t="str">
        <f t="shared" si="406"/>
        <v/>
      </c>
      <c r="V1575" s="314">
        <f>SUM(ORÇAMENTO!N1575)</f>
        <v>0</v>
      </c>
      <c r="W1575" s="315">
        <f t="shared" si="407"/>
        <v>0</v>
      </c>
    </row>
    <row r="1576" spans="1:23" ht="23.25" hidden="1" thickBot="1">
      <c r="A1576" s="63">
        <v>98287</v>
      </c>
      <c r="B1576" s="870">
        <v>98287</v>
      </c>
      <c r="C1576" s="871" t="s">
        <v>590</v>
      </c>
      <c r="D1576" s="881" t="s">
        <v>1485</v>
      </c>
      <c r="E1576" s="882"/>
      <c r="F1576" s="883"/>
      <c r="G1576" s="887"/>
      <c r="H1576" s="876">
        <v>1.81</v>
      </c>
      <c r="I1576" s="876">
        <f t="shared" si="400"/>
        <v>1.81</v>
      </c>
      <c r="J1576" s="877">
        <f t="shared" si="401"/>
        <v>2.21</v>
      </c>
      <c r="K1576" s="878" t="s">
        <v>62</v>
      </c>
      <c r="L1576" s="879">
        <f>ROUND(SUM(ORÇAMENTO!L1576),2)</f>
        <v>0</v>
      </c>
      <c r="M1576" s="879">
        <f t="shared" si="402"/>
        <v>0</v>
      </c>
      <c r="N1576" s="868">
        <f t="shared" si="403"/>
        <v>0</v>
      </c>
      <c r="O1576" s="880"/>
      <c r="Q1576" s="317" t="str">
        <f t="shared" si="404"/>
        <v/>
      </c>
      <c r="R1576" s="317" t="str">
        <f t="shared" si="405"/>
        <v/>
      </c>
      <c r="S1576" s="317" t="str">
        <f t="shared" si="406"/>
        <v/>
      </c>
      <c r="V1576" s="314">
        <f>SUM(ORÇAMENTO!N1576)</f>
        <v>0</v>
      </c>
      <c r="W1576" s="315">
        <f t="shared" si="407"/>
        <v>0</v>
      </c>
    </row>
    <row r="1577" spans="1:23" ht="23.25" hidden="1" thickBot="1">
      <c r="A1577" s="63">
        <v>98288</v>
      </c>
      <c r="B1577" s="870">
        <v>98288</v>
      </c>
      <c r="C1577" s="871" t="s">
        <v>590</v>
      </c>
      <c r="D1577" s="881" t="s">
        <v>1486</v>
      </c>
      <c r="E1577" s="882"/>
      <c r="F1577" s="883"/>
      <c r="G1577" s="887"/>
      <c r="H1577" s="876">
        <v>2.83</v>
      </c>
      <c r="I1577" s="876">
        <f t="shared" si="400"/>
        <v>2.83</v>
      </c>
      <c r="J1577" s="877">
        <f t="shared" si="401"/>
        <v>3.46</v>
      </c>
      <c r="K1577" s="878" t="s">
        <v>62</v>
      </c>
      <c r="L1577" s="879">
        <f>ROUND(SUM(ORÇAMENTO!L1577),2)</f>
        <v>0</v>
      </c>
      <c r="M1577" s="879">
        <f t="shared" si="402"/>
        <v>0</v>
      </c>
      <c r="N1577" s="868">
        <f t="shared" si="403"/>
        <v>0</v>
      </c>
      <c r="O1577" s="880"/>
      <c r="Q1577" s="317" t="str">
        <f t="shared" si="404"/>
        <v/>
      </c>
      <c r="R1577" s="317" t="str">
        <f t="shared" si="405"/>
        <v/>
      </c>
      <c r="S1577" s="317" t="str">
        <f t="shared" si="406"/>
        <v/>
      </c>
      <c r="V1577" s="314">
        <f>SUM(ORÇAMENTO!N1577)</f>
        <v>0</v>
      </c>
      <c r="W1577" s="315">
        <f t="shared" si="407"/>
        <v>0</v>
      </c>
    </row>
    <row r="1578" spans="1:23" ht="23.25" hidden="1" thickBot="1">
      <c r="A1578" s="63">
        <v>98289</v>
      </c>
      <c r="B1578" s="870">
        <v>98289</v>
      </c>
      <c r="C1578" s="871" t="s">
        <v>590</v>
      </c>
      <c r="D1578" s="881" t="s">
        <v>1487</v>
      </c>
      <c r="E1578" s="882"/>
      <c r="F1578" s="883"/>
      <c r="G1578" s="887"/>
      <c r="H1578" s="876">
        <v>3.1</v>
      </c>
      <c r="I1578" s="876">
        <f t="shared" si="400"/>
        <v>3.1</v>
      </c>
      <c r="J1578" s="877">
        <f t="shared" si="401"/>
        <v>3.79</v>
      </c>
      <c r="K1578" s="878" t="s">
        <v>62</v>
      </c>
      <c r="L1578" s="879">
        <f>ROUND(SUM(ORÇAMENTO!L1578),2)</f>
        <v>0</v>
      </c>
      <c r="M1578" s="879">
        <f t="shared" si="402"/>
        <v>0</v>
      </c>
      <c r="N1578" s="868">
        <f t="shared" si="403"/>
        <v>0</v>
      </c>
      <c r="O1578" s="880"/>
      <c r="Q1578" s="317" t="str">
        <f t="shared" si="404"/>
        <v/>
      </c>
      <c r="R1578" s="317" t="str">
        <f t="shared" si="405"/>
        <v/>
      </c>
      <c r="S1578" s="317" t="str">
        <f t="shared" si="406"/>
        <v/>
      </c>
      <c r="V1578" s="314">
        <f>SUM(ORÇAMENTO!N1578)</f>
        <v>0</v>
      </c>
      <c r="W1578" s="315">
        <f t="shared" si="407"/>
        <v>0</v>
      </c>
    </row>
    <row r="1579" spans="1:23" ht="23.25" hidden="1" thickBot="1">
      <c r="A1579" s="63">
        <v>98290</v>
      </c>
      <c r="B1579" s="870">
        <v>98290</v>
      </c>
      <c r="C1579" s="871" t="s">
        <v>590</v>
      </c>
      <c r="D1579" s="881" t="s">
        <v>1488</v>
      </c>
      <c r="E1579" s="882"/>
      <c r="F1579" s="883"/>
      <c r="G1579" s="887"/>
      <c r="H1579" s="876">
        <v>4.1900000000000004</v>
      </c>
      <c r="I1579" s="876">
        <f t="shared" si="400"/>
        <v>4.1900000000000004</v>
      </c>
      <c r="J1579" s="877">
        <f t="shared" si="401"/>
        <v>5.12</v>
      </c>
      <c r="K1579" s="878" t="s">
        <v>62</v>
      </c>
      <c r="L1579" s="879">
        <f>ROUND(SUM(ORÇAMENTO!L1579),2)</f>
        <v>0</v>
      </c>
      <c r="M1579" s="879">
        <f t="shared" si="402"/>
        <v>0</v>
      </c>
      <c r="N1579" s="868">
        <f t="shared" si="403"/>
        <v>0</v>
      </c>
      <c r="O1579" s="880"/>
      <c r="Q1579" s="317" t="str">
        <f t="shared" si="404"/>
        <v/>
      </c>
      <c r="R1579" s="317" t="str">
        <f t="shared" si="405"/>
        <v/>
      </c>
      <c r="S1579" s="317" t="str">
        <f t="shared" si="406"/>
        <v/>
      </c>
      <c r="V1579" s="314">
        <f>SUM(ORÇAMENTO!N1579)</f>
        <v>0</v>
      </c>
      <c r="W1579" s="315">
        <f t="shared" si="407"/>
        <v>0</v>
      </c>
    </row>
    <row r="1580" spans="1:23" ht="23.25" hidden="1" thickBot="1">
      <c r="A1580" s="63">
        <v>98291</v>
      </c>
      <c r="B1580" s="870">
        <v>98291</v>
      </c>
      <c r="C1580" s="871" t="s">
        <v>590</v>
      </c>
      <c r="D1580" s="881" t="s">
        <v>1489</v>
      </c>
      <c r="E1580" s="882"/>
      <c r="F1580" s="883"/>
      <c r="G1580" s="887"/>
      <c r="H1580" s="876">
        <v>4.93</v>
      </c>
      <c r="I1580" s="876">
        <f t="shared" si="400"/>
        <v>4.93</v>
      </c>
      <c r="J1580" s="877">
        <f t="shared" si="401"/>
        <v>6.03</v>
      </c>
      <c r="K1580" s="878" t="s">
        <v>62</v>
      </c>
      <c r="L1580" s="879">
        <f>ROUND(SUM(ORÇAMENTO!L1580),2)</f>
        <v>0</v>
      </c>
      <c r="M1580" s="879">
        <f t="shared" si="402"/>
        <v>0</v>
      </c>
      <c r="N1580" s="868">
        <f t="shared" si="403"/>
        <v>0</v>
      </c>
      <c r="O1580" s="880"/>
      <c r="Q1580" s="317" t="str">
        <f t="shared" si="404"/>
        <v/>
      </c>
      <c r="R1580" s="317" t="str">
        <f t="shared" si="405"/>
        <v/>
      </c>
      <c r="S1580" s="317" t="str">
        <f t="shared" si="406"/>
        <v/>
      </c>
      <c r="V1580" s="314">
        <f>SUM(ORÇAMENTO!N1580)</f>
        <v>0</v>
      </c>
      <c r="W1580" s="315">
        <f t="shared" si="407"/>
        <v>0</v>
      </c>
    </row>
    <row r="1581" spans="1:23" ht="23.25" hidden="1" thickBot="1">
      <c r="A1581" s="63">
        <v>98292</v>
      </c>
      <c r="B1581" s="870">
        <v>98292</v>
      </c>
      <c r="C1581" s="871" t="s">
        <v>590</v>
      </c>
      <c r="D1581" s="881" t="s">
        <v>1490</v>
      </c>
      <c r="E1581" s="882"/>
      <c r="F1581" s="883"/>
      <c r="G1581" s="887"/>
      <c r="H1581" s="876">
        <v>5.94</v>
      </c>
      <c r="I1581" s="876">
        <f t="shared" si="400"/>
        <v>5.94</v>
      </c>
      <c r="J1581" s="877">
        <f t="shared" si="401"/>
        <v>7.26</v>
      </c>
      <c r="K1581" s="878" t="s">
        <v>62</v>
      </c>
      <c r="L1581" s="879">
        <f>ROUND(SUM(ORÇAMENTO!L1581),2)</f>
        <v>0</v>
      </c>
      <c r="M1581" s="879">
        <f t="shared" si="402"/>
        <v>0</v>
      </c>
      <c r="N1581" s="868">
        <f t="shared" si="403"/>
        <v>0</v>
      </c>
      <c r="O1581" s="880"/>
      <c r="Q1581" s="317" t="str">
        <f t="shared" si="404"/>
        <v/>
      </c>
      <c r="R1581" s="317" t="str">
        <f t="shared" si="405"/>
        <v/>
      </c>
      <c r="S1581" s="317" t="str">
        <f t="shared" si="406"/>
        <v/>
      </c>
      <c r="V1581" s="314">
        <f>SUM(ORÇAMENTO!N1581)</f>
        <v>0</v>
      </c>
      <c r="W1581" s="315">
        <f t="shared" si="407"/>
        <v>0</v>
      </c>
    </row>
    <row r="1582" spans="1:23" ht="15" hidden="1" customHeight="1">
      <c r="A1582" s="63">
        <v>98397</v>
      </c>
      <c r="B1582" s="870">
        <v>98397</v>
      </c>
      <c r="C1582" s="871" t="s">
        <v>590</v>
      </c>
      <c r="D1582" s="881" t="s">
        <v>1491</v>
      </c>
      <c r="E1582" s="882"/>
      <c r="F1582" s="883"/>
      <c r="G1582" s="887"/>
      <c r="H1582" s="876">
        <v>13.82</v>
      </c>
      <c r="I1582" s="876">
        <f t="shared" si="400"/>
        <v>13.82</v>
      </c>
      <c r="J1582" s="877">
        <f t="shared" si="401"/>
        <v>16.89</v>
      </c>
      <c r="K1582" s="878" t="s">
        <v>1501</v>
      </c>
      <c r="L1582" s="879">
        <f>ROUND(SUM(ORÇAMENTO!L1582),2)</f>
        <v>0</v>
      </c>
      <c r="M1582" s="879">
        <f t="shared" si="402"/>
        <v>0</v>
      </c>
      <c r="N1582" s="868">
        <f t="shared" si="403"/>
        <v>0</v>
      </c>
      <c r="O1582" s="880"/>
      <c r="Q1582" s="317" t="str">
        <f t="shared" si="404"/>
        <v/>
      </c>
      <c r="R1582" s="317" t="str">
        <f t="shared" si="405"/>
        <v/>
      </c>
      <c r="S1582" s="317" t="str">
        <f t="shared" si="406"/>
        <v/>
      </c>
      <c r="V1582" s="314">
        <f>SUM(ORÇAMENTO!N1582)</f>
        <v>0</v>
      </c>
      <c r="W1582" s="315">
        <f t="shared" si="407"/>
        <v>0</v>
      </c>
    </row>
    <row r="1583" spans="1:23" ht="34.5" hidden="1" thickBot="1">
      <c r="A1583" s="63">
        <v>97327</v>
      </c>
      <c r="B1583" s="870">
        <v>97327</v>
      </c>
      <c r="C1583" s="871" t="s">
        <v>590</v>
      </c>
      <c r="D1583" s="881" t="s">
        <v>1492</v>
      </c>
      <c r="E1583" s="882"/>
      <c r="F1583" s="883"/>
      <c r="G1583" s="887"/>
      <c r="H1583" s="876">
        <v>30.58</v>
      </c>
      <c r="I1583" s="876">
        <f t="shared" si="400"/>
        <v>30.58</v>
      </c>
      <c r="J1583" s="877">
        <f t="shared" si="401"/>
        <v>37.369999999999997</v>
      </c>
      <c r="K1583" s="878" t="s">
        <v>62</v>
      </c>
      <c r="L1583" s="879">
        <f>ROUND(SUM(ORÇAMENTO!L1583),2)</f>
        <v>0</v>
      </c>
      <c r="M1583" s="879">
        <f t="shared" si="402"/>
        <v>0</v>
      </c>
      <c r="N1583" s="868">
        <f t="shared" si="403"/>
        <v>0</v>
      </c>
      <c r="O1583" s="880"/>
      <c r="Q1583" s="317" t="str">
        <f t="shared" si="404"/>
        <v/>
      </c>
      <c r="R1583" s="317" t="str">
        <f t="shared" si="405"/>
        <v/>
      </c>
      <c r="S1583" s="317" t="str">
        <f t="shared" si="406"/>
        <v/>
      </c>
      <c r="V1583" s="314">
        <f>SUM(ORÇAMENTO!N1583)</f>
        <v>0</v>
      </c>
      <c r="W1583" s="315">
        <f t="shared" si="407"/>
        <v>0</v>
      </c>
    </row>
    <row r="1584" spans="1:23" ht="34.5" hidden="1" thickBot="1">
      <c r="A1584" s="63">
        <v>97328</v>
      </c>
      <c r="B1584" s="870">
        <v>97328</v>
      </c>
      <c r="C1584" s="871" t="s">
        <v>590</v>
      </c>
      <c r="D1584" s="881" t="s">
        <v>1493</v>
      </c>
      <c r="E1584" s="882"/>
      <c r="F1584" s="883"/>
      <c r="G1584" s="887"/>
      <c r="H1584" s="876">
        <v>53.95</v>
      </c>
      <c r="I1584" s="876">
        <f t="shared" si="400"/>
        <v>53.95</v>
      </c>
      <c r="J1584" s="877">
        <f t="shared" si="401"/>
        <v>65.94</v>
      </c>
      <c r="K1584" s="878" t="s">
        <v>62</v>
      </c>
      <c r="L1584" s="879">
        <f>ROUND(SUM(ORÇAMENTO!L1584),2)</f>
        <v>0</v>
      </c>
      <c r="M1584" s="879">
        <f t="shared" si="402"/>
        <v>0</v>
      </c>
      <c r="N1584" s="868">
        <f t="shared" si="403"/>
        <v>0</v>
      </c>
      <c r="O1584" s="880"/>
      <c r="Q1584" s="317" t="str">
        <f t="shared" si="404"/>
        <v/>
      </c>
      <c r="R1584" s="317" t="str">
        <f t="shared" si="405"/>
        <v/>
      </c>
      <c r="S1584" s="317" t="str">
        <f t="shared" si="406"/>
        <v/>
      </c>
      <c r="V1584" s="314">
        <f>SUM(ORÇAMENTO!N1584)</f>
        <v>0</v>
      </c>
      <c r="W1584" s="315">
        <f t="shared" si="407"/>
        <v>0</v>
      </c>
    </row>
    <row r="1585" spans="1:23" ht="34.5" hidden="1" thickBot="1">
      <c r="A1585" s="63">
        <v>97329</v>
      </c>
      <c r="B1585" s="870">
        <v>97329</v>
      </c>
      <c r="C1585" s="871" t="s">
        <v>590</v>
      </c>
      <c r="D1585" s="881" t="s">
        <v>1494</v>
      </c>
      <c r="E1585" s="882"/>
      <c r="F1585" s="883"/>
      <c r="G1585" s="887"/>
      <c r="H1585" s="876">
        <v>66.78</v>
      </c>
      <c r="I1585" s="876">
        <f t="shared" si="400"/>
        <v>66.78</v>
      </c>
      <c r="J1585" s="877">
        <f t="shared" si="401"/>
        <v>81.62</v>
      </c>
      <c r="K1585" s="878" t="s">
        <v>62</v>
      </c>
      <c r="L1585" s="879">
        <f>ROUND(SUM(ORÇAMENTO!L1585),2)</f>
        <v>0</v>
      </c>
      <c r="M1585" s="879">
        <f t="shared" si="402"/>
        <v>0</v>
      </c>
      <c r="N1585" s="868">
        <f t="shared" si="403"/>
        <v>0</v>
      </c>
      <c r="O1585" s="880"/>
      <c r="Q1585" s="317" t="str">
        <f t="shared" si="404"/>
        <v/>
      </c>
      <c r="R1585" s="317" t="str">
        <f t="shared" si="405"/>
        <v/>
      </c>
      <c r="S1585" s="317" t="str">
        <f t="shared" si="406"/>
        <v/>
      </c>
      <c r="V1585" s="314">
        <f>SUM(ORÇAMENTO!N1585)</f>
        <v>0</v>
      </c>
      <c r="W1585" s="315">
        <f t="shared" si="407"/>
        <v>0</v>
      </c>
    </row>
    <row r="1586" spans="1:23" ht="34.5" hidden="1" thickBot="1">
      <c r="A1586" s="63">
        <v>97330</v>
      </c>
      <c r="B1586" s="870">
        <v>97330</v>
      </c>
      <c r="C1586" s="871" t="s">
        <v>590</v>
      </c>
      <c r="D1586" s="881" t="s">
        <v>1495</v>
      </c>
      <c r="E1586" s="882"/>
      <c r="F1586" s="883"/>
      <c r="G1586" s="887"/>
      <c r="H1586" s="876">
        <v>81.25</v>
      </c>
      <c r="I1586" s="876">
        <f t="shared" si="400"/>
        <v>81.25</v>
      </c>
      <c r="J1586" s="877">
        <f t="shared" si="401"/>
        <v>99.3</v>
      </c>
      <c r="K1586" s="878" t="s">
        <v>62</v>
      </c>
      <c r="L1586" s="879">
        <f>ROUND(SUM(ORÇAMENTO!L1586),2)</f>
        <v>0</v>
      </c>
      <c r="M1586" s="879">
        <f t="shared" si="402"/>
        <v>0</v>
      </c>
      <c r="N1586" s="868">
        <f t="shared" si="403"/>
        <v>0</v>
      </c>
      <c r="O1586" s="880"/>
      <c r="Q1586" s="317" t="str">
        <f t="shared" si="404"/>
        <v/>
      </c>
      <c r="R1586" s="317" t="str">
        <f t="shared" si="405"/>
        <v/>
      </c>
      <c r="S1586" s="317" t="str">
        <f t="shared" si="406"/>
        <v/>
      </c>
      <c r="V1586" s="314">
        <f>SUM(ORÇAMENTO!N1586)</f>
        <v>0</v>
      </c>
      <c r="W1586" s="315">
        <f t="shared" si="407"/>
        <v>0</v>
      </c>
    </row>
    <row r="1587" spans="1:23" ht="34.5" hidden="1" thickBot="1">
      <c r="A1587" s="63">
        <v>97331</v>
      </c>
      <c r="B1587" s="870">
        <v>97331</v>
      </c>
      <c r="C1587" s="871" t="s">
        <v>590</v>
      </c>
      <c r="D1587" s="881" t="s">
        <v>1496</v>
      </c>
      <c r="E1587" s="882"/>
      <c r="F1587" s="883"/>
      <c r="G1587" s="887"/>
      <c r="H1587" s="876">
        <v>30.98</v>
      </c>
      <c r="I1587" s="876">
        <f t="shared" si="400"/>
        <v>30.98</v>
      </c>
      <c r="J1587" s="877">
        <f t="shared" si="401"/>
        <v>37.86</v>
      </c>
      <c r="K1587" s="878" t="s">
        <v>62</v>
      </c>
      <c r="L1587" s="879">
        <f>ROUND(SUM(ORÇAMENTO!L1587),2)</f>
        <v>0</v>
      </c>
      <c r="M1587" s="879">
        <f t="shared" si="402"/>
        <v>0</v>
      </c>
      <c r="N1587" s="868">
        <f t="shared" si="403"/>
        <v>0</v>
      </c>
      <c r="O1587" s="880"/>
      <c r="Q1587" s="317" t="str">
        <f t="shared" si="404"/>
        <v/>
      </c>
      <c r="R1587" s="317" t="str">
        <f t="shared" si="405"/>
        <v/>
      </c>
      <c r="S1587" s="317" t="str">
        <f t="shared" si="406"/>
        <v/>
      </c>
      <c r="V1587" s="314">
        <f>SUM(ORÇAMENTO!N1587)</f>
        <v>0</v>
      </c>
      <c r="W1587" s="315">
        <f t="shared" si="407"/>
        <v>0</v>
      </c>
    </row>
    <row r="1588" spans="1:23" ht="34.5" hidden="1" thickBot="1">
      <c r="A1588" s="63">
        <v>97332</v>
      </c>
      <c r="B1588" s="870">
        <v>97332</v>
      </c>
      <c r="C1588" s="871" t="s">
        <v>590</v>
      </c>
      <c r="D1588" s="881" t="s">
        <v>1497</v>
      </c>
      <c r="E1588" s="882"/>
      <c r="F1588" s="883"/>
      <c r="G1588" s="887"/>
      <c r="H1588" s="876">
        <v>54.41</v>
      </c>
      <c r="I1588" s="876">
        <f t="shared" si="400"/>
        <v>54.41</v>
      </c>
      <c r="J1588" s="877">
        <f t="shared" si="401"/>
        <v>66.5</v>
      </c>
      <c r="K1588" s="878" t="s">
        <v>62</v>
      </c>
      <c r="L1588" s="879">
        <f>ROUND(SUM(ORÇAMENTO!L1588),2)</f>
        <v>0</v>
      </c>
      <c r="M1588" s="879">
        <f t="shared" si="402"/>
        <v>0</v>
      </c>
      <c r="N1588" s="868">
        <f t="shared" si="403"/>
        <v>0</v>
      </c>
      <c r="O1588" s="880"/>
      <c r="Q1588" s="317" t="str">
        <f t="shared" si="404"/>
        <v/>
      </c>
      <c r="R1588" s="317" t="str">
        <f t="shared" si="405"/>
        <v/>
      </c>
      <c r="S1588" s="317" t="str">
        <f t="shared" si="406"/>
        <v/>
      </c>
      <c r="V1588" s="314">
        <f>SUM(ORÇAMENTO!N1588)</f>
        <v>0</v>
      </c>
      <c r="W1588" s="315">
        <f t="shared" si="407"/>
        <v>0</v>
      </c>
    </row>
    <row r="1589" spans="1:23" ht="34.5" hidden="1" thickBot="1">
      <c r="A1589" s="63">
        <v>97333</v>
      </c>
      <c r="B1589" s="870">
        <v>97333</v>
      </c>
      <c r="C1589" s="871" t="s">
        <v>590</v>
      </c>
      <c r="D1589" s="881" t="s">
        <v>1498</v>
      </c>
      <c r="E1589" s="882"/>
      <c r="F1589" s="883"/>
      <c r="G1589" s="887"/>
      <c r="H1589" s="876">
        <v>67.36</v>
      </c>
      <c r="I1589" s="876">
        <f t="shared" si="400"/>
        <v>67.36</v>
      </c>
      <c r="J1589" s="877">
        <f t="shared" si="401"/>
        <v>82.33</v>
      </c>
      <c r="K1589" s="878" t="s">
        <v>62</v>
      </c>
      <c r="L1589" s="879">
        <f>ROUND(SUM(ORÇAMENTO!L1589),2)</f>
        <v>0</v>
      </c>
      <c r="M1589" s="879">
        <f t="shared" si="402"/>
        <v>0</v>
      </c>
      <c r="N1589" s="868">
        <f t="shared" si="403"/>
        <v>0</v>
      </c>
      <c r="O1589" s="880"/>
      <c r="Q1589" s="317" t="str">
        <f t="shared" si="404"/>
        <v/>
      </c>
      <c r="R1589" s="317" t="str">
        <f t="shared" si="405"/>
        <v/>
      </c>
      <c r="S1589" s="317" t="str">
        <f t="shared" si="406"/>
        <v/>
      </c>
      <c r="V1589" s="314">
        <f>SUM(ORÇAMENTO!N1589)</f>
        <v>0</v>
      </c>
      <c r="W1589" s="315">
        <f t="shared" si="407"/>
        <v>0</v>
      </c>
    </row>
    <row r="1590" spans="1:23" ht="34.5" hidden="1" thickBot="1">
      <c r="A1590" s="63">
        <v>97334</v>
      </c>
      <c r="B1590" s="870">
        <v>97334</v>
      </c>
      <c r="C1590" s="871" t="s">
        <v>590</v>
      </c>
      <c r="D1590" s="881" t="s">
        <v>1499</v>
      </c>
      <c r="E1590" s="882"/>
      <c r="F1590" s="883"/>
      <c r="G1590" s="887"/>
      <c r="H1590" s="876">
        <v>81.89</v>
      </c>
      <c r="I1590" s="876">
        <f t="shared" si="400"/>
        <v>81.89</v>
      </c>
      <c r="J1590" s="877">
        <f t="shared" si="401"/>
        <v>100.09</v>
      </c>
      <c r="K1590" s="878" t="s">
        <v>62</v>
      </c>
      <c r="L1590" s="879">
        <f>ROUND(SUM(ORÇAMENTO!L1590),2)</f>
        <v>0</v>
      </c>
      <c r="M1590" s="879">
        <f t="shared" si="402"/>
        <v>0</v>
      </c>
      <c r="N1590" s="868">
        <f t="shared" si="403"/>
        <v>0</v>
      </c>
      <c r="O1590" s="880"/>
      <c r="Q1590" s="317" t="str">
        <f t="shared" si="404"/>
        <v/>
      </c>
      <c r="R1590" s="317" t="str">
        <f t="shared" si="405"/>
        <v/>
      </c>
      <c r="S1590" s="317" t="str">
        <f t="shared" si="406"/>
        <v/>
      </c>
      <c r="V1590" s="314">
        <f>SUM(ORÇAMENTO!N1590)</f>
        <v>0</v>
      </c>
      <c r="W1590" s="315">
        <f t="shared" si="407"/>
        <v>0</v>
      </c>
    </row>
    <row r="1591" spans="1:23" ht="15.6" hidden="1" customHeight="1">
      <c r="A1591" s="63">
        <v>844000</v>
      </c>
      <c r="B1591" s="870">
        <v>844000</v>
      </c>
      <c r="C1591" s="871" t="s">
        <v>184</v>
      </c>
      <c r="D1591" s="881" t="s">
        <v>486</v>
      </c>
      <c r="E1591" s="882"/>
      <c r="F1591" s="883"/>
      <c r="G1591" s="887"/>
      <c r="H1591" s="876">
        <v>5276</v>
      </c>
      <c r="I1591" s="876">
        <f>IF(ISBLANK(H1591),"",SUM(G1591:H1591))</f>
        <v>5276</v>
      </c>
      <c r="J1591" s="877">
        <f t="shared" si="401"/>
        <v>6448.33</v>
      </c>
      <c r="K1591" s="878" t="s">
        <v>15</v>
      </c>
      <c r="L1591" s="879">
        <f>ROUND(SUM(ORÇAMENTO!L1591),2)</f>
        <v>0</v>
      </c>
      <c r="M1591" s="879">
        <f t="shared" si="402"/>
        <v>0</v>
      </c>
      <c r="N1591" s="868">
        <f t="shared" si="403"/>
        <v>0</v>
      </c>
      <c r="O1591" s="880"/>
      <c r="Q1591" s="317" t="str">
        <f t="shared" si="404"/>
        <v/>
      </c>
      <c r="R1591" s="317" t="str">
        <f t="shared" si="405"/>
        <v/>
      </c>
      <c r="S1591" s="317" t="str">
        <f t="shared" si="406"/>
        <v/>
      </c>
      <c r="V1591" s="314">
        <f>SUM(ORÇAMENTO!N1591)</f>
        <v>0</v>
      </c>
      <c r="W1591" s="315">
        <f t="shared" si="407"/>
        <v>0</v>
      </c>
    </row>
    <row r="1592" spans="1:23" ht="13.5" hidden="1" thickBot="1">
      <c r="A1592" s="560" t="s">
        <v>165</v>
      </c>
      <c r="B1592" s="888" t="s">
        <v>165</v>
      </c>
      <c r="C1592" s="889"/>
      <c r="D1592" s="890" t="s">
        <v>475</v>
      </c>
      <c r="E1592" s="891"/>
      <c r="F1592" s="892"/>
      <c r="G1592" s="893"/>
      <c r="H1592" s="894">
        <v>0</v>
      </c>
      <c r="I1592" s="894"/>
      <c r="J1592" s="894">
        <f t="shared" si="401"/>
        <v>0</v>
      </c>
      <c r="K1592" s="895" t="s">
        <v>506</v>
      </c>
      <c r="L1592" s="896">
        <f>ROUND(SUM(ORÇAMENTO!L1592),2)</f>
        <v>0</v>
      </c>
      <c r="M1592" s="897">
        <f t="shared" si="402"/>
        <v>0</v>
      </c>
      <c r="N1592" s="898">
        <f t="shared" si="403"/>
        <v>0</v>
      </c>
      <c r="O1592" s="880"/>
      <c r="P1592" s="58" t="str">
        <f>IF(OR(SUM(N1593:N1624)&gt;0,SUM(N1593:N1624)&gt;0),"y","")</f>
        <v/>
      </c>
      <c r="Q1592" s="317" t="str">
        <f t="shared" si="404"/>
        <v/>
      </c>
      <c r="R1592" s="317" t="str">
        <f t="shared" si="405"/>
        <v/>
      </c>
      <c r="S1592" s="317" t="str">
        <f t="shared" si="406"/>
        <v/>
      </c>
      <c r="V1592" s="314">
        <f>SUM(ORÇAMENTO!N1592)</f>
        <v>0</v>
      </c>
      <c r="W1592" s="315">
        <f t="shared" si="407"/>
        <v>0</v>
      </c>
    </row>
    <row r="1593" spans="1:23" ht="13.5" hidden="1" thickBot="1">
      <c r="A1593" s="560" t="s">
        <v>165</v>
      </c>
      <c r="B1593" s="899" t="s">
        <v>165</v>
      </c>
      <c r="C1593" s="900" t="s">
        <v>165</v>
      </c>
      <c r="D1593" s="906"/>
      <c r="E1593" s="902"/>
      <c r="F1593" s="903"/>
      <c r="G1593" s="904"/>
      <c r="H1593" s="905"/>
      <c r="I1593" s="876" t="str">
        <f t="shared" ref="I1593:I1624" si="408">IF(ISBLANK(H1593),"",SUM(G1593:H1593))</f>
        <v/>
      </c>
      <c r="J1593" s="865">
        <f t="shared" ref="J1593:J1624" si="409">IF(ISBLANK(H1593),0,ROUND(I1593*(1+$E$10),2))</f>
        <v>0</v>
      </c>
      <c r="K1593" s="903" t="s">
        <v>506</v>
      </c>
      <c r="L1593" s="885">
        <f>ROUND(SUM(ORÇAMENTO!L1593),2)</f>
        <v>0</v>
      </c>
      <c r="M1593" s="886">
        <f t="shared" si="402"/>
        <v>0</v>
      </c>
      <c r="N1593" s="868">
        <f t="shared" si="403"/>
        <v>0</v>
      </c>
      <c r="O1593" s="880"/>
      <c r="Q1593" s="317" t="str">
        <f t="shared" si="404"/>
        <v/>
      </c>
      <c r="R1593" s="317" t="str">
        <f t="shared" si="405"/>
        <v/>
      </c>
      <c r="S1593" s="317" t="str">
        <f t="shared" si="406"/>
        <v/>
      </c>
      <c r="V1593" s="314">
        <f>SUM(ORÇAMENTO!N1593)</f>
        <v>0</v>
      </c>
      <c r="W1593" s="315">
        <f t="shared" si="407"/>
        <v>0</v>
      </c>
    </row>
    <row r="1594" spans="1:23" ht="13.5" hidden="1" thickBot="1">
      <c r="A1594" s="560" t="s">
        <v>165</v>
      </c>
      <c r="B1594" s="899" t="s">
        <v>165</v>
      </c>
      <c r="C1594" s="900" t="s">
        <v>165</v>
      </c>
      <c r="D1594" s="906"/>
      <c r="E1594" s="902"/>
      <c r="F1594" s="903"/>
      <c r="G1594" s="904"/>
      <c r="H1594" s="905"/>
      <c r="I1594" s="876" t="str">
        <f t="shared" si="408"/>
        <v/>
      </c>
      <c r="J1594" s="865">
        <f t="shared" si="409"/>
        <v>0</v>
      </c>
      <c r="K1594" s="903" t="s">
        <v>506</v>
      </c>
      <c r="L1594" s="879">
        <f>ROUND(SUM(ORÇAMENTO!L1594),2)</f>
        <v>0</v>
      </c>
      <c r="M1594" s="879">
        <f t="shared" si="402"/>
        <v>0</v>
      </c>
      <c r="N1594" s="907">
        <f t="shared" si="403"/>
        <v>0</v>
      </c>
      <c r="O1594" s="880"/>
      <c r="Q1594" s="317" t="str">
        <f t="shared" si="404"/>
        <v/>
      </c>
      <c r="R1594" s="317" t="str">
        <f t="shared" si="405"/>
        <v/>
      </c>
      <c r="S1594" s="317" t="str">
        <f t="shared" si="406"/>
        <v/>
      </c>
      <c r="V1594" s="314">
        <f>SUM(ORÇAMENTO!N1594)</f>
        <v>0</v>
      </c>
      <c r="W1594" s="315">
        <f t="shared" si="407"/>
        <v>0</v>
      </c>
    </row>
    <row r="1595" spans="1:23" ht="13.5" hidden="1" thickBot="1">
      <c r="A1595" s="560" t="s">
        <v>165</v>
      </c>
      <c r="B1595" s="899" t="s">
        <v>165</v>
      </c>
      <c r="C1595" s="900" t="s">
        <v>165</v>
      </c>
      <c r="D1595" s="906"/>
      <c r="E1595" s="902"/>
      <c r="F1595" s="903"/>
      <c r="G1595" s="904"/>
      <c r="H1595" s="905"/>
      <c r="I1595" s="876" t="str">
        <f t="shared" si="408"/>
        <v/>
      </c>
      <c r="J1595" s="865">
        <f t="shared" si="409"/>
        <v>0</v>
      </c>
      <c r="K1595" s="903" t="s">
        <v>506</v>
      </c>
      <c r="L1595" s="879">
        <f>ROUND(SUM(ORÇAMENTO!L1595),2)</f>
        <v>0</v>
      </c>
      <c r="M1595" s="879">
        <f t="shared" si="402"/>
        <v>0</v>
      </c>
      <c r="N1595" s="868">
        <f t="shared" si="403"/>
        <v>0</v>
      </c>
      <c r="O1595" s="880"/>
      <c r="Q1595" s="317" t="str">
        <f t="shared" si="404"/>
        <v/>
      </c>
      <c r="R1595" s="317" t="str">
        <f t="shared" si="405"/>
        <v/>
      </c>
      <c r="S1595" s="317" t="str">
        <f t="shared" si="406"/>
        <v/>
      </c>
      <c r="V1595" s="314">
        <f>SUM(ORÇAMENTO!N1595)</f>
        <v>0</v>
      </c>
      <c r="W1595" s="315">
        <f t="shared" si="407"/>
        <v>0</v>
      </c>
    </row>
    <row r="1596" spans="1:23" ht="13.5" hidden="1" thickBot="1">
      <c r="A1596" s="560" t="s">
        <v>165</v>
      </c>
      <c r="B1596" s="899" t="s">
        <v>165</v>
      </c>
      <c r="C1596" s="900" t="s">
        <v>165</v>
      </c>
      <c r="D1596" s="906"/>
      <c r="E1596" s="902"/>
      <c r="F1596" s="903"/>
      <c r="G1596" s="904"/>
      <c r="H1596" s="905"/>
      <c r="I1596" s="876" t="str">
        <f t="shared" si="408"/>
        <v/>
      </c>
      <c r="J1596" s="865">
        <f t="shared" si="409"/>
        <v>0</v>
      </c>
      <c r="K1596" s="903" t="s">
        <v>506</v>
      </c>
      <c r="L1596" s="879">
        <f>ROUND(SUM(ORÇAMENTO!L1596),2)</f>
        <v>0</v>
      </c>
      <c r="M1596" s="879">
        <f t="shared" si="402"/>
        <v>0</v>
      </c>
      <c r="N1596" s="868">
        <f t="shared" si="403"/>
        <v>0</v>
      </c>
      <c r="O1596" s="880"/>
      <c r="Q1596" s="317" t="str">
        <f t="shared" si="404"/>
        <v/>
      </c>
      <c r="R1596" s="317" t="str">
        <f t="shared" si="405"/>
        <v/>
      </c>
      <c r="S1596" s="317" t="str">
        <f t="shared" si="406"/>
        <v/>
      </c>
      <c r="V1596" s="314">
        <f>SUM(ORÇAMENTO!N1596)</f>
        <v>0</v>
      </c>
      <c r="W1596" s="315">
        <f t="shared" si="407"/>
        <v>0</v>
      </c>
    </row>
    <row r="1597" spans="1:23" ht="13.5" hidden="1" thickBot="1">
      <c r="A1597" s="560" t="s">
        <v>165</v>
      </c>
      <c r="B1597" s="899" t="s">
        <v>165</v>
      </c>
      <c r="C1597" s="900" t="s">
        <v>165</v>
      </c>
      <c r="D1597" s="906"/>
      <c r="E1597" s="902"/>
      <c r="F1597" s="903"/>
      <c r="G1597" s="904"/>
      <c r="H1597" s="905"/>
      <c r="I1597" s="876" t="str">
        <f t="shared" si="408"/>
        <v/>
      </c>
      <c r="J1597" s="865">
        <f t="shared" si="409"/>
        <v>0</v>
      </c>
      <c r="K1597" s="903" t="s">
        <v>506</v>
      </c>
      <c r="L1597" s="879">
        <f>ROUND(SUM(ORÇAMENTO!L1597),2)</f>
        <v>0</v>
      </c>
      <c r="M1597" s="879">
        <f t="shared" si="402"/>
        <v>0</v>
      </c>
      <c r="N1597" s="868">
        <f t="shared" si="403"/>
        <v>0</v>
      </c>
      <c r="O1597" s="880"/>
      <c r="Q1597" s="317" t="str">
        <f t="shared" si="404"/>
        <v/>
      </c>
      <c r="R1597" s="317" t="str">
        <f t="shared" si="405"/>
        <v/>
      </c>
      <c r="S1597" s="317" t="str">
        <f t="shared" si="406"/>
        <v/>
      </c>
      <c r="V1597" s="314">
        <f>SUM(ORÇAMENTO!N1597)</f>
        <v>0</v>
      </c>
      <c r="W1597" s="315">
        <f t="shared" si="407"/>
        <v>0</v>
      </c>
    </row>
    <row r="1598" spans="1:23" ht="13.5" hidden="1" thickBot="1">
      <c r="A1598" s="560" t="s">
        <v>165</v>
      </c>
      <c r="B1598" s="899" t="s">
        <v>165</v>
      </c>
      <c r="C1598" s="900" t="s">
        <v>165</v>
      </c>
      <c r="D1598" s="906"/>
      <c r="E1598" s="902"/>
      <c r="F1598" s="903"/>
      <c r="G1598" s="904"/>
      <c r="H1598" s="905"/>
      <c r="I1598" s="876" t="str">
        <f t="shared" si="408"/>
        <v/>
      </c>
      <c r="J1598" s="865">
        <f t="shared" si="409"/>
        <v>0</v>
      </c>
      <c r="K1598" s="903" t="s">
        <v>506</v>
      </c>
      <c r="L1598" s="879">
        <f>ROUND(SUM(ORÇAMENTO!L1598),2)</f>
        <v>0</v>
      </c>
      <c r="M1598" s="879">
        <f t="shared" si="402"/>
        <v>0</v>
      </c>
      <c r="N1598" s="868">
        <f t="shared" si="403"/>
        <v>0</v>
      </c>
      <c r="O1598" s="880"/>
      <c r="Q1598" s="317" t="str">
        <f t="shared" si="404"/>
        <v/>
      </c>
      <c r="R1598" s="317" t="str">
        <f t="shared" si="405"/>
        <v/>
      </c>
      <c r="S1598" s="317" t="str">
        <f t="shared" si="406"/>
        <v/>
      </c>
      <c r="V1598" s="314">
        <f>SUM(ORÇAMENTO!N1598)</f>
        <v>0</v>
      </c>
      <c r="W1598" s="315">
        <f t="shared" si="407"/>
        <v>0</v>
      </c>
    </row>
    <row r="1599" spans="1:23" ht="13.5" hidden="1" thickBot="1">
      <c r="A1599" s="560" t="s">
        <v>165</v>
      </c>
      <c r="B1599" s="899" t="s">
        <v>165</v>
      </c>
      <c r="C1599" s="900" t="s">
        <v>165</v>
      </c>
      <c r="D1599" s="906"/>
      <c r="E1599" s="902"/>
      <c r="F1599" s="903"/>
      <c r="G1599" s="904"/>
      <c r="H1599" s="905"/>
      <c r="I1599" s="876" t="str">
        <f t="shared" si="408"/>
        <v/>
      </c>
      <c r="J1599" s="865">
        <f t="shared" si="409"/>
        <v>0</v>
      </c>
      <c r="K1599" s="903" t="s">
        <v>506</v>
      </c>
      <c r="L1599" s="879">
        <f>ROUND(SUM(ORÇAMENTO!L1599),2)</f>
        <v>0</v>
      </c>
      <c r="M1599" s="879">
        <f t="shared" si="402"/>
        <v>0</v>
      </c>
      <c r="N1599" s="868">
        <f t="shared" si="403"/>
        <v>0</v>
      </c>
      <c r="O1599" s="880"/>
      <c r="Q1599" s="317" t="str">
        <f t="shared" si="404"/>
        <v/>
      </c>
      <c r="R1599" s="317" t="str">
        <f t="shared" si="405"/>
        <v/>
      </c>
      <c r="S1599" s="317" t="str">
        <f t="shared" si="406"/>
        <v/>
      </c>
      <c r="V1599" s="314">
        <f>SUM(ORÇAMENTO!N1599)</f>
        <v>0</v>
      </c>
      <c r="W1599" s="315">
        <f t="shared" si="407"/>
        <v>0</v>
      </c>
    </row>
    <row r="1600" spans="1:23" ht="13.5" hidden="1" thickBot="1">
      <c r="A1600" s="560" t="s">
        <v>165</v>
      </c>
      <c r="B1600" s="899" t="s">
        <v>165</v>
      </c>
      <c r="C1600" s="900" t="s">
        <v>165</v>
      </c>
      <c r="D1600" s="906"/>
      <c r="E1600" s="902"/>
      <c r="F1600" s="903"/>
      <c r="G1600" s="904"/>
      <c r="H1600" s="905"/>
      <c r="I1600" s="876" t="str">
        <f t="shared" si="408"/>
        <v/>
      </c>
      <c r="J1600" s="865">
        <f t="shared" si="409"/>
        <v>0</v>
      </c>
      <c r="K1600" s="903" t="s">
        <v>506</v>
      </c>
      <c r="L1600" s="879">
        <f>ROUND(SUM(ORÇAMENTO!L1600),2)</f>
        <v>0</v>
      </c>
      <c r="M1600" s="879">
        <f t="shared" si="402"/>
        <v>0</v>
      </c>
      <c r="N1600" s="868">
        <f t="shared" si="403"/>
        <v>0</v>
      </c>
      <c r="O1600" s="880"/>
      <c r="Q1600" s="317" t="str">
        <f t="shared" si="404"/>
        <v/>
      </c>
      <c r="R1600" s="317" t="str">
        <f t="shared" si="405"/>
        <v/>
      </c>
      <c r="S1600" s="317" t="str">
        <f t="shared" si="406"/>
        <v/>
      </c>
      <c r="V1600" s="314">
        <f>SUM(ORÇAMENTO!N1600)</f>
        <v>0</v>
      </c>
      <c r="W1600" s="315">
        <f t="shared" si="407"/>
        <v>0</v>
      </c>
    </row>
    <row r="1601" spans="1:23" ht="13.5" hidden="1" thickBot="1">
      <c r="A1601" s="560" t="s">
        <v>165</v>
      </c>
      <c r="B1601" s="899" t="s">
        <v>165</v>
      </c>
      <c r="C1601" s="900" t="s">
        <v>165</v>
      </c>
      <c r="D1601" s="906"/>
      <c r="E1601" s="902"/>
      <c r="F1601" s="903"/>
      <c r="G1601" s="904"/>
      <c r="H1601" s="905"/>
      <c r="I1601" s="876" t="str">
        <f t="shared" si="408"/>
        <v/>
      </c>
      <c r="J1601" s="865">
        <f t="shared" si="409"/>
        <v>0</v>
      </c>
      <c r="K1601" s="903" t="s">
        <v>506</v>
      </c>
      <c r="L1601" s="879">
        <f>ROUND(SUM(ORÇAMENTO!L1601),2)</f>
        <v>0</v>
      </c>
      <c r="M1601" s="879">
        <f t="shared" si="402"/>
        <v>0</v>
      </c>
      <c r="N1601" s="868">
        <f t="shared" si="403"/>
        <v>0</v>
      </c>
      <c r="O1601" s="880"/>
      <c r="Q1601" s="317" t="str">
        <f t="shared" si="404"/>
        <v/>
      </c>
      <c r="R1601" s="317" t="str">
        <f t="shared" si="405"/>
        <v/>
      </c>
      <c r="S1601" s="317" t="str">
        <f t="shared" si="406"/>
        <v/>
      </c>
      <c r="V1601" s="314">
        <f>SUM(ORÇAMENTO!N1601)</f>
        <v>0</v>
      </c>
      <c r="W1601" s="315">
        <f t="shared" si="407"/>
        <v>0</v>
      </c>
    </row>
    <row r="1602" spans="1:23" ht="13.5" hidden="1" thickBot="1">
      <c r="A1602" s="560" t="s">
        <v>165</v>
      </c>
      <c r="B1602" s="899" t="s">
        <v>165</v>
      </c>
      <c r="C1602" s="900" t="s">
        <v>165</v>
      </c>
      <c r="D1602" s="906"/>
      <c r="E1602" s="902"/>
      <c r="F1602" s="903"/>
      <c r="G1602" s="904"/>
      <c r="H1602" s="905"/>
      <c r="I1602" s="876" t="str">
        <f t="shared" si="408"/>
        <v/>
      </c>
      <c r="J1602" s="865">
        <f t="shared" si="409"/>
        <v>0</v>
      </c>
      <c r="K1602" s="903" t="s">
        <v>506</v>
      </c>
      <c r="L1602" s="879">
        <f>ROUND(SUM(ORÇAMENTO!L1602),2)</f>
        <v>0</v>
      </c>
      <c r="M1602" s="879">
        <f t="shared" si="402"/>
        <v>0</v>
      </c>
      <c r="N1602" s="868">
        <f t="shared" si="403"/>
        <v>0</v>
      </c>
      <c r="O1602" s="880"/>
      <c r="Q1602" s="317" t="str">
        <f t="shared" si="404"/>
        <v/>
      </c>
      <c r="R1602" s="317" t="str">
        <f t="shared" si="405"/>
        <v/>
      </c>
      <c r="S1602" s="317" t="str">
        <f t="shared" si="406"/>
        <v/>
      </c>
      <c r="V1602" s="314">
        <f>SUM(ORÇAMENTO!N1602)</f>
        <v>0</v>
      </c>
      <c r="W1602" s="315">
        <f t="shared" si="407"/>
        <v>0</v>
      </c>
    </row>
    <row r="1603" spans="1:23" ht="13.5" hidden="1" thickBot="1">
      <c r="A1603" s="560" t="s">
        <v>165</v>
      </c>
      <c r="B1603" s="899" t="s">
        <v>165</v>
      </c>
      <c r="C1603" s="900" t="s">
        <v>165</v>
      </c>
      <c r="D1603" s="906"/>
      <c r="E1603" s="902"/>
      <c r="F1603" s="903"/>
      <c r="G1603" s="904"/>
      <c r="H1603" s="905"/>
      <c r="I1603" s="876" t="str">
        <f t="shared" si="408"/>
        <v/>
      </c>
      <c r="J1603" s="865">
        <f t="shared" si="409"/>
        <v>0</v>
      </c>
      <c r="K1603" s="903" t="s">
        <v>506</v>
      </c>
      <c r="L1603" s="879">
        <f>ROUND(SUM(ORÇAMENTO!L1603),2)</f>
        <v>0</v>
      </c>
      <c r="M1603" s="879">
        <f t="shared" si="402"/>
        <v>0</v>
      </c>
      <c r="N1603" s="868">
        <f t="shared" si="403"/>
        <v>0</v>
      </c>
      <c r="O1603" s="880"/>
      <c r="Q1603" s="317" t="str">
        <f t="shared" si="404"/>
        <v/>
      </c>
      <c r="R1603" s="317" t="str">
        <f t="shared" si="405"/>
        <v/>
      </c>
      <c r="S1603" s="317" t="str">
        <f t="shared" si="406"/>
        <v/>
      </c>
      <c r="V1603" s="314">
        <f>SUM(ORÇAMENTO!N1603)</f>
        <v>0</v>
      </c>
      <c r="W1603" s="315">
        <f t="shared" si="407"/>
        <v>0</v>
      </c>
    </row>
    <row r="1604" spans="1:23" ht="13.5" hidden="1" thickBot="1">
      <c r="A1604" s="560" t="s">
        <v>165</v>
      </c>
      <c r="B1604" s="899" t="s">
        <v>165</v>
      </c>
      <c r="C1604" s="900" t="s">
        <v>165</v>
      </c>
      <c r="D1604" s="906"/>
      <c r="E1604" s="902"/>
      <c r="F1604" s="903"/>
      <c r="G1604" s="904"/>
      <c r="H1604" s="905"/>
      <c r="I1604" s="876" t="str">
        <f t="shared" si="408"/>
        <v/>
      </c>
      <c r="J1604" s="865">
        <f t="shared" si="409"/>
        <v>0</v>
      </c>
      <c r="K1604" s="903" t="s">
        <v>506</v>
      </c>
      <c r="L1604" s="879">
        <f>ROUND(SUM(ORÇAMENTO!L1604),2)</f>
        <v>0</v>
      </c>
      <c r="M1604" s="879">
        <f t="shared" si="402"/>
        <v>0</v>
      </c>
      <c r="N1604" s="868">
        <f t="shared" si="403"/>
        <v>0</v>
      </c>
      <c r="O1604" s="880"/>
      <c r="Q1604" s="317" t="str">
        <f t="shared" si="404"/>
        <v/>
      </c>
      <c r="R1604" s="317" t="str">
        <f t="shared" si="405"/>
        <v/>
      </c>
      <c r="S1604" s="317" t="str">
        <f t="shared" si="406"/>
        <v/>
      </c>
      <c r="V1604" s="314">
        <f>SUM(ORÇAMENTO!N1604)</f>
        <v>0</v>
      </c>
      <c r="W1604" s="315">
        <f t="shared" si="407"/>
        <v>0</v>
      </c>
    </row>
    <row r="1605" spans="1:23" ht="13.5" hidden="1" thickBot="1">
      <c r="A1605" s="560" t="s">
        <v>165</v>
      </c>
      <c r="B1605" s="899" t="s">
        <v>165</v>
      </c>
      <c r="C1605" s="900" t="s">
        <v>165</v>
      </c>
      <c r="D1605" s="906"/>
      <c r="E1605" s="902"/>
      <c r="F1605" s="903"/>
      <c r="G1605" s="904"/>
      <c r="H1605" s="905"/>
      <c r="I1605" s="876" t="str">
        <f t="shared" si="408"/>
        <v/>
      </c>
      <c r="J1605" s="865">
        <f t="shared" si="409"/>
        <v>0</v>
      </c>
      <c r="K1605" s="903" t="s">
        <v>506</v>
      </c>
      <c r="L1605" s="879">
        <f>ROUND(SUM(ORÇAMENTO!L1605),2)</f>
        <v>0</v>
      </c>
      <c r="M1605" s="879">
        <f t="shared" si="402"/>
        <v>0</v>
      </c>
      <c r="N1605" s="868">
        <f t="shared" si="403"/>
        <v>0</v>
      </c>
      <c r="O1605" s="880"/>
      <c r="Q1605" s="317" t="str">
        <f t="shared" si="404"/>
        <v/>
      </c>
      <c r="R1605" s="317" t="str">
        <f t="shared" si="405"/>
        <v/>
      </c>
      <c r="S1605" s="317" t="str">
        <f t="shared" si="406"/>
        <v/>
      </c>
      <c r="V1605" s="314">
        <f>SUM(ORÇAMENTO!N1605)</f>
        <v>0</v>
      </c>
      <c r="W1605" s="315">
        <f t="shared" si="407"/>
        <v>0</v>
      </c>
    </row>
    <row r="1606" spans="1:23" ht="13.5" hidden="1" thickBot="1">
      <c r="A1606" s="560" t="s">
        <v>165</v>
      </c>
      <c r="B1606" s="899" t="s">
        <v>165</v>
      </c>
      <c r="C1606" s="900" t="s">
        <v>165</v>
      </c>
      <c r="D1606" s="906"/>
      <c r="E1606" s="902"/>
      <c r="F1606" s="903"/>
      <c r="G1606" s="904"/>
      <c r="H1606" s="905"/>
      <c r="I1606" s="876" t="str">
        <f t="shared" si="408"/>
        <v/>
      </c>
      <c r="J1606" s="865">
        <f t="shared" si="409"/>
        <v>0</v>
      </c>
      <c r="K1606" s="903" t="s">
        <v>506</v>
      </c>
      <c r="L1606" s="879">
        <f>ROUND(SUM(ORÇAMENTO!L1606),2)</f>
        <v>0</v>
      </c>
      <c r="M1606" s="879">
        <f t="shared" si="402"/>
        <v>0</v>
      </c>
      <c r="N1606" s="868">
        <f t="shared" si="403"/>
        <v>0</v>
      </c>
      <c r="O1606" s="880"/>
      <c r="Q1606" s="317" t="str">
        <f t="shared" si="404"/>
        <v/>
      </c>
      <c r="R1606" s="317" t="str">
        <f t="shared" si="405"/>
        <v/>
      </c>
      <c r="S1606" s="317" t="str">
        <f t="shared" si="406"/>
        <v/>
      </c>
      <c r="V1606" s="314">
        <f>SUM(ORÇAMENTO!N1606)</f>
        <v>0</v>
      </c>
      <c r="W1606" s="315">
        <f t="shared" si="407"/>
        <v>0</v>
      </c>
    </row>
    <row r="1607" spans="1:23" ht="13.5" hidden="1" thickBot="1">
      <c r="A1607" s="560" t="s">
        <v>165</v>
      </c>
      <c r="B1607" s="899" t="s">
        <v>165</v>
      </c>
      <c r="C1607" s="900" t="s">
        <v>165</v>
      </c>
      <c r="D1607" s="906"/>
      <c r="E1607" s="902"/>
      <c r="F1607" s="903"/>
      <c r="G1607" s="904"/>
      <c r="H1607" s="905"/>
      <c r="I1607" s="876" t="str">
        <f t="shared" si="408"/>
        <v/>
      </c>
      <c r="J1607" s="865">
        <f t="shared" si="409"/>
        <v>0</v>
      </c>
      <c r="K1607" s="903" t="s">
        <v>506</v>
      </c>
      <c r="L1607" s="879">
        <f>ROUND(SUM(ORÇAMENTO!L1607),2)</f>
        <v>0</v>
      </c>
      <c r="M1607" s="879">
        <f t="shared" si="402"/>
        <v>0</v>
      </c>
      <c r="N1607" s="868">
        <f t="shared" si="403"/>
        <v>0</v>
      </c>
      <c r="O1607" s="880"/>
      <c r="Q1607" s="317" t="str">
        <f t="shared" si="404"/>
        <v/>
      </c>
      <c r="R1607" s="317" t="str">
        <f t="shared" si="405"/>
        <v/>
      </c>
      <c r="S1607" s="317" t="str">
        <f t="shared" si="406"/>
        <v/>
      </c>
      <c r="V1607" s="314">
        <f>SUM(ORÇAMENTO!N1607)</f>
        <v>0</v>
      </c>
      <c r="W1607" s="315">
        <f t="shared" si="407"/>
        <v>0</v>
      </c>
    </row>
    <row r="1608" spans="1:23" ht="13.5" hidden="1" thickBot="1">
      <c r="A1608" s="560" t="s">
        <v>165</v>
      </c>
      <c r="B1608" s="899" t="s">
        <v>165</v>
      </c>
      <c r="C1608" s="900" t="s">
        <v>165</v>
      </c>
      <c r="D1608" s="906"/>
      <c r="E1608" s="902"/>
      <c r="F1608" s="903"/>
      <c r="G1608" s="904"/>
      <c r="H1608" s="905"/>
      <c r="I1608" s="876" t="str">
        <f t="shared" si="408"/>
        <v/>
      </c>
      <c r="J1608" s="865">
        <f t="shared" si="409"/>
        <v>0</v>
      </c>
      <c r="K1608" s="903" t="s">
        <v>506</v>
      </c>
      <c r="L1608" s="879">
        <f>ROUND(SUM(ORÇAMENTO!L1608),2)</f>
        <v>0</v>
      </c>
      <c r="M1608" s="879">
        <f t="shared" si="402"/>
        <v>0</v>
      </c>
      <c r="N1608" s="868">
        <f t="shared" si="403"/>
        <v>0</v>
      </c>
      <c r="O1608" s="880"/>
      <c r="Q1608" s="317" t="str">
        <f t="shared" si="404"/>
        <v/>
      </c>
      <c r="R1608" s="317" t="str">
        <f t="shared" si="405"/>
        <v/>
      </c>
      <c r="S1608" s="317" t="str">
        <f t="shared" si="406"/>
        <v/>
      </c>
      <c r="V1608" s="314">
        <f>SUM(ORÇAMENTO!N1608)</f>
        <v>0</v>
      </c>
      <c r="W1608" s="315">
        <f t="shared" si="407"/>
        <v>0</v>
      </c>
    </row>
    <row r="1609" spans="1:23" ht="13.5" hidden="1" thickBot="1">
      <c r="A1609" s="560" t="s">
        <v>165</v>
      </c>
      <c r="B1609" s="899" t="s">
        <v>165</v>
      </c>
      <c r="C1609" s="900" t="s">
        <v>165</v>
      </c>
      <c r="D1609" s="906"/>
      <c r="E1609" s="902"/>
      <c r="F1609" s="903"/>
      <c r="G1609" s="904"/>
      <c r="H1609" s="905"/>
      <c r="I1609" s="876" t="str">
        <f t="shared" si="408"/>
        <v/>
      </c>
      <c r="J1609" s="865">
        <f t="shared" si="409"/>
        <v>0</v>
      </c>
      <c r="K1609" s="903" t="s">
        <v>506</v>
      </c>
      <c r="L1609" s="879">
        <f>ROUND(SUM(ORÇAMENTO!L1609),2)</f>
        <v>0</v>
      </c>
      <c r="M1609" s="879">
        <f t="shared" si="402"/>
        <v>0</v>
      </c>
      <c r="N1609" s="868">
        <f t="shared" si="403"/>
        <v>0</v>
      </c>
      <c r="O1609" s="880"/>
      <c r="Q1609" s="317" t="str">
        <f t="shared" si="404"/>
        <v/>
      </c>
      <c r="R1609" s="317" t="str">
        <f t="shared" si="405"/>
        <v/>
      </c>
      <c r="S1609" s="317" t="str">
        <f t="shared" si="406"/>
        <v/>
      </c>
      <c r="V1609" s="314">
        <f>SUM(ORÇAMENTO!N1609)</f>
        <v>0</v>
      </c>
      <c r="W1609" s="315">
        <f t="shared" si="407"/>
        <v>0</v>
      </c>
    </row>
    <row r="1610" spans="1:23" ht="13.5" hidden="1" thickBot="1">
      <c r="A1610" s="560" t="s">
        <v>165</v>
      </c>
      <c r="B1610" s="899" t="s">
        <v>165</v>
      </c>
      <c r="C1610" s="900" t="s">
        <v>165</v>
      </c>
      <c r="D1610" s="906"/>
      <c r="E1610" s="902"/>
      <c r="F1610" s="903"/>
      <c r="G1610" s="904"/>
      <c r="H1610" s="905"/>
      <c r="I1610" s="876" t="str">
        <f t="shared" si="408"/>
        <v/>
      </c>
      <c r="J1610" s="865">
        <f t="shared" si="409"/>
        <v>0</v>
      </c>
      <c r="K1610" s="903" t="s">
        <v>506</v>
      </c>
      <c r="L1610" s="879">
        <f>ROUND(SUM(ORÇAMENTO!L1610),2)</f>
        <v>0</v>
      </c>
      <c r="M1610" s="879">
        <f t="shared" si="402"/>
        <v>0</v>
      </c>
      <c r="N1610" s="868">
        <f t="shared" si="403"/>
        <v>0</v>
      </c>
      <c r="O1610" s="880"/>
      <c r="Q1610" s="317" t="str">
        <f t="shared" si="404"/>
        <v/>
      </c>
      <c r="R1610" s="317" t="str">
        <f t="shared" si="405"/>
        <v/>
      </c>
      <c r="S1610" s="317" t="str">
        <f t="shared" si="406"/>
        <v/>
      </c>
      <c r="V1610" s="314">
        <f>SUM(ORÇAMENTO!N1610)</f>
        <v>0</v>
      </c>
      <c r="W1610" s="315">
        <f t="shared" si="407"/>
        <v>0</v>
      </c>
    </row>
    <row r="1611" spans="1:23" ht="13.5" hidden="1" thickBot="1">
      <c r="A1611" s="560" t="s">
        <v>165</v>
      </c>
      <c r="B1611" s="899" t="s">
        <v>165</v>
      </c>
      <c r="C1611" s="900" t="s">
        <v>165</v>
      </c>
      <c r="D1611" s="906"/>
      <c r="E1611" s="902"/>
      <c r="F1611" s="903"/>
      <c r="G1611" s="904"/>
      <c r="H1611" s="905"/>
      <c r="I1611" s="876" t="str">
        <f t="shared" si="408"/>
        <v/>
      </c>
      <c r="J1611" s="865">
        <f t="shared" si="409"/>
        <v>0</v>
      </c>
      <c r="K1611" s="903" t="s">
        <v>506</v>
      </c>
      <c r="L1611" s="879">
        <f>ROUND(SUM(ORÇAMENTO!L1611),2)</f>
        <v>0</v>
      </c>
      <c r="M1611" s="879">
        <f t="shared" si="402"/>
        <v>0</v>
      </c>
      <c r="N1611" s="868">
        <f t="shared" si="403"/>
        <v>0</v>
      </c>
      <c r="O1611" s="880"/>
      <c r="Q1611" s="317" t="str">
        <f t="shared" si="404"/>
        <v/>
      </c>
      <c r="R1611" s="317" t="str">
        <f t="shared" si="405"/>
        <v/>
      </c>
      <c r="S1611" s="317" t="str">
        <f t="shared" si="406"/>
        <v/>
      </c>
      <c r="V1611" s="314">
        <f>SUM(ORÇAMENTO!N1611)</f>
        <v>0</v>
      </c>
      <c r="W1611" s="315">
        <f t="shared" si="407"/>
        <v>0</v>
      </c>
    </row>
    <row r="1612" spans="1:23" ht="13.5" hidden="1" thickBot="1">
      <c r="A1612" s="560" t="s">
        <v>165</v>
      </c>
      <c r="B1612" s="899" t="s">
        <v>165</v>
      </c>
      <c r="C1612" s="900" t="s">
        <v>165</v>
      </c>
      <c r="D1612" s="906"/>
      <c r="E1612" s="902"/>
      <c r="F1612" s="903"/>
      <c r="G1612" s="904"/>
      <c r="H1612" s="905"/>
      <c r="I1612" s="876" t="str">
        <f t="shared" si="408"/>
        <v/>
      </c>
      <c r="J1612" s="865">
        <f t="shared" si="409"/>
        <v>0</v>
      </c>
      <c r="K1612" s="903" t="s">
        <v>506</v>
      </c>
      <c r="L1612" s="879">
        <f>ROUND(SUM(ORÇAMENTO!L1612),2)</f>
        <v>0</v>
      </c>
      <c r="M1612" s="879">
        <f t="shared" si="402"/>
        <v>0</v>
      </c>
      <c r="N1612" s="868">
        <f t="shared" si="403"/>
        <v>0</v>
      </c>
      <c r="O1612" s="880"/>
      <c r="Q1612" s="317" t="str">
        <f t="shared" si="404"/>
        <v/>
      </c>
      <c r="R1612" s="317" t="str">
        <f t="shared" si="405"/>
        <v/>
      </c>
      <c r="S1612" s="317" t="str">
        <f t="shared" si="406"/>
        <v/>
      </c>
      <c r="V1612" s="314">
        <f>SUM(ORÇAMENTO!N1612)</f>
        <v>0</v>
      </c>
      <c r="W1612" s="315">
        <f t="shared" si="407"/>
        <v>0</v>
      </c>
    </row>
    <row r="1613" spans="1:23" ht="13.5" hidden="1" thickBot="1">
      <c r="A1613" s="560" t="s">
        <v>165</v>
      </c>
      <c r="B1613" s="899" t="s">
        <v>165</v>
      </c>
      <c r="C1613" s="900" t="s">
        <v>165</v>
      </c>
      <c r="D1613" s="906"/>
      <c r="E1613" s="902"/>
      <c r="F1613" s="903"/>
      <c r="G1613" s="904"/>
      <c r="H1613" s="905"/>
      <c r="I1613" s="876" t="str">
        <f t="shared" si="408"/>
        <v/>
      </c>
      <c r="J1613" s="865">
        <f t="shared" si="409"/>
        <v>0</v>
      </c>
      <c r="K1613" s="903" t="s">
        <v>506</v>
      </c>
      <c r="L1613" s="879">
        <f>ROUND(SUM(ORÇAMENTO!L1613),2)</f>
        <v>0</v>
      </c>
      <c r="M1613" s="879">
        <f t="shared" si="402"/>
        <v>0</v>
      </c>
      <c r="N1613" s="868">
        <f t="shared" si="403"/>
        <v>0</v>
      </c>
      <c r="O1613" s="880"/>
      <c r="Q1613" s="317" t="str">
        <f t="shared" si="404"/>
        <v/>
      </c>
      <c r="R1613" s="317" t="str">
        <f t="shared" si="405"/>
        <v/>
      </c>
      <c r="S1613" s="317" t="str">
        <f t="shared" si="406"/>
        <v/>
      </c>
      <c r="V1613" s="314">
        <f>SUM(ORÇAMENTO!N1613)</f>
        <v>0</v>
      </c>
      <c r="W1613" s="315">
        <f t="shared" si="407"/>
        <v>0</v>
      </c>
    </row>
    <row r="1614" spans="1:23" ht="13.5" hidden="1" thickBot="1">
      <c r="A1614" s="560" t="s">
        <v>165</v>
      </c>
      <c r="B1614" s="899" t="s">
        <v>165</v>
      </c>
      <c r="C1614" s="900" t="s">
        <v>165</v>
      </c>
      <c r="D1614" s="906"/>
      <c r="E1614" s="902"/>
      <c r="F1614" s="903"/>
      <c r="G1614" s="904"/>
      <c r="H1614" s="905"/>
      <c r="I1614" s="876" t="str">
        <f t="shared" si="408"/>
        <v/>
      </c>
      <c r="J1614" s="865">
        <f t="shared" si="409"/>
        <v>0</v>
      </c>
      <c r="K1614" s="903" t="s">
        <v>506</v>
      </c>
      <c r="L1614" s="879">
        <f>ROUND(SUM(ORÇAMENTO!L1614),2)</f>
        <v>0</v>
      </c>
      <c r="M1614" s="879">
        <f t="shared" si="402"/>
        <v>0</v>
      </c>
      <c r="N1614" s="868">
        <f t="shared" si="403"/>
        <v>0</v>
      </c>
      <c r="O1614" s="880"/>
      <c r="Q1614" s="317" t="str">
        <f t="shared" si="404"/>
        <v/>
      </c>
      <c r="R1614" s="317" t="str">
        <f t="shared" si="405"/>
        <v/>
      </c>
      <c r="S1614" s="317" t="str">
        <f t="shared" si="406"/>
        <v/>
      </c>
      <c r="V1614" s="314">
        <f>SUM(ORÇAMENTO!N1614)</f>
        <v>0</v>
      </c>
      <c r="W1614" s="315">
        <f t="shared" si="407"/>
        <v>0</v>
      </c>
    </row>
    <row r="1615" spans="1:23" ht="13.5" hidden="1" thickBot="1">
      <c r="A1615" s="560" t="s">
        <v>165</v>
      </c>
      <c r="B1615" s="899" t="s">
        <v>165</v>
      </c>
      <c r="C1615" s="900" t="s">
        <v>165</v>
      </c>
      <c r="D1615" s="906"/>
      <c r="E1615" s="902"/>
      <c r="F1615" s="903"/>
      <c r="G1615" s="904"/>
      <c r="H1615" s="905"/>
      <c r="I1615" s="876" t="str">
        <f t="shared" si="408"/>
        <v/>
      </c>
      <c r="J1615" s="865">
        <f t="shared" si="409"/>
        <v>0</v>
      </c>
      <c r="K1615" s="903" t="s">
        <v>506</v>
      </c>
      <c r="L1615" s="879">
        <f>ROUND(SUM(ORÇAMENTO!L1615),2)</f>
        <v>0</v>
      </c>
      <c r="M1615" s="879">
        <f t="shared" si="402"/>
        <v>0</v>
      </c>
      <c r="N1615" s="868">
        <f t="shared" si="403"/>
        <v>0</v>
      </c>
      <c r="O1615" s="880"/>
      <c r="Q1615" s="317" t="str">
        <f t="shared" si="404"/>
        <v/>
      </c>
      <c r="R1615" s="317" t="str">
        <f t="shared" si="405"/>
        <v/>
      </c>
      <c r="S1615" s="317" t="str">
        <f t="shared" si="406"/>
        <v/>
      </c>
      <c r="V1615" s="314">
        <f>SUM(ORÇAMENTO!N1615)</f>
        <v>0</v>
      </c>
      <c r="W1615" s="315">
        <f t="shared" si="407"/>
        <v>0</v>
      </c>
    </row>
    <row r="1616" spans="1:23" ht="13.5" hidden="1" thickBot="1">
      <c r="A1616" s="560" t="s">
        <v>165</v>
      </c>
      <c r="B1616" s="899" t="s">
        <v>165</v>
      </c>
      <c r="C1616" s="900" t="s">
        <v>165</v>
      </c>
      <c r="D1616" s="906"/>
      <c r="E1616" s="902"/>
      <c r="F1616" s="903"/>
      <c r="G1616" s="904"/>
      <c r="H1616" s="905"/>
      <c r="I1616" s="876" t="str">
        <f t="shared" si="408"/>
        <v/>
      </c>
      <c r="J1616" s="865">
        <f t="shared" si="409"/>
        <v>0</v>
      </c>
      <c r="K1616" s="903" t="s">
        <v>506</v>
      </c>
      <c r="L1616" s="879">
        <f>ROUND(SUM(ORÇAMENTO!L1616),2)</f>
        <v>0</v>
      </c>
      <c r="M1616" s="879">
        <f t="shared" si="402"/>
        <v>0</v>
      </c>
      <c r="N1616" s="868">
        <f t="shared" si="403"/>
        <v>0</v>
      </c>
      <c r="O1616" s="880"/>
      <c r="Q1616" s="317" t="str">
        <f t="shared" si="404"/>
        <v/>
      </c>
      <c r="R1616" s="317" t="str">
        <f t="shared" si="405"/>
        <v/>
      </c>
      <c r="S1616" s="317" t="str">
        <f t="shared" si="406"/>
        <v/>
      </c>
      <c r="V1616" s="314">
        <f>SUM(ORÇAMENTO!N1616)</f>
        <v>0</v>
      </c>
      <c r="W1616" s="315">
        <f t="shared" si="407"/>
        <v>0</v>
      </c>
    </row>
    <row r="1617" spans="1:23" ht="13.5" hidden="1" thickBot="1">
      <c r="A1617" s="560" t="s">
        <v>165</v>
      </c>
      <c r="B1617" s="899" t="s">
        <v>165</v>
      </c>
      <c r="C1617" s="900" t="s">
        <v>165</v>
      </c>
      <c r="D1617" s="906"/>
      <c r="E1617" s="902"/>
      <c r="F1617" s="903"/>
      <c r="G1617" s="904"/>
      <c r="H1617" s="905"/>
      <c r="I1617" s="876" t="str">
        <f t="shared" si="408"/>
        <v/>
      </c>
      <c r="J1617" s="865">
        <f t="shared" si="409"/>
        <v>0</v>
      </c>
      <c r="K1617" s="903" t="s">
        <v>506</v>
      </c>
      <c r="L1617" s="879">
        <f>ROUND(SUM(ORÇAMENTO!L1617),2)</f>
        <v>0</v>
      </c>
      <c r="M1617" s="879">
        <f t="shared" si="402"/>
        <v>0</v>
      </c>
      <c r="N1617" s="868">
        <f t="shared" si="403"/>
        <v>0</v>
      </c>
      <c r="O1617" s="880"/>
      <c r="Q1617" s="317" t="str">
        <f t="shared" si="404"/>
        <v/>
      </c>
      <c r="R1617" s="317" t="str">
        <f t="shared" si="405"/>
        <v/>
      </c>
      <c r="S1617" s="317" t="str">
        <f t="shared" si="406"/>
        <v/>
      </c>
      <c r="V1617" s="314">
        <f>SUM(ORÇAMENTO!N1617)</f>
        <v>0</v>
      </c>
      <c r="W1617" s="315">
        <f t="shared" si="407"/>
        <v>0</v>
      </c>
    </row>
    <row r="1618" spans="1:23" ht="13.5" hidden="1" thickBot="1">
      <c r="A1618" s="560" t="s">
        <v>165</v>
      </c>
      <c r="B1618" s="899" t="s">
        <v>165</v>
      </c>
      <c r="C1618" s="900" t="s">
        <v>165</v>
      </c>
      <c r="D1618" s="906"/>
      <c r="E1618" s="902"/>
      <c r="F1618" s="903"/>
      <c r="G1618" s="904"/>
      <c r="H1618" s="905"/>
      <c r="I1618" s="876" t="str">
        <f t="shared" si="408"/>
        <v/>
      </c>
      <c r="J1618" s="865">
        <f t="shared" si="409"/>
        <v>0</v>
      </c>
      <c r="K1618" s="903" t="s">
        <v>506</v>
      </c>
      <c r="L1618" s="879">
        <f>ROUND(SUM(ORÇAMENTO!L1618),2)</f>
        <v>0</v>
      </c>
      <c r="M1618" s="879">
        <f t="shared" ref="M1618:M1681" si="410">IF(L1618=0,0,ROUND(J1618,2))</f>
        <v>0</v>
      </c>
      <c r="N1618" s="868">
        <f t="shared" ref="N1618:N1681" si="411">IF(ISBLANK(L1618),0,ROUND(L1618*M1618,2))</f>
        <v>0</v>
      </c>
      <c r="O1618" s="880"/>
      <c r="Q1618" s="317" t="str">
        <f t="shared" ref="Q1618:Q1681" si="412">IF(P1618="X","x",IF(P1618="xx","x",IF(P1618="xy","x",IF(P1618="y","x",IF(OR(N1618&gt;0,N1618&gt;0),"x","")))))</f>
        <v/>
      </c>
      <c r="R1618" s="317" t="str">
        <f t="shared" ref="R1618:R1681" si="413">IF(P1618="X","x",IF(P1618="y","x",IF(P1618="xx","x",IF(N1618&gt;0,"x",""))))</f>
        <v/>
      </c>
      <c r="S1618" s="317" t="str">
        <f t="shared" ref="S1618:S1681" si="414">IF(P1618="X","x",IF(N1618&gt;0,"x",""))</f>
        <v/>
      </c>
      <c r="V1618" s="314">
        <f>SUM(ORÇAMENTO!N1618)</f>
        <v>0</v>
      </c>
      <c r="W1618" s="315">
        <f t="shared" si="407"/>
        <v>0</v>
      </c>
    </row>
    <row r="1619" spans="1:23" ht="13.5" hidden="1" thickBot="1">
      <c r="A1619" s="560" t="s">
        <v>165</v>
      </c>
      <c r="B1619" s="899" t="s">
        <v>165</v>
      </c>
      <c r="C1619" s="900" t="s">
        <v>165</v>
      </c>
      <c r="D1619" s="906"/>
      <c r="E1619" s="902"/>
      <c r="F1619" s="903"/>
      <c r="G1619" s="904"/>
      <c r="H1619" s="905"/>
      <c r="I1619" s="876" t="str">
        <f t="shared" si="408"/>
        <v/>
      </c>
      <c r="J1619" s="865">
        <f t="shared" si="409"/>
        <v>0</v>
      </c>
      <c r="K1619" s="903" t="s">
        <v>506</v>
      </c>
      <c r="L1619" s="879">
        <f>ROUND(SUM(ORÇAMENTO!L1619),2)</f>
        <v>0</v>
      </c>
      <c r="M1619" s="879">
        <f t="shared" si="410"/>
        <v>0</v>
      </c>
      <c r="N1619" s="868">
        <f t="shared" si="411"/>
        <v>0</v>
      </c>
      <c r="O1619" s="880"/>
      <c r="Q1619" s="317" t="str">
        <f t="shared" si="412"/>
        <v/>
      </c>
      <c r="R1619" s="317" t="str">
        <f t="shared" si="413"/>
        <v/>
      </c>
      <c r="S1619" s="317" t="str">
        <f t="shared" si="414"/>
        <v/>
      </c>
      <c r="V1619" s="314">
        <f>SUM(ORÇAMENTO!N1619)</f>
        <v>0</v>
      </c>
      <c r="W1619" s="315">
        <f t="shared" si="407"/>
        <v>0</v>
      </c>
    </row>
    <row r="1620" spans="1:23" ht="13.5" hidden="1" thickBot="1">
      <c r="A1620" s="560" t="s">
        <v>165</v>
      </c>
      <c r="B1620" s="899" t="s">
        <v>165</v>
      </c>
      <c r="C1620" s="900" t="s">
        <v>165</v>
      </c>
      <c r="D1620" s="906"/>
      <c r="E1620" s="902"/>
      <c r="F1620" s="903"/>
      <c r="G1620" s="904"/>
      <c r="H1620" s="905"/>
      <c r="I1620" s="876" t="str">
        <f t="shared" si="408"/>
        <v/>
      </c>
      <c r="J1620" s="865">
        <f t="shared" si="409"/>
        <v>0</v>
      </c>
      <c r="K1620" s="903" t="s">
        <v>506</v>
      </c>
      <c r="L1620" s="879">
        <f>ROUND(SUM(ORÇAMENTO!L1620),2)</f>
        <v>0</v>
      </c>
      <c r="M1620" s="879">
        <f t="shared" si="410"/>
        <v>0</v>
      </c>
      <c r="N1620" s="868">
        <f t="shared" si="411"/>
        <v>0</v>
      </c>
      <c r="O1620" s="880"/>
      <c r="Q1620" s="317" t="str">
        <f t="shared" si="412"/>
        <v/>
      </c>
      <c r="R1620" s="317" t="str">
        <f t="shared" si="413"/>
        <v/>
      </c>
      <c r="S1620" s="317" t="str">
        <f t="shared" si="414"/>
        <v/>
      </c>
      <c r="V1620" s="314">
        <f>SUM(ORÇAMENTO!N1620)</f>
        <v>0</v>
      </c>
      <c r="W1620" s="315">
        <f t="shared" si="407"/>
        <v>0</v>
      </c>
    </row>
    <row r="1621" spans="1:23" ht="13.5" hidden="1" thickBot="1">
      <c r="A1621" s="560" t="s">
        <v>165</v>
      </c>
      <c r="B1621" s="899" t="s">
        <v>165</v>
      </c>
      <c r="C1621" s="900" t="s">
        <v>165</v>
      </c>
      <c r="D1621" s="906"/>
      <c r="E1621" s="902"/>
      <c r="F1621" s="903"/>
      <c r="G1621" s="904"/>
      <c r="H1621" s="905"/>
      <c r="I1621" s="876" t="str">
        <f t="shared" si="408"/>
        <v/>
      </c>
      <c r="J1621" s="865">
        <f t="shared" si="409"/>
        <v>0</v>
      </c>
      <c r="K1621" s="903" t="s">
        <v>506</v>
      </c>
      <c r="L1621" s="879">
        <f>ROUND(SUM(ORÇAMENTO!L1621),2)</f>
        <v>0</v>
      </c>
      <c r="M1621" s="879">
        <f t="shared" si="410"/>
        <v>0</v>
      </c>
      <c r="N1621" s="868">
        <f t="shared" si="411"/>
        <v>0</v>
      </c>
      <c r="O1621" s="880"/>
      <c r="Q1621" s="317" t="str">
        <f t="shared" si="412"/>
        <v/>
      </c>
      <c r="R1621" s="317" t="str">
        <f t="shared" si="413"/>
        <v/>
      </c>
      <c r="S1621" s="317" t="str">
        <f t="shared" si="414"/>
        <v/>
      </c>
      <c r="V1621" s="314">
        <f>SUM(ORÇAMENTO!N1621)</f>
        <v>0</v>
      </c>
      <c r="W1621" s="315">
        <f t="shared" ref="W1621:W1684" si="415">N1621-V1621</f>
        <v>0</v>
      </c>
    </row>
    <row r="1622" spans="1:23" ht="13.5" hidden="1" thickBot="1">
      <c r="A1622" s="560" t="s">
        <v>165</v>
      </c>
      <c r="B1622" s="899" t="s">
        <v>165</v>
      </c>
      <c r="C1622" s="900" t="s">
        <v>165</v>
      </c>
      <c r="D1622" s="906"/>
      <c r="E1622" s="902"/>
      <c r="F1622" s="903"/>
      <c r="G1622" s="904"/>
      <c r="H1622" s="905"/>
      <c r="I1622" s="876" t="str">
        <f t="shared" si="408"/>
        <v/>
      </c>
      <c r="J1622" s="865">
        <f t="shared" si="409"/>
        <v>0</v>
      </c>
      <c r="K1622" s="903" t="s">
        <v>506</v>
      </c>
      <c r="L1622" s="879">
        <f>ROUND(SUM(ORÇAMENTO!L1622),2)</f>
        <v>0</v>
      </c>
      <c r="M1622" s="879">
        <f t="shared" si="410"/>
        <v>0</v>
      </c>
      <c r="N1622" s="868">
        <f t="shared" si="411"/>
        <v>0</v>
      </c>
      <c r="O1622" s="880"/>
      <c r="Q1622" s="317" t="str">
        <f t="shared" si="412"/>
        <v/>
      </c>
      <c r="R1622" s="317" t="str">
        <f t="shared" si="413"/>
        <v/>
      </c>
      <c r="S1622" s="317" t="str">
        <f t="shared" si="414"/>
        <v/>
      </c>
      <c r="V1622" s="314">
        <f>SUM(ORÇAMENTO!N1622)</f>
        <v>0</v>
      </c>
      <c r="W1622" s="315">
        <f t="shared" si="415"/>
        <v>0</v>
      </c>
    </row>
    <row r="1623" spans="1:23" ht="13.5" hidden="1" thickBot="1">
      <c r="A1623" s="560" t="s">
        <v>165</v>
      </c>
      <c r="B1623" s="899" t="s">
        <v>165</v>
      </c>
      <c r="C1623" s="900" t="s">
        <v>165</v>
      </c>
      <c r="D1623" s="906"/>
      <c r="E1623" s="902"/>
      <c r="F1623" s="903"/>
      <c r="G1623" s="904"/>
      <c r="H1623" s="905"/>
      <c r="I1623" s="876" t="str">
        <f t="shared" si="408"/>
        <v/>
      </c>
      <c r="J1623" s="865">
        <f t="shared" si="409"/>
        <v>0</v>
      </c>
      <c r="K1623" s="903" t="s">
        <v>506</v>
      </c>
      <c r="L1623" s="879">
        <f>ROUND(SUM(ORÇAMENTO!L1623),2)</f>
        <v>0</v>
      </c>
      <c r="M1623" s="879">
        <f t="shared" si="410"/>
        <v>0</v>
      </c>
      <c r="N1623" s="868">
        <f t="shared" si="411"/>
        <v>0</v>
      </c>
      <c r="O1623" s="880"/>
      <c r="Q1623" s="317" t="str">
        <f t="shared" si="412"/>
        <v/>
      </c>
      <c r="R1623" s="317" t="str">
        <f t="shared" si="413"/>
        <v/>
      </c>
      <c r="S1623" s="317" t="str">
        <f t="shared" si="414"/>
        <v/>
      </c>
      <c r="V1623" s="314">
        <f>SUM(ORÇAMENTO!N1623)</f>
        <v>0</v>
      </c>
      <c r="W1623" s="315">
        <f t="shared" si="415"/>
        <v>0</v>
      </c>
    </row>
    <row r="1624" spans="1:23" ht="13.5" hidden="1" thickBot="1">
      <c r="A1624" s="560" t="s">
        <v>165</v>
      </c>
      <c r="B1624" s="1274" t="s">
        <v>165</v>
      </c>
      <c r="C1624" s="1275" t="s">
        <v>165</v>
      </c>
      <c r="D1624" s="1276"/>
      <c r="E1624" s="910"/>
      <c r="F1624" s="911"/>
      <c r="G1624" s="912"/>
      <c r="H1624" s="913"/>
      <c r="I1624" s="914" t="str">
        <f t="shared" si="408"/>
        <v/>
      </c>
      <c r="J1624" s="915">
        <f t="shared" si="409"/>
        <v>0</v>
      </c>
      <c r="K1624" s="911" t="s">
        <v>506</v>
      </c>
      <c r="L1624" s="972">
        <f>ROUND(SUM(ORÇAMENTO!L1624),2)</f>
        <v>0</v>
      </c>
      <c r="M1624" s="972">
        <f t="shared" si="410"/>
        <v>0</v>
      </c>
      <c r="N1624" s="916">
        <f t="shared" si="411"/>
        <v>0</v>
      </c>
      <c r="O1624" s="880"/>
      <c r="Q1624" s="317" t="str">
        <f t="shared" si="412"/>
        <v/>
      </c>
      <c r="R1624" s="317" t="str">
        <f t="shared" si="413"/>
        <v/>
      </c>
      <c r="S1624" s="317" t="str">
        <f t="shared" si="414"/>
        <v/>
      </c>
      <c r="V1624" s="314">
        <f>SUM(ORÇAMENTO!N1624)</f>
        <v>0</v>
      </c>
      <c r="W1624" s="315">
        <f t="shared" si="415"/>
        <v>0</v>
      </c>
    </row>
    <row r="1625" spans="1:23" ht="13.5" thickBot="1">
      <c r="A1625" s="63">
        <v>9</v>
      </c>
      <c r="B1625" s="924" t="s">
        <v>439</v>
      </c>
      <c r="C1625" s="925"/>
      <c r="D1625" s="926" t="s">
        <v>440</v>
      </c>
      <c r="E1625" s="917"/>
      <c r="F1625" s="851"/>
      <c r="G1625" s="918"/>
      <c r="H1625" s="919">
        <v>0</v>
      </c>
      <c r="I1625" s="919"/>
      <c r="J1625" s="919"/>
      <c r="K1625" s="853" t="s">
        <v>506</v>
      </c>
      <c r="L1625" s="1011">
        <f>ROUND(SUM(ORÇAMENTO!L1625),2)</f>
        <v>0</v>
      </c>
      <c r="M1625" s="1012">
        <f t="shared" si="410"/>
        <v>0</v>
      </c>
      <c r="N1625" s="856">
        <f t="shared" si="411"/>
        <v>0</v>
      </c>
      <c r="O1625" s="857">
        <f>SUM(N1626:N1719)</f>
        <v>32567.4</v>
      </c>
      <c r="P1625" s="58" t="str">
        <f>IF(OR(O1625&gt;0,O1625&gt;0),"X","")</f>
        <v>X</v>
      </c>
      <c r="Q1625" s="317" t="str">
        <f t="shared" si="412"/>
        <v>x</v>
      </c>
      <c r="R1625" s="317" t="str">
        <f t="shared" si="413"/>
        <v>x</v>
      </c>
      <c r="S1625" s="317" t="str">
        <f t="shared" si="414"/>
        <v>x</v>
      </c>
      <c r="V1625" s="314">
        <f>SUM(ORÇAMENTO!N1625)</f>
        <v>0</v>
      </c>
      <c r="W1625" s="315">
        <f t="shared" si="415"/>
        <v>0</v>
      </c>
    </row>
    <row r="1626" spans="1:23" hidden="1">
      <c r="A1626" s="63">
        <v>850000</v>
      </c>
      <c r="B1626" s="858">
        <v>850000</v>
      </c>
      <c r="C1626" s="859" t="s">
        <v>184</v>
      </c>
      <c r="D1626" s="920" t="s">
        <v>279</v>
      </c>
      <c r="E1626" s="861">
        <f>DMT!F7</f>
        <v>18</v>
      </c>
      <c r="F1626" s="921">
        <v>1.73</v>
      </c>
      <c r="G1626" s="922">
        <f t="shared" ref="G1626" si="416">IF(E1626&lt;=30,(1.07*E1626+2.68)*F1626,((1.07*30+2.68)+1.07*(E1626-30))*F1626)</f>
        <v>37.956200000000003</v>
      </c>
      <c r="H1626" s="864">
        <v>7254.91</v>
      </c>
      <c r="I1626" s="864">
        <f t="shared" ref="I1626:I1631" si="417">IF(ISBLANK(H1626),"",SUM(G1626:H1626))</f>
        <v>7292.8661999999995</v>
      </c>
      <c r="J1626" s="865">
        <f>IF(ISBLANK(H1626),0,ROUND(I1626*(1+$E$10),2))</f>
        <v>8913.34</v>
      </c>
      <c r="K1626" s="866" t="s">
        <v>15</v>
      </c>
      <c r="L1626" s="1013">
        <f>ROUND(SUM(ORÇAMENTO!L1626),2)</f>
        <v>0</v>
      </c>
      <c r="M1626" s="1013">
        <f t="shared" si="410"/>
        <v>0</v>
      </c>
      <c r="N1626" s="907">
        <f t="shared" si="411"/>
        <v>0</v>
      </c>
      <c r="O1626" s="880"/>
      <c r="Q1626" s="317" t="str">
        <f t="shared" si="412"/>
        <v/>
      </c>
      <c r="R1626" s="317" t="str">
        <f t="shared" si="413"/>
        <v/>
      </c>
      <c r="S1626" s="317" t="str">
        <f t="shared" si="414"/>
        <v/>
      </c>
      <c r="V1626" s="314">
        <f>SUM(ORÇAMENTO!N1626)</f>
        <v>0</v>
      </c>
      <c r="W1626" s="315">
        <f t="shared" si="415"/>
        <v>0</v>
      </c>
    </row>
    <row r="1627" spans="1:23" hidden="1">
      <c r="A1627" s="63">
        <v>603000</v>
      </c>
      <c r="B1627" s="870" t="s">
        <v>1753</v>
      </c>
      <c r="C1627" s="871" t="s">
        <v>184</v>
      </c>
      <c r="D1627" s="881" t="s">
        <v>261</v>
      </c>
      <c r="E1627" s="882"/>
      <c r="F1627" s="883"/>
      <c r="G1627" s="923"/>
      <c r="H1627" s="876">
        <v>18.34</v>
      </c>
      <c r="I1627" s="876">
        <f t="shared" si="417"/>
        <v>18.34</v>
      </c>
      <c r="J1627" s="877">
        <f t="shared" ref="J1627:J1687" si="418">IF(ISBLANK(H1627),0,ROUND(I1627*(1+$E$10),2))</f>
        <v>22.42</v>
      </c>
      <c r="K1627" s="878" t="s">
        <v>16</v>
      </c>
      <c r="L1627" s="1013">
        <f>ROUND(SUM(ORÇAMENTO!L1627),2)</f>
        <v>0</v>
      </c>
      <c r="M1627" s="1013">
        <f t="shared" si="410"/>
        <v>0</v>
      </c>
      <c r="N1627" s="868">
        <f t="shared" si="411"/>
        <v>0</v>
      </c>
      <c r="O1627" s="880"/>
      <c r="Q1627" s="317" t="str">
        <f t="shared" si="412"/>
        <v/>
      </c>
      <c r="R1627" s="317" t="str">
        <f t="shared" si="413"/>
        <v/>
      </c>
      <c r="S1627" s="317" t="str">
        <f t="shared" si="414"/>
        <v/>
      </c>
      <c r="V1627" s="314">
        <f>SUM(ORÇAMENTO!N1627)</f>
        <v>0</v>
      </c>
      <c r="W1627" s="315">
        <f t="shared" si="415"/>
        <v>0</v>
      </c>
    </row>
    <row r="1628" spans="1:23" hidden="1">
      <c r="A1628" s="63">
        <v>603300</v>
      </c>
      <c r="B1628" s="870" t="s">
        <v>1756</v>
      </c>
      <c r="C1628" s="871" t="s">
        <v>184</v>
      </c>
      <c r="D1628" s="881" t="s">
        <v>262</v>
      </c>
      <c r="E1628" s="882"/>
      <c r="F1628" s="883"/>
      <c r="G1628" s="923"/>
      <c r="H1628" s="876">
        <v>20.91</v>
      </c>
      <c r="I1628" s="876">
        <f t="shared" si="417"/>
        <v>20.91</v>
      </c>
      <c r="J1628" s="877">
        <f t="shared" si="418"/>
        <v>25.56</v>
      </c>
      <c r="K1628" s="878" t="s">
        <v>16</v>
      </c>
      <c r="L1628" s="1013">
        <f>ROUND(SUM(ORÇAMENTO!L1628),2)</f>
        <v>0</v>
      </c>
      <c r="M1628" s="1013">
        <f t="shared" si="410"/>
        <v>0</v>
      </c>
      <c r="N1628" s="868">
        <f t="shared" si="411"/>
        <v>0</v>
      </c>
      <c r="O1628" s="880"/>
      <c r="Q1628" s="317" t="str">
        <f t="shared" si="412"/>
        <v/>
      </c>
      <c r="R1628" s="317" t="str">
        <f t="shared" si="413"/>
        <v/>
      </c>
      <c r="S1628" s="317" t="str">
        <f t="shared" si="414"/>
        <v/>
      </c>
      <c r="V1628" s="314">
        <f>SUM(ORÇAMENTO!N1628)</f>
        <v>0</v>
      </c>
      <c r="W1628" s="315">
        <f t="shared" si="415"/>
        <v>0</v>
      </c>
    </row>
    <row r="1629" spans="1:23" hidden="1">
      <c r="A1629" s="63">
        <v>601100</v>
      </c>
      <c r="B1629" s="870" t="s">
        <v>1751</v>
      </c>
      <c r="C1629" s="871" t="s">
        <v>184</v>
      </c>
      <c r="D1629" s="881" t="s">
        <v>324</v>
      </c>
      <c r="E1629" s="882"/>
      <c r="F1629" s="883"/>
      <c r="G1629" s="887"/>
      <c r="H1629" s="876">
        <v>54.05</v>
      </c>
      <c r="I1629" s="876">
        <f t="shared" si="417"/>
        <v>54.05</v>
      </c>
      <c r="J1629" s="877">
        <f t="shared" si="418"/>
        <v>66.06</v>
      </c>
      <c r="K1629" s="878" t="s">
        <v>10</v>
      </c>
      <c r="L1629" s="1013">
        <f>ROUND(SUM(ORÇAMENTO!L1629),2)</f>
        <v>0</v>
      </c>
      <c r="M1629" s="1013">
        <f t="shared" si="410"/>
        <v>0</v>
      </c>
      <c r="N1629" s="868">
        <f t="shared" si="411"/>
        <v>0</v>
      </c>
      <c r="O1629" s="880"/>
      <c r="Q1629" s="317" t="str">
        <f t="shared" si="412"/>
        <v/>
      </c>
      <c r="R1629" s="317" t="str">
        <f t="shared" si="413"/>
        <v/>
      </c>
      <c r="S1629" s="317" t="str">
        <f t="shared" si="414"/>
        <v/>
      </c>
      <c r="V1629" s="314">
        <f>SUM(ORÇAMENTO!N1629)</f>
        <v>0</v>
      </c>
      <c r="W1629" s="315">
        <f t="shared" si="415"/>
        <v>0</v>
      </c>
    </row>
    <row r="1630" spans="1:23" hidden="1">
      <c r="A1630" s="63">
        <v>520100</v>
      </c>
      <c r="B1630" s="870" t="s">
        <v>1546</v>
      </c>
      <c r="C1630" s="871" t="s">
        <v>184</v>
      </c>
      <c r="D1630" s="881" t="s">
        <v>270</v>
      </c>
      <c r="E1630" s="935">
        <v>1</v>
      </c>
      <c r="F1630" s="874">
        <f>1.5*1.4</f>
        <v>2.0999999999999996</v>
      </c>
      <c r="G1630" s="884">
        <f t="shared" ref="G1630:G1633" si="419">IF(E1630&lt;=30,(1.07*E1630+2.68)*F1630,((1.07*30+2.68)+1.07*(E1630-30))*F1630)</f>
        <v>7.8749999999999982</v>
      </c>
      <c r="H1630" s="928">
        <v>5.45</v>
      </c>
      <c r="I1630" s="876">
        <f t="shared" si="417"/>
        <v>13.324999999999999</v>
      </c>
      <c r="J1630" s="877">
        <f t="shared" si="418"/>
        <v>16.29</v>
      </c>
      <c r="K1630" s="878" t="s">
        <v>10</v>
      </c>
      <c r="L1630" s="1013">
        <f>ROUND(SUM(ORÇAMENTO!L1630),2)</f>
        <v>0</v>
      </c>
      <c r="M1630" s="1013">
        <f t="shared" si="410"/>
        <v>0</v>
      </c>
      <c r="N1630" s="868">
        <f t="shared" si="411"/>
        <v>0</v>
      </c>
      <c r="O1630" s="880"/>
      <c r="Q1630" s="317" t="str">
        <f t="shared" si="412"/>
        <v/>
      </c>
      <c r="R1630" s="317" t="str">
        <f t="shared" si="413"/>
        <v/>
      </c>
      <c r="S1630" s="317" t="str">
        <f t="shared" si="414"/>
        <v/>
      </c>
      <c r="V1630" s="314">
        <f>SUM(ORÇAMENTO!N1630)</f>
        <v>0</v>
      </c>
      <c r="W1630" s="315">
        <f t="shared" si="415"/>
        <v>0</v>
      </c>
    </row>
    <row r="1631" spans="1:23" hidden="1">
      <c r="A1631" s="63">
        <v>520100</v>
      </c>
      <c r="B1631" s="870" t="s">
        <v>1547</v>
      </c>
      <c r="C1631" s="871" t="s">
        <v>184</v>
      </c>
      <c r="D1631" s="881" t="s">
        <v>271</v>
      </c>
      <c r="E1631" s="935">
        <v>10</v>
      </c>
      <c r="F1631" s="874">
        <f>1.5*1.4</f>
        <v>2.0999999999999996</v>
      </c>
      <c r="G1631" s="884">
        <f t="shared" si="419"/>
        <v>28.097999999999995</v>
      </c>
      <c r="H1631" s="928">
        <v>5.45</v>
      </c>
      <c r="I1631" s="876">
        <f t="shared" si="417"/>
        <v>33.547999999999995</v>
      </c>
      <c r="J1631" s="877">
        <f t="shared" si="418"/>
        <v>41</v>
      </c>
      <c r="K1631" s="878" t="s">
        <v>10</v>
      </c>
      <c r="L1631" s="1013">
        <f>ROUND(SUM(ORÇAMENTO!L1631),2)</f>
        <v>0</v>
      </c>
      <c r="M1631" s="1013">
        <f t="shared" si="410"/>
        <v>0</v>
      </c>
      <c r="N1631" s="868">
        <f t="shared" si="411"/>
        <v>0</v>
      </c>
      <c r="O1631" s="880"/>
      <c r="Q1631" s="317" t="str">
        <f t="shared" si="412"/>
        <v/>
      </c>
      <c r="R1631" s="317" t="str">
        <f t="shared" si="413"/>
        <v/>
      </c>
      <c r="S1631" s="317" t="str">
        <f t="shared" si="414"/>
        <v/>
      </c>
      <c r="V1631" s="314">
        <f>SUM(ORÇAMENTO!N1631)</f>
        <v>0</v>
      </c>
      <c r="W1631" s="315">
        <f t="shared" si="415"/>
        <v>0</v>
      </c>
    </row>
    <row r="1632" spans="1:23" hidden="1">
      <c r="A1632" s="63">
        <v>532500</v>
      </c>
      <c r="B1632" s="870" t="s">
        <v>1721</v>
      </c>
      <c r="C1632" s="871" t="s">
        <v>184</v>
      </c>
      <c r="D1632" s="931" t="s">
        <v>329</v>
      </c>
      <c r="E1632" s="882">
        <f>DMT!$F$8</f>
        <v>290</v>
      </c>
      <c r="F1632" s="883">
        <v>1.7250000000000001</v>
      </c>
      <c r="G1632" s="884">
        <f t="shared" si="419"/>
        <v>539.89050000000009</v>
      </c>
      <c r="H1632" s="876">
        <v>102.38</v>
      </c>
      <c r="I1632" s="876">
        <f>IF(ISBLANK(H1632),"",SUM(G1632:H1632))</f>
        <v>642.27050000000008</v>
      </c>
      <c r="J1632" s="877">
        <f t="shared" si="418"/>
        <v>784.98</v>
      </c>
      <c r="K1632" s="878" t="s">
        <v>10</v>
      </c>
      <c r="L1632" s="1013">
        <f>ROUND(SUM(ORÇAMENTO!L1632),2)</f>
        <v>0</v>
      </c>
      <c r="M1632" s="1013">
        <f t="shared" si="410"/>
        <v>0</v>
      </c>
      <c r="N1632" s="868">
        <f t="shared" si="411"/>
        <v>0</v>
      </c>
      <c r="O1632" s="880"/>
      <c r="Q1632" s="317" t="str">
        <f t="shared" si="412"/>
        <v/>
      </c>
      <c r="R1632" s="317" t="str">
        <f t="shared" si="413"/>
        <v/>
      </c>
      <c r="S1632" s="317" t="str">
        <f t="shared" si="414"/>
        <v/>
      </c>
      <c r="V1632" s="314">
        <f>SUM(ORÇAMENTO!N1632)</f>
        <v>0</v>
      </c>
      <c r="W1632" s="315">
        <f t="shared" si="415"/>
        <v>0</v>
      </c>
    </row>
    <row r="1633" spans="1:23" ht="14.45" hidden="1" customHeight="1">
      <c r="A1633" s="63">
        <v>603900</v>
      </c>
      <c r="B1633" s="870" t="s">
        <v>1726</v>
      </c>
      <c r="C1633" s="871" t="s">
        <v>184</v>
      </c>
      <c r="D1633" s="931" t="s">
        <v>330</v>
      </c>
      <c r="E1633" s="882">
        <f>DMT!$F$10</f>
        <v>43.1</v>
      </c>
      <c r="F1633" s="883">
        <v>1.5</v>
      </c>
      <c r="G1633" s="884">
        <f t="shared" si="419"/>
        <v>73.19550000000001</v>
      </c>
      <c r="H1633" s="876">
        <v>131.84</v>
      </c>
      <c r="I1633" s="876">
        <f>IF(ISBLANK(H1633),"",SUM(G1633:H1633))</f>
        <v>205.03550000000001</v>
      </c>
      <c r="J1633" s="877">
        <f t="shared" si="418"/>
        <v>250.59</v>
      </c>
      <c r="K1633" s="878" t="s">
        <v>10</v>
      </c>
      <c r="L1633" s="1013">
        <f>ROUND(SUM(ORÇAMENTO!L1633),2)</f>
        <v>0</v>
      </c>
      <c r="M1633" s="1013">
        <f t="shared" si="410"/>
        <v>0</v>
      </c>
      <c r="N1633" s="868">
        <f t="shared" si="411"/>
        <v>0</v>
      </c>
      <c r="O1633" s="880"/>
      <c r="Q1633" s="317" t="str">
        <f t="shared" si="412"/>
        <v/>
      </c>
      <c r="R1633" s="317" t="str">
        <f t="shared" si="413"/>
        <v/>
      </c>
      <c r="S1633" s="317" t="str">
        <f t="shared" si="414"/>
        <v/>
      </c>
      <c r="V1633" s="314">
        <f>SUM(ORÇAMENTO!N1633)</f>
        <v>0</v>
      </c>
      <c r="W1633" s="315">
        <f t="shared" si="415"/>
        <v>0</v>
      </c>
    </row>
    <row r="1634" spans="1:23" hidden="1">
      <c r="A1634" s="63">
        <v>605000</v>
      </c>
      <c r="B1634" s="870" t="s">
        <v>1765</v>
      </c>
      <c r="C1634" s="871" t="s">
        <v>184</v>
      </c>
      <c r="D1634" s="881" t="s">
        <v>259</v>
      </c>
      <c r="E1634" s="882"/>
      <c r="F1634" s="883"/>
      <c r="G1634" s="887">
        <f>SUM(G1635:G1637)</f>
        <v>449.80907000000002</v>
      </c>
      <c r="H1634" s="876">
        <v>425.25</v>
      </c>
      <c r="I1634" s="876">
        <f>IF(ISBLANK(H1634),"",SUM(G1634:H1634))</f>
        <v>875.05907000000002</v>
      </c>
      <c r="J1634" s="877">
        <f t="shared" si="418"/>
        <v>1069.5</v>
      </c>
      <c r="K1634" s="878" t="s">
        <v>10</v>
      </c>
      <c r="L1634" s="1013">
        <f>ROUND(SUM(ORÇAMENTO!L1634),2)</f>
        <v>0</v>
      </c>
      <c r="M1634" s="1013">
        <f t="shared" si="410"/>
        <v>0</v>
      </c>
      <c r="N1634" s="868">
        <f t="shared" si="411"/>
        <v>0</v>
      </c>
      <c r="O1634" s="880"/>
      <c r="Q1634" s="317" t="str">
        <f t="shared" si="412"/>
        <v/>
      </c>
      <c r="R1634" s="317" t="str">
        <f t="shared" si="413"/>
        <v/>
      </c>
      <c r="S1634" s="317" t="str">
        <f t="shared" si="414"/>
        <v/>
      </c>
      <c r="V1634" s="314">
        <f>SUM(ORÇAMENTO!N1634)</f>
        <v>0</v>
      </c>
      <c r="W1634" s="315">
        <f t="shared" si="415"/>
        <v>0</v>
      </c>
    </row>
    <row r="1635" spans="1:23" hidden="1">
      <c r="A1635" s="63" t="s">
        <v>147</v>
      </c>
      <c r="B1635" s="870" t="s">
        <v>147</v>
      </c>
      <c r="C1635" s="871"/>
      <c r="D1635" s="931" t="s">
        <v>190</v>
      </c>
      <c r="E1635" s="882">
        <f>DMT!$D$20</f>
        <v>445</v>
      </c>
      <c r="F1635" s="883">
        <v>0.18</v>
      </c>
      <c r="G1635" s="884">
        <f>IF(E1635&lt;=30,(0.78*E1635+7.82)*F1635,((0.78*30+7.82)+0.78*(E1635-30))*F1635)</f>
        <v>63.885600000000004</v>
      </c>
      <c r="H1635" s="876">
        <v>0</v>
      </c>
      <c r="I1635" s="876"/>
      <c r="J1635" s="877">
        <v>0</v>
      </c>
      <c r="K1635" s="932" t="s">
        <v>506</v>
      </c>
      <c r="L1635" s="1014">
        <f>ROUND(SUM(ORÇAMENTO!L1635),2)</f>
        <v>0</v>
      </c>
      <c r="M1635" s="1015">
        <f t="shared" si="410"/>
        <v>0</v>
      </c>
      <c r="N1635" s="868">
        <f t="shared" si="411"/>
        <v>0</v>
      </c>
      <c r="O1635" s="880"/>
      <c r="P1635" s="58" t="str">
        <f>IF(N1634&gt;0,"xx",IF(N1634&gt;0,"xy",""))</f>
        <v/>
      </c>
      <c r="Q1635" s="317" t="str">
        <f t="shared" si="412"/>
        <v/>
      </c>
      <c r="R1635" s="317" t="str">
        <f t="shared" si="413"/>
        <v/>
      </c>
      <c r="S1635" s="317" t="str">
        <f t="shared" si="414"/>
        <v/>
      </c>
      <c r="V1635" s="314">
        <f>SUM(ORÇAMENTO!N1635)</f>
        <v>0</v>
      </c>
      <c r="W1635" s="315">
        <f t="shared" si="415"/>
        <v>0</v>
      </c>
    </row>
    <row r="1636" spans="1:23" hidden="1">
      <c r="A1636" s="63" t="s">
        <v>147</v>
      </c>
      <c r="B1636" s="870" t="s">
        <v>147</v>
      </c>
      <c r="C1636" s="871"/>
      <c r="D1636" s="931" t="s">
        <v>229</v>
      </c>
      <c r="E1636" s="882">
        <f>DMT!$F$8</f>
        <v>290</v>
      </c>
      <c r="F1636" s="883">
        <v>1.06</v>
      </c>
      <c r="G1636" s="923">
        <f t="shared" ref="G1636:G1641" si="420">IF(E1636&lt;=30,(1.07*E1636+2.68)*F1636,((1.07*30+2.68)+1.07*(E1636-30))*F1636)</f>
        <v>331.75880000000001</v>
      </c>
      <c r="H1636" s="876">
        <v>0</v>
      </c>
      <c r="I1636" s="876"/>
      <c r="J1636" s="877">
        <v>0</v>
      </c>
      <c r="K1636" s="932" t="s">
        <v>506</v>
      </c>
      <c r="L1636" s="1014">
        <f>ROUND(SUM(ORÇAMENTO!L1636),2)</f>
        <v>0</v>
      </c>
      <c r="M1636" s="1015">
        <f t="shared" si="410"/>
        <v>0</v>
      </c>
      <c r="N1636" s="868">
        <f t="shared" si="411"/>
        <v>0</v>
      </c>
      <c r="O1636" s="880"/>
      <c r="P1636" s="58" t="str">
        <f>IF(N1634&gt;0,"xx",IF(N1634&gt;0,"xy",""))</f>
        <v/>
      </c>
      <c r="Q1636" s="317" t="str">
        <f t="shared" si="412"/>
        <v/>
      </c>
      <c r="R1636" s="317" t="str">
        <f t="shared" si="413"/>
        <v/>
      </c>
      <c r="S1636" s="317" t="str">
        <f t="shared" si="414"/>
        <v/>
      </c>
      <c r="V1636" s="314">
        <f>SUM(ORÇAMENTO!N1636)</f>
        <v>0</v>
      </c>
      <c r="W1636" s="315">
        <f t="shared" si="415"/>
        <v>0</v>
      </c>
    </row>
    <row r="1637" spans="1:23" hidden="1">
      <c r="A1637" s="63" t="s">
        <v>147</v>
      </c>
      <c r="B1637" s="870" t="s">
        <v>147</v>
      </c>
      <c r="C1637" s="871"/>
      <c r="D1637" s="931" t="s">
        <v>233</v>
      </c>
      <c r="E1637" s="882">
        <f>DMT!$F$10</f>
        <v>43.1</v>
      </c>
      <c r="F1637" s="883">
        <v>1.1100000000000001</v>
      </c>
      <c r="G1637" s="923">
        <f t="shared" si="420"/>
        <v>54.164670000000008</v>
      </c>
      <c r="H1637" s="876">
        <v>0</v>
      </c>
      <c r="I1637" s="876"/>
      <c r="J1637" s="877">
        <v>0</v>
      </c>
      <c r="K1637" s="932" t="s">
        <v>506</v>
      </c>
      <c r="L1637" s="1014">
        <f>ROUND(SUM(ORÇAMENTO!L1637),2)</f>
        <v>0</v>
      </c>
      <c r="M1637" s="1015">
        <f t="shared" si="410"/>
        <v>0</v>
      </c>
      <c r="N1637" s="868">
        <f t="shared" si="411"/>
        <v>0</v>
      </c>
      <c r="O1637" s="880"/>
      <c r="P1637" s="58" t="str">
        <f>IF(N1634&gt;0,"xx",IF(N1634&gt;0,"xy",""))</f>
        <v/>
      </c>
      <c r="Q1637" s="317" t="str">
        <f t="shared" si="412"/>
        <v/>
      </c>
      <c r="R1637" s="317" t="str">
        <f t="shared" si="413"/>
        <v/>
      </c>
      <c r="S1637" s="317" t="str">
        <f t="shared" si="414"/>
        <v/>
      </c>
      <c r="V1637" s="314">
        <f>SUM(ORÇAMENTO!N1637)</f>
        <v>0</v>
      </c>
      <c r="W1637" s="315">
        <f t="shared" si="415"/>
        <v>0</v>
      </c>
    </row>
    <row r="1638" spans="1:23" hidden="1">
      <c r="A1638" s="63">
        <v>400500</v>
      </c>
      <c r="B1638" s="870" t="s">
        <v>1720</v>
      </c>
      <c r="C1638" s="871" t="s">
        <v>184</v>
      </c>
      <c r="D1638" s="881" t="s">
        <v>1716</v>
      </c>
      <c r="E1638" s="882">
        <f>DMT!$F$8</f>
        <v>290</v>
      </c>
      <c r="F1638" s="883">
        <v>1.73</v>
      </c>
      <c r="G1638" s="923">
        <f t="shared" si="420"/>
        <v>541.45540000000005</v>
      </c>
      <c r="H1638" s="876">
        <v>83.83</v>
      </c>
      <c r="I1638" s="876">
        <f>IF(ISBLANK(H1638),"",SUM(G1638:H1638))</f>
        <v>625.2854000000001</v>
      </c>
      <c r="J1638" s="877">
        <f t="shared" si="418"/>
        <v>764.22</v>
      </c>
      <c r="K1638" s="878" t="s">
        <v>10</v>
      </c>
      <c r="L1638" s="1013">
        <f>ROUND(SUM(ORÇAMENTO!L1638),2)</f>
        <v>0</v>
      </c>
      <c r="M1638" s="1013">
        <f t="shared" si="410"/>
        <v>0</v>
      </c>
      <c r="N1638" s="868">
        <f t="shared" si="411"/>
        <v>0</v>
      </c>
      <c r="O1638" s="880"/>
      <c r="Q1638" s="317" t="str">
        <f t="shared" si="412"/>
        <v/>
      </c>
      <c r="R1638" s="317" t="str">
        <f t="shared" si="413"/>
        <v/>
      </c>
      <c r="S1638" s="317" t="str">
        <f t="shared" si="414"/>
        <v/>
      </c>
      <c r="V1638" s="314">
        <f>SUM(ORÇAMENTO!N1638)</f>
        <v>0</v>
      </c>
      <c r="W1638" s="315">
        <f t="shared" si="415"/>
        <v>0</v>
      </c>
    </row>
    <row r="1639" spans="1:23" hidden="1">
      <c r="A1639" s="63">
        <v>532500</v>
      </c>
      <c r="B1639" s="870" t="s">
        <v>1722</v>
      </c>
      <c r="C1639" s="871" t="s">
        <v>184</v>
      </c>
      <c r="D1639" s="881" t="s">
        <v>1719</v>
      </c>
      <c r="E1639" s="882">
        <f>DMT!$F$8</f>
        <v>290</v>
      </c>
      <c r="F1639" s="883">
        <v>1.7250000000000001</v>
      </c>
      <c r="G1639" s="923">
        <f t="shared" si="420"/>
        <v>539.89050000000009</v>
      </c>
      <c r="H1639" s="876">
        <v>102.38</v>
      </c>
      <c r="I1639" s="876">
        <f>IF(ISBLANK(H1639),"",SUM(G1639:H1639))</f>
        <v>642.27050000000008</v>
      </c>
      <c r="J1639" s="877">
        <f t="shared" si="418"/>
        <v>784.98</v>
      </c>
      <c r="K1639" s="878" t="s">
        <v>10</v>
      </c>
      <c r="L1639" s="1013">
        <f>ROUND(SUM(ORÇAMENTO!L1639),2)</f>
        <v>0</v>
      </c>
      <c r="M1639" s="1013">
        <f t="shared" si="410"/>
        <v>0</v>
      </c>
      <c r="N1639" s="868">
        <f t="shared" si="411"/>
        <v>0</v>
      </c>
      <c r="O1639" s="880"/>
      <c r="Q1639" s="317" t="str">
        <f t="shared" si="412"/>
        <v/>
      </c>
      <c r="R1639" s="317" t="str">
        <f t="shared" si="413"/>
        <v/>
      </c>
      <c r="S1639" s="317" t="str">
        <f t="shared" si="414"/>
        <v/>
      </c>
      <c r="V1639" s="314">
        <f>SUM(ORÇAMENTO!N1639)</f>
        <v>0</v>
      </c>
      <c r="W1639" s="315">
        <f t="shared" si="415"/>
        <v>0</v>
      </c>
    </row>
    <row r="1640" spans="1:23" hidden="1">
      <c r="A1640" s="557">
        <v>532600</v>
      </c>
      <c r="B1640" s="870" t="s">
        <v>1551</v>
      </c>
      <c r="C1640" s="871" t="s">
        <v>184</v>
      </c>
      <c r="D1640" s="881" t="s">
        <v>1717</v>
      </c>
      <c r="E1640" s="882">
        <f>DMT!$F$12</f>
        <v>43.1</v>
      </c>
      <c r="F1640" s="883">
        <f>ROUND(1.5*1.5,4)</f>
        <v>2.25</v>
      </c>
      <c r="G1640" s="923">
        <f t="shared" si="420"/>
        <v>109.79325000000001</v>
      </c>
      <c r="H1640" s="876">
        <v>16.07</v>
      </c>
      <c r="I1640" s="876">
        <f>IF(ISBLANK(H1640),"",SUM(G1640:H1640))</f>
        <v>125.86325000000002</v>
      </c>
      <c r="J1640" s="877">
        <f t="shared" si="418"/>
        <v>153.83000000000001</v>
      </c>
      <c r="K1640" s="878" t="s">
        <v>10</v>
      </c>
      <c r="L1640" s="1013">
        <f>ROUND(SUM(ORÇAMENTO!L1640),2)</f>
        <v>0</v>
      </c>
      <c r="M1640" s="1013">
        <f t="shared" si="410"/>
        <v>0</v>
      </c>
      <c r="N1640" s="868">
        <f t="shared" si="411"/>
        <v>0</v>
      </c>
      <c r="O1640" s="880"/>
      <c r="Q1640" s="317" t="str">
        <f t="shared" si="412"/>
        <v/>
      </c>
      <c r="R1640" s="317" t="str">
        <f t="shared" si="413"/>
        <v/>
      </c>
      <c r="S1640" s="317" t="str">
        <f t="shared" si="414"/>
        <v/>
      </c>
      <c r="V1640" s="314">
        <f>SUM(ORÇAMENTO!N1640)</f>
        <v>0</v>
      </c>
      <c r="W1640" s="315">
        <f t="shared" si="415"/>
        <v>0</v>
      </c>
    </row>
    <row r="1641" spans="1:23" hidden="1">
      <c r="A1641" s="63">
        <v>603900</v>
      </c>
      <c r="B1641" s="870" t="s">
        <v>1727</v>
      </c>
      <c r="C1641" s="871" t="s">
        <v>184</v>
      </c>
      <c r="D1641" s="881" t="s">
        <v>1718</v>
      </c>
      <c r="E1641" s="882">
        <f>DMT!$F$11</f>
        <v>10</v>
      </c>
      <c r="F1641" s="883">
        <v>1.5</v>
      </c>
      <c r="G1641" s="923">
        <f t="shared" si="420"/>
        <v>20.07</v>
      </c>
      <c r="H1641" s="876">
        <v>131.84</v>
      </c>
      <c r="I1641" s="876">
        <f>IF(ISBLANK(H1641),"",SUM(G1641:H1641))</f>
        <v>151.91</v>
      </c>
      <c r="J1641" s="877">
        <f t="shared" si="418"/>
        <v>185.66</v>
      </c>
      <c r="K1641" s="878" t="s">
        <v>10</v>
      </c>
      <c r="L1641" s="1013">
        <f>ROUND(SUM(ORÇAMENTO!L1641),2)</f>
        <v>0</v>
      </c>
      <c r="M1641" s="1013">
        <f t="shared" si="410"/>
        <v>0</v>
      </c>
      <c r="N1641" s="868">
        <f t="shared" si="411"/>
        <v>0</v>
      </c>
      <c r="O1641" s="880"/>
      <c r="Q1641" s="317" t="str">
        <f t="shared" si="412"/>
        <v/>
      </c>
      <c r="R1641" s="317" t="str">
        <f t="shared" si="413"/>
        <v/>
      </c>
      <c r="S1641" s="317" t="str">
        <f t="shared" si="414"/>
        <v/>
      </c>
      <c r="V1641" s="314">
        <f>SUM(ORÇAMENTO!N1641)</f>
        <v>0</v>
      </c>
      <c r="W1641" s="315">
        <f t="shared" si="415"/>
        <v>0</v>
      </c>
    </row>
    <row r="1642" spans="1:23" hidden="1">
      <c r="A1642" s="63">
        <v>605000</v>
      </c>
      <c r="B1642" s="870" t="s">
        <v>1766</v>
      </c>
      <c r="C1642" s="871" t="s">
        <v>184</v>
      </c>
      <c r="D1642" s="881" t="s">
        <v>337</v>
      </c>
      <c r="E1642" s="882"/>
      <c r="F1642" s="883"/>
      <c r="G1642" s="887">
        <f>SUM(G1643:G1645)</f>
        <v>449.80907000000002</v>
      </c>
      <c r="H1642" s="876">
        <v>425.25</v>
      </c>
      <c r="I1642" s="876">
        <f>IF(ISBLANK(H1642),"",SUM(G1642:H1642))</f>
        <v>875.05907000000002</v>
      </c>
      <c r="J1642" s="877">
        <f t="shared" si="418"/>
        <v>1069.5</v>
      </c>
      <c r="K1642" s="878" t="s">
        <v>10</v>
      </c>
      <c r="L1642" s="1013">
        <f>ROUND(SUM(ORÇAMENTO!L1642),2)</f>
        <v>0</v>
      </c>
      <c r="M1642" s="1013">
        <f t="shared" si="410"/>
        <v>0</v>
      </c>
      <c r="N1642" s="868">
        <f t="shared" si="411"/>
        <v>0</v>
      </c>
      <c r="O1642" s="880"/>
      <c r="Q1642" s="317" t="str">
        <f t="shared" si="412"/>
        <v/>
      </c>
      <c r="R1642" s="317" t="str">
        <f t="shared" si="413"/>
        <v/>
      </c>
      <c r="S1642" s="317" t="str">
        <f t="shared" si="414"/>
        <v/>
      </c>
      <c r="V1642" s="314">
        <f>SUM(ORÇAMENTO!N1642)</f>
        <v>0</v>
      </c>
      <c r="W1642" s="315">
        <f t="shared" si="415"/>
        <v>0</v>
      </c>
    </row>
    <row r="1643" spans="1:23" hidden="1">
      <c r="A1643" s="63" t="s">
        <v>147</v>
      </c>
      <c r="B1643" s="870" t="s">
        <v>147</v>
      </c>
      <c r="C1643" s="871"/>
      <c r="D1643" s="931" t="s">
        <v>190</v>
      </c>
      <c r="E1643" s="882">
        <f>DMT!$D$20</f>
        <v>445</v>
      </c>
      <c r="F1643" s="883">
        <v>0.18</v>
      </c>
      <c r="G1643" s="884">
        <f>IF(E1643&lt;=30,(0.78*E1643+7.82)*F1643,((0.78*30+7.82)+0.78*(E1643-30))*F1643)</f>
        <v>63.885600000000004</v>
      </c>
      <c r="H1643" s="876">
        <v>0</v>
      </c>
      <c r="I1643" s="876"/>
      <c r="J1643" s="877">
        <v>0</v>
      </c>
      <c r="K1643" s="932" t="s">
        <v>506</v>
      </c>
      <c r="L1643" s="1014">
        <f>ROUND(SUM(ORÇAMENTO!L1643),2)</f>
        <v>0</v>
      </c>
      <c r="M1643" s="1015">
        <f t="shared" si="410"/>
        <v>0</v>
      </c>
      <c r="N1643" s="868">
        <f t="shared" si="411"/>
        <v>0</v>
      </c>
      <c r="O1643" s="880"/>
      <c r="P1643" s="58" t="str">
        <f>IF(N1642&gt;0,"xx",IF(N1642&gt;0,"xy",""))</f>
        <v/>
      </c>
      <c r="Q1643" s="317" t="str">
        <f t="shared" si="412"/>
        <v/>
      </c>
      <c r="R1643" s="317" t="str">
        <f t="shared" si="413"/>
        <v/>
      </c>
      <c r="S1643" s="317" t="str">
        <f t="shared" si="414"/>
        <v/>
      </c>
      <c r="V1643" s="314">
        <f>SUM(ORÇAMENTO!N1643)</f>
        <v>0</v>
      </c>
      <c r="W1643" s="315">
        <f t="shared" si="415"/>
        <v>0</v>
      </c>
    </row>
    <row r="1644" spans="1:23" hidden="1">
      <c r="A1644" s="63" t="s">
        <v>147</v>
      </c>
      <c r="B1644" s="870" t="s">
        <v>147</v>
      </c>
      <c r="C1644" s="871"/>
      <c r="D1644" s="931" t="s">
        <v>229</v>
      </c>
      <c r="E1644" s="882">
        <f>DMT!$F$8</f>
        <v>290</v>
      </c>
      <c r="F1644" s="883">
        <v>1.06</v>
      </c>
      <c r="G1644" s="923">
        <f t="shared" ref="G1644:G1645" si="421">IF(E1644&lt;=30,(1.07*E1644+2.68)*F1644,((1.07*30+2.68)+1.07*(E1644-30))*F1644)</f>
        <v>331.75880000000001</v>
      </c>
      <c r="H1644" s="876">
        <v>0</v>
      </c>
      <c r="I1644" s="876"/>
      <c r="J1644" s="877">
        <v>0</v>
      </c>
      <c r="K1644" s="932" t="s">
        <v>506</v>
      </c>
      <c r="L1644" s="1014">
        <f>ROUND(SUM(ORÇAMENTO!L1644),2)</f>
        <v>0</v>
      </c>
      <c r="M1644" s="1015">
        <f t="shared" si="410"/>
        <v>0</v>
      </c>
      <c r="N1644" s="868">
        <f t="shared" si="411"/>
        <v>0</v>
      </c>
      <c r="O1644" s="880"/>
      <c r="P1644" s="58" t="str">
        <f>IF(N1642&gt;0,"xx",IF(N1642&gt;0,"xy",""))</f>
        <v/>
      </c>
      <c r="Q1644" s="317" t="str">
        <f t="shared" si="412"/>
        <v/>
      </c>
      <c r="R1644" s="317" t="str">
        <f t="shared" si="413"/>
        <v/>
      </c>
      <c r="S1644" s="317" t="str">
        <f t="shared" si="414"/>
        <v/>
      </c>
      <c r="V1644" s="314">
        <f>SUM(ORÇAMENTO!N1644)</f>
        <v>0</v>
      </c>
      <c r="W1644" s="315">
        <f t="shared" si="415"/>
        <v>0</v>
      </c>
    </row>
    <row r="1645" spans="1:23" hidden="1">
      <c r="A1645" s="63" t="s">
        <v>147</v>
      </c>
      <c r="B1645" s="870" t="s">
        <v>147</v>
      </c>
      <c r="C1645" s="871"/>
      <c r="D1645" s="931" t="s">
        <v>233</v>
      </c>
      <c r="E1645" s="882">
        <f>DMT!$F$10</f>
        <v>43.1</v>
      </c>
      <c r="F1645" s="883">
        <v>1.1100000000000001</v>
      </c>
      <c r="G1645" s="923">
        <f t="shared" si="421"/>
        <v>54.164670000000008</v>
      </c>
      <c r="H1645" s="876">
        <v>0</v>
      </c>
      <c r="I1645" s="876"/>
      <c r="J1645" s="877">
        <v>0</v>
      </c>
      <c r="K1645" s="932" t="s">
        <v>506</v>
      </c>
      <c r="L1645" s="1014">
        <f>ROUND(SUM(ORÇAMENTO!L1645),2)</f>
        <v>0</v>
      </c>
      <c r="M1645" s="1015">
        <f t="shared" si="410"/>
        <v>0</v>
      </c>
      <c r="N1645" s="868">
        <f t="shared" si="411"/>
        <v>0</v>
      </c>
      <c r="O1645" s="880"/>
      <c r="P1645" s="58" t="str">
        <f>IF(N1642&gt;0,"xx",IF(N1642&gt;0,"xy",""))</f>
        <v/>
      </c>
      <c r="Q1645" s="317" t="str">
        <f t="shared" si="412"/>
        <v/>
      </c>
      <c r="R1645" s="317" t="str">
        <f t="shared" si="413"/>
        <v/>
      </c>
      <c r="S1645" s="317" t="str">
        <f t="shared" si="414"/>
        <v/>
      </c>
      <c r="V1645" s="314">
        <f>SUM(ORÇAMENTO!N1645)</f>
        <v>0</v>
      </c>
      <c r="W1645" s="315">
        <f t="shared" si="415"/>
        <v>0</v>
      </c>
    </row>
    <row r="1646" spans="1:23" hidden="1">
      <c r="A1646" s="63">
        <v>606000</v>
      </c>
      <c r="B1646" s="870" t="s">
        <v>1775</v>
      </c>
      <c r="C1646" s="871" t="s">
        <v>184</v>
      </c>
      <c r="D1646" s="881" t="s">
        <v>338</v>
      </c>
      <c r="E1646" s="882"/>
      <c r="F1646" s="883"/>
      <c r="G1646" s="887">
        <f>SUM(G1647:G1649)</f>
        <v>337.27635900000007</v>
      </c>
      <c r="H1646" s="876">
        <v>378.9</v>
      </c>
      <c r="I1646" s="876">
        <f>IF(ISBLANK(H1646),"",SUM(G1646:H1646))</f>
        <v>716.17635900000005</v>
      </c>
      <c r="J1646" s="877">
        <f t="shared" si="418"/>
        <v>875.31</v>
      </c>
      <c r="K1646" s="878" t="s">
        <v>10</v>
      </c>
      <c r="L1646" s="1013">
        <f>ROUND(SUM(ORÇAMENTO!L1646),2)</f>
        <v>0</v>
      </c>
      <c r="M1646" s="1013">
        <f t="shared" si="410"/>
        <v>0</v>
      </c>
      <c r="N1646" s="868">
        <f t="shared" si="411"/>
        <v>0</v>
      </c>
      <c r="O1646" s="880"/>
      <c r="Q1646" s="317" t="str">
        <f t="shared" si="412"/>
        <v/>
      </c>
      <c r="R1646" s="317" t="str">
        <f t="shared" si="413"/>
        <v/>
      </c>
      <c r="S1646" s="317" t="str">
        <f t="shared" si="414"/>
        <v/>
      </c>
      <c r="V1646" s="314">
        <f>SUM(ORÇAMENTO!N1646)</f>
        <v>0</v>
      </c>
      <c r="W1646" s="315">
        <f t="shared" si="415"/>
        <v>0</v>
      </c>
    </row>
    <row r="1647" spans="1:23" hidden="1">
      <c r="A1647" s="63" t="s">
        <v>147</v>
      </c>
      <c r="B1647" s="870" t="s">
        <v>147</v>
      </c>
      <c r="C1647" s="871"/>
      <c r="D1647" s="931" t="s">
        <v>190</v>
      </c>
      <c r="E1647" s="882">
        <f>DMT!$D$20</f>
        <v>445</v>
      </c>
      <c r="F1647" s="883">
        <v>0.189</v>
      </c>
      <c r="G1647" s="884">
        <f>IF(E1647&lt;=30,(0.78*E1647+7.82)*F1647,((0.78*30+7.82)+0.78*(E1647-30))*F1647)</f>
        <v>67.079880000000003</v>
      </c>
      <c r="H1647" s="876">
        <v>0</v>
      </c>
      <c r="I1647" s="876"/>
      <c r="J1647" s="877">
        <v>0</v>
      </c>
      <c r="K1647" s="932" t="s">
        <v>506</v>
      </c>
      <c r="L1647" s="1014">
        <f>ROUND(SUM(ORÇAMENTO!L1647),2)</f>
        <v>0</v>
      </c>
      <c r="M1647" s="1015">
        <f t="shared" si="410"/>
        <v>0</v>
      </c>
      <c r="N1647" s="868">
        <f t="shared" si="411"/>
        <v>0</v>
      </c>
      <c r="O1647" s="880"/>
      <c r="P1647" s="58" t="str">
        <f>IF(N1646&gt;0,"xx",IF(N1646&gt;0,"xy",""))</f>
        <v/>
      </c>
      <c r="Q1647" s="317" t="str">
        <f t="shared" si="412"/>
        <v/>
      </c>
      <c r="R1647" s="317" t="str">
        <f t="shared" si="413"/>
        <v/>
      </c>
      <c r="S1647" s="317" t="str">
        <f t="shared" si="414"/>
        <v/>
      </c>
      <c r="V1647" s="314">
        <f>SUM(ORÇAMENTO!N1647)</f>
        <v>0</v>
      </c>
      <c r="W1647" s="315">
        <f t="shared" si="415"/>
        <v>0</v>
      </c>
    </row>
    <row r="1648" spans="1:23" hidden="1">
      <c r="A1648" s="63" t="s">
        <v>147</v>
      </c>
      <c r="B1648" s="870" t="s">
        <v>147</v>
      </c>
      <c r="C1648" s="871"/>
      <c r="D1648" s="931" t="s">
        <v>229</v>
      </c>
      <c r="E1648" s="882">
        <f>DMT!$F$8</f>
        <v>290</v>
      </c>
      <c r="F1648" s="883">
        <v>0.67200000000000004</v>
      </c>
      <c r="G1648" s="923">
        <f t="shared" ref="G1648:G1649" si="422">IF(E1648&lt;=30,(1.07*E1648+2.68)*F1648,((1.07*30+2.68)+1.07*(E1648-30))*F1648)</f>
        <v>210.32256000000004</v>
      </c>
      <c r="H1648" s="876">
        <v>0</v>
      </c>
      <c r="I1648" s="876"/>
      <c r="J1648" s="877">
        <v>0</v>
      </c>
      <c r="K1648" s="932" t="s">
        <v>506</v>
      </c>
      <c r="L1648" s="1014">
        <f>ROUND(SUM(ORÇAMENTO!L1648),2)</f>
        <v>0</v>
      </c>
      <c r="M1648" s="1015">
        <f t="shared" si="410"/>
        <v>0</v>
      </c>
      <c r="N1648" s="868">
        <f t="shared" si="411"/>
        <v>0</v>
      </c>
      <c r="O1648" s="880"/>
      <c r="P1648" s="58" t="str">
        <f>IF(N1646&gt;0,"xx",IF(N1646&gt;0,"xy",""))</f>
        <v/>
      </c>
      <c r="Q1648" s="317" t="str">
        <f t="shared" si="412"/>
        <v/>
      </c>
      <c r="R1648" s="317" t="str">
        <f t="shared" si="413"/>
        <v/>
      </c>
      <c r="S1648" s="317" t="str">
        <f t="shared" si="414"/>
        <v/>
      </c>
      <c r="V1648" s="314">
        <f>SUM(ORÇAMENTO!N1648)</f>
        <v>0</v>
      </c>
      <c r="W1648" s="315">
        <f t="shared" si="415"/>
        <v>0</v>
      </c>
    </row>
    <row r="1649" spans="1:23" hidden="1">
      <c r="A1649" s="63" t="s">
        <v>147</v>
      </c>
      <c r="B1649" s="870" t="s">
        <v>147</v>
      </c>
      <c r="C1649" s="871"/>
      <c r="D1649" s="931" t="s">
        <v>339</v>
      </c>
      <c r="E1649" s="882">
        <f>DMT!$F$14</f>
        <v>43.1</v>
      </c>
      <c r="F1649" s="883">
        <v>1.2270000000000001</v>
      </c>
      <c r="G1649" s="923">
        <f t="shared" si="422"/>
        <v>59.873919000000008</v>
      </c>
      <c r="H1649" s="876">
        <v>0</v>
      </c>
      <c r="I1649" s="876"/>
      <c r="J1649" s="877">
        <v>0</v>
      </c>
      <c r="K1649" s="932" t="s">
        <v>506</v>
      </c>
      <c r="L1649" s="1014">
        <f>ROUND(SUM(ORÇAMENTO!L1649),2)</f>
        <v>0</v>
      </c>
      <c r="M1649" s="1015">
        <f t="shared" si="410"/>
        <v>0</v>
      </c>
      <c r="N1649" s="868">
        <f t="shared" si="411"/>
        <v>0</v>
      </c>
      <c r="O1649" s="880"/>
      <c r="P1649" s="58" t="str">
        <f>IF(N1646&gt;0,"xx",IF(N1646&gt;0,"xy",""))</f>
        <v/>
      </c>
      <c r="Q1649" s="317" t="str">
        <f t="shared" si="412"/>
        <v/>
      </c>
      <c r="R1649" s="317" t="str">
        <f t="shared" si="413"/>
        <v/>
      </c>
      <c r="S1649" s="317" t="str">
        <f t="shared" si="414"/>
        <v/>
      </c>
      <c r="V1649" s="314">
        <f>SUM(ORÇAMENTO!N1649)</f>
        <v>0</v>
      </c>
      <c r="W1649" s="315">
        <f t="shared" si="415"/>
        <v>0</v>
      </c>
    </row>
    <row r="1650" spans="1:23" hidden="1">
      <c r="A1650" s="63">
        <v>605200</v>
      </c>
      <c r="B1650" s="870" t="s">
        <v>1777</v>
      </c>
      <c r="C1650" s="871" t="s">
        <v>184</v>
      </c>
      <c r="D1650" s="881" t="s">
        <v>340</v>
      </c>
      <c r="E1650" s="882"/>
      <c r="F1650" s="883"/>
      <c r="G1650" s="887">
        <f>SUM(G1651:G1653)</f>
        <v>450.45387000000005</v>
      </c>
      <c r="H1650" s="876">
        <v>471.16</v>
      </c>
      <c r="I1650" s="876">
        <f>IF(ISBLANK(H1650),"",SUM(G1650:H1650))</f>
        <v>921.61387000000013</v>
      </c>
      <c r="J1650" s="877">
        <f t="shared" si="418"/>
        <v>1126.4000000000001</v>
      </c>
      <c r="K1650" s="878" t="s">
        <v>10</v>
      </c>
      <c r="L1650" s="1013">
        <f>ROUND(SUM(ORÇAMENTO!L1650),2)</f>
        <v>0</v>
      </c>
      <c r="M1650" s="1013">
        <f t="shared" si="410"/>
        <v>0</v>
      </c>
      <c r="N1650" s="868">
        <f t="shared" si="411"/>
        <v>0</v>
      </c>
      <c r="O1650" s="880"/>
      <c r="Q1650" s="317" t="str">
        <f t="shared" si="412"/>
        <v/>
      </c>
      <c r="R1650" s="317" t="str">
        <f t="shared" si="413"/>
        <v/>
      </c>
      <c r="S1650" s="317" t="str">
        <f t="shared" si="414"/>
        <v/>
      </c>
      <c r="V1650" s="314">
        <f>SUM(ORÇAMENTO!N1650)</f>
        <v>0</v>
      </c>
      <c r="W1650" s="315">
        <f t="shared" si="415"/>
        <v>0</v>
      </c>
    </row>
    <row r="1651" spans="1:23" hidden="1">
      <c r="A1651" s="63" t="s">
        <v>147</v>
      </c>
      <c r="B1651" s="870" t="s">
        <v>147</v>
      </c>
      <c r="C1651" s="871"/>
      <c r="D1651" s="931" t="s">
        <v>190</v>
      </c>
      <c r="E1651" s="882">
        <f>DMT!$D$20</f>
        <v>445</v>
      </c>
      <c r="F1651" s="883">
        <v>0.27</v>
      </c>
      <c r="G1651" s="884">
        <f>IF(E1651&lt;=30,(0.78*E1651+7.82)*F1651,((0.78*30+7.82)+0.78*(E1651-30))*F1651)</f>
        <v>95.828400000000016</v>
      </c>
      <c r="H1651" s="876">
        <v>0</v>
      </c>
      <c r="I1651" s="876"/>
      <c r="J1651" s="877">
        <v>0</v>
      </c>
      <c r="K1651" s="932" t="s">
        <v>506</v>
      </c>
      <c r="L1651" s="1014">
        <f>ROUND(SUM(ORÇAMENTO!L1651),2)</f>
        <v>0</v>
      </c>
      <c r="M1651" s="1015">
        <f t="shared" si="410"/>
        <v>0</v>
      </c>
      <c r="N1651" s="868">
        <f t="shared" si="411"/>
        <v>0</v>
      </c>
      <c r="O1651" s="880"/>
      <c r="P1651" s="58" t="str">
        <f>IF(N1650&gt;0,"xx",IF(N1650&gt;0,"xy",""))</f>
        <v/>
      </c>
      <c r="Q1651" s="317" t="str">
        <f t="shared" si="412"/>
        <v/>
      </c>
      <c r="R1651" s="317" t="str">
        <f t="shared" si="413"/>
        <v/>
      </c>
      <c r="S1651" s="317" t="str">
        <f t="shared" si="414"/>
        <v/>
      </c>
      <c r="V1651" s="314">
        <f>SUM(ORÇAMENTO!N1651)</f>
        <v>0</v>
      </c>
      <c r="W1651" s="315">
        <f t="shared" si="415"/>
        <v>0</v>
      </c>
    </row>
    <row r="1652" spans="1:23" hidden="1">
      <c r="A1652" s="63" t="s">
        <v>147</v>
      </c>
      <c r="B1652" s="870" t="s">
        <v>147</v>
      </c>
      <c r="C1652" s="871"/>
      <c r="D1652" s="931" t="s">
        <v>229</v>
      </c>
      <c r="E1652" s="882">
        <f>DMT!$F$8</f>
        <v>290</v>
      </c>
      <c r="F1652" s="883">
        <v>0.96</v>
      </c>
      <c r="G1652" s="923">
        <f t="shared" ref="G1652:G1653" si="423">IF(E1652&lt;=30,(1.07*E1652+2.68)*F1652,((1.07*30+2.68)+1.07*(E1652-30))*F1652)</f>
        <v>300.46080000000001</v>
      </c>
      <c r="H1652" s="876">
        <v>0</v>
      </c>
      <c r="I1652" s="876"/>
      <c r="J1652" s="877">
        <v>0</v>
      </c>
      <c r="K1652" s="932" t="s">
        <v>506</v>
      </c>
      <c r="L1652" s="1014">
        <f>ROUND(SUM(ORÇAMENTO!L1652),2)</f>
        <v>0</v>
      </c>
      <c r="M1652" s="1015">
        <f t="shared" si="410"/>
        <v>0</v>
      </c>
      <c r="N1652" s="868">
        <f t="shared" si="411"/>
        <v>0</v>
      </c>
      <c r="O1652" s="880"/>
      <c r="P1652" s="58" t="str">
        <f>IF(N1650&gt;0,"xx",IF(N1650&gt;0,"xy",""))</f>
        <v/>
      </c>
      <c r="Q1652" s="317" t="str">
        <f t="shared" si="412"/>
        <v/>
      </c>
      <c r="R1652" s="317" t="str">
        <f t="shared" si="413"/>
        <v/>
      </c>
      <c r="S1652" s="317" t="str">
        <f t="shared" si="414"/>
        <v/>
      </c>
      <c r="V1652" s="314">
        <f>SUM(ORÇAMENTO!N1652)</f>
        <v>0</v>
      </c>
      <c r="W1652" s="315">
        <f t="shared" si="415"/>
        <v>0</v>
      </c>
    </row>
    <row r="1653" spans="1:23" hidden="1">
      <c r="A1653" s="63" t="s">
        <v>147</v>
      </c>
      <c r="B1653" s="870" t="s">
        <v>147</v>
      </c>
      <c r="C1653" s="871"/>
      <c r="D1653" s="931" t="s">
        <v>233</v>
      </c>
      <c r="E1653" s="882">
        <f>DMT!$F$10</f>
        <v>43.1</v>
      </c>
      <c r="F1653" s="883">
        <v>1.1100000000000001</v>
      </c>
      <c r="G1653" s="923">
        <f t="shared" si="423"/>
        <v>54.164670000000008</v>
      </c>
      <c r="H1653" s="876">
        <v>0</v>
      </c>
      <c r="I1653" s="876"/>
      <c r="J1653" s="877">
        <v>0</v>
      </c>
      <c r="K1653" s="932" t="s">
        <v>506</v>
      </c>
      <c r="L1653" s="1014">
        <f>ROUND(SUM(ORÇAMENTO!L1653),2)</f>
        <v>0</v>
      </c>
      <c r="M1653" s="1015">
        <f t="shared" si="410"/>
        <v>0</v>
      </c>
      <c r="N1653" s="868">
        <f t="shared" si="411"/>
        <v>0</v>
      </c>
      <c r="O1653" s="880"/>
      <c r="P1653" s="58" t="str">
        <f>IF(N1650&gt;0,"xx",IF(N1650&gt;0,"xy",""))</f>
        <v/>
      </c>
      <c r="Q1653" s="317" t="str">
        <f t="shared" si="412"/>
        <v/>
      </c>
      <c r="R1653" s="317" t="str">
        <f t="shared" si="413"/>
        <v/>
      </c>
      <c r="S1653" s="317" t="str">
        <f t="shared" si="414"/>
        <v/>
      </c>
      <c r="V1653" s="314">
        <f>SUM(ORÇAMENTO!N1653)</f>
        <v>0</v>
      </c>
      <c r="W1653" s="315">
        <f t="shared" si="415"/>
        <v>0</v>
      </c>
    </row>
    <row r="1654" spans="1:23" hidden="1">
      <c r="A1654" s="63">
        <v>605300</v>
      </c>
      <c r="B1654" s="870" t="s">
        <v>1779</v>
      </c>
      <c r="C1654" s="871" t="s">
        <v>184</v>
      </c>
      <c r="D1654" s="881" t="s">
        <v>341</v>
      </c>
      <c r="E1654" s="882"/>
      <c r="F1654" s="883"/>
      <c r="G1654" s="887">
        <f>SUM(G1655:G1657)</f>
        <v>459.54285000000004</v>
      </c>
      <c r="H1654" s="876">
        <v>503.25</v>
      </c>
      <c r="I1654" s="876">
        <f>IF(ISBLANK(H1654),"",SUM(G1654:H1654))</f>
        <v>962.79285000000004</v>
      </c>
      <c r="J1654" s="877">
        <f t="shared" si="418"/>
        <v>1176.73</v>
      </c>
      <c r="K1654" s="878" t="s">
        <v>10</v>
      </c>
      <c r="L1654" s="1013">
        <f>ROUND(SUM(ORÇAMENTO!L1654),2)</f>
        <v>0</v>
      </c>
      <c r="M1654" s="1013">
        <f t="shared" si="410"/>
        <v>0</v>
      </c>
      <c r="N1654" s="868">
        <f t="shared" si="411"/>
        <v>0</v>
      </c>
      <c r="O1654" s="880"/>
      <c r="Q1654" s="317" t="str">
        <f t="shared" si="412"/>
        <v/>
      </c>
      <c r="R1654" s="317" t="str">
        <f t="shared" si="413"/>
        <v/>
      </c>
      <c r="S1654" s="317" t="str">
        <f t="shared" si="414"/>
        <v/>
      </c>
      <c r="V1654" s="314">
        <f>SUM(ORÇAMENTO!N1654)</f>
        <v>0</v>
      </c>
      <c r="W1654" s="315">
        <f t="shared" si="415"/>
        <v>0</v>
      </c>
    </row>
    <row r="1655" spans="1:23" hidden="1">
      <c r="A1655" s="63" t="s">
        <v>147</v>
      </c>
      <c r="B1655" s="870" t="s">
        <v>147</v>
      </c>
      <c r="C1655" s="871"/>
      <c r="D1655" s="931" t="s">
        <v>190</v>
      </c>
      <c r="E1655" s="882">
        <f>DMT!$D$20</f>
        <v>445</v>
      </c>
      <c r="F1655" s="883">
        <v>0.33</v>
      </c>
      <c r="G1655" s="884">
        <f>IF(E1655&lt;=30,(0.78*E1655+7.82)*F1655,((0.78*30+7.82)+0.78*(E1655-30))*F1655)</f>
        <v>117.12360000000001</v>
      </c>
      <c r="H1655" s="876">
        <v>0</v>
      </c>
      <c r="I1655" s="876"/>
      <c r="J1655" s="877">
        <v>0</v>
      </c>
      <c r="K1655" s="932" t="s">
        <v>506</v>
      </c>
      <c r="L1655" s="1014">
        <f>ROUND(SUM(ORÇAMENTO!L1655),2)</f>
        <v>0</v>
      </c>
      <c r="M1655" s="1015">
        <f t="shared" si="410"/>
        <v>0</v>
      </c>
      <c r="N1655" s="868">
        <f t="shared" si="411"/>
        <v>0</v>
      </c>
      <c r="O1655" s="880"/>
      <c r="P1655" s="58" t="str">
        <f>IF(N1654&gt;0,"xx",IF(N1654&gt;0,"xy",""))</f>
        <v/>
      </c>
      <c r="Q1655" s="317" t="str">
        <f t="shared" si="412"/>
        <v/>
      </c>
      <c r="R1655" s="317" t="str">
        <f t="shared" si="413"/>
        <v/>
      </c>
      <c r="S1655" s="317" t="str">
        <f t="shared" si="414"/>
        <v/>
      </c>
      <c r="V1655" s="314">
        <f>SUM(ORÇAMENTO!N1655)</f>
        <v>0</v>
      </c>
      <c r="W1655" s="315">
        <f t="shared" si="415"/>
        <v>0</v>
      </c>
    </row>
    <row r="1656" spans="1:23" hidden="1">
      <c r="A1656" s="63" t="s">
        <v>147</v>
      </c>
      <c r="B1656" s="870" t="s">
        <v>147</v>
      </c>
      <c r="C1656" s="871"/>
      <c r="D1656" s="931" t="s">
        <v>229</v>
      </c>
      <c r="E1656" s="882">
        <f>DMT!$F$8</f>
        <v>290</v>
      </c>
      <c r="F1656" s="883">
        <v>0.92100000000000004</v>
      </c>
      <c r="G1656" s="923">
        <f t="shared" ref="G1656:G1657" si="424">IF(E1656&lt;=30,(1.07*E1656+2.68)*F1656,((1.07*30+2.68)+1.07*(E1656-30))*F1656)</f>
        <v>288.25458000000003</v>
      </c>
      <c r="H1656" s="876">
        <v>0</v>
      </c>
      <c r="I1656" s="876"/>
      <c r="J1656" s="877">
        <v>0</v>
      </c>
      <c r="K1656" s="932" t="s">
        <v>506</v>
      </c>
      <c r="L1656" s="1014">
        <f>ROUND(SUM(ORÇAMENTO!L1656),2)</f>
        <v>0</v>
      </c>
      <c r="M1656" s="1015">
        <f t="shared" si="410"/>
        <v>0</v>
      </c>
      <c r="N1656" s="868">
        <f t="shared" si="411"/>
        <v>0</v>
      </c>
      <c r="O1656" s="880"/>
      <c r="P1656" s="58" t="str">
        <f>IF(N1654&gt;0,"xx",IF(N1654&gt;0,"xy",""))</f>
        <v/>
      </c>
      <c r="Q1656" s="317" t="str">
        <f t="shared" si="412"/>
        <v/>
      </c>
      <c r="R1656" s="317" t="str">
        <f t="shared" si="413"/>
        <v/>
      </c>
      <c r="S1656" s="317" t="str">
        <f t="shared" si="414"/>
        <v/>
      </c>
      <c r="V1656" s="314">
        <f>SUM(ORÇAMENTO!N1656)</f>
        <v>0</v>
      </c>
      <c r="W1656" s="315">
        <f t="shared" si="415"/>
        <v>0</v>
      </c>
    </row>
    <row r="1657" spans="1:23" hidden="1">
      <c r="A1657" s="63" t="s">
        <v>147</v>
      </c>
      <c r="B1657" s="870" t="s">
        <v>147</v>
      </c>
      <c r="C1657" s="871"/>
      <c r="D1657" s="931" t="s">
        <v>233</v>
      </c>
      <c r="E1657" s="882">
        <f>DMT!$F$10</f>
        <v>43.1</v>
      </c>
      <c r="F1657" s="883">
        <v>1.1100000000000001</v>
      </c>
      <c r="G1657" s="923">
        <f t="shared" si="424"/>
        <v>54.164670000000008</v>
      </c>
      <c r="H1657" s="876">
        <v>0</v>
      </c>
      <c r="I1657" s="876"/>
      <c r="J1657" s="877">
        <v>0</v>
      </c>
      <c r="K1657" s="932" t="s">
        <v>506</v>
      </c>
      <c r="L1657" s="1014">
        <f>ROUND(SUM(ORÇAMENTO!L1657),2)</f>
        <v>0</v>
      </c>
      <c r="M1657" s="1015">
        <f t="shared" si="410"/>
        <v>0</v>
      </c>
      <c r="N1657" s="868">
        <f t="shared" si="411"/>
        <v>0</v>
      </c>
      <c r="O1657" s="880"/>
      <c r="P1657" s="58" t="str">
        <f>IF(N1654&gt;0,"xx",IF(N1654&gt;0,"xy",""))</f>
        <v/>
      </c>
      <c r="Q1657" s="317" t="str">
        <f t="shared" si="412"/>
        <v/>
      </c>
      <c r="R1657" s="317" t="str">
        <f t="shared" si="413"/>
        <v/>
      </c>
      <c r="S1657" s="317" t="str">
        <f t="shared" si="414"/>
        <v/>
      </c>
      <c r="V1657" s="314">
        <f>SUM(ORÇAMENTO!N1657)</f>
        <v>0</v>
      </c>
      <c r="W1657" s="315">
        <f t="shared" si="415"/>
        <v>0</v>
      </c>
    </row>
    <row r="1658" spans="1:23" hidden="1">
      <c r="A1658" s="63">
        <v>605400</v>
      </c>
      <c r="B1658" s="870" t="s">
        <v>1781</v>
      </c>
      <c r="C1658" s="871" t="s">
        <v>184</v>
      </c>
      <c r="D1658" s="881" t="s">
        <v>342</v>
      </c>
      <c r="E1658" s="882"/>
      <c r="F1658" s="883"/>
      <c r="G1658" s="887">
        <f>SUM(G1659:G1661)</f>
        <v>495.49675000000002</v>
      </c>
      <c r="H1658" s="876">
        <v>510.89</v>
      </c>
      <c r="I1658" s="876">
        <f>IF(ISBLANK(H1658),"",SUM(G1658:H1658))</f>
        <v>1006.38675</v>
      </c>
      <c r="J1658" s="877">
        <f t="shared" si="418"/>
        <v>1230.01</v>
      </c>
      <c r="K1658" s="878" t="s">
        <v>10</v>
      </c>
      <c r="L1658" s="1013">
        <f>ROUND(SUM(ORÇAMENTO!L1658),2)</f>
        <v>0</v>
      </c>
      <c r="M1658" s="1013">
        <f t="shared" si="410"/>
        <v>0</v>
      </c>
      <c r="N1658" s="868">
        <f t="shared" si="411"/>
        <v>0</v>
      </c>
      <c r="O1658" s="880"/>
      <c r="Q1658" s="317" t="str">
        <f t="shared" si="412"/>
        <v/>
      </c>
      <c r="R1658" s="317" t="str">
        <f t="shared" si="413"/>
        <v/>
      </c>
      <c r="S1658" s="317" t="str">
        <f t="shared" si="414"/>
        <v/>
      </c>
      <c r="V1658" s="314">
        <f>SUM(ORÇAMENTO!N1658)</f>
        <v>0</v>
      </c>
      <c r="W1658" s="315">
        <f t="shared" si="415"/>
        <v>0</v>
      </c>
    </row>
    <row r="1659" spans="1:23" hidden="1">
      <c r="A1659" s="63" t="s">
        <v>147</v>
      </c>
      <c r="B1659" s="870" t="s">
        <v>147</v>
      </c>
      <c r="C1659" s="871"/>
      <c r="D1659" s="931" t="s">
        <v>190</v>
      </c>
      <c r="E1659" s="882">
        <f>DMT!$D$20</f>
        <v>445</v>
      </c>
      <c r="F1659" s="883">
        <v>0.34399999999999997</v>
      </c>
      <c r="G1659" s="884">
        <f>IF(E1659&lt;=30,(0.78*E1659+7.82)*F1659,((0.78*30+7.82)+0.78*(E1659-30))*F1659)</f>
        <v>122.09247999999999</v>
      </c>
      <c r="H1659" s="876">
        <v>0</v>
      </c>
      <c r="I1659" s="876"/>
      <c r="J1659" s="877">
        <v>0</v>
      </c>
      <c r="K1659" s="932" t="s">
        <v>506</v>
      </c>
      <c r="L1659" s="1014">
        <f>ROUND(SUM(ORÇAMENTO!L1659),2)</f>
        <v>0</v>
      </c>
      <c r="M1659" s="1015">
        <f t="shared" si="410"/>
        <v>0</v>
      </c>
      <c r="N1659" s="868">
        <f t="shared" si="411"/>
        <v>0</v>
      </c>
      <c r="O1659" s="880"/>
      <c r="P1659" s="58" t="str">
        <f>IF(N1658&gt;0,"xx",IF(N1658&gt;0,"xy",""))</f>
        <v/>
      </c>
      <c r="Q1659" s="317" t="str">
        <f t="shared" si="412"/>
        <v/>
      </c>
      <c r="R1659" s="317" t="str">
        <f t="shared" si="413"/>
        <v/>
      </c>
      <c r="S1659" s="317" t="str">
        <f t="shared" si="414"/>
        <v/>
      </c>
      <c r="V1659" s="314">
        <f>SUM(ORÇAMENTO!N1659)</f>
        <v>0</v>
      </c>
      <c r="W1659" s="315">
        <f t="shared" si="415"/>
        <v>0</v>
      </c>
    </row>
    <row r="1660" spans="1:23" hidden="1">
      <c r="A1660" s="63" t="s">
        <v>147</v>
      </c>
      <c r="B1660" s="870" t="s">
        <v>147</v>
      </c>
      <c r="C1660" s="871"/>
      <c r="D1660" s="931" t="s">
        <v>229</v>
      </c>
      <c r="E1660" s="882">
        <f>DMT!$F$8</f>
        <v>290</v>
      </c>
      <c r="F1660" s="883">
        <v>1.02</v>
      </c>
      <c r="G1660" s="923">
        <f t="shared" ref="G1660:G1661" si="425">IF(E1660&lt;=30,(1.07*E1660+2.68)*F1660,((1.07*30+2.68)+1.07*(E1660-30))*F1660)</f>
        <v>319.2396</v>
      </c>
      <c r="H1660" s="876">
        <v>0</v>
      </c>
      <c r="I1660" s="876"/>
      <c r="J1660" s="877">
        <v>0</v>
      </c>
      <c r="K1660" s="932" t="s">
        <v>506</v>
      </c>
      <c r="L1660" s="1014">
        <f>ROUND(SUM(ORÇAMENTO!L1660),2)</f>
        <v>0</v>
      </c>
      <c r="M1660" s="1015">
        <f t="shared" si="410"/>
        <v>0</v>
      </c>
      <c r="N1660" s="868">
        <f t="shared" si="411"/>
        <v>0</v>
      </c>
      <c r="O1660" s="880"/>
      <c r="P1660" s="58" t="str">
        <f>IF(N1658&gt;0,"xx",IF(N1658&gt;0,"xy",""))</f>
        <v/>
      </c>
      <c r="Q1660" s="317" t="str">
        <f t="shared" si="412"/>
        <v/>
      </c>
      <c r="R1660" s="317" t="str">
        <f t="shared" si="413"/>
        <v/>
      </c>
      <c r="S1660" s="317" t="str">
        <f t="shared" si="414"/>
        <v/>
      </c>
      <c r="V1660" s="314">
        <f>SUM(ORÇAMENTO!N1660)</f>
        <v>0</v>
      </c>
      <c r="W1660" s="315">
        <f t="shared" si="415"/>
        <v>0</v>
      </c>
    </row>
    <row r="1661" spans="1:23" hidden="1">
      <c r="A1661" s="63" t="s">
        <v>147</v>
      </c>
      <c r="B1661" s="870" t="s">
        <v>147</v>
      </c>
      <c r="C1661" s="871"/>
      <c r="D1661" s="931" t="s">
        <v>233</v>
      </c>
      <c r="E1661" s="882">
        <f>DMT!$F$10</f>
        <v>43.1</v>
      </c>
      <c r="F1661" s="883">
        <v>1.1100000000000001</v>
      </c>
      <c r="G1661" s="923">
        <f t="shared" si="425"/>
        <v>54.164670000000008</v>
      </c>
      <c r="H1661" s="876">
        <v>0</v>
      </c>
      <c r="I1661" s="876"/>
      <c r="J1661" s="877">
        <v>0</v>
      </c>
      <c r="K1661" s="932" t="s">
        <v>506</v>
      </c>
      <c r="L1661" s="1014">
        <f>ROUND(SUM(ORÇAMENTO!L1661),2)</f>
        <v>0</v>
      </c>
      <c r="M1661" s="1015">
        <f t="shared" si="410"/>
        <v>0</v>
      </c>
      <c r="N1661" s="868">
        <f t="shared" si="411"/>
        <v>0</v>
      </c>
      <c r="O1661" s="880"/>
      <c r="P1661" s="58" t="str">
        <f>IF(N1658&gt;0,"xx",IF(N1658&gt;0,"xy",""))</f>
        <v/>
      </c>
      <c r="Q1661" s="317" t="str">
        <f t="shared" si="412"/>
        <v/>
      </c>
      <c r="R1661" s="317" t="str">
        <f t="shared" si="413"/>
        <v/>
      </c>
      <c r="S1661" s="317" t="str">
        <f t="shared" si="414"/>
        <v/>
      </c>
      <c r="V1661" s="314">
        <f>SUM(ORÇAMENTO!N1661)</f>
        <v>0</v>
      </c>
      <c r="W1661" s="315">
        <f t="shared" si="415"/>
        <v>0</v>
      </c>
    </row>
    <row r="1662" spans="1:23" hidden="1">
      <c r="A1662" s="63">
        <v>831000</v>
      </c>
      <c r="B1662" s="870" t="s">
        <v>1683</v>
      </c>
      <c r="C1662" s="871" t="s">
        <v>184</v>
      </c>
      <c r="D1662" s="881" t="s">
        <v>265</v>
      </c>
      <c r="E1662" s="882"/>
      <c r="F1662" s="883"/>
      <c r="G1662" s="887"/>
      <c r="H1662" s="876">
        <v>41.45</v>
      </c>
      <c r="I1662" s="876">
        <f t="shared" ref="I1662:I1669" si="426">IF(ISBLANK(H1662),"",SUM(G1662:H1662))</f>
        <v>41.45</v>
      </c>
      <c r="J1662" s="877">
        <f t="shared" si="418"/>
        <v>50.66</v>
      </c>
      <c r="K1662" s="878" t="s">
        <v>13</v>
      </c>
      <c r="L1662" s="1013">
        <f>ROUND(SUM(ORÇAMENTO!L1662),2)</f>
        <v>0</v>
      </c>
      <c r="M1662" s="1013">
        <f t="shared" si="410"/>
        <v>0</v>
      </c>
      <c r="N1662" s="868">
        <f t="shared" si="411"/>
        <v>0</v>
      </c>
      <c r="O1662" s="880"/>
      <c r="Q1662" s="317" t="str">
        <f t="shared" si="412"/>
        <v/>
      </c>
      <c r="R1662" s="317" t="str">
        <f t="shared" si="413"/>
        <v/>
      </c>
      <c r="S1662" s="317" t="str">
        <f t="shared" si="414"/>
        <v/>
      </c>
      <c r="V1662" s="314">
        <f>SUM(ORÇAMENTO!N1662)</f>
        <v>0</v>
      </c>
      <c r="W1662" s="315">
        <f t="shared" si="415"/>
        <v>0</v>
      </c>
    </row>
    <row r="1663" spans="1:23" hidden="1">
      <c r="A1663" s="63">
        <v>830000</v>
      </c>
      <c r="B1663" s="870" t="s">
        <v>1684</v>
      </c>
      <c r="C1663" s="871" t="s">
        <v>184</v>
      </c>
      <c r="D1663" s="881" t="s">
        <v>266</v>
      </c>
      <c r="E1663" s="882"/>
      <c r="F1663" s="883"/>
      <c r="G1663" s="887"/>
      <c r="H1663" s="876">
        <v>36.44</v>
      </c>
      <c r="I1663" s="876">
        <f t="shared" si="426"/>
        <v>36.44</v>
      </c>
      <c r="J1663" s="877">
        <f t="shared" si="418"/>
        <v>44.54</v>
      </c>
      <c r="K1663" s="878" t="s">
        <v>13</v>
      </c>
      <c r="L1663" s="1013">
        <f>ROUND(SUM(ORÇAMENTO!L1663),2)</f>
        <v>0</v>
      </c>
      <c r="M1663" s="1013">
        <f t="shared" si="410"/>
        <v>0</v>
      </c>
      <c r="N1663" s="868">
        <f t="shared" si="411"/>
        <v>0</v>
      </c>
      <c r="O1663" s="880"/>
      <c r="Q1663" s="317" t="str">
        <f t="shared" si="412"/>
        <v/>
      </c>
      <c r="R1663" s="317" t="str">
        <f t="shared" si="413"/>
        <v/>
      </c>
      <c r="S1663" s="317" t="str">
        <f t="shared" si="414"/>
        <v/>
      </c>
      <c r="V1663" s="314">
        <f>SUM(ORÇAMENTO!N1663)</f>
        <v>0</v>
      </c>
      <c r="W1663" s="315">
        <f t="shared" si="415"/>
        <v>0</v>
      </c>
    </row>
    <row r="1664" spans="1:23" hidden="1">
      <c r="A1664" s="63">
        <v>823000</v>
      </c>
      <c r="B1664" s="870" t="s">
        <v>1773</v>
      </c>
      <c r="C1664" s="871" t="s">
        <v>184</v>
      </c>
      <c r="D1664" s="881" t="s">
        <v>267</v>
      </c>
      <c r="E1664" s="882"/>
      <c r="F1664" s="883"/>
      <c r="G1664" s="887"/>
      <c r="H1664" s="876">
        <v>490.71</v>
      </c>
      <c r="I1664" s="876">
        <f t="shared" si="426"/>
        <v>490.71</v>
      </c>
      <c r="J1664" s="877">
        <f t="shared" si="418"/>
        <v>599.75</v>
      </c>
      <c r="K1664" s="878" t="s">
        <v>13</v>
      </c>
      <c r="L1664" s="1013">
        <f>ROUND(SUM(ORÇAMENTO!L1664),2)</f>
        <v>0</v>
      </c>
      <c r="M1664" s="1013">
        <f t="shared" si="410"/>
        <v>0</v>
      </c>
      <c r="N1664" s="868">
        <f t="shared" si="411"/>
        <v>0</v>
      </c>
      <c r="O1664" s="880"/>
      <c r="Q1664" s="317" t="str">
        <f t="shared" si="412"/>
        <v/>
      </c>
      <c r="R1664" s="317" t="str">
        <f t="shared" si="413"/>
        <v/>
      </c>
      <c r="S1664" s="317" t="str">
        <f t="shared" si="414"/>
        <v/>
      </c>
      <c r="V1664" s="314">
        <f>SUM(ORÇAMENTO!N1664)</f>
        <v>0</v>
      </c>
      <c r="W1664" s="315">
        <f t="shared" si="415"/>
        <v>0</v>
      </c>
    </row>
    <row r="1665" spans="1:23" hidden="1">
      <c r="A1665" s="63">
        <v>97623</v>
      </c>
      <c r="B1665" s="870" t="s">
        <v>1707</v>
      </c>
      <c r="C1665" s="871" t="s">
        <v>590</v>
      </c>
      <c r="D1665" s="872" t="s">
        <v>1708</v>
      </c>
      <c r="E1665" s="873"/>
      <c r="F1665" s="874"/>
      <c r="G1665" s="875"/>
      <c r="H1665" s="876">
        <v>201.31</v>
      </c>
      <c r="I1665" s="876">
        <f t="shared" si="426"/>
        <v>201.31</v>
      </c>
      <c r="J1665" s="877">
        <f t="shared" si="418"/>
        <v>246.04</v>
      </c>
      <c r="K1665" s="878" t="s">
        <v>10</v>
      </c>
      <c r="L1665" s="1016">
        <f>ROUND(SUM(ORÇAMENTO!L1665),2)</f>
        <v>0</v>
      </c>
      <c r="M1665" s="1017">
        <f t="shared" si="410"/>
        <v>0</v>
      </c>
      <c r="N1665" s="868">
        <f t="shared" si="411"/>
        <v>0</v>
      </c>
      <c r="O1665" s="880"/>
      <c r="Q1665" s="317" t="str">
        <f t="shared" si="412"/>
        <v/>
      </c>
      <c r="R1665" s="317" t="str">
        <f t="shared" si="413"/>
        <v/>
      </c>
      <c r="S1665" s="317" t="str">
        <f t="shared" si="414"/>
        <v/>
      </c>
      <c r="V1665" s="314">
        <f>SUM(ORÇAMENTO!N1665)</f>
        <v>0</v>
      </c>
      <c r="W1665" s="315">
        <f t="shared" si="415"/>
        <v>0</v>
      </c>
    </row>
    <row r="1666" spans="1:23" hidden="1">
      <c r="A1666" s="63">
        <v>97624</v>
      </c>
      <c r="B1666" s="870" t="s">
        <v>1704</v>
      </c>
      <c r="C1666" s="871" t="s">
        <v>590</v>
      </c>
      <c r="D1666" s="872" t="s">
        <v>1705</v>
      </c>
      <c r="E1666" s="873"/>
      <c r="F1666" s="874"/>
      <c r="G1666" s="875"/>
      <c r="H1666" s="876">
        <v>123.54</v>
      </c>
      <c r="I1666" s="876">
        <f t="shared" si="426"/>
        <v>123.54</v>
      </c>
      <c r="J1666" s="877">
        <f t="shared" si="418"/>
        <v>150.99</v>
      </c>
      <c r="K1666" s="878" t="s">
        <v>10</v>
      </c>
      <c r="L1666" s="1016">
        <f>ROUND(SUM(ORÇAMENTO!L1666),2)</f>
        <v>0</v>
      </c>
      <c r="M1666" s="1017">
        <f t="shared" si="410"/>
        <v>0</v>
      </c>
      <c r="N1666" s="868">
        <f t="shared" si="411"/>
        <v>0</v>
      </c>
      <c r="O1666" s="880"/>
      <c r="Q1666" s="317" t="str">
        <f t="shared" si="412"/>
        <v/>
      </c>
      <c r="R1666" s="317" t="str">
        <f t="shared" si="413"/>
        <v/>
      </c>
      <c r="S1666" s="317" t="str">
        <f t="shared" si="414"/>
        <v/>
      </c>
      <c r="V1666" s="314">
        <f>SUM(ORÇAMENTO!N1666)</f>
        <v>0</v>
      </c>
      <c r="W1666" s="315">
        <f t="shared" si="415"/>
        <v>0</v>
      </c>
    </row>
    <row r="1667" spans="1:23" hidden="1">
      <c r="A1667" s="63">
        <v>606500</v>
      </c>
      <c r="B1667" s="870" t="s">
        <v>1710</v>
      </c>
      <c r="C1667" s="871" t="s">
        <v>184</v>
      </c>
      <c r="D1667" s="872" t="s">
        <v>466</v>
      </c>
      <c r="E1667" s="873"/>
      <c r="F1667" s="874"/>
      <c r="G1667" s="875"/>
      <c r="H1667" s="876">
        <v>182.46</v>
      </c>
      <c r="I1667" s="876">
        <f t="shared" si="426"/>
        <v>182.46</v>
      </c>
      <c r="J1667" s="877">
        <f t="shared" si="418"/>
        <v>223</v>
      </c>
      <c r="K1667" s="878" t="s">
        <v>10</v>
      </c>
      <c r="L1667" s="1016">
        <f>ROUND(SUM(ORÇAMENTO!L1667),2)</f>
        <v>0</v>
      </c>
      <c r="M1667" s="1017">
        <f t="shared" si="410"/>
        <v>0</v>
      </c>
      <c r="N1667" s="868">
        <f t="shared" si="411"/>
        <v>0</v>
      </c>
      <c r="O1667" s="880"/>
      <c r="Q1667" s="317" t="str">
        <f t="shared" si="412"/>
        <v/>
      </c>
      <c r="R1667" s="317" t="str">
        <f t="shared" si="413"/>
        <v/>
      </c>
      <c r="S1667" s="317" t="str">
        <f t="shared" si="414"/>
        <v/>
      </c>
      <c r="V1667" s="314">
        <f>SUM(ORÇAMENTO!N1667)</f>
        <v>0</v>
      </c>
      <c r="W1667" s="315">
        <f t="shared" si="415"/>
        <v>0</v>
      </c>
    </row>
    <row r="1668" spans="1:23" hidden="1">
      <c r="A1668" s="63">
        <v>841000</v>
      </c>
      <c r="B1668" s="870" t="s">
        <v>1700</v>
      </c>
      <c r="C1668" s="871" t="s">
        <v>184</v>
      </c>
      <c r="D1668" s="881" t="s">
        <v>445</v>
      </c>
      <c r="E1668" s="882"/>
      <c r="F1668" s="883"/>
      <c r="G1668" s="887"/>
      <c r="H1668" s="876">
        <v>12.51</v>
      </c>
      <c r="I1668" s="876">
        <f t="shared" si="426"/>
        <v>12.51</v>
      </c>
      <c r="J1668" s="877">
        <f t="shared" si="418"/>
        <v>15.29</v>
      </c>
      <c r="K1668" s="878" t="s">
        <v>13</v>
      </c>
      <c r="L1668" s="1013">
        <f>ROUND(SUM(ORÇAMENTO!L1668),2)</f>
        <v>0</v>
      </c>
      <c r="M1668" s="1013">
        <f t="shared" si="410"/>
        <v>0</v>
      </c>
      <c r="N1668" s="868">
        <f t="shared" si="411"/>
        <v>0</v>
      </c>
      <c r="O1668" s="880"/>
      <c r="Q1668" s="317" t="str">
        <f t="shared" si="412"/>
        <v/>
      </c>
      <c r="R1668" s="317" t="str">
        <f t="shared" si="413"/>
        <v/>
      </c>
      <c r="S1668" s="317" t="str">
        <f t="shared" si="414"/>
        <v/>
      </c>
      <c r="V1668" s="314">
        <f>SUM(ORÇAMENTO!N1668)</f>
        <v>0</v>
      </c>
      <c r="W1668" s="315">
        <f t="shared" si="415"/>
        <v>0</v>
      </c>
    </row>
    <row r="1669" spans="1:23" hidden="1">
      <c r="A1669" s="63">
        <v>840000</v>
      </c>
      <c r="B1669" s="870" t="s">
        <v>1702</v>
      </c>
      <c r="C1669" s="871" t="s">
        <v>184</v>
      </c>
      <c r="D1669" s="881" t="s">
        <v>264</v>
      </c>
      <c r="E1669" s="882"/>
      <c r="F1669" s="883"/>
      <c r="G1669" s="887"/>
      <c r="H1669" s="876">
        <v>34.53</v>
      </c>
      <c r="I1669" s="876">
        <f t="shared" si="426"/>
        <v>34.53</v>
      </c>
      <c r="J1669" s="877">
        <f t="shared" si="418"/>
        <v>42.2</v>
      </c>
      <c r="K1669" s="878" t="s">
        <v>13</v>
      </c>
      <c r="L1669" s="1013">
        <f>ROUND(SUM(ORÇAMENTO!L1669),2)</f>
        <v>0</v>
      </c>
      <c r="M1669" s="1013">
        <f t="shared" si="410"/>
        <v>0</v>
      </c>
      <c r="N1669" s="868">
        <f t="shared" si="411"/>
        <v>0</v>
      </c>
      <c r="O1669" s="880"/>
      <c r="Q1669" s="317" t="str">
        <f t="shared" si="412"/>
        <v/>
      </c>
      <c r="R1669" s="317" t="str">
        <f t="shared" si="413"/>
        <v/>
      </c>
      <c r="S1669" s="317" t="str">
        <f t="shared" si="414"/>
        <v/>
      </c>
      <c r="V1669" s="314">
        <f>SUM(ORÇAMENTO!N1669)</f>
        <v>0</v>
      </c>
      <c r="W1669" s="315">
        <f t="shared" si="415"/>
        <v>0</v>
      </c>
    </row>
    <row r="1670" spans="1:23" hidden="1">
      <c r="A1670" s="63">
        <v>606600</v>
      </c>
      <c r="B1670" s="969" t="s">
        <v>1686</v>
      </c>
      <c r="C1670" s="970" t="s">
        <v>184</v>
      </c>
      <c r="D1670" s="939" t="s">
        <v>178</v>
      </c>
      <c r="E1670" s="940"/>
      <c r="F1670" s="971"/>
      <c r="G1670" s="942"/>
      <c r="H1670" s="914">
        <v>309.52999999999997</v>
      </c>
      <c r="I1670" s="914">
        <f t="shared" ref="I1670:I1675" si="427">IF(ISBLANK(H1670),"",SUM(G1670:H1670))</f>
        <v>309.52999999999997</v>
      </c>
      <c r="J1670" s="943">
        <f t="shared" si="418"/>
        <v>378.31</v>
      </c>
      <c r="K1670" s="944" t="s">
        <v>10</v>
      </c>
      <c r="L1670" s="1295">
        <f>ROUND(SUM(ORÇAMENTO!L1670),2)</f>
        <v>0</v>
      </c>
      <c r="M1670" s="1295">
        <f t="shared" si="410"/>
        <v>0</v>
      </c>
      <c r="N1670" s="916">
        <f t="shared" si="411"/>
        <v>0</v>
      </c>
      <c r="O1670" s="880"/>
      <c r="Q1670" s="317" t="str">
        <f t="shared" si="412"/>
        <v/>
      </c>
      <c r="R1670" s="317" t="str">
        <f t="shared" si="413"/>
        <v/>
      </c>
      <c r="S1670" s="317" t="str">
        <f t="shared" si="414"/>
        <v/>
      </c>
      <c r="V1670" s="314">
        <f>SUM(ORÇAMENTO!N1670)</f>
        <v>0</v>
      </c>
      <c r="W1670" s="315">
        <f t="shared" si="415"/>
        <v>0</v>
      </c>
    </row>
    <row r="1671" spans="1:23" ht="13.5" thickBot="1">
      <c r="A1671" s="63">
        <v>606700</v>
      </c>
      <c r="B1671" s="1348" t="s">
        <v>1689</v>
      </c>
      <c r="C1671" s="1349" t="s">
        <v>184</v>
      </c>
      <c r="D1671" s="1350" t="s">
        <v>258</v>
      </c>
      <c r="E1671" s="1351"/>
      <c r="F1671" s="1352"/>
      <c r="G1671" s="1362"/>
      <c r="H1671" s="1354">
        <v>148.04</v>
      </c>
      <c r="I1671" s="1354">
        <f t="shared" si="427"/>
        <v>148.04</v>
      </c>
      <c r="J1671" s="1355">
        <f t="shared" si="418"/>
        <v>180.93</v>
      </c>
      <c r="K1671" s="1356" t="s">
        <v>10</v>
      </c>
      <c r="L1671" s="1383">
        <f>ROUND(SUM(ORÇAMENTO!L1671),2)</f>
        <v>180</v>
      </c>
      <c r="M1671" s="1383">
        <f t="shared" si="410"/>
        <v>180.93</v>
      </c>
      <c r="N1671" s="1358">
        <f t="shared" si="411"/>
        <v>32567.4</v>
      </c>
      <c r="O1671" s="1359"/>
      <c r="Q1671" s="317" t="str">
        <f t="shared" si="412"/>
        <v>x</v>
      </c>
      <c r="R1671" s="317" t="str">
        <f t="shared" si="413"/>
        <v>x</v>
      </c>
      <c r="S1671" s="317" t="str">
        <f t="shared" si="414"/>
        <v>x</v>
      </c>
      <c r="V1671" s="314">
        <f>SUM(ORÇAMENTO!N1671)</f>
        <v>32567.4</v>
      </c>
      <c r="W1671" s="315">
        <f t="shared" si="415"/>
        <v>0</v>
      </c>
    </row>
    <row r="1672" spans="1:23" ht="13.5" hidden="1" thickBot="1">
      <c r="A1672" s="63">
        <v>603700</v>
      </c>
      <c r="B1672" s="858" t="s">
        <v>1783</v>
      </c>
      <c r="C1672" s="859" t="s">
        <v>184</v>
      </c>
      <c r="D1672" s="920" t="s">
        <v>327</v>
      </c>
      <c r="E1672" s="1005">
        <f>DMT!$F$14</f>
        <v>43.1</v>
      </c>
      <c r="F1672" s="921">
        <v>1.8</v>
      </c>
      <c r="G1672" s="923">
        <f t="shared" ref="G1672:G1673" si="428">IF(E1672&lt;=30,(1.07*E1672+2.68)*F1672,((1.07*30+2.68)+1.07*(E1672-30))*F1672)</f>
        <v>87.834600000000009</v>
      </c>
      <c r="H1672" s="864">
        <v>213.87</v>
      </c>
      <c r="I1672" s="864">
        <f t="shared" si="427"/>
        <v>301.70460000000003</v>
      </c>
      <c r="J1672" s="865">
        <f t="shared" si="418"/>
        <v>368.74</v>
      </c>
      <c r="K1672" s="866" t="s">
        <v>10</v>
      </c>
      <c r="L1672" s="1013">
        <f>ROUND(SUM(ORÇAMENTO!L1672),2)</f>
        <v>0</v>
      </c>
      <c r="M1672" s="1013">
        <f t="shared" si="410"/>
        <v>0</v>
      </c>
      <c r="N1672" s="907">
        <f t="shared" si="411"/>
        <v>0</v>
      </c>
      <c r="O1672" s="880"/>
      <c r="P1672" s="58"/>
      <c r="Q1672" s="317" t="str">
        <f t="shared" si="412"/>
        <v/>
      </c>
      <c r="R1672" s="317" t="str">
        <f t="shared" si="413"/>
        <v/>
      </c>
      <c r="S1672" s="317" t="str">
        <f t="shared" si="414"/>
        <v/>
      </c>
      <c r="V1672" s="314">
        <f>SUM(ORÇAMENTO!N1672)</f>
        <v>0</v>
      </c>
      <c r="W1672" s="315">
        <f t="shared" si="415"/>
        <v>0</v>
      </c>
    </row>
    <row r="1673" spans="1:23" ht="13.5" hidden="1" thickBot="1">
      <c r="A1673" s="63">
        <v>603800</v>
      </c>
      <c r="B1673" s="870" t="s">
        <v>1784</v>
      </c>
      <c r="C1673" s="871" t="s">
        <v>184</v>
      </c>
      <c r="D1673" s="881" t="s">
        <v>328</v>
      </c>
      <c r="E1673" s="882">
        <f>DMT!$F$14</f>
        <v>43.1</v>
      </c>
      <c r="F1673" s="883">
        <v>1.5</v>
      </c>
      <c r="G1673" s="923">
        <f t="shared" si="428"/>
        <v>73.19550000000001</v>
      </c>
      <c r="H1673" s="876">
        <v>126.05</v>
      </c>
      <c r="I1673" s="876">
        <f t="shared" si="427"/>
        <v>199.24549999999999</v>
      </c>
      <c r="J1673" s="877">
        <f t="shared" si="418"/>
        <v>243.52</v>
      </c>
      <c r="K1673" s="878" t="s">
        <v>10</v>
      </c>
      <c r="L1673" s="1013">
        <f>ROUND(SUM(ORÇAMENTO!L1673),2)</f>
        <v>0</v>
      </c>
      <c r="M1673" s="1013">
        <f t="shared" si="410"/>
        <v>0</v>
      </c>
      <c r="N1673" s="868">
        <f t="shared" si="411"/>
        <v>0</v>
      </c>
      <c r="O1673" s="880"/>
      <c r="Q1673" s="317" t="str">
        <f t="shared" si="412"/>
        <v/>
      </c>
      <c r="R1673" s="317" t="str">
        <f t="shared" si="413"/>
        <v/>
      </c>
      <c r="S1673" s="317" t="str">
        <f t="shared" si="414"/>
        <v/>
      </c>
      <c r="V1673" s="314">
        <f>SUM(ORÇAMENTO!N1673)</f>
        <v>0</v>
      </c>
      <c r="W1673" s="315">
        <f t="shared" si="415"/>
        <v>0</v>
      </c>
    </row>
    <row r="1674" spans="1:23" ht="13.5" hidden="1" thickBot="1">
      <c r="A1674" s="63">
        <v>600000</v>
      </c>
      <c r="B1674" s="870" t="s">
        <v>1787</v>
      </c>
      <c r="C1674" s="871" t="s">
        <v>184</v>
      </c>
      <c r="D1674" s="881" t="s">
        <v>311</v>
      </c>
      <c r="E1674" s="882"/>
      <c r="F1674" s="883"/>
      <c r="G1674" s="887"/>
      <c r="H1674" s="876">
        <v>49.54</v>
      </c>
      <c r="I1674" s="876">
        <f t="shared" si="427"/>
        <v>49.54</v>
      </c>
      <c r="J1674" s="877">
        <f t="shared" si="418"/>
        <v>60.55</v>
      </c>
      <c r="K1674" s="878" t="s">
        <v>10</v>
      </c>
      <c r="L1674" s="1013">
        <f>ROUND(SUM(ORÇAMENTO!L1674),2)</f>
        <v>0</v>
      </c>
      <c r="M1674" s="1013">
        <f t="shared" si="410"/>
        <v>0</v>
      </c>
      <c r="N1674" s="868">
        <f t="shared" si="411"/>
        <v>0</v>
      </c>
      <c r="O1674" s="880"/>
      <c r="Q1674" s="317" t="str">
        <f t="shared" si="412"/>
        <v/>
      </c>
      <c r="R1674" s="317" t="str">
        <f t="shared" si="413"/>
        <v/>
      </c>
      <c r="S1674" s="317" t="str">
        <f t="shared" si="414"/>
        <v/>
      </c>
      <c r="V1674" s="314">
        <f>SUM(ORÇAMENTO!N1674)</f>
        <v>0</v>
      </c>
      <c r="W1674" s="315">
        <f t="shared" si="415"/>
        <v>0</v>
      </c>
    </row>
    <row r="1675" spans="1:23" ht="13.5" hidden="1" thickBot="1">
      <c r="A1675" s="63">
        <v>602000</v>
      </c>
      <c r="B1675" s="870" t="s">
        <v>1979</v>
      </c>
      <c r="C1675" s="871" t="s">
        <v>184</v>
      </c>
      <c r="D1675" s="881" t="s">
        <v>1978</v>
      </c>
      <c r="E1675" s="882"/>
      <c r="F1675" s="883"/>
      <c r="G1675" s="887"/>
      <c r="H1675" s="876">
        <v>62.53</v>
      </c>
      <c r="I1675" s="876">
        <f t="shared" si="427"/>
        <v>62.53</v>
      </c>
      <c r="J1675" s="877">
        <f t="shared" si="418"/>
        <v>76.42</v>
      </c>
      <c r="K1675" s="878" t="s">
        <v>12</v>
      </c>
      <c r="L1675" s="1013">
        <f>ROUND(SUM(ORÇAMENTO!L1675),2)</f>
        <v>0</v>
      </c>
      <c r="M1675" s="1013">
        <f t="shared" si="410"/>
        <v>0</v>
      </c>
      <c r="N1675" s="868">
        <f t="shared" si="411"/>
        <v>0</v>
      </c>
      <c r="O1675" s="880"/>
      <c r="Q1675" s="317" t="str">
        <f t="shared" si="412"/>
        <v/>
      </c>
      <c r="R1675" s="317" t="str">
        <f t="shared" si="413"/>
        <v/>
      </c>
      <c r="S1675" s="317" t="str">
        <f t="shared" si="414"/>
        <v/>
      </c>
      <c r="V1675" s="314">
        <f>SUM(ORÇAMENTO!N1675)</f>
        <v>0</v>
      </c>
      <c r="W1675" s="315">
        <f t="shared" si="415"/>
        <v>0</v>
      </c>
    </row>
    <row r="1676" spans="1:23" ht="13.5" hidden="1" thickBot="1">
      <c r="A1676" s="63">
        <v>600310</v>
      </c>
      <c r="B1676" s="870" t="s">
        <v>1695</v>
      </c>
      <c r="C1676" s="871" t="s">
        <v>184</v>
      </c>
      <c r="D1676" s="872" t="s">
        <v>442</v>
      </c>
      <c r="E1676" s="873"/>
      <c r="F1676" s="874"/>
      <c r="G1676" s="875"/>
      <c r="H1676" s="876">
        <v>142.88</v>
      </c>
      <c r="I1676" s="876">
        <f t="shared" ref="I1676:I1686" si="429">IF(ISBLANK(H1676),"",SUM(G1676:H1676))</f>
        <v>142.88</v>
      </c>
      <c r="J1676" s="877">
        <f t="shared" si="418"/>
        <v>174.63</v>
      </c>
      <c r="K1676" s="878" t="s">
        <v>15</v>
      </c>
      <c r="L1676" s="1013">
        <f>ROUND(SUM(ORÇAMENTO!L1676),2)</f>
        <v>0</v>
      </c>
      <c r="M1676" s="1013">
        <f t="shared" si="410"/>
        <v>0</v>
      </c>
      <c r="N1676" s="868">
        <f t="shared" si="411"/>
        <v>0</v>
      </c>
      <c r="O1676" s="880"/>
      <c r="Q1676" s="317" t="str">
        <f t="shared" si="412"/>
        <v/>
      </c>
      <c r="R1676" s="317" t="str">
        <f t="shared" si="413"/>
        <v/>
      </c>
      <c r="S1676" s="317" t="str">
        <f t="shared" si="414"/>
        <v/>
      </c>
      <c r="V1676" s="314">
        <f>SUM(ORÇAMENTO!N1676)</f>
        <v>0</v>
      </c>
      <c r="W1676" s="315">
        <f t="shared" si="415"/>
        <v>0</v>
      </c>
    </row>
    <row r="1677" spans="1:23" ht="13.5" hidden="1" thickBot="1">
      <c r="A1677" s="63">
        <v>633000</v>
      </c>
      <c r="B1677" s="870" t="s">
        <v>1789</v>
      </c>
      <c r="C1677" s="871" t="s">
        <v>184</v>
      </c>
      <c r="D1677" s="872" t="s">
        <v>517</v>
      </c>
      <c r="E1677" s="873"/>
      <c r="F1677" s="874"/>
      <c r="G1677" s="875"/>
      <c r="H1677" s="876">
        <v>82.58</v>
      </c>
      <c r="I1677" s="876">
        <f>IF(ISBLANK(H1677),"",SUM(G1677:H1677))</f>
        <v>82.58</v>
      </c>
      <c r="J1677" s="877">
        <f t="shared" si="418"/>
        <v>100.93</v>
      </c>
      <c r="K1677" s="878" t="s">
        <v>13</v>
      </c>
      <c r="L1677" s="1013">
        <f>ROUND(SUM(ORÇAMENTO!L1677),2)</f>
        <v>0</v>
      </c>
      <c r="M1677" s="1013">
        <f t="shared" si="410"/>
        <v>0</v>
      </c>
      <c r="N1677" s="868">
        <f t="shared" si="411"/>
        <v>0</v>
      </c>
      <c r="O1677" s="880"/>
      <c r="Q1677" s="317" t="str">
        <f t="shared" si="412"/>
        <v/>
      </c>
      <c r="R1677" s="317" t="str">
        <f t="shared" si="413"/>
        <v/>
      </c>
      <c r="S1677" s="317" t="str">
        <f t="shared" si="414"/>
        <v/>
      </c>
      <c r="V1677" s="314">
        <f>SUM(ORÇAMENTO!N1677)</f>
        <v>0</v>
      </c>
      <c r="W1677" s="315">
        <f t="shared" si="415"/>
        <v>0</v>
      </c>
    </row>
    <row r="1678" spans="1:23" ht="13.5" hidden="1" thickBot="1">
      <c r="A1678" s="63">
        <v>633100</v>
      </c>
      <c r="B1678" s="870" t="s">
        <v>1791</v>
      </c>
      <c r="C1678" s="871" t="s">
        <v>184</v>
      </c>
      <c r="D1678" s="872" t="s">
        <v>518</v>
      </c>
      <c r="E1678" s="873"/>
      <c r="F1678" s="874"/>
      <c r="G1678" s="875"/>
      <c r="H1678" s="876">
        <v>165.16</v>
      </c>
      <c r="I1678" s="876">
        <f>IF(ISBLANK(H1678),"",SUM(G1678:H1678))</f>
        <v>165.16</v>
      </c>
      <c r="J1678" s="877">
        <f t="shared" si="418"/>
        <v>201.86</v>
      </c>
      <c r="K1678" s="878" t="s">
        <v>13</v>
      </c>
      <c r="L1678" s="1013">
        <f>ROUND(SUM(ORÇAMENTO!L1678),2)</f>
        <v>0</v>
      </c>
      <c r="M1678" s="1013">
        <f t="shared" si="410"/>
        <v>0</v>
      </c>
      <c r="N1678" s="868">
        <f t="shared" si="411"/>
        <v>0</v>
      </c>
      <c r="O1678" s="880"/>
      <c r="Q1678" s="317" t="str">
        <f t="shared" si="412"/>
        <v/>
      </c>
      <c r="R1678" s="317" t="str">
        <f t="shared" si="413"/>
        <v/>
      </c>
      <c r="S1678" s="317" t="str">
        <f t="shared" si="414"/>
        <v/>
      </c>
      <c r="V1678" s="314">
        <f>SUM(ORÇAMENTO!N1678)</f>
        <v>0</v>
      </c>
      <c r="W1678" s="315">
        <f t="shared" si="415"/>
        <v>0</v>
      </c>
    </row>
    <row r="1679" spans="1:23" ht="13.5" hidden="1" thickBot="1">
      <c r="A1679" s="63">
        <v>633200</v>
      </c>
      <c r="B1679" s="870" t="s">
        <v>1792</v>
      </c>
      <c r="C1679" s="871" t="s">
        <v>184</v>
      </c>
      <c r="D1679" s="872" t="s">
        <v>519</v>
      </c>
      <c r="E1679" s="873"/>
      <c r="F1679" s="874"/>
      <c r="G1679" s="875"/>
      <c r="H1679" s="876">
        <v>247.74</v>
      </c>
      <c r="I1679" s="876">
        <f>IF(ISBLANK(H1679),"",SUM(G1679:H1679))</f>
        <v>247.74</v>
      </c>
      <c r="J1679" s="877">
        <f t="shared" si="418"/>
        <v>302.79000000000002</v>
      </c>
      <c r="K1679" s="878" t="s">
        <v>13</v>
      </c>
      <c r="L1679" s="1013">
        <f>ROUND(SUM(ORÇAMENTO!L1679),2)</f>
        <v>0</v>
      </c>
      <c r="M1679" s="1013">
        <f t="shared" si="410"/>
        <v>0</v>
      </c>
      <c r="N1679" s="868">
        <f t="shared" si="411"/>
        <v>0</v>
      </c>
      <c r="O1679" s="880"/>
      <c r="Q1679" s="317" t="str">
        <f t="shared" si="412"/>
        <v/>
      </c>
      <c r="R1679" s="317" t="str">
        <f t="shared" si="413"/>
        <v/>
      </c>
      <c r="S1679" s="317" t="str">
        <f t="shared" si="414"/>
        <v/>
      </c>
      <c r="V1679" s="314">
        <f>SUM(ORÇAMENTO!N1679)</f>
        <v>0</v>
      </c>
      <c r="W1679" s="315">
        <f t="shared" si="415"/>
        <v>0</v>
      </c>
    </row>
    <row r="1680" spans="1:23" ht="13.5" hidden="1" thickBot="1">
      <c r="A1680" s="63">
        <v>800900</v>
      </c>
      <c r="B1680" s="870" t="s">
        <v>1697</v>
      </c>
      <c r="C1680" s="871" t="s">
        <v>184</v>
      </c>
      <c r="D1680" s="872" t="s">
        <v>443</v>
      </c>
      <c r="E1680" s="873"/>
      <c r="F1680" s="874"/>
      <c r="G1680" s="875"/>
      <c r="H1680" s="876">
        <v>13.25</v>
      </c>
      <c r="I1680" s="876">
        <f t="shared" si="429"/>
        <v>13.25</v>
      </c>
      <c r="J1680" s="877">
        <f t="shared" si="418"/>
        <v>16.190000000000001</v>
      </c>
      <c r="K1680" s="878" t="s">
        <v>12</v>
      </c>
      <c r="L1680" s="1013">
        <f>ROUND(SUM(ORÇAMENTO!L1680),2)</f>
        <v>0</v>
      </c>
      <c r="M1680" s="1013">
        <f t="shared" si="410"/>
        <v>0</v>
      </c>
      <c r="N1680" s="868">
        <f t="shared" si="411"/>
        <v>0</v>
      </c>
      <c r="O1680" s="880"/>
      <c r="Q1680" s="317" t="str">
        <f t="shared" si="412"/>
        <v/>
      </c>
      <c r="R1680" s="317" t="str">
        <f t="shared" si="413"/>
        <v/>
      </c>
      <c r="S1680" s="317" t="str">
        <f t="shared" si="414"/>
        <v/>
      </c>
      <c r="V1680" s="314">
        <f>SUM(ORÇAMENTO!N1680)</f>
        <v>0</v>
      </c>
      <c r="W1680" s="315">
        <f t="shared" si="415"/>
        <v>0</v>
      </c>
    </row>
    <row r="1681" spans="1:23" ht="13.5" hidden="1" thickBot="1">
      <c r="A1681" s="63">
        <v>801100</v>
      </c>
      <c r="B1681" s="870" t="s">
        <v>1698</v>
      </c>
      <c r="C1681" s="871" t="s">
        <v>184</v>
      </c>
      <c r="D1681" s="872" t="s">
        <v>278</v>
      </c>
      <c r="E1681" s="873"/>
      <c r="F1681" s="874"/>
      <c r="G1681" s="875"/>
      <c r="H1681" s="876">
        <v>19.149999999999999</v>
      </c>
      <c r="I1681" s="876">
        <f t="shared" si="429"/>
        <v>19.149999999999999</v>
      </c>
      <c r="J1681" s="877">
        <f t="shared" si="418"/>
        <v>23.41</v>
      </c>
      <c r="K1681" s="878" t="s">
        <v>12</v>
      </c>
      <c r="L1681" s="1016">
        <f>ROUND(SUM(ORÇAMENTO!L1681),2)</f>
        <v>0</v>
      </c>
      <c r="M1681" s="1017">
        <f t="shared" si="410"/>
        <v>0</v>
      </c>
      <c r="N1681" s="868">
        <f t="shared" si="411"/>
        <v>0</v>
      </c>
      <c r="O1681" s="880"/>
      <c r="Q1681" s="317" t="str">
        <f t="shared" si="412"/>
        <v/>
      </c>
      <c r="R1681" s="317" t="str">
        <f t="shared" si="413"/>
        <v/>
      </c>
      <c r="S1681" s="317" t="str">
        <f t="shared" si="414"/>
        <v/>
      </c>
      <c r="V1681" s="314">
        <f>SUM(ORÇAMENTO!N1681)</f>
        <v>0</v>
      </c>
      <c r="W1681" s="315">
        <f t="shared" si="415"/>
        <v>0</v>
      </c>
    </row>
    <row r="1682" spans="1:23" ht="13.5" hidden="1" thickBot="1">
      <c r="A1682" s="63">
        <v>600510</v>
      </c>
      <c r="B1682" s="870" t="s">
        <v>1699</v>
      </c>
      <c r="C1682" s="871" t="s">
        <v>184</v>
      </c>
      <c r="D1682" s="872" t="s">
        <v>444</v>
      </c>
      <c r="E1682" s="873"/>
      <c r="F1682" s="874"/>
      <c r="G1682" s="875"/>
      <c r="H1682" s="876">
        <v>2.52</v>
      </c>
      <c r="I1682" s="876">
        <f t="shared" si="429"/>
        <v>2.52</v>
      </c>
      <c r="J1682" s="877">
        <f t="shared" si="418"/>
        <v>3.08</v>
      </c>
      <c r="K1682" s="878" t="s">
        <v>13</v>
      </c>
      <c r="L1682" s="1016">
        <f>ROUND(SUM(ORÇAMENTO!L1682),2)</f>
        <v>0</v>
      </c>
      <c r="M1682" s="1017">
        <f t="shared" ref="M1682:M1745" si="430">IF(L1682=0,0,ROUND(J1682,2))</f>
        <v>0</v>
      </c>
      <c r="N1682" s="868">
        <f t="shared" ref="N1682:N1745" si="431">IF(ISBLANK(L1682),0,ROUND(L1682*M1682,2))</f>
        <v>0</v>
      </c>
      <c r="O1682" s="880"/>
      <c r="Q1682" s="317" t="str">
        <f t="shared" ref="Q1682:Q1745" si="432">IF(P1682="X","x",IF(P1682="xx","x",IF(P1682="xy","x",IF(P1682="y","x",IF(OR(N1682&gt;0,N1682&gt;0),"x","")))))</f>
        <v/>
      </c>
      <c r="R1682" s="317" t="str">
        <f t="shared" ref="R1682:R1745" si="433">IF(P1682="X","x",IF(P1682="y","x",IF(P1682="xx","x",IF(N1682&gt;0,"x",""))))</f>
        <v/>
      </c>
      <c r="S1682" s="317" t="str">
        <f t="shared" ref="S1682:S1745" si="434">IF(P1682="X","x",IF(N1682&gt;0,"x",""))</f>
        <v/>
      </c>
      <c r="V1682" s="314">
        <f>SUM(ORÇAMENTO!N1682)</f>
        <v>0</v>
      </c>
      <c r="W1682" s="315">
        <f t="shared" si="415"/>
        <v>0</v>
      </c>
    </row>
    <row r="1683" spans="1:23" ht="13.5" hidden="1" thickBot="1">
      <c r="A1683" s="63">
        <v>521450</v>
      </c>
      <c r="B1683" s="929" t="s">
        <v>1600</v>
      </c>
      <c r="C1683" s="930" t="s">
        <v>184</v>
      </c>
      <c r="D1683" s="881" t="s">
        <v>219</v>
      </c>
      <c r="E1683" s="882">
        <f>DMT!$F$15</f>
        <v>43.1</v>
      </c>
      <c r="F1683" s="874">
        <v>0.3</v>
      </c>
      <c r="G1683" s="923">
        <f t="shared" ref="G1683" si="435">IF(E1683&lt;=30,(1.07*E1683+2.68)*F1683,((1.07*30+2.68)+1.07*(E1683-30))*F1683)</f>
        <v>14.639100000000001</v>
      </c>
      <c r="H1683" s="876">
        <v>25.31</v>
      </c>
      <c r="I1683" s="876">
        <f>IF(ISBLANK(H1683),"",SUM(G1683:H1683))</f>
        <v>39.949100000000001</v>
      </c>
      <c r="J1683" s="877">
        <f t="shared" si="418"/>
        <v>48.83</v>
      </c>
      <c r="K1683" s="878" t="s">
        <v>12</v>
      </c>
      <c r="L1683" s="1013">
        <f>ROUND(SUM(ORÇAMENTO!L1683),2)</f>
        <v>0</v>
      </c>
      <c r="M1683" s="1013">
        <f t="shared" si="430"/>
        <v>0</v>
      </c>
      <c r="N1683" s="868">
        <f t="shared" si="431"/>
        <v>0</v>
      </c>
      <c r="O1683" s="880"/>
      <c r="Q1683" s="317" t="str">
        <f t="shared" si="432"/>
        <v/>
      </c>
      <c r="R1683" s="317" t="str">
        <f t="shared" si="433"/>
        <v/>
      </c>
      <c r="S1683" s="317" t="str">
        <f t="shared" si="434"/>
        <v/>
      </c>
      <c r="V1683" s="314">
        <f>SUM(ORÇAMENTO!N1683)</f>
        <v>0</v>
      </c>
      <c r="W1683" s="315">
        <f t="shared" si="415"/>
        <v>0</v>
      </c>
    </row>
    <row r="1684" spans="1:23" ht="13.5" hidden="1" thickBot="1">
      <c r="A1684" s="63">
        <v>511300</v>
      </c>
      <c r="B1684" s="870" t="s">
        <v>1555</v>
      </c>
      <c r="C1684" s="871" t="s">
        <v>184</v>
      </c>
      <c r="D1684" s="881" t="s">
        <v>180</v>
      </c>
      <c r="E1684" s="882"/>
      <c r="F1684" s="883"/>
      <c r="G1684" s="887"/>
      <c r="H1684" s="876">
        <v>0.28999999999999998</v>
      </c>
      <c r="I1684" s="876">
        <f t="shared" si="429"/>
        <v>0.28999999999999998</v>
      </c>
      <c r="J1684" s="877">
        <f t="shared" si="418"/>
        <v>0.35</v>
      </c>
      <c r="K1684" s="878" t="s">
        <v>12</v>
      </c>
      <c r="L1684" s="1013">
        <f>ROUND(SUM(ORÇAMENTO!L1684),2)</f>
        <v>0</v>
      </c>
      <c r="M1684" s="1013">
        <f t="shared" si="430"/>
        <v>0</v>
      </c>
      <c r="N1684" s="868">
        <f t="shared" si="431"/>
        <v>0</v>
      </c>
      <c r="O1684" s="880"/>
      <c r="Q1684" s="317" t="str">
        <f t="shared" si="432"/>
        <v/>
      </c>
      <c r="R1684" s="317" t="str">
        <f t="shared" si="433"/>
        <v/>
      </c>
      <c r="S1684" s="317" t="str">
        <f t="shared" si="434"/>
        <v/>
      </c>
      <c r="V1684" s="314">
        <f>SUM(ORÇAMENTO!N1684)</f>
        <v>0</v>
      </c>
      <c r="W1684" s="315">
        <f t="shared" si="415"/>
        <v>0</v>
      </c>
    </row>
    <row r="1685" spans="1:23" ht="13.5" hidden="1" thickBot="1">
      <c r="A1685" s="63">
        <v>521450</v>
      </c>
      <c r="B1685" s="870" t="s">
        <v>1601</v>
      </c>
      <c r="C1685" s="871" t="s">
        <v>184</v>
      </c>
      <c r="D1685" s="881" t="s">
        <v>454</v>
      </c>
      <c r="E1685" s="882"/>
      <c r="F1685" s="874"/>
      <c r="G1685" s="887"/>
      <c r="H1685" s="876">
        <v>25.31</v>
      </c>
      <c r="I1685" s="876">
        <f t="shared" si="429"/>
        <v>25.31</v>
      </c>
      <c r="J1685" s="877">
        <f t="shared" si="418"/>
        <v>30.93</v>
      </c>
      <c r="K1685" s="878" t="s">
        <v>12</v>
      </c>
      <c r="L1685" s="1013">
        <f>ROUND(SUM(ORÇAMENTO!L1685),2)</f>
        <v>0</v>
      </c>
      <c r="M1685" s="1013">
        <f t="shared" si="430"/>
        <v>0</v>
      </c>
      <c r="N1685" s="868">
        <f t="shared" si="431"/>
        <v>0</v>
      </c>
      <c r="O1685" s="880"/>
      <c r="Q1685" s="317" t="str">
        <f t="shared" si="432"/>
        <v/>
      </c>
      <c r="R1685" s="317" t="str">
        <f t="shared" si="433"/>
        <v/>
      </c>
      <c r="S1685" s="317" t="str">
        <f t="shared" si="434"/>
        <v/>
      </c>
      <c r="V1685" s="314">
        <f>SUM(ORÇAMENTO!N1685)</f>
        <v>0</v>
      </c>
      <c r="W1685" s="315">
        <f t="shared" ref="W1685:W1748" si="436">N1685-V1685</f>
        <v>0</v>
      </c>
    </row>
    <row r="1686" spans="1:23" ht="13.5" hidden="1" thickBot="1">
      <c r="A1686" s="63">
        <v>521450</v>
      </c>
      <c r="B1686" s="870" t="s">
        <v>1603</v>
      </c>
      <c r="C1686" s="871" t="s">
        <v>184</v>
      </c>
      <c r="D1686" s="881" t="s">
        <v>221</v>
      </c>
      <c r="E1686" s="882"/>
      <c r="F1686" s="874"/>
      <c r="G1686" s="887"/>
      <c r="H1686" s="876">
        <v>25.31</v>
      </c>
      <c r="I1686" s="876">
        <f t="shared" si="429"/>
        <v>25.31</v>
      </c>
      <c r="J1686" s="877">
        <f t="shared" si="418"/>
        <v>30.93</v>
      </c>
      <c r="K1686" s="878" t="s">
        <v>12</v>
      </c>
      <c r="L1686" s="1013">
        <f>ROUND(SUM(ORÇAMENTO!L1686),2)</f>
        <v>0</v>
      </c>
      <c r="M1686" s="1013">
        <f t="shared" si="430"/>
        <v>0</v>
      </c>
      <c r="N1686" s="868">
        <f t="shared" si="431"/>
        <v>0</v>
      </c>
      <c r="O1686" s="880"/>
      <c r="Q1686" s="317" t="str">
        <f t="shared" si="432"/>
        <v/>
      </c>
      <c r="R1686" s="317" t="str">
        <f t="shared" si="433"/>
        <v/>
      </c>
      <c r="S1686" s="317" t="str">
        <f t="shared" si="434"/>
        <v/>
      </c>
      <c r="V1686" s="314">
        <f>SUM(ORÇAMENTO!N1686)</f>
        <v>0</v>
      </c>
      <c r="W1686" s="315">
        <f t="shared" si="436"/>
        <v>0</v>
      </c>
    </row>
    <row r="1687" spans="1:23" ht="13.5" hidden="1" thickBot="1">
      <c r="A1687" s="560" t="s">
        <v>165</v>
      </c>
      <c r="B1687" s="888" t="s">
        <v>165</v>
      </c>
      <c r="C1687" s="889"/>
      <c r="D1687" s="890" t="s">
        <v>485</v>
      </c>
      <c r="E1687" s="891"/>
      <c r="F1687" s="892"/>
      <c r="G1687" s="893"/>
      <c r="H1687" s="894">
        <v>0</v>
      </c>
      <c r="I1687" s="894"/>
      <c r="J1687" s="894">
        <f t="shared" si="418"/>
        <v>0</v>
      </c>
      <c r="K1687" s="895" t="s">
        <v>506</v>
      </c>
      <c r="L1687" s="1018">
        <f>ROUND(SUM(ORÇAMENTO!L1687),2)</f>
        <v>0</v>
      </c>
      <c r="M1687" s="1019">
        <f t="shared" si="430"/>
        <v>0</v>
      </c>
      <c r="N1687" s="898">
        <f t="shared" si="431"/>
        <v>0</v>
      </c>
      <c r="O1687" s="880"/>
      <c r="P1687" s="58" t="str">
        <f>IF(OR(SUM(N1688:N1719)&gt;0,SUM(N1688:N1719)&gt;0),"y","")</f>
        <v/>
      </c>
      <c r="Q1687" s="317" t="str">
        <f t="shared" si="432"/>
        <v/>
      </c>
      <c r="R1687" s="317" t="str">
        <f t="shared" si="433"/>
        <v/>
      </c>
      <c r="S1687" s="317" t="str">
        <f t="shared" si="434"/>
        <v/>
      </c>
      <c r="V1687" s="314">
        <f>SUM(ORÇAMENTO!N1687)</f>
        <v>0</v>
      </c>
      <c r="W1687" s="315">
        <f t="shared" si="436"/>
        <v>0</v>
      </c>
    </row>
    <row r="1688" spans="1:23" ht="13.5" hidden="1" thickBot="1">
      <c r="A1688" s="560" t="s">
        <v>165</v>
      </c>
      <c r="B1688" s="899" t="s">
        <v>165</v>
      </c>
      <c r="C1688" s="900" t="s">
        <v>165</v>
      </c>
      <c r="D1688" s="906"/>
      <c r="E1688" s="902"/>
      <c r="F1688" s="903"/>
      <c r="G1688" s="904"/>
      <c r="H1688" s="905">
        <v>0</v>
      </c>
      <c r="I1688" s="876">
        <f t="shared" ref="I1688:I1719" si="437">IF(ISBLANK(H1688),"",SUM(G1688:H1688))</f>
        <v>0</v>
      </c>
      <c r="J1688" s="865">
        <f t="shared" ref="J1688:J1719" si="438">IF(ISBLANK(H1688),0,ROUND(I1688*(1+$E$10),2))</f>
        <v>0</v>
      </c>
      <c r="K1688" s="903" t="s">
        <v>506</v>
      </c>
      <c r="L1688" s="1016">
        <f>ROUND(SUM(ORÇAMENTO!L1688),2)</f>
        <v>0</v>
      </c>
      <c r="M1688" s="1017">
        <f t="shared" si="430"/>
        <v>0</v>
      </c>
      <c r="N1688" s="868">
        <f t="shared" si="431"/>
        <v>0</v>
      </c>
      <c r="O1688" s="880"/>
      <c r="Q1688" s="317" t="str">
        <f t="shared" si="432"/>
        <v/>
      </c>
      <c r="R1688" s="317" t="str">
        <f t="shared" si="433"/>
        <v/>
      </c>
      <c r="S1688" s="317" t="str">
        <f t="shared" si="434"/>
        <v/>
      </c>
      <c r="V1688" s="314">
        <f>SUM(ORÇAMENTO!N1688)</f>
        <v>0</v>
      </c>
      <c r="W1688" s="315">
        <f t="shared" si="436"/>
        <v>0</v>
      </c>
    </row>
    <row r="1689" spans="1:23" ht="13.5" hidden="1" thickBot="1">
      <c r="A1689" s="560" t="s">
        <v>165</v>
      </c>
      <c r="B1689" s="899" t="s">
        <v>165</v>
      </c>
      <c r="C1689" s="900" t="s">
        <v>165</v>
      </c>
      <c r="D1689" s="906"/>
      <c r="E1689" s="902"/>
      <c r="F1689" s="903"/>
      <c r="G1689" s="904"/>
      <c r="H1689" s="905">
        <v>0</v>
      </c>
      <c r="I1689" s="876">
        <f t="shared" si="437"/>
        <v>0</v>
      </c>
      <c r="J1689" s="865">
        <f t="shared" si="438"/>
        <v>0</v>
      </c>
      <c r="K1689" s="903" t="s">
        <v>506</v>
      </c>
      <c r="L1689" s="1013">
        <f>ROUND(SUM(ORÇAMENTO!L1689),2)</f>
        <v>0</v>
      </c>
      <c r="M1689" s="1013">
        <f t="shared" si="430"/>
        <v>0</v>
      </c>
      <c r="N1689" s="907">
        <f t="shared" si="431"/>
        <v>0</v>
      </c>
      <c r="O1689" s="880"/>
      <c r="Q1689" s="317" t="str">
        <f t="shared" si="432"/>
        <v/>
      </c>
      <c r="R1689" s="317" t="str">
        <f t="shared" si="433"/>
        <v/>
      </c>
      <c r="S1689" s="317" t="str">
        <f t="shared" si="434"/>
        <v/>
      </c>
      <c r="V1689" s="314">
        <f>SUM(ORÇAMENTO!N1689)</f>
        <v>0</v>
      </c>
      <c r="W1689" s="315">
        <f t="shared" si="436"/>
        <v>0</v>
      </c>
    </row>
    <row r="1690" spans="1:23" ht="13.5" hidden="1" thickBot="1">
      <c r="A1690" s="560" t="s">
        <v>165</v>
      </c>
      <c r="B1690" s="899" t="s">
        <v>165</v>
      </c>
      <c r="C1690" s="900" t="s">
        <v>165</v>
      </c>
      <c r="D1690" s="906"/>
      <c r="E1690" s="902"/>
      <c r="F1690" s="903"/>
      <c r="G1690" s="904"/>
      <c r="H1690" s="905">
        <v>0</v>
      </c>
      <c r="I1690" s="876">
        <f t="shared" si="437"/>
        <v>0</v>
      </c>
      <c r="J1690" s="865">
        <f t="shared" si="438"/>
        <v>0</v>
      </c>
      <c r="K1690" s="903" t="s">
        <v>506</v>
      </c>
      <c r="L1690" s="1013">
        <f>ROUND(SUM(ORÇAMENTO!L1690),2)</f>
        <v>0</v>
      </c>
      <c r="M1690" s="1013">
        <f t="shared" si="430"/>
        <v>0</v>
      </c>
      <c r="N1690" s="868">
        <f t="shared" si="431"/>
        <v>0</v>
      </c>
      <c r="O1690" s="880"/>
      <c r="Q1690" s="317" t="str">
        <f t="shared" si="432"/>
        <v/>
      </c>
      <c r="R1690" s="317" t="str">
        <f t="shared" si="433"/>
        <v/>
      </c>
      <c r="S1690" s="317" t="str">
        <f t="shared" si="434"/>
        <v/>
      </c>
      <c r="V1690" s="314">
        <f>SUM(ORÇAMENTO!N1690)</f>
        <v>0</v>
      </c>
      <c r="W1690" s="315">
        <f t="shared" si="436"/>
        <v>0</v>
      </c>
    </row>
    <row r="1691" spans="1:23" ht="13.5" hidden="1" thickBot="1">
      <c r="A1691" s="560" t="s">
        <v>165</v>
      </c>
      <c r="B1691" s="899" t="s">
        <v>165</v>
      </c>
      <c r="C1691" s="900" t="s">
        <v>165</v>
      </c>
      <c r="D1691" s="906"/>
      <c r="E1691" s="902"/>
      <c r="F1691" s="903"/>
      <c r="G1691" s="904"/>
      <c r="H1691" s="905">
        <v>0</v>
      </c>
      <c r="I1691" s="876">
        <f t="shared" si="437"/>
        <v>0</v>
      </c>
      <c r="J1691" s="865">
        <f t="shared" si="438"/>
        <v>0</v>
      </c>
      <c r="K1691" s="903" t="s">
        <v>506</v>
      </c>
      <c r="L1691" s="1013">
        <f>ROUND(SUM(ORÇAMENTO!L1691),2)</f>
        <v>0</v>
      </c>
      <c r="M1691" s="1013">
        <f t="shared" si="430"/>
        <v>0</v>
      </c>
      <c r="N1691" s="868">
        <f t="shared" si="431"/>
        <v>0</v>
      </c>
      <c r="O1691" s="880"/>
      <c r="Q1691" s="317" t="str">
        <f t="shared" si="432"/>
        <v/>
      </c>
      <c r="R1691" s="317" t="str">
        <f t="shared" si="433"/>
        <v/>
      </c>
      <c r="S1691" s="317" t="str">
        <f t="shared" si="434"/>
        <v/>
      </c>
      <c r="V1691" s="314">
        <f>SUM(ORÇAMENTO!N1691)</f>
        <v>0</v>
      </c>
      <c r="W1691" s="315">
        <f t="shared" si="436"/>
        <v>0</v>
      </c>
    </row>
    <row r="1692" spans="1:23" ht="13.5" hidden="1" thickBot="1">
      <c r="A1692" s="560" t="s">
        <v>165</v>
      </c>
      <c r="B1692" s="899" t="s">
        <v>165</v>
      </c>
      <c r="C1692" s="900" t="s">
        <v>165</v>
      </c>
      <c r="D1692" s="906"/>
      <c r="E1692" s="902"/>
      <c r="F1692" s="903"/>
      <c r="G1692" s="904"/>
      <c r="H1692" s="905">
        <v>0</v>
      </c>
      <c r="I1692" s="876">
        <f t="shared" si="437"/>
        <v>0</v>
      </c>
      <c r="J1692" s="865">
        <f t="shared" si="438"/>
        <v>0</v>
      </c>
      <c r="K1692" s="903" t="s">
        <v>506</v>
      </c>
      <c r="L1692" s="1013">
        <f>ROUND(SUM(ORÇAMENTO!L1692),2)</f>
        <v>0</v>
      </c>
      <c r="M1692" s="1013">
        <f t="shared" si="430"/>
        <v>0</v>
      </c>
      <c r="N1692" s="868">
        <f t="shared" si="431"/>
        <v>0</v>
      </c>
      <c r="O1692" s="880"/>
      <c r="Q1692" s="317" t="str">
        <f t="shared" si="432"/>
        <v/>
      </c>
      <c r="R1692" s="317" t="str">
        <f t="shared" si="433"/>
        <v/>
      </c>
      <c r="S1692" s="317" t="str">
        <f t="shared" si="434"/>
        <v/>
      </c>
      <c r="V1692" s="314">
        <f>SUM(ORÇAMENTO!N1692)</f>
        <v>0</v>
      </c>
      <c r="W1692" s="315">
        <f t="shared" si="436"/>
        <v>0</v>
      </c>
    </row>
    <row r="1693" spans="1:23" ht="13.5" hidden="1" thickBot="1">
      <c r="A1693" s="560" t="s">
        <v>165</v>
      </c>
      <c r="B1693" s="899" t="s">
        <v>165</v>
      </c>
      <c r="C1693" s="900" t="s">
        <v>165</v>
      </c>
      <c r="D1693" s="906"/>
      <c r="E1693" s="902"/>
      <c r="F1693" s="903"/>
      <c r="G1693" s="904"/>
      <c r="H1693" s="905">
        <v>0</v>
      </c>
      <c r="I1693" s="876">
        <f t="shared" si="437"/>
        <v>0</v>
      </c>
      <c r="J1693" s="865">
        <f t="shared" si="438"/>
        <v>0</v>
      </c>
      <c r="K1693" s="903" t="s">
        <v>506</v>
      </c>
      <c r="L1693" s="1013">
        <f>ROUND(SUM(ORÇAMENTO!L1693),2)</f>
        <v>0</v>
      </c>
      <c r="M1693" s="1013">
        <f t="shared" si="430"/>
        <v>0</v>
      </c>
      <c r="N1693" s="868">
        <f t="shared" si="431"/>
        <v>0</v>
      </c>
      <c r="O1693" s="880"/>
      <c r="Q1693" s="317" t="str">
        <f t="shared" si="432"/>
        <v/>
      </c>
      <c r="R1693" s="317" t="str">
        <f t="shared" si="433"/>
        <v/>
      </c>
      <c r="S1693" s="317" t="str">
        <f t="shared" si="434"/>
        <v/>
      </c>
      <c r="V1693" s="314">
        <f>SUM(ORÇAMENTO!N1693)</f>
        <v>0</v>
      </c>
      <c r="W1693" s="315">
        <f t="shared" si="436"/>
        <v>0</v>
      </c>
    </row>
    <row r="1694" spans="1:23" ht="13.5" hidden="1" thickBot="1">
      <c r="A1694" s="560" t="s">
        <v>165</v>
      </c>
      <c r="B1694" s="899" t="s">
        <v>165</v>
      </c>
      <c r="C1694" s="900" t="s">
        <v>165</v>
      </c>
      <c r="D1694" s="906"/>
      <c r="E1694" s="902"/>
      <c r="F1694" s="903"/>
      <c r="G1694" s="904"/>
      <c r="H1694" s="905">
        <v>0</v>
      </c>
      <c r="I1694" s="876">
        <f t="shared" si="437"/>
        <v>0</v>
      </c>
      <c r="J1694" s="865">
        <f t="shared" si="438"/>
        <v>0</v>
      </c>
      <c r="K1694" s="903" t="s">
        <v>506</v>
      </c>
      <c r="L1694" s="1013">
        <f>ROUND(SUM(ORÇAMENTO!L1694),2)</f>
        <v>0</v>
      </c>
      <c r="M1694" s="1013">
        <f t="shared" si="430"/>
        <v>0</v>
      </c>
      <c r="N1694" s="868">
        <f t="shared" si="431"/>
        <v>0</v>
      </c>
      <c r="O1694" s="880"/>
      <c r="Q1694" s="317" t="str">
        <f t="shared" si="432"/>
        <v/>
      </c>
      <c r="R1694" s="317" t="str">
        <f t="shared" si="433"/>
        <v/>
      </c>
      <c r="S1694" s="317" t="str">
        <f t="shared" si="434"/>
        <v/>
      </c>
      <c r="V1694" s="314">
        <f>SUM(ORÇAMENTO!N1694)</f>
        <v>0</v>
      </c>
      <c r="W1694" s="315">
        <f t="shared" si="436"/>
        <v>0</v>
      </c>
    </row>
    <row r="1695" spans="1:23" ht="13.5" hidden="1" thickBot="1">
      <c r="A1695" s="560" t="s">
        <v>165</v>
      </c>
      <c r="B1695" s="899" t="s">
        <v>165</v>
      </c>
      <c r="C1695" s="900" t="s">
        <v>165</v>
      </c>
      <c r="D1695" s="906"/>
      <c r="E1695" s="902"/>
      <c r="F1695" s="903"/>
      <c r="G1695" s="904"/>
      <c r="H1695" s="905">
        <v>0</v>
      </c>
      <c r="I1695" s="876">
        <f t="shared" si="437"/>
        <v>0</v>
      </c>
      <c r="J1695" s="865">
        <f t="shared" si="438"/>
        <v>0</v>
      </c>
      <c r="K1695" s="903" t="s">
        <v>506</v>
      </c>
      <c r="L1695" s="1013">
        <f>ROUND(SUM(ORÇAMENTO!L1695),2)</f>
        <v>0</v>
      </c>
      <c r="M1695" s="1013">
        <f t="shared" si="430"/>
        <v>0</v>
      </c>
      <c r="N1695" s="868">
        <f t="shared" si="431"/>
        <v>0</v>
      </c>
      <c r="O1695" s="880"/>
      <c r="Q1695" s="317" t="str">
        <f t="shared" si="432"/>
        <v/>
      </c>
      <c r="R1695" s="317" t="str">
        <f t="shared" si="433"/>
        <v/>
      </c>
      <c r="S1695" s="317" t="str">
        <f t="shared" si="434"/>
        <v/>
      </c>
      <c r="V1695" s="314">
        <f>SUM(ORÇAMENTO!N1695)</f>
        <v>0</v>
      </c>
      <c r="W1695" s="315">
        <f t="shared" si="436"/>
        <v>0</v>
      </c>
    </row>
    <row r="1696" spans="1:23" ht="13.5" hidden="1" thickBot="1">
      <c r="A1696" s="560" t="s">
        <v>165</v>
      </c>
      <c r="B1696" s="899" t="s">
        <v>165</v>
      </c>
      <c r="C1696" s="900" t="s">
        <v>165</v>
      </c>
      <c r="D1696" s="906"/>
      <c r="E1696" s="902"/>
      <c r="F1696" s="903"/>
      <c r="G1696" s="904"/>
      <c r="H1696" s="905">
        <v>0</v>
      </c>
      <c r="I1696" s="876">
        <f t="shared" si="437"/>
        <v>0</v>
      </c>
      <c r="J1696" s="865">
        <f t="shared" si="438"/>
        <v>0</v>
      </c>
      <c r="K1696" s="903" t="s">
        <v>506</v>
      </c>
      <c r="L1696" s="1013">
        <f>ROUND(SUM(ORÇAMENTO!L1696),2)</f>
        <v>0</v>
      </c>
      <c r="M1696" s="1013">
        <f t="shared" si="430"/>
        <v>0</v>
      </c>
      <c r="N1696" s="868">
        <f t="shared" si="431"/>
        <v>0</v>
      </c>
      <c r="O1696" s="880"/>
      <c r="Q1696" s="317" t="str">
        <f t="shared" si="432"/>
        <v/>
      </c>
      <c r="R1696" s="317" t="str">
        <f t="shared" si="433"/>
        <v/>
      </c>
      <c r="S1696" s="317" t="str">
        <f t="shared" si="434"/>
        <v/>
      </c>
      <c r="V1696" s="314">
        <f>SUM(ORÇAMENTO!N1696)</f>
        <v>0</v>
      </c>
      <c r="W1696" s="315">
        <f t="shared" si="436"/>
        <v>0</v>
      </c>
    </row>
    <row r="1697" spans="1:23" ht="13.5" hidden="1" thickBot="1">
      <c r="A1697" s="560" t="s">
        <v>165</v>
      </c>
      <c r="B1697" s="899" t="s">
        <v>165</v>
      </c>
      <c r="C1697" s="900" t="s">
        <v>165</v>
      </c>
      <c r="D1697" s="906"/>
      <c r="E1697" s="902"/>
      <c r="F1697" s="903"/>
      <c r="G1697" s="904"/>
      <c r="H1697" s="905">
        <v>0</v>
      </c>
      <c r="I1697" s="876">
        <f t="shared" si="437"/>
        <v>0</v>
      </c>
      <c r="J1697" s="865">
        <f t="shared" si="438"/>
        <v>0</v>
      </c>
      <c r="K1697" s="903" t="s">
        <v>506</v>
      </c>
      <c r="L1697" s="1013">
        <f>ROUND(SUM(ORÇAMENTO!L1697),2)</f>
        <v>0</v>
      </c>
      <c r="M1697" s="1013">
        <f t="shared" si="430"/>
        <v>0</v>
      </c>
      <c r="N1697" s="868">
        <f t="shared" si="431"/>
        <v>0</v>
      </c>
      <c r="O1697" s="880"/>
      <c r="Q1697" s="317" t="str">
        <f t="shared" si="432"/>
        <v/>
      </c>
      <c r="R1697" s="317" t="str">
        <f t="shared" si="433"/>
        <v/>
      </c>
      <c r="S1697" s="317" t="str">
        <f t="shared" si="434"/>
        <v/>
      </c>
      <c r="V1697" s="314">
        <f>SUM(ORÇAMENTO!N1697)</f>
        <v>0</v>
      </c>
      <c r="W1697" s="315">
        <f t="shared" si="436"/>
        <v>0</v>
      </c>
    </row>
    <row r="1698" spans="1:23" ht="13.5" hidden="1" thickBot="1">
      <c r="A1698" s="560" t="s">
        <v>165</v>
      </c>
      <c r="B1698" s="899" t="s">
        <v>165</v>
      </c>
      <c r="C1698" s="900" t="s">
        <v>165</v>
      </c>
      <c r="D1698" s="906"/>
      <c r="E1698" s="902"/>
      <c r="F1698" s="903"/>
      <c r="G1698" s="904"/>
      <c r="H1698" s="905">
        <v>0</v>
      </c>
      <c r="I1698" s="876">
        <f t="shared" si="437"/>
        <v>0</v>
      </c>
      <c r="J1698" s="865">
        <f t="shared" si="438"/>
        <v>0</v>
      </c>
      <c r="K1698" s="903" t="s">
        <v>506</v>
      </c>
      <c r="L1698" s="1013">
        <f>ROUND(SUM(ORÇAMENTO!L1698),2)</f>
        <v>0</v>
      </c>
      <c r="M1698" s="1013">
        <f t="shared" si="430"/>
        <v>0</v>
      </c>
      <c r="N1698" s="868">
        <f t="shared" si="431"/>
        <v>0</v>
      </c>
      <c r="O1698" s="880"/>
      <c r="Q1698" s="317" t="str">
        <f t="shared" si="432"/>
        <v/>
      </c>
      <c r="R1698" s="317" t="str">
        <f t="shared" si="433"/>
        <v/>
      </c>
      <c r="S1698" s="317" t="str">
        <f t="shared" si="434"/>
        <v/>
      </c>
      <c r="V1698" s="314">
        <f>SUM(ORÇAMENTO!N1698)</f>
        <v>0</v>
      </c>
      <c r="W1698" s="315">
        <f t="shared" si="436"/>
        <v>0</v>
      </c>
    </row>
    <row r="1699" spans="1:23" ht="13.5" hidden="1" thickBot="1">
      <c r="A1699" s="560" t="s">
        <v>165</v>
      </c>
      <c r="B1699" s="899" t="s">
        <v>165</v>
      </c>
      <c r="C1699" s="900" t="s">
        <v>165</v>
      </c>
      <c r="D1699" s="906"/>
      <c r="E1699" s="902"/>
      <c r="F1699" s="903"/>
      <c r="G1699" s="904"/>
      <c r="H1699" s="905">
        <v>0</v>
      </c>
      <c r="I1699" s="876">
        <f t="shared" si="437"/>
        <v>0</v>
      </c>
      <c r="J1699" s="865">
        <f t="shared" si="438"/>
        <v>0</v>
      </c>
      <c r="K1699" s="903" t="s">
        <v>506</v>
      </c>
      <c r="L1699" s="1013">
        <f>ROUND(SUM(ORÇAMENTO!L1699),2)</f>
        <v>0</v>
      </c>
      <c r="M1699" s="1013">
        <f t="shared" si="430"/>
        <v>0</v>
      </c>
      <c r="N1699" s="868">
        <f t="shared" si="431"/>
        <v>0</v>
      </c>
      <c r="O1699" s="880"/>
      <c r="Q1699" s="317" t="str">
        <f t="shared" si="432"/>
        <v/>
      </c>
      <c r="R1699" s="317" t="str">
        <f t="shared" si="433"/>
        <v/>
      </c>
      <c r="S1699" s="317" t="str">
        <f t="shared" si="434"/>
        <v/>
      </c>
      <c r="V1699" s="314">
        <f>SUM(ORÇAMENTO!N1699)</f>
        <v>0</v>
      </c>
      <c r="W1699" s="315">
        <f t="shared" si="436"/>
        <v>0</v>
      </c>
    </row>
    <row r="1700" spans="1:23" ht="13.5" hidden="1" thickBot="1">
      <c r="A1700" s="560" t="s">
        <v>165</v>
      </c>
      <c r="B1700" s="899" t="s">
        <v>165</v>
      </c>
      <c r="C1700" s="900" t="s">
        <v>165</v>
      </c>
      <c r="D1700" s="906"/>
      <c r="E1700" s="902"/>
      <c r="F1700" s="903"/>
      <c r="G1700" s="904"/>
      <c r="H1700" s="905">
        <v>0</v>
      </c>
      <c r="I1700" s="876">
        <f t="shared" si="437"/>
        <v>0</v>
      </c>
      <c r="J1700" s="865">
        <f t="shared" si="438"/>
        <v>0</v>
      </c>
      <c r="K1700" s="903" t="s">
        <v>506</v>
      </c>
      <c r="L1700" s="1013">
        <f>ROUND(SUM(ORÇAMENTO!L1700),2)</f>
        <v>0</v>
      </c>
      <c r="M1700" s="1013">
        <f t="shared" si="430"/>
        <v>0</v>
      </c>
      <c r="N1700" s="868">
        <f t="shared" si="431"/>
        <v>0</v>
      </c>
      <c r="O1700" s="880"/>
      <c r="Q1700" s="317" t="str">
        <f t="shared" si="432"/>
        <v/>
      </c>
      <c r="R1700" s="317" t="str">
        <f t="shared" si="433"/>
        <v/>
      </c>
      <c r="S1700" s="317" t="str">
        <f t="shared" si="434"/>
        <v/>
      </c>
      <c r="V1700" s="314">
        <f>SUM(ORÇAMENTO!N1700)</f>
        <v>0</v>
      </c>
      <c r="W1700" s="315">
        <f t="shared" si="436"/>
        <v>0</v>
      </c>
    </row>
    <row r="1701" spans="1:23" ht="13.5" hidden="1" thickBot="1">
      <c r="A1701" s="560" t="s">
        <v>165</v>
      </c>
      <c r="B1701" s="899" t="s">
        <v>165</v>
      </c>
      <c r="C1701" s="900" t="s">
        <v>165</v>
      </c>
      <c r="D1701" s="906"/>
      <c r="E1701" s="902"/>
      <c r="F1701" s="903"/>
      <c r="G1701" s="904"/>
      <c r="H1701" s="905">
        <v>0</v>
      </c>
      <c r="I1701" s="876">
        <f t="shared" si="437"/>
        <v>0</v>
      </c>
      <c r="J1701" s="865">
        <f t="shared" si="438"/>
        <v>0</v>
      </c>
      <c r="K1701" s="903" t="s">
        <v>506</v>
      </c>
      <c r="L1701" s="1013">
        <f>ROUND(SUM(ORÇAMENTO!L1701),2)</f>
        <v>0</v>
      </c>
      <c r="M1701" s="1013">
        <f t="shared" si="430"/>
        <v>0</v>
      </c>
      <c r="N1701" s="868">
        <f t="shared" si="431"/>
        <v>0</v>
      </c>
      <c r="O1701" s="880"/>
      <c r="Q1701" s="317" t="str">
        <f t="shared" si="432"/>
        <v/>
      </c>
      <c r="R1701" s="317" t="str">
        <f t="shared" si="433"/>
        <v/>
      </c>
      <c r="S1701" s="317" t="str">
        <f t="shared" si="434"/>
        <v/>
      </c>
      <c r="V1701" s="314">
        <f>SUM(ORÇAMENTO!N1701)</f>
        <v>0</v>
      </c>
      <c r="W1701" s="315">
        <f t="shared" si="436"/>
        <v>0</v>
      </c>
    </row>
    <row r="1702" spans="1:23" ht="13.5" hidden="1" thickBot="1">
      <c r="A1702" s="560" t="s">
        <v>165</v>
      </c>
      <c r="B1702" s="899" t="s">
        <v>165</v>
      </c>
      <c r="C1702" s="900" t="s">
        <v>165</v>
      </c>
      <c r="D1702" s="906"/>
      <c r="E1702" s="902"/>
      <c r="F1702" s="903"/>
      <c r="G1702" s="904"/>
      <c r="H1702" s="905">
        <v>0</v>
      </c>
      <c r="I1702" s="876">
        <f t="shared" si="437"/>
        <v>0</v>
      </c>
      <c r="J1702" s="865">
        <f t="shared" si="438"/>
        <v>0</v>
      </c>
      <c r="K1702" s="903" t="s">
        <v>506</v>
      </c>
      <c r="L1702" s="1013">
        <f>ROUND(SUM(ORÇAMENTO!L1702),2)</f>
        <v>0</v>
      </c>
      <c r="M1702" s="1013">
        <f t="shared" si="430"/>
        <v>0</v>
      </c>
      <c r="N1702" s="868">
        <f t="shared" si="431"/>
        <v>0</v>
      </c>
      <c r="O1702" s="880"/>
      <c r="Q1702" s="317" t="str">
        <f t="shared" si="432"/>
        <v/>
      </c>
      <c r="R1702" s="317" t="str">
        <f t="shared" si="433"/>
        <v/>
      </c>
      <c r="S1702" s="317" t="str">
        <f t="shared" si="434"/>
        <v/>
      </c>
      <c r="V1702" s="314">
        <f>SUM(ORÇAMENTO!N1702)</f>
        <v>0</v>
      </c>
      <c r="W1702" s="315">
        <f t="shared" si="436"/>
        <v>0</v>
      </c>
    </row>
    <row r="1703" spans="1:23" ht="13.5" hidden="1" thickBot="1">
      <c r="A1703" s="560" t="s">
        <v>165</v>
      </c>
      <c r="B1703" s="899" t="s">
        <v>165</v>
      </c>
      <c r="C1703" s="900" t="s">
        <v>165</v>
      </c>
      <c r="D1703" s="906"/>
      <c r="E1703" s="902"/>
      <c r="F1703" s="903"/>
      <c r="G1703" s="904"/>
      <c r="H1703" s="905">
        <v>0</v>
      </c>
      <c r="I1703" s="876">
        <f t="shared" si="437"/>
        <v>0</v>
      </c>
      <c r="J1703" s="865">
        <f t="shared" si="438"/>
        <v>0</v>
      </c>
      <c r="K1703" s="903" t="s">
        <v>506</v>
      </c>
      <c r="L1703" s="1013">
        <f>ROUND(SUM(ORÇAMENTO!L1703),2)</f>
        <v>0</v>
      </c>
      <c r="M1703" s="1013">
        <f t="shared" si="430"/>
        <v>0</v>
      </c>
      <c r="N1703" s="868">
        <f t="shared" si="431"/>
        <v>0</v>
      </c>
      <c r="O1703" s="880"/>
      <c r="Q1703" s="317" t="str">
        <f t="shared" si="432"/>
        <v/>
      </c>
      <c r="R1703" s="317" t="str">
        <f t="shared" si="433"/>
        <v/>
      </c>
      <c r="S1703" s="317" t="str">
        <f t="shared" si="434"/>
        <v/>
      </c>
      <c r="V1703" s="314">
        <f>SUM(ORÇAMENTO!N1703)</f>
        <v>0</v>
      </c>
      <c r="W1703" s="315">
        <f t="shared" si="436"/>
        <v>0</v>
      </c>
    </row>
    <row r="1704" spans="1:23" ht="13.5" hidden="1" thickBot="1">
      <c r="A1704" s="560" t="s">
        <v>165</v>
      </c>
      <c r="B1704" s="899" t="s">
        <v>165</v>
      </c>
      <c r="C1704" s="900" t="s">
        <v>165</v>
      </c>
      <c r="D1704" s="906"/>
      <c r="E1704" s="902"/>
      <c r="F1704" s="903"/>
      <c r="G1704" s="904"/>
      <c r="H1704" s="905">
        <v>0</v>
      </c>
      <c r="I1704" s="876">
        <f t="shared" si="437"/>
        <v>0</v>
      </c>
      <c r="J1704" s="865">
        <f t="shared" si="438"/>
        <v>0</v>
      </c>
      <c r="K1704" s="903" t="s">
        <v>506</v>
      </c>
      <c r="L1704" s="1013">
        <f>ROUND(SUM(ORÇAMENTO!L1704),2)</f>
        <v>0</v>
      </c>
      <c r="M1704" s="1013">
        <f t="shared" si="430"/>
        <v>0</v>
      </c>
      <c r="N1704" s="868">
        <f t="shared" si="431"/>
        <v>0</v>
      </c>
      <c r="O1704" s="880"/>
      <c r="Q1704" s="317" t="str">
        <f t="shared" si="432"/>
        <v/>
      </c>
      <c r="R1704" s="317" t="str">
        <f t="shared" si="433"/>
        <v/>
      </c>
      <c r="S1704" s="317" t="str">
        <f t="shared" si="434"/>
        <v/>
      </c>
      <c r="V1704" s="314">
        <f>SUM(ORÇAMENTO!N1704)</f>
        <v>0</v>
      </c>
      <c r="W1704" s="315">
        <f t="shared" si="436"/>
        <v>0</v>
      </c>
    </row>
    <row r="1705" spans="1:23" ht="13.5" hidden="1" thickBot="1">
      <c r="A1705" s="560" t="s">
        <v>165</v>
      </c>
      <c r="B1705" s="899" t="s">
        <v>165</v>
      </c>
      <c r="C1705" s="900" t="s">
        <v>165</v>
      </c>
      <c r="D1705" s="906"/>
      <c r="E1705" s="902"/>
      <c r="F1705" s="903"/>
      <c r="G1705" s="904"/>
      <c r="H1705" s="905">
        <v>0</v>
      </c>
      <c r="I1705" s="876">
        <f t="shared" si="437"/>
        <v>0</v>
      </c>
      <c r="J1705" s="865">
        <f t="shared" si="438"/>
        <v>0</v>
      </c>
      <c r="K1705" s="903" t="s">
        <v>506</v>
      </c>
      <c r="L1705" s="1013">
        <f>ROUND(SUM(ORÇAMENTO!L1705),2)</f>
        <v>0</v>
      </c>
      <c r="M1705" s="1013">
        <f t="shared" si="430"/>
        <v>0</v>
      </c>
      <c r="N1705" s="868">
        <f t="shared" si="431"/>
        <v>0</v>
      </c>
      <c r="O1705" s="880"/>
      <c r="Q1705" s="317" t="str">
        <f t="shared" si="432"/>
        <v/>
      </c>
      <c r="R1705" s="317" t="str">
        <f t="shared" si="433"/>
        <v/>
      </c>
      <c r="S1705" s="317" t="str">
        <f t="shared" si="434"/>
        <v/>
      </c>
      <c r="V1705" s="314">
        <f>SUM(ORÇAMENTO!N1705)</f>
        <v>0</v>
      </c>
      <c r="W1705" s="315">
        <f t="shared" si="436"/>
        <v>0</v>
      </c>
    </row>
    <row r="1706" spans="1:23" ht="13.5" hidden="1" thickBot="1">
      <c r="A1706" s="560" t="s">
        <v>165</v>
      </c>
      <c r="B1706" s="899" t="s">
        <v>165</v>
      </c>
      <c r="C1706" s="900" t="s">
        <v>165</v>
      </c>
      <c r="D1706" s="906"/>
      <c r="E1706" s="902"/>
      <c r="F1706" s="903"/>
      <c r="G1706" s="904"/>
      <c r="H1706" s="905">
        <v>0</v>
      </c>
      <c r="I1706" s="876">
        <f t="shared" si="437"/>
        <v>0</v>
      </c>
      <c r="J1706" s="865">
        <f t="shared" si="438"/>
        <v>0</v>
      </c>
      <c r="K1706" s="903" t="s">
        <v>506</v>
      </c>
      <c r="L1706" s="1013">
        <f>ROUND(SUM(ORÇAMENTO!L1706),2)</f>
        <v>0</v>
      </c>
      <c r="M1706" s="1013">
        <f t="shared" si="430"/>
        <v>0</v>
      </c>
      <c r="N1706" s="868">
        <f t="shared" si="431"/>
        <v>0</v>
      </c>
      <c r="O1706" s="880"/>
      <c r="Q1706" s="317" t="str">
        <f t="shared" si="432"/>
        <v/>
      </c>
      <c r="R1706" s="317" t="str">
        <f t="shared" si="433"/>
        <v/>
      </c>
      <c r="S1706" s="317" t="str">
        <f t="shared" si="434"/>
        <v/>
      </c>
      <c r="V1706" s="314">
        <f>SUM(ORÇAMENTO!N1706)</f>
        <v>0</v>
      </c>
      <c r="W1706" s="315">
        <f t="shared" si="436"/>
        <v>0</v>
      </c>
    </row>
    <row r="1707" spans="1:23" ht="13.5" hidden="1" thickBot="1">
      <c r="A1707" s="560" t="s">
        <v>165</v>
      </c>
      <c r="B1707" s="899" t="s">
        <v>165</v>
      </c>
      <c r="C1707" s="900" t="s">
        <v>165</v>
      </c>
      <c r="D1707" s="906"/>
      <c r="E1707" s="902"/>
      <c r="F1707" s="903"/>
      <c r="G1707" s="904"/>
      <c r="H1707" s="905">
        <v>0</v>
      </c>
      <c r="I1707" s="876">
        <f t="shared" si="437"/>
        <v>0</v>
      </c>
      <c r="J1707" s="865">
        <f t="shared" si="438"/>
        <v>0</v>
      </c>
      <c r="K1707" s="903" t="s">
        <v>506</v>
      </c>
      <c r="L1707" s="1013">
        <f>ROUND(SUM(ORÇAMENTO!L1707),2)</f>
        <v>0</v>
      </c>
      <c r="M1707" s="1013">
        <f t="shared" si="430"/>
        <v>0</v>
      </c>
      <c r="N1707" s="868">
        <f t="shared" si="431"/>
        <v>0</v>
      </c>
      <c r="O1707" s="880"/>
      <c r="Q1707" s="317" t="str">
        <f t="shared" si="432"/>
        <v/>
      </c>
      <c r="R1707" s="317" t="str">
        <f t="shared" si="433"/>
        <v/>
      </c>
      <c r="S1707" s="317" t="str">
        <f t="shared" si="434"/>
        <v/>
      </c>
      <c r="V1707" s="314">
        <f>SUM(ORÇAMENTO!N1707)</f>
        <v>0</v>
      </c>
      <c r="W1707" s="315">
        <f t="shared" si="436"/>
        <v>0</v>
      </c>
    </row>
    <row r="1708" spans="1:23" ht="13.5" hidden="1" thickBot="1">
      <c r="A1708" s="560" t="s">
        <v>165</v>
      </c>
      <c r="B1708" s="899" t="s">
        <v>165</v>
      </c>
      <c r="C1708" s="900" t="s">
        <v>165</v>
      </c>
      <c r="D1708" s="906"/>
      <c r="E1708" s="902"/>
      <c r="F1708" s="903"/>
      <c r="G1708" s="904"/>
      <c r="H1708" s="905">
        <v>0</v>
      </c>
      <c r="I1708" s="876">
        <f t="shared" si="437"/>
        <v>0</v>
      </c>
      <c r="J1708" s="865">
        <f t="shared" si="438"/>
        <v>0</v>
      </c>
      <c r="K1708" s="903" t="s">
        <v>506</v>
      </c>
      <c r="L1708" s="1013">
        <f>ROUND(SUM(ORÇAMENTO!L1708),2)</f>
        <v>0</v>
      </c>
      <c r="M1708" s="1013">
        <f t="shared" si="430"/>
        <v>0</v>
      </c>
      <c r="N1708" s="868">
        <f t="shared" si="431"/>
        <v>0</v>
      </c>
      <c r="O1708" s="880"/>
      <c r="Q1708" s="317" t="str">
        <f t="shared" si="432"/>
        <v/>
      </c>
      <c r="R1708" s="317" t="str">
        <f t="shared" si="433"/>
        <v/>
      </c>
      <c r="S1708" s="317" t="str">
        <f t="shared" si="434"/>
        <v/>
      </c>
      <c r="V1708" s="314">
        <f>SUM(ORÇAMENTO!N1708)</f>
        <v>0</v>
      </c>
      <c r="W1708" s="315">
        <f t="shared" si="436"/>
        <v>0</v>
      </c>
    </row>
    <row r="1709" spans="1:23" ht="13.5" hidden="1" thickBot="1">
      <c r="A1709" s="560" t="s">
        <v>165</v>
      </c>
      <c r="B1709" s="899" t="s">
        <v>165</v>
      </c>
      <c r="C1709" s="900" t="s">
        <v>165</v>
      </c>
      <c r="D1709" s="906"/>
      <c r="E1709" s="902"/>
      <c r="F1709" s="903"/>
      <c r="G1709" s="904"/>
      <c r="H1709" s="905">
        <v>0</v>
      </c>
      <c r="I1709" s="876">
        <f t="shared" si="437"/>
        <v>0</v>
      </c>
      <c r="J1709" s="865">
        <f t="shared" si="438"/>
        <v>0</v>
      </c>
      <c r="K1709" s="903" t="s">
        <v>506</v>
      </c>
      <c r="L1709" s="1013">
        <f>ROUND(SUM(ORÇAMENTO!L1709),2)</f>
        <v>0</v>
      </c>
      <c r="M1709" s="1013">
        <f t="shared" si="430"/>
        <v>0</v>
      </c>
      <c r="N1709" s="868">
        <f t="shared" si="431"/>
        <v>0</v>
      </c>
      <c r="O1709" s="880"/>
      <c r="Q1709" s="317" t="str">
        <f t="shared" si="432"/>
        <v/>
      </c>
      <c r="R1709" s="317" t="str">
        <f t="shared" si="433"/>
        <v/>
      </c>
      <c r="S1709" s="317" t="str">
        <f t="shared" si="434"/>
        <v/>
      </c>
      <c r="V1709" s="314">
        <f>SUM(ORÇAMENTO!N1709)</f>
        <v>0</v>
      </c>
      <c r="W1709" s="315">
        <f t="shared" si="436"/>
        <v>0</v>
      </c>
    </row>
    <row r="1710" spans="1:23" ht="13.5" hidden="1" thickBot="1">
      <c r="A1710" s="560" t="s">
        <v>165</v>
      </c>
      <c r="B1710" s="899" t="s">
        <v>165</v>
      </c>
      <c r="C1710" s="900" t="s">
        <v>165</v>
      </c>
      <c r="D1710" s="906"/>
      <c r="E1710" s="902"/>
      <c r="F1710" s="903"/>
      <c r="G1710" s="904"/>
      <c r="H1710" s="905">
        <v>0</v>
      </c>
      <c r="I1710" s="876">
        <f t="shared" si="437"/>
        <v>0</v>
      </c>
      <c r="J1710" s="865">
        <f t="shared" si="438"/>
        <v>0</v>
      </c>
      <c r="K1710" s="903" t="s">
        <v>506</v>
      </c>
      <c r="L1710" s="1013">
        <f>ROUND(SUM(ORÇAMENTO!L1710),2)</f>
        <v>0</v>
      </c>
      <c r="M1710" s="1013">
        <f t="shared" si="430"/>
        <v>0</v>
      </c>
      <c r="N1710" s="868">
        <f t="shared" si="431"/>
        <v>0</v>
      </c>
      <c r="O1710" s="880"/>
      <c r="Q1710" s="317" t="str">
        <f t="shared" si="432"/>
        <v/>
      </c>
      <c r="R1710" s="317" t="str">
        <f t="shared" si="433"/>
        <v/>
      </c>
      <c r="S1710" s="317" t="str">
        <f t="shared" si="434"/>
        <v/>
      </c>
      <c r="V1710" s="314">
        <f>SUM(ORÇAMENTO!N1710)</f>
        <v>0</v>
      </c>
      <c r="W1710" s="315">
        <f t="shared" si="436"/>
        <v>0</v>
      </c>
    </row>
    <row r="1711" spans="1:23" ht="13.5" hidden="1" thickBot="1">
      <c r="A1711" s="560" t="s">
        <v>165</v>
      </c>
      <c r="B1711" s="899" t="s">
        <v>165</v>
      </c>
      <c r="C1711" s="900" t="s">
        <v>165</v>
      </c>
      <c r="D1711" s="906"/>
      <c r="E1711" s="902"/>
      <c r="F1711" s="903"/>
      <c r="G1711" s="904"/>
      <c r="H1711" s="905">
        <v>0</v>
      </c>
      <c r="I1711" s="876">
        <f t="shared" si="437"/>
        <v>0</v>
      </c>
      <c r="J1711" s="865">
        <f t="shared" si="438"/>
        <v>0</v>
      </c>
      <c r="K1711" s="903" t="s">
        <v>506</v>
      </c>
      <c r="L1711" s="1013">
        <f>ROUND(SUM(ORÇAMENTO!L1711),2)</f>
        <v>0</v>
      </c>
      <c r="M1711" s="1013">
        <f t="shared" si="430"/>
        <v>0</v>
      </c>
      <c r="N1711" s="868">
        <f t="shared" si="431"/>
        <v>0</v>
      </c>
      <c r="O1711" s="880"/>
      <c r="Q1711" s="317" t="str">
        <f t="shared" si="432"/>
        <v/>
      </c>
      <c r="R1711" s="317" t="str">
        <f t="shared" si="433"/>
        <v/>
      </c>
      <c r="S1711" s="317" t="str">
        <f t="shared" si="434"/>
        <v/>
      </c>
      <c r="V1711" s="314">
        <f>SUM(ORÇAMENTO!N1711)</f>
        <v>0</v>
      </c>
      <c r="W1711" s="315">
        <f t="shared" si="436"/>
        <v>0</v>
      </c>
    </row>
    <row r="1712" spans="1:23" ht="13.5" hidden="1" thickBot="1">
      <c r="A1712" s="560" t="s">
        <v>165</v>
      </c>
      <c r="B1712" s="899" t="s">
        <v>165</v>
      </c>
      <c r="C1712" s="900" t="s">
        <v>165</v>
      </c>
      <c r="D1712" s="906"/>
      <c r="E1712" s="902"/>
      <c r="F1712" s="903"/>
      <c r="G1712" s="904"/>
      <c r="H1712" s="905">
        <v>0</v>
      </c>
      <c r="I1712" s="876">
        <f t="shared" si="437"/>
        <v>0</v>
      </c>
      <c r="J1712" s="865">
        <f t="shared" si="438"/>
        <v>0</v>
      </c>
      <c r="K1712" s="903" t="s">
        <v>506</v>
      </c>
      <c r="L1712" s="1013">
        <f>ROUND(SUM(ORÇAMENTO!L1712),2)</f>
        <v>0</v>
      </c>
      <c r="M1712" s="1013">
        <f t="shared" si="430"/>
        <v>0</v>
      </c>
      <c r="N1712" s="868">
        <f t="shared" si="431"/>
        <v>0</v>
      </c>
      <c r="O1712" s="880"/>
      <c r="Q1712" s="317" t="str">
        <f t="shared" si="432"/>
        <v/>
      </c>
      <c r="R1712" s="317" t="str">
        <f t="shared" si="433"/>
        <v/>
      </c>
      <c r="S1712" s="317" t="str">
        <f t="shared" si="434"/>
        <v/>
      </c>
      <c r="V1712" s="314">
        <f>SUM(ORÇAMENTO!N1712)</f>
        <v>0</v>
      </c>
      <c r="W1712" s="315">
        <f t="shared" si="436"/>
        <v>0</v>
      </c>
    </row>
    <row r="1713" spans="1:23" ht="13.5" hidden="1" thickBot="1">
      <c r="A1713" s="560" t="s">
        <v>165</v>
      </c>
      <c r="B1713" s="899" t="s">
        <v>165</v>
      </c>
      <c r="C1713" s="900" t="s">
        <v>165</v>
      </c>
      <c r="D1713" s="906"/>
      <c r="E1713" s="902"/>
      <c r="F1713" s="903"/>
      <c r="G1713" s="904"/>
      <c r="H1713" s="905">
        <v>0</v>
      </c>
      <c r="I1713" s="876">
        <f t="shared" si="437"/>
        <v>0</v>
      </c>
      <c r="J1713" s="865">
        <f t="shared" si="438"/>
        <v>0</v>
      </c>
      <c r="K1713" s="903" t="s">
        <v>506</v>
      </c>
      <c r="L1713" s="1013">
        <f>ROUND(SUM(ORÇAMENTO!L1713),2)</f>
        <v>0</v>
      </c>
      <c r="M1713" s="1013">
        <f t="shared" si="430"/>
        <v>0</v>
      </c>
      <c r="N1713" s="868">
        <f t="shared" si="431"/>
        <v>0</v>
      </c>
      <c r="O1713" s="880"/>
      <c r="Q1713" s="317" t="str">
        <f t="shared" si="432"/>
        <v/>
      </c>
      <c r="R1713" s="317" t="str">
        <f t="shared" si="433"/>
        <v/>
      </c>
      <c r="S1713" s="317" t="str">
        <f t="shared" si="434"/>
        <v/>
      </c>
      <c r="V1713" s="314">
        <f>SUM(ORÇAMENTO!N1713)</f>
        <v>0</v>
      </c>
      <c r="W1713" s="315">
        <f t="shared" si="436"/>
        <v>0</v>
      </c>
    </row>
    <row r="1714" spans="1:23" ht="13.5" hidden="1" thickBot="1">
      <c r="A1714" s="560" t="s">
        <v>165</v>
      </c>
      <c r="B1714" s="899" t="s">
        <v>165</v>
      </c>
      <c r="C1714" s="900" t="s">
        <v>165</v>
      </c>
      <c r="D1714" s="906"/>
      <c r="E1714" s="902"/>
      <c r="F1714" s="903"/>
      <c r="G1714" s="904"/>
      <c r="H1714" s="905">
        <v>0</v>
      </c>
      <c r="I1714" s="876">
        <f t="shared" si="437"/>
        <v>0</v>
      </c>
      <c r="J1714" s="865">
        <f t="shared" si="438"/>
        <v>0</v>
      </c>
      <c r="K1714" s="903" t="s">
        <v>506</v>
      </c>
      <c r="L1714" s="1013">
        <f>ROUND(SUM(ORÇAMENTO!L1714),2)</f>
        <v>0</v>
      </c>
      <c r="M1714" s="1013">
        <f t="shared" si="430"/>
        <v>0</v>
      </c>
      <c r="N1714" s="868">
        <f t="shared" si="431"/>
        <v>0</v>
      </c>
      <c r="O1714" s="880"/>
      <c r="Q1714" s="317" t="str">
        <f t="shared" si="432"/>
        <v/>
      </c>
      <c r="R1714" s="317" t="str">
        <f t="shared" si="433"/>
        <v/>
      </c>
      <c r="S1714" s="317" t="str">
        <f t="shared" si="434"/>
        <v/>
      </c>
      <c r="V1714" s="314">
        <f>SUM(ORÇAMENTO!N1714)</f>
        <v>0</v>
      </c>
      <c r="W1714" s="315">
        <f t="shared" si="436"/>
        <v>0</v>
      </c>
    </row>
    <row r="1715" spans="1:23" ht="13.5" hidden="1" thickBot="1">
      <c r="A1715" s="560" t="s">
        <v>165</v>
      </c>
      <c r="B1715" s="899" t="s">
        <v>165</v>
      </c>
      <c r="C1715" s="900" t="s">
        <v>165</v>
      </c>
      <c r="D1715" s="906"/>
      <c r="E1715" s="902"/>
      <c r="F1715" s="903"/>
      <c r="G1715" s="904"/>
      <c r="H1715" s="905">
        <v>0</v>
      </c>
      <c r="I1715" s="876">
        <f t="shared" si="437"/>
        <v>0</v>
      </c>
      <c r="J1715" s="865">
        <f t="shared" si="438"/>
        <v>0</v>
      </c>
      <c r="K1715" s="903" t="s">
        <v>506</v>
      </c>
      <c r="L1715" s="1013">
        <f>ROUND(SUM(ORÇAMENTO!L1715),2)</f>
        <v>0</v>
      </c>
      <c r="M1715" s="1013">
        <f t="shared" si="430"/>
        <v>0</v>
      </c>
      <c r="N1715" s="868">
        <f t="shared" si="431"/>
        <v>0</v>
      </c>
      <c r="O1715" s="880"/>
      <c r="Q1715" s="317" t="str">
        <f t="shared" si="432"/>
        <v/>
      </c>
      <c r="R1715" s="317" t="str">
        <f t="shared" si="433"/>
        <v/>
      </c>
      <c r="S1715" s="317" t="str">
        <f t="shared" si="434"/>
        <v/>
      </c>
      <c r="V1715" s="314">
        <f>SUM(ORÇAMENTO!N1715)</f>
        <v>0</v>
      </c>
      <c r="W1715" s="315">
        <f t="shared" si="436"/>
        <v>0</v>
      </c>
    </row>
    <row r="1716" spans="1:23" ht="13.5" hidden="1" thickBot="1">
      <c r="A1716" s="560" t="s">
        <v>165</v>
      </c>
      <c r="B1716" s="899" t="s">
        <v>165</v>
      </c>
      <c r="C1716" s="900" t="s">
        <v>165</v>
      </c>
      <c r="D1716" s="906"/>
      <c r="E1716" s="902"/>
      <c r="F1716" s="903"/>
      <c r="G1716" s="904"/>
      <c r="H1716" s="905">
        <v>0</v>
      </c>
      <c r="I1716" s="876">
        <f t="shared" si="437"/>
        <v>0</v>
      </c>
      <c r="J1716" s="865">
        <f t="shared" si="438"/>
        <v>0</v>
      </c>
      <c r="K1716" s="903" t="s">
        <v>506</v>
      </c>
      <c r="L1716" s="1013">
        <f>ROUND(SUM(ORÇAMENTO!L1716),2)</f>
        <v>0</v>
      </c>
      <c r="M1716" s="1013">
        <f t="shared" si="430"/>
        <v>0</v>
      </c>
      <c r="N1716" s="868">
        <f t="shared" si="431"/>
        <v>0</v>
      </c>
      <c r="O1716" s="880"/>
      <c r="Q1716" s="317" t="str">
        <f t="shared" si="432"/>
        <v/>
      </c>
      <c r="R1716" s="317" t="str">
        <f t="shared" si="433"/>
        <v/>
      </c>
      <c r="S1716" s="317" t="str">
        <f t="shared" si="434"/>
        <v/>
      </c>
      <c r="V1716" s="314">
        <f>SUM(ORÇAMENTO!N1716)</f>
        <v>0</v>
      </c>
      <c r="W1716" s="315">
        <f t="shared" si="436"/>
        <v>0</v>
      </c>
    </row>
    <row r="1717" spans="1:23" ht="13.5" hidden="1" thickBot="1">
      <c r="A1717" s="560" t="s">
        <v>165</v>
      </c>
      <c r="B1717" s="899" t="s">
        <v>165</v>
      </c>
      <c r="C1717" s="900" t="s">
        <v>165</v>
      </c>
      <c r="D1717" s="906"/>
      <c r="E1717" s="902"/>
      <c r="F1717" s="903"/>
      <c r="G1717" s="904"/>
      <c r="H1717" s="905">
        <v>0</v>
      </c>
      <c r="I1717" s="876">
        <f t="shared" si="437"/>
        <v>0</v>
      </c>
      <c r="J1717" s="865">
        <f t="shared" si="438"/>
        <v>0</v>
      </c>
      <c r="K1717" s="903" t="s">
        <v>506</v>
      </c>
      <c r="L1717" s="1013">
        <f>ROUND(SUM(ORÇAMENTO!L1717),2)</f>
        <v>0</v>
      </c>
      <c r="M1717" s="1013">
        <f t="shared" si="430"/>
        <v>0</v>
      </c>
      <c r="N1717" s="868">
        <f t="shared" si="431"/>
        <v>0</v>
      </c>
      <c r="O1717" s="880"/>
      <c r="Q1717" s="317" t="str">
        <f t="shared" si="432"/>
        <v/>
      </c>
      <c r="R1717" s="317" t="str">
        <f t="shared" si="433"/>
        <v/>
      </c>
      <c r="S1717" s="317" t="str">
        <f t="shared" si="434"/>
        <v/>
      </c>
      <c r="V1717" s="314">
        <f>SUM(ORÇAMENTO!N1717)</f>
        <v>0</v>
      </c>
      <c r="W1717" s="315">
        <f t="shared" si="436"/>
        <v>0</v>
      </c>
    </row>
    <row r="1718" spans="1:23" ht="13.5" hidden="1" thickBot="1">
      <c r="A1718" s="560" t="s">
        <v>165</v>
      </c>
      <c r="B1718" s="899" t="s">
        <v>165</v>
      </c>
      <c r="C1718" s="900" t="s">
        <v>165</v>
      </c>
      <c r="D1718" s="906"/>
      <c r="E1718" s="902"/>
      <c r="F1718" s="903"/>
      <c r="G1718" s="904"/>
      <c r="H1718" s="905">
        <v>0</v>
      </c>
      <c r="I1718" s="876">
        <f t="shared" si="437"/>
        <v>0</v>
      </c>
      <c r="J1718" s="865">
        <f t="shared" si="438"/>
        <v>0</v>
      </c>
      <c r="K1718" s="903" t="s">
        <v>506</v>
      </c>
      <c r="L1718" s="1013">
        <f>ROUND(SUM(ORÇAMENTO!L1718),2)</f>
        <v>0</v>
      </c>
      <c r="M1718" s="1013">
        <f t="shared" si="430"/>
        <v>0</v>
      </c>
      <c r="N1718" s="868">
        <f t="shared" si="431"/>
        <v>0</v>
      </c>
      <c r="O1718" s="880"/>
      <c r="Q1718" s="317" t="str">
        <f t="shared" si="432"/>
        <v/>
      </c>
      <c r="R1718" s="317" t="str">
        <f t="shared" si="433"/>
        <v/>
      </c>
      <c r="S1718" s="317" t="str">
        <f t="shared" si="434"/>
        <v/>
      </c>
      <c r="V1718" s="314">
        <f>SUM(ORÇAMENTO!N1718)</f>
        <v>0</v>
      </c>
      <c r="W1718" s="315">
        <f t="shared" si="436"/>
        <v>0</v>
      </c>
    </row>
    <row r="1719" spans="1:23" ht="13.5" hidden="1" thickBot="1">
      <c r="A1719" s="560" t="s">
        <v>165</v>
      </c>
      <c r="B1719" s="1274" t="s">
        <v>165</v>
      </c>
      <c r="C1719" s="1275" t="s">
        <v>165</v>
      </c>
      <c r="D1719" s="1276"/>
      <c r="E1719" s="910"/>
      <c r="F1719" s="911"/>
      <c r="G1719" s="912"/>
      <c r="H1719" s="913">
        <v>0</v>
      </c>
      <c r="I1719" s="914">
        <f t="shared" si="437"/>
        <v>0</v>
      </c>
      <c r="J1719" s="915">
        <f t="shared" si="438"/>
        <v>0</v>
      </c>
      <c r="K1719" s="911" t="s">
        <v>506</v>
      </c>
      <c r="L1719" s="1295">
        <f>ROUND(SUM(ORÇAMENTO!L1719),2)</f>
        <v>0</v>
      </c>
      <c r="M1719" s="1295">
        <f t="shared" si="430"/>
        <v>0</v>
      </c>
      <c r="N1719" s="916">
        <f t="shared" si="431"/>
        <v>0</v>
      </c>
      <c r="O1719" s="880"/>
      <c r="Q1719" s="317" t="str">
        <f t="shared" si="432"/>
        <v/>
      </c>
      <c r="R1719" s="317" t="str">
        <f t="shared" si="433"/>
        <v/>
      </c>
      <c r="S1719" s="317" t="str">
        <f t="shared" si="434"/>
        <v/>
      </c>
      <c r="V1719" s="314">
        <f>SUM(ORÇAMENTO!N1719)</f>
        <v>0</v>
      </c>
      <c r="W1719" s="315">
        <f t="shared" si="436"/>
        <v>0</v>
      </c>
    </row>
    <row r="1720" spans="1:23" ht="13.5" thickBot="1">
      <c r="A1720" s="560">
        <v>10</v>
      </c>
      <c r="B1720" s="924" t="s">
        <v>441</v>
      </c>
      <c r="C1720" s="925"/>
      <c r="D1720" s="926" t="s">
        <v>431</v>
      </c>
      <c r="E1720" s="917"/>
      <c r="F1720" s="851"/>
      <c r="G1720" s="918"/>
      <c r="H1720" s="919">
        <v>0</v>
      </c>
      <c r="I1720" s="919"/>
      <c r="J1720" s="919"/>
      <c r="K1720" s="853" t="s">
        <v>506</v>
      </c>
      <c r="L1720" s="1011">
        <f>ROUND(SUM(ORÇAMENTO!L1720),2)</f>
        <v>0</v>
      </c>
      <c r="M1720" s="1012">
        <f t="shared" si="430"/>
        <v>0</v>
      </c>
      <c r="N1720" s="856">
        <f t="shared" si="431"/>
        <v>0</v>
      </c>
      <c r="O1720" s="857">
        <f>SUM(N1721:N2499)</f>
        <v>1093168.6499999999</v>
      </c>
      <c r="P1720" s="58" t="str">
        <f>IF(OR(O1720&gt;0,O1720&gt;0),"X","")</f>
        <v>X</v>
      </c>
      <c r="Q1720" s="317" t="str">
        <f t="shared" si="432"/>
        <v>x</v>
      </c>
      <c r="R1720" s="317" t="str">
        <f t="shared" si="433"/>
        <v>x</v>
      </c>
      <c r="S1720" s="317" t="str">
        <f t="shared" si="434"/>
        <v>x</v>
      </c>
      <c r="V1720" s="314">
        <f>SUM(ORÇAMENTO!N1720)</f>
        <v>0</v>
      </c>
      <c r="W1720" s="315">
        <f t="shared" si="436"/>
        <v>0</v>
      </c>
    </row>
    <row r="1721" spans="1:23" hidden="1">
      <c r="A1721" s="63">
        <v>600000</v>
      </c>
      <c r="B1721" s="1328" t="s">
        <v>1788</v>
      </c>
      <c r="C1721" s="1329" t="s">
        <v>184</v>
      </c>
      <c r="D1721" s="1330" t="s">
        <v>311</v>
      </c>
      <c r="E1721" s="1284"/>
      <c r="F1721" s="1331"/>
      <c r="G1721" s="1282">
        <f t="shared" ref="G1721:G1736" si="439">IF(E1721&lt;=30,(0.62*E1721+6.29)*F1721,((0.62*30+6.29)+0.62*(E1721-30))*F1721)</f>
        <v>0</v>
      </c>
      <c r="H1721" s="1268">
        <v>49.54</v>
      </c>
      <c r="I1721" s="1268">
        <f>IF(ISBLANK(H1721),"",SUM(G1721:H1721))</f>
        <v>49.54</v>
      </c>
      <c r="J1721" s="915">
        <f>IF(ISBLANK(H1721),0,ROUND(I1721*(1+$E$10),2))</f>
        <v>60.55</v>
      </c>
      <c r="K1721" s="1332" t="s">
        <v>10</v>
      </c>
      <c r="L1721" s="1295">
        <f>ROUND(SUM(ORÇAMENTO!L1721),2)</f>
        <v>0</v>
      </c>
      <c r="M1721" s="1295">
        <f t="shared" si="430"/>
        <v>0</v>
      </c>
      <c r="N1721" s="1333">
        <f t="shared" si="431"/>
        <v>0</v>
      </c>
      <c r="O1721" s="880"/>
      <c r="Q1721" s="317" t="str">
        <f t="shared" si="432"/>
        <v/>
      </c>
      <c r="R1721" s="317" t="str">
        <f t="shared" si="433"/>
        <v/>
      </c>
      <c r="S1721" s="317" t="str">
        <f t="shared" si="434"/>
        <v/>
      </c>
      <c r="V1721" s="314">
        <f>SUM(ORÇAMENTO!N1721)</f>
        <v>0</v>
      </c>
      <c r="W1721" s="315">
        <f t="shared" si="436"/>
        <v>0</v>
      </c>
    </row>
    <row r="1722" spans="1:23" ht="13.5" thickBot="1">
      <c r="A1722" s="63">
        <v>600300</v>
      </c>
      <c r="B1722" s="1348">
        <v>600300</v>
      </c>
      <c r="C1722" s="1349" t="s">
        <v>184</v>
      </c>
      <c r="D1722" s="1350" t="s">
        <v>312</v>
      </c>
      <c r="E1722" s="1351"/>
      <c r="F1722" s="1352"/>
      <c r="G1722" s="1362">
        <f t="shared" si="439"/>
        <v>0</v>
      </c>
      <c r="H1722" s="1354">
        <v>11.83</v>
      </c>
      <c r="I1722" s="1354">
        <f t="shared" ref="I1722:I1736" si="440">IF(ISBLANK(H1722),"",SUM(G1722:H1722))</f>
        <v>11.83</v>
      </c>
      <c r="J1722" s="1355">
        <f t="shared" ref="J1722:J1785" si="441">IF(ISBLANK(H1722),0,ROUND(I1722*(1+$E$10),2))</f>
        <v>14.46</v>
      </c>
      <c r="K1722" s="1356" t="s">
        <v>10</v>
      </c>
      <c r="L1722" s="1383">
        <f>ROUND(SUM(ORÇAMENTO!L1722),2)</f>
        <v>336.16</v>
      </c>
      <c r="M1722" s="1383">
        <f t="shared" si="430"/>
        <v>14.46</v>
      </c>
      <c r="N1722" s="1358">
        <f t="shared" si="431"/>
        <v>4860.87</v>
      </c>
      <c r="O1722" s="1359"/>
      <c r="Q1722" s="317" t="str">
        <f t="shared" si="432"/>
        <v>x</v>
      </c>
      <c r="R1722" s="317" t="str">
        <f t="shared" si="433"/>
        <v>x</v>
      </c>
      <c r="S1722" s="317" t="str">
        <f t="shared" si="434"/>
        <v>x</v>
      </c>
      <c r="V1722" s="314">
        <f>SUM(ORÇAMENTO!N1722)</f>
        <v>4860.87</v>
      </c>
      <c r="W1722" s="315">
        <f t="shared" si="436"/>
        <v>0</v>
      </c>
    </row>
    <row r="1723" spans="1:23" hidden="1">
      <c r="A1723" s="63">
        <v>600400</v>
      </c>
      <c r="B1723" s="858">
        <v>600400</v>
      </c>
      <c r="C1723" s="859" t="s">
        <v>184</v>
      </c>
      <c r="D1723" s="920" t="s">
        <v>313</v>
      </c>
      <c r="E1723" s="1005"/>
      <c r="F1723" s="921"/>
      <c r="G1723" s="923">
        <f t="shared" si="439"/>
        <v>0</v>
      </c>
      <c r="H1723" s="864">
        <v>12.15</v>
      </c>
      <c r="I1723" s="864">
        <f t="shared" si="440"/>
        <v>12.15</v>
      </c>
      <c r="J1723" s="865">
        <f t="shared" si="441"/>
        <v>14.85</v>
      </c>
      <c r="K1723" s="866" t="s">
        <v>10</v>
      </c>
      <c r="L1723" s="1013">
        <f>ROUND(SUM(ORÇAMENTO!L1723),2)</f>
        <v>0</v>
      </c>
      <c r="M1723" s="1013">
        <f t="shared" si="430"/>
        <v>0</v>
      </c>
      <c r="N1723" s="907">
        <f t="shared" si="431"/>
        <v>0</v>
      </c>
      <c r="O1723" s="880"/>
      <c r="Q1723" s="317" t="str">
        <f t="shared" si="432"/>
        <v/>
      </c>
      <c r="R1723" s="317" t="str">
        <f t="shared" si="433"/>
        <v/>
      </c>
      <c r="S1723" s="317" t="str">
        <f t="shared" si="434"/>
        <v/>
      </c>
      <c r="V1723" s="314">
        <f>SUM(ORÇAMENTO!N1723)</f>
        <v>0</v>
      </c>
      <c r="W1723" s="315">
        <f t="shared" si="436"/>
        <v>0</v>
      </c>
    </row>
    <row r="1724" spans="1:23" hidden="1">
      <c r="A1724" s="63">
        <v>600500</v>
      </c>
      <c r="B1724" s="870">
        <v>600500</v>
      </c>
      <c r="C1724" s="871" t="s">
        <v>184</v>
      </c>
      <c r="D1724" s="881" t="s">
        <v>314</v>
      </c>
      <c r="E1724" s="882"/>
      <c r="F1724" s="883"/>
      <c r="G1724" s="887">
        <f t="shared" si="439"/>
        <v>0</v>
      </c>
      <c r="H1724" s="876">
        <v>123.95</v>
      </c>
      <c r="I1724" s="876">
        <f t="shared" si="440"/>
        <v>123.95</v>
      </c>
      <c r="J1724" s="877">
        <f t="shared" si="441"/>
        <v>151.49</v>
      </c>
      <c r="K1724" s="878" t="s">
        <v>10</v>
      </c>
      <c r="L1724" s="1013">
        <f>ROUND(SUM(ORÇAMENTO!L1724),2)</f>
        <v>0</v>
      </c>
      <c r="M1724" s="1013">
        <f t="shared" si="430"/>
        <v>0</v>
      </c>
      <c r="N1724" s="868">
        <f t="shared" si="431"/>
        <v>0</v>
      </c>
      <c r="O1724" s="880"/>
      <c r="Q1724" s="317" t="str">
        <f t="shared" si="432"/>
        <v/>
      </c>
      <c r="R1724" s="317" t="str">
        <f t="shared" si="433"/>
        <v/>
      </c>
      <c r="S1724" s="317" t="str">
        <f t="shared" si="434"/>
        <v/>
      </c>
      <c r="V1724" s="314">
        <f>SUM(ORÇAMENTO!N1724)</f>
        <v>0</v>
      </c>
      <c r="W1724" s="315">
        <f t="shared" si="436"/>
        <v>0</v>
      </c>
    </row>
    <row r="1725" spans="1:23" hidden="1">
      <c r="A1725" s="63">
        <v>600310</v>
      </c>
      <c r="B1725" s="870" t="s">
        <v>1696</v>
      </c>
      <c r="C1725" s="871" t="s">
        <v>184</v>
      </c>
      <c r="D1725" s="872" t="s">
        <v>442</v>
      </c>
      <c r="E1725" s="873"/>
      <c r="F1725" s="874"/>
      <c r="G1725" s="875">
        <f t="shared" si="439"/>
        <v>0</v>
      </c>
      <c r="H1725" s="876">
        <v>142.88</v>
      </c>
      <c r="I1725" s="876">
        <f>IF(ISBLANK(H1725),"",SUM(G1725:H1725))</f>
        <v>142.88</v>
      </c>
      <c r="J1725" s="877">
        <f t="shared" si="441"/>
        <v>174.63</v>
      </c>
      <c r="K1725" s="878" t="s">
        <v>15</v>
      </c>
      <c r="L1725" s="1013">
        <f>ROUND(SUM(ORÇAMENTO!L1725),2)</f>
        <v>0</v>
      </c>
      <c r="M1725" s="1013">
        <f t="shared" si="430"/>
        <v>0</v>
      </c>
      <c r="N1725" s="868">
        <f t="shared" si="431"/>
        <v>0</v>
      </c>
      <c r="O1725" s="880"/>
      <c r="Q1725" s="317" t="str">
        <f t="shared" si="432"/>
        <v/>
      </c>
      <c r="R1725" s="317" t="str">
        <f t="shared" si="433"/>
        <v/>
      </c>
      <c r="S1725" s="317" t="str">
        <f t="shared" si="434"/>
        <v/>
      </c>
      <c r="V1725" s="314">
        <f>SUM(ORÇAMENTO!N1725)</f>
        <v>0</v>
      </c>
      <c r="W1725" s="315">
        <f t="shared" si="436"/>
        <v>0</v>
      </c>
    </row>
    <row r="1726" spans="1:23" hidden="1">
      <c r="A1726" s="63">
        <v>633000</v>
      </c>
      <c r="B1726" s="870" t="s">
        <v>1790</v>
      </c>
      <c r="C1726" s="871" t="s">
        <v>184</v>
      </c>
      <c r="D1726" s="872" t="s">
        <v>517</v>
      </c>
      <c r="E1726" s="873"/>
      <c r="F1726" s="874"/>
      <c r="G1726" s="875">
        <f t="shared" si="439"/>
        <v>0</v>
      </c>
      <c r="H1726" s="876">
        <v>82.58</v>
      </c>
      <c r="I1726" s="876">
        <f>IF(ISBLANK(H1726),"",SUM(G1726:H1726))</f>
        <v>82.58</v>
      </c>
      <c r="J1726" s="877">
        <f t="shared" si="441"/>
        <v>100.93</v>
      </c>
      <c r="K1726" s="878" t="s">
        <v>13</v>
      </c>
      <c r="L1726" s="1013">
        <f>ROUND(SUM(ORÇAMENTO!L1726),2)</f>
        <v>0</v>
      </c>
      <c r="M1726" s="1013">
        <f t="shared" si="430"/>
        <v>0</v>
      </c>
      <c r="N1726" s="868">
        <f t="shared" si="431"/>
        <v>0</v>
      </c>
      <c r="O1726" s="880"/>
      <c r="Q1726" s="317" t="str">
        <f t="shared" si="432"/>
        <v/>
      </c>
      <c r="R1726" s="317" t="str">
        <f t="shared" si="433"/>
        <v/>
      </c>
      <c r="S1726" s="317" t="str">
        <f t="shared" si="434"/>
        <v/>
      </c>
      <c r="V1726" s="314">
        <f>SUM(ORÇAMENTO!N1726)</f>
        <v>0</v>
      </c>
      <c r="W1726" s="315">
        <f t="shared" si="436"/>
        <v>0</v>
      </c>
    </row>
    <row r="1727" spans="1:23" hidden="1">
      <c r="A1727" s="63">
        <v>633100</v>
      </c>
      <c r="B1727" s="870" t="s">
        <v>1793</v>
      </c>
      <c r="C1727" s="871" t="s">
        <v>184</v>
      </c>
      <c r="D1727" s="872" t="s">
        <v>518</v>
      </c>
      <c r="E1727" s="873"/>
      <c r="F1727" s="874"/>
      <c r="G1727" s="875">
        <f t="shared" si="439"/>
        <v>0</v>
      </c>
      <c r="H1727" s="876">
        <v>165.16</v>
      </c>
      <c r="I1727" s="876">
        <f>IF(ISBLANK(H1727),"",SUM(G1727:H1727))</f>
        <v>165.16</v>
      </c>
      <c r="J1727" s="877">
        <f t="shared" si="441"/>
        <v>201.86</v>
      </c>
      <c r="K1727" s="878" t="s">
        <v>13</v>
      </c>
      <c r="L1727" s="1013">
        <f>ROUND(SUM(ORÇAMENTO!L1727),2)</f>
        <v>0</v>
      </c>
      <c r="M1727" s="1013">
        <f t="shared" si="430"/>
        <v>0</v>
      </c>
      <c r="N1727" s="868">
        <f t="shared" si="431"/>
        <v>0</v>
      </c>
      <c r="O1727" s="880"/>
      <c r="Q1727" s="317" t="str">
        <f t="shared" si="432"/>
        <v/>
      </c>
      <c r="R1727" s="317" t="str">
        <f t="shared" si="433"/>
        <v/>
      </c>
      <c r="S1727" s="317" t="str">
        <f t="shared" si="434"/>
        <v/>
      </c>
      <c r="V1727" s="314">
        <f>SUM(ORÇAMENTO!N1727)</f>
        <v>0</v>
      </c>
      <c r="W1727" s="315">
        <f t="shared" si="436"/>
        <v>0</v>
      </c>
    </row>
    <row r="1728" spans="1:23" hidden="1">
      <c r="A1728" s="63">
        <v>633200</v>
      </c>
      <c r="B1728" s="870" t="s">
        <v>1794</v>
      </c>
      <c r="C1728" s="871" t="s">
        <v>184</v>
      </c>
      <c r="D1728" s="872" t="s">
        <v>519</v>
      </c>
      <c r="E1728" s="873"/>
      <c r="F1728" s="874"/>
      <c r="G1728" s="875">
        <f t="shared" si="439"/>
        <v>0</v>
      </c>
      <c r="H1728" s="876">
        <v>247.74</v>
      </c>
      <c r="I1728" s="876">
        <f>IF(ISBLANK(H1728),"",SUM(G1728:H1728))</f>
        <v>247.74</v>
      </c>
      <c r="J1728" s="877">
        <f t="shared" si="441"/>
        <v>302.79000000000002</v>
      </c>
      <c r="K1728" s="878" t="s">
        <v>13</v>
      </c>
      <c r="L1728" s="1013">
        <f>ROUND(SUM(ORÇAMENTO!L1728),2)</f>
        <v>0</v>
      </c>
      <c r="M1728" s="1013">
        <f t="shared" si="430"/>
        <v>0</v>
      </c>
      <c r="N1728" s="868">
        <f t="shared" si="431"/>
        <v>0</v>
      </c>
      <c r="O1728" s="880"/>
      <c r="Q1728" s="317" t="str">
        <f t="shared" si="432"/>
        <v/>
      </c>
      <c r="R1728" s="317" t="str">
        <f t="shared" si="433"/>
        <v/>
      </c>
      <c r="S1728" s="317" t="str">
        <f t="shared" si="434"/>
        <v/>
      </c>
      <c r="V1728" s="314">
        <f>SUM(ORÇAMENTO!N1728)</f>
        <v>0</v>
      </c>
      <c r="W1728" s="315">
        <f t="shared" si="436"/>
        <v>0</v>
      </c>
    </row>
    <row r="1729" spans="1:23" hidden="1">
      <c r="A1729" s="63">
        <v>630300</v>
      </c>
      <c r="B1729" s="870">
        <v>630300</v>
      </c>
      <c r="C1729" s="871" t="s">
        <v>184</v>
      </c>
      <c r="D1729" s="881" t="s">
        <v>315</v>
      </c>
      <c r="E1729" s="882"/>
      <c r="F1729" s="883"/>
      <c r="G1729" s="875">
        <f t="shared" si="439"/>
        <v>0</v>
      </c>
      <c r="H1729" s="876">
        <v>15.85</v>
      </c>
      <c r="I1729" s="876">
        <f t="shared" si="440"/>
        <v>15.85</v>
      </c>
      <c r="J1729" s="877">
        <f t="shared" si="441"/>
        <v>19.37</v>
      </c>
      <c r="K1729" s="878" t="s">
        <v>13</v>
      </c>
      <c r="L1729" s="1013">
        <f>ROUND(SUM(ORÇAMENTO!L1729),2)</f>
        <v>0</v>
      </c>
      <c r="M1729" s="1013">
        <f t="shared" si="430"/>
        <v>0</v>
      </c>
      <c r="N1729" s="868">
        <f t="shared" si="431"/>
        <v>0</v>
      </c>
      <c r="O1729" s="880"/>
      <c r="Q1729" s="317" t="str">
        <f t="shared" si="432"/>
        <v/>
      </c>
      <c r="R1729" s="317" t="str">
        <f t="shared" si="433"/>
        <v/>
      </c>
      <c r="S1729" s="317" t="str">
        <f t="shared" si="434"/>
        <v/>
      </c>
      <c r="V1729" s="314">
        <f>SUM(ORÇAMENTO!N1729)</f>
        <v>0</v>
      </c>
      <c r="W1729" s="315">
        <f t="shared" si="436"/>
        <v>0</v>
      </c>
    </row>
    <row r="1730" spans="1:23" hidden="1">
      <c r="A1730" s="63">
        <v>630400</v>
      </c>
      <c r="B1730" s="870">
        <v>630400</v>
      </c>
      <c r="C1730" s="871" t="s">
        <v>184</v>
      </c>
      <c r="D1730" s="931" t="s">
        <v>316</v>
      </c>
      <c r="E1730" s="882"/>
      <c r="F1730" s="883"/>
      <c r="G1730" s="875">
        <f t="shared" si="439"/>
        <v>0</v>
      </c>
      <c r="H1730" s="876">
        <v>19.809999999999999</v>
      </c>
      <c r="I1730" s="876">
        <f t="shared" si="440"/>
        <v>19.809999999999999</v>
      </c>
      <c r="J1730" s="877">
        <f t="shared" si="441"/>
        <v>24.21</v>
      </c>
      <c r="K1730" s="878" t="s">
        <v>13</v>
      </c>
      <c r="L1730" s="1013">
        <f>ROUND(SUM(ORÇAMENTO!L1730),2)</f>
        <v>0</v>
      </c>
      <c r="M1730" s="1013">
        <f t="shared" si="430"/>
        <v>0</v>
      </c>
      <c r="N1730" s="868">
        <f t="shared" si="431"/>
        <v>0</v>
      </c>
      <c r="O1730" s="880"/>
      <c r="Q1730" s="317" t="str">
        <f t="shared" si="432"/>
        <v/>
      </c>
      <c r="R1730" s="317" t="str">
        <f t="shared" si="433"/>
        <v/>
      </c>
      <c r="S1730" s="317" t="str">
        <f t="shared" si="434"/>
        <v/>
      </c>
      <c r="V1730" s="314">
        <f>SUM(ORÇAMENTO!N1730)</f>
        <v>0</v>
      </c>
      <c r="W1730" s="315">
        <f t="shared" si="436"/>
        <v>0</v>
      </c>
    </row>
    <row r="1731" spans="1:23" hidden="1">
      <c r="A1731" s="63">
        <v>630500</v>
      </c>
      <c r="B1731" s="870">
        <v>630500</v>
      </c>
      <c r="C1731" s="871" t="s">
        <v>184</v>
      </c>
      <c r="D1731" s="931" t="s">
        <v>317</v>
      </c>
      <c r="E1731" s="882"/>
      <c r="F1731" s="883"/>
      <c r="G1731" s="887">
        <f t="shared" si="439"/>
        <v>0</v>
      </c>
      <c r="H1731" s="876">
        <v>21.61</v>
      </c>
      <c r="I1731" s="876">
        <f t="shared" si="440"/>
        <v>21.61</v>
      </c>
      <c r="J1731" s="877">
        <f t="shared" si="441"/>
        <v>26.41</v>
      </c>
      <c r="K1731" s="878" t="s">
        <v>13</v>
      </c>
      <c r="L1731" s="1013">
        <f>ROUND(SUM(ORÇAMENTO!L1731),2)</f>
        <v>0</v>
      </c>
      <c r="M1731" s="1013">
        <f t="shared" si="430"/>
        <v>0</v>
      </c>
      <c r="N1731" s="868">
        <f t="shared" si="431"/>
        <v>0</v>
      </c>
      <c r="O1731" s="880"/>
      <c r="Q1731" s="317" t="str">
        <f t="shared" si="432"/>
        <v/>
      </c>
      <c r="R1731" s="317" t="str">
        <f t="shared" si="433"/>
        <v/>
      </c>
      <c r="S1731" s="317" t="str">
        <f t="shared" si="434"/>
        <v/>
      </c>
      <c r="V1731" s="314">
        <f>SUM(ORÇAMENTO!N1731)</f>
        <v>0</v>
      </c>
      <c r="W1731" s="315">
        <f t="shared" si="436"/>
        <v>0</v>
      </c>
    </row>
    <row r="1732" spans="1:23" hidden="1">
      <c r="A1732" s="63">
        <v>630600</v>
      </c>
      <c r="B1732" s="870">
        <v>630600</v>
      </c>
      <c r="C1732" s="871" t="s">
        <v>184</v>
      </c>
      <c r="D1732" s="931" t="s">
        <v>318</v>
      </c>
      <c r="E1732" s="882"/>
      <c r="F1732" s="883"/>
      <c r="G1732" s="887">
        <f t="shared" si="439"/>
        <v>0</v>
      </c>
      <c r="H1732" s="876">
        <v>23.77</v>
      </c>
      <c r="I1732" s="876">
        <f t="shared" si="440"/>
        <v>23.77</v>
      </c>
      <c r="J1732" s="877">
        <f t="shared" si="441"/>
        <v>29.05</v>
      </c>
      <c r="K1732" s="878" t="s">
        <v>13</v>
      </c>
      <c r="L1732" s="1013">
        <f>ROUND(SUM(ORÇAMENTO!L1732),2)</f>
        <v>0</v>
      </c>
      <c r="M1732" s="1013">
        <f t="shared" si="430"/>
        <v>0</v>
      </c>
      <c r="N1732" s="868">
        <f t="shared" si="431"/>
        <v>0</v>
      </c>
      <c r="O1732" s="880"/>
      <c r="Q1732" s="317" t="str">
        <f t="shared" si="432"/>
        <v/>
      </c>
      <c r="R1732" s="317" t="str">
        <f t="shared" si="433"/>
        <v/>
      </c>
      <c r="S1732" s="317" t="str">
        <f t="shared" si="434"/>
        <v/>
      </c>
      <c r="V1732" s="314">
        <f>SUM(ORÇAMENTO!N1732)</f>
        <v>0</v>
      </c>
      <c r="W1732" s="315">
        <f t="shared" si="436"/>
        <v>0</v>
      </c>
    </row>
    <row r="1733" spans="1:23" hidden="1">
      <c r="A1733" s="63">
        <v>630800</v>
      </c>
      <c r="B1733" s="870">
        <v>630800</v>
      </c>
      <c r="C1733" s="871" t="s">
        <v>184</v>
      </c>
      <c r="D1733" s="881" t="s">
        <v>319</v>
      </c>
      <c r="E1733" s="882"/>
      <c r="F1733" s="883"/>
      <c r="G1733" s="887">
        <f t="shared" si="439"/>
        <v>0</v>
      </c>
      <c r="H1733" s="876">
        <v>47.55</v>
      </c>
      <c r="I1733" s="876">
        <f t="shared" si="440"/>
        <v>47.55</v>
      </c>
      <c r="J1733" s="877">
        <f t="shared" si="441"/>
        <v>58.12</v>
      </c>
      <c r="K1733" s="878" t="s">
        <v>13</v>
      </c>
      <c r="L1733" s="1013">
        <f>ROUND(SUM(ORÇAMENTO!L1733),2)</f>
        <v>0</v>
      </c>
      <c r="M1733" s="1013">
        <f t="shared" si="430"/>
        <v>0</v>
      </c>
      <c r="N1733" s="868">
        <f t="shared" si="431"/>
        <v>0</v>
      </c>
      <c r="O1733" s="880"/>
      <c r="Q1733" s="317" t="str">
        <f t="shared" si="432"/>
        <v/>
      </c>
      <c r="R1733" s="317" t="str">
        <f t="shared" si="433"/>
        <v/>
      </c>
      <c r="S1733" s="317" t="str">
        <f t="shared" si="434"/>
        <v/>
      </c>
      <c r="V1733" s="314">
        <f>SUM(ORÇAMENTO!N1733)</f>
        <v>0</v>
      </c>
      <c r="W1733" s="315">
        <f t="shared" si="436"/>
        <v>0</v>
      </c>
    </row>
    <row r="1734" spans="1:23" hidden="1">
      <c r="A1734" s="63">
        <v>631000</v>
      </c>
      <c r="B1734" s="870">
        <v>631000</v>
      </c>
      <c r="C1734" s="871" t="s">
        <v>184</v>
      </c>
      <c r="D1734" s="881" t="s">
        <v>320</v>
      </c>
      <c r="E1734" s="882"/>
      <c r="F1734" s="883"/>
      <c r="G1734" s="887">
        <f t="shared" si="439"/>
        <v>0</v>
      </c>
      <c r="H1734" s="876">
        <v>47.7</v>
      </c>
      <c r="I1734" s="876">
        <f t="shared" si="440"/>
        <v>47.7</v>
      </c>
      <c r="J1734" s="877">
        <f t="shared" si="441"/>
        <v>58.3</v>
      </c>
      <c r="K1734" s="878" t="s">
        <v>13</v>
      </c>
      <c r="L1734" s="1013">
        <f>ROUND(SUM(ORÇAMENTO!L1734),2)</f>
        <v>0</v>
      </c>
      <c r="M1734" s="1013">
        <f t="shared" si="430"/>
        <v>0</v>
      </c>
      <c r="N1734" s="868">
        <f t="shared" si="431"/>
        <v>0</v>
      </c>
      <c r="O1734" s="880"/>
      <c r="Q1734" s="317" t="str">
        <f t="shared" si="432"/>
        <v/>
      </c>
      <c r="R1734" s="317" t="str">
        <f t="shared" si="433"/>
        <v/>
      </c>
      <c r="S1734" s="317" t="str">
        <f t="shared" si="434"/>
        <v/>
      </c>
      <c r="V1734" s="314">
        <f>SUM(ORÇAMENTO!N1734)</f>
        <v>0</v>
      </c>
      <c r="W1734" s="315">
        <f t="shared" si="436"/>
        <v>0</v>
      </c>
    </row>
    <row r="1735" spans="1:23" hidden="1">
      <c r="A1735" s="63">
        <v>631200</v>
      </c>
      <c r="B1735" s="870">
        <v>631200</v>
      </c>
      <c r="C1735" s="871" t="s">
        <v>184</v>
      </c>
      <c r="D1735" s="881" t="s">
        <v>321</v>
      </c>
      <c r="E1735" s="882"/>
      <c r="F1735" s="883"/>
      <c r="G1735" s="887">
        <f t="shared" si="439"/>
        <v>0</v>
      </c>
      <c r="H1735" s="876">
        <v>57.25</v>
      </c>
      <c r="I1735" s="876">
        <f t="shared" si="440"/>
        <v>57.25</v>
      </c>
      <c r="J1735" s="877">
        <f t="shared" si="441"/>
        <v>69.97</v>
      </c>
      <c r="K1735" s="878" t="s">
        <v>13</v>
      </c>
      <c r="L1735" s="1013">
        <f>ROUND(SUM(ORÇAMENTO!L1735),2)</f>
        <v>0</v>
      </c>
      <c r="M1735" s="1013">
        <f t="shared" si="430"/>
        <v>0</v>
      </c>
      <c r="N1735" s="868">
        <f t="shared" si="431"/>
        <v>0</v>
      </c>
      <c r="O1735" s="880"/>
      <c r="Q1735" s="317" t="str">
        <f t="shared" si="432"/>
        <v/>
      </c>
      <c r="R1735" s="317" t="str">
        <f t="shared" si="433"/>
        <v/>
      </c>
      <c r="S1735" s="317" t="str">
        <f t="shared" si="434"/>
        <v/>
      </c>
      <c r="V1735" s="314">
        <f>SUM(ORÇAMENTO!N1735)</f>
        <v>0</v>
      </c>
      <c r="W1735" s="315">
        <f t="shared" si="436"/>
        <v>0</v>
      </c>
    </row>
    <row r="1736" spans="1:23" hidden="1">
      <c r="A1736" s="63">
        <v>631500</v>
      </c>
      <c r="B1736" s="870">
        <v>631500</v>
      </c>
      <c r="C1736" s="871" t="s">
        <v>184</v>
      </c>
      <c r="D1736" s="881" t="s">
        <v>322</v>
      </c>
      <c r="E1736" s="882"/>
      <c r="F1736" s="883"/>
      <c r="G1736" s="887">
        <f t="shared" si="439"/>
        <v>0</v>
      </c>
      <c r="H1736" s="876">
        <v>71.56</v>
      </c>
      <c r="I1736" s="876">
        <f t="shared" si="440"/>
        <v>71.56</v>
      </c>
      <c r="J1736" s="877">
        <f t="shared" si="441"/>
        <v>87.46</v>
      </c>
      <c r="K1736" s="878" t="s">
        <v>13</v>
      </c>
      <c r="L1736" s="1013">
        <f>ROUND(SUM(ORÇAMENTO!L1736),2)</f>
        <v>0</v>
      </c>
      <c r="M1736" s="1013">
        <f t="shared" si="430"/>
        <v>0</v>
      </c>
      <c r="N1736" s="868">
        <f t="shared" si="431"/>
        <v>0</v>
      </c>
      <c r="O1736" s="880"/>
      <c r="Q1736" s="317" t="str">
        <f t="shared" si="432"/>
        <v/>
      </c>
      <c r="R1736" s="317" t="str">
        <f t="shared" si="433"/>
        <v/>
      </c>
      <c r="S1736" s="317" t="str">
        <f t="shared" si="434"/>
        <v/>
      </c>
      <c r="V1736" s="314">
        <f>SUM(ORÇAMENTO!N1736)</f>
        <v>0</v>
      </c>
      <c r="W1736" s="315">
        <f t="shared" si="436"/>
        <v>0</v>
      </c>
    </row>
    <row r="1737" spans="1:23" hidden="1">
      <c r="A1737" s="63">
        <v>860200</v>
      </c>
      <c r="B1737" s="870">
        <v>860200</v>
      </c>
      <c r="C1737" s="871" t="s">
        <v>184</v>
      </c>
      <c r="D1737" s="881" t="s">
        <v>801</v>
      </c>
      <c r="E1737" s="882"/>
      <c r="F1737" s="883"/>
      <c r="G1737" s="887">
        <f>SUM(G1738:G1739)</f>
        <v>90.367137000000014</v>
      </c>
      <c r="H1737" s="876">
        <v>858.72</v>
      </c>
      <c r="I1737" s="876">
        <f>IF(ISBLANK(H1737),"",SUM(G1737:H1737))</f>
        <v>949.08713699999998</v>
      </c>
      <c r="J1737" s="877">
        <f t="shared" si="441"/>
        <v>1159.97</v>
      </c>
      <c r="K1737" s="878" t="s">
        <v>10</v>
      </c>
      <c r="L1737" s="1013">
        <f>ROUND(SUM(ORÇAMENTO!L1737),2)</f>
        <v>0</v>
      </c>
      <c r="M1737" s="1013">
        <f t="shared" si="430"/>
        <v>0</v>
      </c>
      <c r="N1737" s="868">
        <f t="shared" si="431"/>
        <v>0</v>
      </c>
      <c r="O1737" s="880"/>
      <c r="Q1737" s="317" t="str">
        <f t="shared" si="432"/>
        <v/>
      </c>
      <c r="R1737" s="317" t="str">
        <f t="shared" si="433"/>
        <v/>
      </c>
      <c r="S1737" s="317" t="str">
        <f t="shared" si="434"/>
        <v/>
      </c>
      <c r="V1737" s="314">
        <f>SUM(ORÇAMENTO!N1737)</f>
        <v>0</v>
      </c>
      <c r="W1737" s="315">
        <f t="shared" si="436"/>
        <v>0</v>
      </c>
    </row>
    <row r="1738" spans="1:23" hidden="1">
      <c r="A1738" s="63" t="s">
        <v>147</v>
      </c>
      <c r="B1738" s="870" t="s">
        <v>147</v>
      </c>
      <c r="C1738" s="871"/>
      <c r="D1738" s="931" t="s">
        <v>802</v>
      </c>
      <c r="E1738" s="882">
        <f>DMT!$F$14</f>
        <v>43.1</v>
      </c>
      <c r="F1738" s="883">
        <v>1.7250000000000001</v>
      </c>
      <c r="G1738" s="923">
        <f t="shared" ref="G1738:G1757" si="442">IF(E1738&lt;=30,(1.07*E1738+2.68)*F1738,((1.07*30+2.68)+1.07*(E1738-30))*F1738)</f>
        <v>84.174825000000013</v>
      </c>
      <c r="H1738" s="876">
        <v>0</v>
      </c>
      <c r="I1738" s="876"/>
      <c r="J1738" s="877">
        <v>0</v>
      </c>
      <c r="K1738" s="932" t="s">
        <v>506</v>
      </c>
      <c r="L1738" s="1014">
        <f>ROUND(SUM(ORÇAMENTO!L1738),2)</f>
        <v>0</v>
      </c>
      <c r="M1738" s="1015">
        <f t="shared" si="430"/>
        <v>0</v>
      </c>
      <c r="N1738" s="868">
        <f t="shared" si="431"/>
        <v>0</v>
      </c>
      <c r="O1738" s="880"/>
      <c r="P1738" s="58" t="str">
        <f>IF(N1737&gt;0,"xx",IF(N1737&gt;0,"xy",""))</f>
        <v/>
      </c>
      <c r="Q1738" s="317" t="str">
        <f t="shared" si="432"/>
        <v/>
      </c>
      <c r="R1738" s="317" t="str">
        <f t="shared" si="433"/>
        <v/>
      </c>
      <c r="S1738" s="317" t="str">
        <f t="shared" si="434"/>
        <v/>
      </c>
      <c r="V1738" s="314">
        <f>SUM(ORÇAMENTO!N1738)</f>
        <v>0</v>
      </c>
      <c r="W1738" s="315">
        <f t="shared" si="436"/>
        <v>0</v>
      </c>
    </row>
    <row r="1739" spans="1:23" hidden="1">
      <c r="A1739" s="63" t="s">
        <v>147</v>
      </c>
      <c r="B1739" s="870" t="s">
        <v>147</v>
      </c>
      <c r="C1739" s="871"/>
      <c r="D1739" s="931" t="s">
        <v>323</v>
      </c>
      <c r="E1739" s="882">
        <f>DMT!$D$25</f>
        <v>468</v>
      </c>
      <c r="F1739" s="883">
        <v>1.23E-2</v>
      </c>
      <c r="G1739" s="923">
        <f t="shared" si="442"/>
        <v>6.1923120000000011</v>
      </c>
      <c r="H1739" s="876">
        <v>0</v>
      </c>
      <c r="I1739" s="876"/>
      <c r="J1739" s="877">
        <v>0</v>
      </c>
      <c r="K1739" s="932" t="s">
        <v>506</v>
      </c>
      <c r="L1739" s="1014">
        <f>ROUND(SUM(ORÇAMENTO!L1739),2)</f>
        <v>0</v>
      </c>
      <c r="M1739" s="1015">
        <f t="shared" si="430"/>
        <v>0</v>
      </c>
      <c r="N1739" s="868">
        <f t="shared" si="431"/>
        <v>0</v>
      </c>
      <c r="O1739" s="880"/>
      <c r="P1739" s="58" t="str">
        <f>IF(N1737&gt;0,"xx",IF(N1737&gt;0,"xy",""))</f>
        <v/>
      </c>
      <c r="Q1739" s="317" t="str">
        <f t="shared" si="432"/>
        <v/>
      </c>
      <c r="R1739" s="317" t="str">
        <f t="shared" si="433"/>
        <v/>
      </c>
      <c r="S1739" s="317" t="str">
        <f t="shared" si="434"/>
        <v/>
      </c>
      <c r="V1739" s="314">
        <f>SUM(ORÇAMENTO!N1739)</f>
        <v>0</v>
      </c>
      <c r="W1739" s="315">
        <f t="shared" si="436"/>
        <v>0</v>
      </c>
    </row>
    <row r="1740" spans="1:23" hidden="1">
      <c r="A1740" s="63">
        <v>860100</v>
      </c>
      <c r="B1740" s="870">
        <v>860100</v>
      </c>
      <c r="C1740" s="871" t="s">
        <v>184</v>
      </c>
      <c r="D1740" s="881" t="s">
        <v>803</v>
      </c>
      <c r="E1740" s="882"/>
      <c r="F1740" s="883"/>
      <c r="G1740" s="887">
        <f>SUM(G1741:G1742)</f>
        <v>90.669201000000015</v>
      </c>
      <c r="H1740" s="876">
        <v>769.37</v>
      </c>
      <c r="I1740" s="876">
        <f>IF(ISBLANK(H1740),"",SUM(G1740:H1740))</f>
        <v>860.03920100000005</v>
      </c>
      <c r="J1740" s="877">
        <f t="shared" si="441"/>
        <v>1051.1400000000001</v>
      </c>
      <c r="K1740" s="878" t="s">
        <v>10</v>
      </c>
      <c r="L1740" s="1013">
        <f>ROUND(SUM(ORÇAMENTO!L1740),2)</f>
        <v>0</v>
      </c>
      <c r="M1740" s="1013">
        <f t="shared" si="430"/>
        <v>0</v>
      </c>
      <c r="N1740" s="868">
        <f t="shared" si="431"/>
        <v>0</v>
      </c>
      <c r="O1740" s="880"/>
      <c r="Q1740" s="317" t="str">
        <f t="shared" si="432"/>
        <v/>
      </c>
      <c r="R1740" s="317" t="str">
        <f t="shared" si="433"/>
        <v/>
      </c>
      <c r="S1740" s="317" t="str">
        <f t="shared" si="434"/>
        <v/>
      </c>
      <c r="V1740" s="314">
        <f>SUM(ORÇAMENTO!N1740)</f>
        <v>0</v>
      </c>
      <c r="W1740" s="315">
        <f t="shared" si="436"/>
        <v>0</v>
      </c>
    </row>
    <row r="1741" spans="1:23" hidden="1">
      <c r="A1741" s="63" t="s">
        <v>147</v>
      </c>
      <c r="B1741" s="870" t="s">
        <v>147</v>
      </c>
      <c r="C1741" s="871"/>
      <c r="D1741" s="931" t="s">
        <v>802</v>
      </c>
      <c r="E1741" s="882">
        <f>DMT!$F$14</f>
        <v>43.1</v>
      </c>
      <c r="F1741" s="883">
        <v>1.7250000000000001</v>
      </c>
      <c r="G1741" s="923">
        <f t="shared" si="442"/>
        <v>84.174825000000013</v>
      </c>
      <c r="H1741" s="876">
        <v>0</v>
      </c>
      <c r="I1741" s="876"/>
      <c r="J1741" s="877">
        <v>0</v>
      </c>
      <c r="K1741" s="932" t="s">
        <v>506</v>
      </c>
      <c r="L1741" s="1014">
        <f>ROUND(SUM(ORÇAMENTO!L1741),2)</f>
        <v>0</v>
      </c>
      <c r="M1741" s="1015">
        <f t="shared" si="430"/>
        <v>0</v>
      </c>
      <c r="N1741" s="868">
        <f t="shared" si="431"/>
        <v>0</v>
      </c>
      <c r="O1741" s="880"/>
      <c r="P1741" s="58" t="str">
        <f>IF(N1740&gt;0,"xx",IF(N1740&gt;0,"xy",""))</f>
        <v/>
      </c>
      <c r="Q1741" s="317" t="str">
        <f t="shared" si="432"/>
        <v/>
      </c>
      <c r="R1741" s="317" t="str">
        <f t="shared" si="433"/>
        <v/>
      </c>
      <c r="S1741" s="317" t="str">
        <f t="shared" si="434"/>
        <v/>
      </c>
      <c r="V1741" s="314">
        <f>SUM(ORÇAMENTO!N1741)</f>
        <v>0</v>
      </c>
      <c r="W1741" s="315">
        <f t="shared" si="436"/>
        <v>0</v>
      </c>
    </row>
    <row r="1742" spans="1:23" hidden="1">
      <c r="A1742" s="63" t="s">
        <v>147</v>
      </c>
      <c r="B1742" s="870" t="s">
        <v>147</v>
      </c>
      <c r="C1742" s="871"/>
      <c r="D1742" s="931" t="s">
        <v>323</v>
      </c>
      <c r="E1742" s="882">
        <f>DMT!$D$25</f>
        <v>468</v>
      </c>
      <c r="F1742" s="883">
        <v>1.29E-2</v>
      </c>
      <c r="G1742" s="923">
        <f t="shared" si="442"/>
        <v>6.4943760000000008</v>
      </c>
      <c r="H1742" s="876">
        <v>0</v>
      </c>
      <c r="I1742" s="876"/>
      <c r="J1742" s="877">
        <v>0</v>
      </c>
      <c r="K1742" s="932" t="s">
        <v>506</v>
      </c>
      <c r="L1742" s="1014">
        <f>ROUND(SUM(ORÇAMENTO!L1742),2)</f>
        <v>0</v>
      </c>
      <c r="M1742" s="1015">
        <f t="shared" si="430"/>
        <v>0</v>
      </c>
      <c r="N1742" s="868">
        <f t="shared" si="431"/>
        <v>0</v>
      </c>
      <c r="O1742" s="880"/>
      <c r="P1742" s="58" t="str">
        <f>IF(N1740&gt;0,"xx",IF(N1740&gt;0,"xy",""))</f>
        <v/>
      </c>
      <c r="Q1742" s="317" t="str">
        <f t="shared" si="432"/>
        <v/>
      </c>
      <c r="R1742" s="317" t="str">
        <f t="shared" si="433"/>
        <v/>
      </c>
      <c r="S1742" s="317" t="str">
        <f t="shared" si="434"/>
        <v/>
      </c>
      <c r="V1742" s="314">
        <f>SUM(ORÇAMENTO!N1742)</f>
        <v>0</v>
      </c>
      <c r="W1742" s="315">
        <f t="shared" si="436"/>
        <v>0</v>
      </c>
    </row>
    <row r="1743" spans="1:23" hidden="1">
      <c r="A1743" s="63">
        <v>860150</v>
      </c>
      <c r="B1743" s="870">
        <v>860150</v>
      </c>
      <c r="C1743" s="871" t="s">
        <v>184</v>
      </c>
      <c r="D1743" s="881" t="s">
        <v>804</v>
      </c>
      <c r="E1743" s="882"/>
      <c r="F1743" s="883"/>
      <c r="G1743" s="887">
        <f>SUM(G1744:G1745)</f>
        <v>88.454065000000014</v>
      </c>
      <c r="H1743" s="876">
        <v>688.53</v>
      </c>
      <c r="I1743" s="876">
        <f>IF(ISBLANK(H1743),"",SUM(G1743:H1743))</f>
        <v>776.98406499999999</v>
      </c>
      <c r="J1743" s="877">
        <f t="shared" si="441"/>
        <v>949.63</v>
      </c>
      <c r="K1743" s="878" t="s">
        <v>10</v>
      </c>
      <c r="L1743" s="1013">
        <f>ROUND(SUM(ORÇAMENTO!L1743),2)</f>
        <v>0</v>
      </c>
      <c r="M1743" s="1013">
        <f t="shared" si="430"/>
        <v>0</v>
      </c>
      <c r="N1743" s="868">
        <f t="shared" si="431"/>
        <v>0</v>
      </c>
      <c r="O1743" s="880"/>
      <c r="Q1743" s="317" t="str">
        <f t="shared" si="432"/>
        <v/>
      </c>
      <c r="R1743" s="317" t="str">
        <f t="shared" si="433"/>
        <v/>
      </c>
      <c r="S1743" s="317" t="str">
        <f t="shared" si="434"/>
        <v/>
      </c>
      <c r="V1743" s="314">
        <f>SUM(ORÇAMENTO!N1743)</f>
        <v>0</v>
      </c>
      <c r="W1743" s="315">
        <f t="shared" si="436"/>
        <v>0</v>
      </c>
    </row>
    <row r="1744" spans="1:23" hidden="1">
      <c r="A1744" s="63" t="s">
        <v>147</v>
      </c>
      <c r="B1744" s="870" t="s">
        <v>147</v>
      </c>
      <c r="C1744" s="871"/>
      <c r="D1744" s="931" t="s">
        <v>802</v>
      </c>
      <c r="E1744" s="882">
        <f>DMT!$F$14</f>
        <v>43.1</v>
      </c>
      <c r="F1744" s="883">
        <v>1.7250000000000001</v>
      </c>
      <c r="G1744" s="923">
        <f t="shared" si="442"/>
        <v>84.174825000000013</v>
      </c>
      <c r="H1744" s="876">
        <v>0</v>
      </c>
      <c r="I1744" s="876"/>
      <c r="J1744" s="877">
        <f t="shared" si="441"/>
        <v>0</v>
      </c>
      <c r="K1744" s="932" t="s">
        <v>506</v>
      </c>
      <c r="L1744" s="1014">
        <f>ROUND(SUM(ORÇAMENTO!L1744),2)</f>
        <v>0</v>
      </c>
      <c r="M1744" s="1015">
        <f t="shared" si="430"/>
        <v>0</v>
      </c>
      <c r="N1744" s="868">
        <f t="shared" si="431"/>
        <v>0</v>
      </c>
      <c r="O1744" s="880"/>
      <c r="P1744" s="58" t="str">
        <f>IF(N1743&gt;0,"xx",IF(N1743&gt;0,"xy",""))</f>
        <v/>
      </c>
      <c r="Q1744" s="317" t="str">
        <f t="shared" si="432"/>
        <v/>
      </c>
      <c r="R1744" s="317" t="str">
        <f t="shared" si="433"/>
        <v/>
      </c>
      <c r="S1744" s="317" t="str">
        <f t="shared" si="434"/>
        <v/>
      </c>
      <c r="V1744" s="314">
        <f>SUM(ORÇAMENTO!N1744)</f>
        <v>0</v>
      </c>
      <c r="W1744" s="315">
        <f t="shared" si="436"/>
        <v>0</v>
      </c>
    </row>
    <row r="1745" spans="1:23" hidden="1">
      <c r="A1745" s="63" t="s">
        <v>147</v>
      </c>
      <c r="B1745" s="870" t="s">
        <v>147</v>
      </c>
      <c r="C1745" s="871"/>
      <c r="D1745" s="931" t="s">
        <v>323</v>
      </c>
      <c r="E1745" s="882">
        <f>DMT!$D$25</f>
        <v>468</v>
      </c>
      <c r="F1745" s="883">
        <v>8.5000000000000006E-3</v>
      </c>
      <c r="G1745" s="923">
        <f t="shared" si="442"/>
        <v>4.2792400000000006</v>
      </c>
      <c r="H1745" s="876">
        <v>0</v>
      </c>
      <c r="I1745" s="876"/>
      <c r="J1745" s="877">
        <f t="shared" si="441"/>
        <v>0</v>
      </c>
      <c r="K1745" s="932" t="s">
        <v>506</v>
      </c>
      <c r="L1745" s="1014">
        <f>ROUND(SUM(ORÇAMENTO!L1745),2)</f>
        <v>0</v>
      </c>
      <c r="M1745" s="1015">
        <f t="shared" si="430"/>
        <v>0</v>
      </c>
      <c r="N1745" s="868">
        <f t="shared" si="431"/>
        <v>0</v>
      </c>
      <c r="O1745" s="880"/>
      <c r="P1745" s="58" t="str">
        <f>IF(N1743&gt;0,"xx",IF(N1743&gt;0,"xy",""))</f>
        <v/>
      </c>
      <c r="Q1745" s="317" t="str">
        <f t="shared" si="432"/>
        <v/>
      </c>
      <c r="R1745" s="317" t="str">
        <f t="shared" si="433"/>
        <v/>
      </c>
      <c r="S1745" s="317" t="str">
        <f t="shared" si="434"/>
        <v/>
      </c>
      <c r="V1745" s="314">
        <f>SUM(ORÇAMENTO!N1745)</f>
        <v>0</v>
      </c>
      <c r="W1745" s="315">
        <f t="shared" si="436"/>
        <v>0</v>
      </c>
    </row>
    <row r="1746" spans="1:23" hidden="1">
      <c r="A1746" s="63">
        <v>860000</v>
      </c>
      <c r="B1746" s="870">
        <v>860000</v>
      </c>
      <c r="C1746" s="871" t="s">
        <v>184</v>
      </c>
      <c r="D1746" s="881" t="s">
        <v>805</v>
      </c>
      <c r="E1746" s="882"/>
      <c r="F1746" s="883"/>
      <c r="G1746" s="887">
        <f>SUM(G1747:G1748)</f>
        <v>88.756129000000016</v>
      </c>
      <c r="H1746" s="876">
        <v>622.92999999999995</v>
      </c>
      <c r="I1746" s="876">
        <f>IF(ISBLANK(H1746),"",SUM(G1746:H1746))</f>
        <v>711.68612899999994</v>
      </c>
      <c r="J1746" s="877">
        <f t="shared" si="441"/>
        <v>869.82</v>
      </c>
      <c r="K1746" s="878" t="s">
        <v>10</v>
      </c>
      <c r="L1746" s="1013">
        <f>ROUND(SUM(ORÇAMENTO!L1746),2)</f>
        <v>0</v>
      </c>
      <c r="M1746" s="1013">
        <f t="shared" ref="M1746:M1809" si="443">IF(L1746=0,0,ROUND(J1746,2))</f>
        <v>0</v>
      </c>
      <c r="N1746" s="868">
        <f t="shared" ref="N1746:N1809" si="444">IF(ISBLANK(L1746),0,ROUND(L1746*M1746,2))</f>
        <v>0</v>
      </c>
      <c r="O1746" s="880"/>
      <c r="Q1746" s="317" t="str">
        <f t="shared" ref="Q1746:Q1809" si="445">IF(P1746="X","x",IF(P1746="xx","x",IF(P1746="xy","x",IF(P1746="y","x",IF(OR(N1746&gt;0,N1746&gt;0),"x","")))))</f>
        <v/>
      </c>
      <c r="R1746" s="317" t="str">
        <f t="shared" ref="R1746:R1809" si="446">IF(P1746="X","x",IF(P1746="y","x",IF(P1746="xx","x",IF(N1746&gt;0,"x",""))))</f>
        <v/>
      </c>
      <c r="S1746" s="317" t="str">
        <f t="shared" ref="S1746:S1809" si="447">IF(P1746="X","x",IF(N1746&gt;0,"x",""))</f>
        <v/>
      </c>
      <c r="V1746" s="314">
        <f>SUM(ORÇAMENTO!N1746)</f>
        <v>0</v>
      </c>
      <c r="W1746" s="315">
        <f t="shared" si="436"/>
        <v>0</v>
      </c>
    </row>
    <row r="1747" spans="1:23" hidden="1">
      <c r="A1747" s="63" t="s">
        <v>147</v>
      </c>
      <c r="B1747" s="870" t="s">
        <v>147</v>
      </c>
      <c r="C1747" s="871"/>
      <c r="D1747" s="931" t="s">
        <v>802</v>
      </c>
      <c r="E1747" s="882">
        <f>DMT!$F$14</f>
        <v>43.1</v>
      </c>
      <c r="F1747" s="883">
        <v>1.7250000000000001</v>
      </c>
      <c r="G1747" s="923">
        <f t="shared" si="442"/>
        <v>84.174825000000013</v>
      </c>
      <c r="H1747" s="876">
        <v>0</v>
      </c>
      <c r="I1747" s="876"/>
      <c r="J1747" s="877">
        <f t="shared" si="441"/>
        <v>0</v>
      </c>
      <c r="K1747" s="932" t="s">
        <v>506</v>
      </c>
      <c r="L1747" s="1014">
        <f>ROUND(SUM(ORÇAMENTO!L1747),2)</f>
        <v>0</v>
      </c>
      <c r="M1747" s="1015">
        <f t="shared" si="443"/>
        <v>0</v>
      </c>
      <c r="N1747" s="868">
        <f t="shared" si="444"/>
        <v>0</v>
      </c>
      <c r="O1747" s="880"/>
      <c r="P1747" s="58" t="str">
        <f>IF(N1746&gt;0,"xx",IF(N1746&gt;0,"xy",""))</f>
        <v/>
      </c>
      <c r="Q1747" s="317" t="str">
        <f t="shared" si="445"/>
        <v/>
      </c>
      <c r="R1747" s="317" t="str">
        <f t="shared" si="446"/>
        <v/>
      </c>
      <c r="S1747" s="317" t="str">
        <f t="shared" si="447"/>
        <v/>
      </c>
      <c r="V1747" s="314">
        <f>SUM(ORÇAMENTO!N1747)</f>
        <v>0</v>
      </c>
      <c r="W1747" s="315">
        <f t="shared" si="436"/>
        <v>0</v>
      </c>
    </row>
    <row r="1748" spans="1:23" hidden="1">
      <c r="A1748" s="63" t="s">
        <v>147</v>
      </c>
      <c r="B1748" s="870" t="s">
        <v>147</v>
      </c>
      <c r="C1748" s="871"/>
      <c r="D1748" s="931" t="s">
        <v>323</v>
      </c>
      <c r="E1748" s="882">
        <f>DMT!$D$25</f>
        <v>468</v>
      </c>
      <c r="F1748" s="883">
        <v>9.1000000000000004E-3</v>
      </c>
      <c r="G1748" s="923">
        <f t="shared" si="442"/>
        <v>4.5813040000000012</v>
      </c>
      <c r="H1748" s="876">
        <v>0</v>
      </c>
      <c r="I1748" s="876"/>
      <c r="J1748" s="877">
        <f t="shared" si="441"/>
        <v>0</v>
      </c>
      <c r="K1748" s="932" t="s">
        <v>506</v>
      </c>
      <c r="L1748" s="1014">
        <f>ROUND(SUM(ORÇAMENTO!L1748),2)</f>
        <v>0</v>
      </c>
      <c r="M1748" s="1015">
        <f t="shared" si="443"/>
        <v>0</v>
      </c>
      <c r="N1748" s="868">
        <f t="shared" si="444"/>
        <v>0</v>
      </c>
      <c r="O1748" s="880"/>
      <c r="P1748" s="58" t="str">
        <f>IF(N1746&gt;0,"xx",IF(N1746&gt;0,"xy",""))</f>
        <v/>
      </c>
      <c r="Q1748" s="317" t="str">
        <f t="shared" si="445"/>
        <v/>
      </c>
      <c r="R1748" s="317" t="str">
        <f t="shared" si="446"/>
        <v/>
      </c>
      <c r="S1748" s="317" t="str">
        <f t="shared" si="447"/>
        <v/>
      </c>
      <c r="V1748" s="314">
        <f>SUM(ORÇAMENTO!N1748)</f>
        <v>0</v>
      </c>
      <c r="W1748" s="315">
        <f t="shared" si="436"/>
        <v>0</v>
      </c>
    </row>
    <row r="1749" spans="1:23" hidden="1">
      <c r="A1749" s="63">
        <v>860017</v>
      </c>
      <c r="B1749" s="870">
        <v>860017</v>
      </c>
      <c r="C1749" s="871" t="s">
        <v>184</v>
      </c>
      <c r="D1749" s="881" t="s">
        <v>806</v>
      </c>
      <c r="E1749" s="882"/>
      <c r="F1749" s="883"/>
      <c r="G1749" s="887">
        <f>SUM(G1750:G1751)</f>
        <v>16.401140000000002</v>
      </c>
      <c r="H1749" s="876">
        <v>213.32</v>
      </c>
      <c r="I1749" s="876">
        <f>IF(ISBLANK(H1749),"",SUM(G1749:H1749))</f>
        <v>229.72113999999999</v>
      </c>
      <c r="J1749" s="877">
        <f t="shared" si="441"/>
        <v>280.77</v>
      </c>
      <c r="K1749" s="878" t="s">
        <v>10</v>
      </c>
      <c r="L1749" s="1013">
        <f>ROUND(SUM(ORÇAMENTO!L1749),2)</f>
        <v>0</v>
      </c>
      <c r="M1749" s="1013">
        <f t="shared" si="443"/>
        <v>0</v>
      </c>
      <c r="N1749" s="868">
        <f t="shared" si="444"/>
        <v>0</v>
      </c>
      <c r="O1749" s="880"/>
      <c r="Q1749" s="317" t="str">
        <f t="shared" si="445"/>
        <v/>
      </c>
      <c r="R1749" s="317" t="str">
        <f t="shared" si="446"/>
        <v/>
      </c>
      <c r="S1749" s="317" t="str">
        <f t="shared" si="447"/>
        <v/>
      </c>
      <c r="V1749" s="314">
        <f>SUM(ORÇAMENTO!N1749)</f>
        <v>0</v>
      </c>
      <c r="W1749" s="315">
        <f t="shared" ref="W1749:W1812" si="448">N1749-V1749</f>
        <v>0</v>
      </c>
    </row>
    <row r="1750" spans="1:23" hidden="1">
      <c r="A1750" s="63" t="s">
        <v>147</v>
      </c>
      <c r="B1750" s="870" t="s">
        <v>147</v>
      </c>
      <c r="C1750" s="871"/>
      <c r="D1750" s="931" t="s">
        <v>802</v>
      </c>
      <c r="E1750" s="882">
        <f>DMT!$F$14</f>
        <v>43.1</v>
      </c>
      <c r="F1750" s="883">
        <v>0.3</v>
      </c>
      <c r="G1750" s="923">
        <f t="shared" si="442"/>
        <v>14.639100000000001</v>
      </c>
      <c r="H1750" s="876">
        <v>0</v>
      </c>
      <c r="I1750" s="876"/>
      <c r="J1750" s="877">
        <f t="shared" si="441"/>
        <v>0</v>
      </c>
      <c r="K1750" s="932" t="s">
        <v>506</v>
      </c>
      <c r="L1750" s="1014">
        <f>ROUND(SUM(ORÇAMENTO!L1750),2)</f>
        <v>0</v>
      </c>
      <c r="M1750" s="1015">
        <f t="shared" si="443"/>
        <v>0</v>
      </c>
      <c r="N1750" s="868">
        <f t="shared" si="444"/>
        <v>0</v>
      </c>
      <c r="O1750" s="880"/>
      <c r="P1750" s="58" t="str">
        <f>IF(N1749&gt;0,"xx",IF(N1749&gt;0,"xy",""))</f>
        <v/>
      </c>
      <c r="Q1750" s="317" t="str">
        <f t="shared" si="445"/>
        <v/>
      </c>
      <c r="R1750" s="317" t="str">
        <f t="shared" si="446"/>
        <v/>
      </c>
      <c r="S1750" s="317" t="str">
        <f t="shared" si="447"/>
        <v/>
      </c>
      <c r="V1750" s="314">
        <f>SUM(ORÇAMENTO!N1750)</f>
        <v>0</v>
      </c>
      <c r="W1750" s="315">
        <f t="shared" si="448"/>
        <v>0</v>
      </c>
    </row>
    <row r="1751" spans="1:23" hidden="1">
      <c r="A1751" s="63" t="s">
        <v>147</v>
      </c>
      <c r="B1751" s="870" t="s">
        <v>147</v>
      </c>
      <c r="C1751" s="871"/>
      <c r="D1751" s="931" t="s">
        <v>323</v>
      </c>
      <c r="E1751" s="882">
        <f>DMT!$D$25</f>
        <v>468</v>
      </c>
      <c r="F1751" s="883">
        <v>3.5000000000000001E-3</v>
      </c>
      <c r="G1751" s="923">
        <f t="shared" si="442"/>
        <v>1.7620400000000003</v>
      </c>
      <c r="H1751" s="876">
        <v>0</v>
      </c>
      <c r="I1751" s="876"/>
      <c r="J1751" s="877">
        <f t="shared" si="441"/>
        <v>0</v>
      </c>
      <c r="K1751" s="932" t="s">
        <v>506</v>
      </c>
      <c r="L1751" s="1014">
        <f>ROUND(SUM(ORÇAMENTO!L1751),2)</f>
        <v>0</v>
      </c>
      <c r="M1751" s="1015">
        <f t="shared" si="443"/>
        <v>0</v>
      </c>
      <c r="N1751" s="868">
        <f t="shared" si="444"/>
        <v>0</v>
      </c>
      <c r="O1751" s="880"/>
      <c r="P1751" s="58" t="str">
        <f>IF(N1749&gt;0,"xx",IF(N1749&gt;0,"xy",""))</f>
        <v/>
      </c>
      <c r="Q1751" s="317" t="str">
        <f t="shared" si="445"/>
        <v/>
      </c>
      <c r="R1751" s="317" t="str">
        <f t="shared" si="446"/>
        <v/>
      </c>
      <c r="S1751" s="317" t="str">
        <f t="shared" si="447"/>
        <v/>
      </c>
      <c r="V1751" s="314">
        <f>SUM(ORÇAMENTO!N1751)</f>
        <v>0</v>
      </c>
      <c r="W1751" s="315">
        <f t="shared" si="448"/>
        <v>0</v>
      </c>
    </row>
    <row r="1752" spans="1:23" hidden="1">
      <c r="A1752" s="63">
        <v>860023</v>
      </c>
      <c r="B1752" s="870">
        <v>860023</v>
      </c>
      <c r="C1752" s="871" t="s">
        <v>184</v>
      </c>
      <c r="D1752" s="881" t="s">
        <v>807</v>
      </c>
      <c r="E1752" s="882"/>
      <c r="F1752" s="883"/>
      <c r="G1752" s="887">
        <f>SUM(G1753:G1754)</f>
        <v>27.366895499999998</v>
      </c>
      <c r="H1752" s="876">
        <v>257.19</v>
      </c>
      <c r="I1752" s="876">
        <f>IF(ISBLANK(H1752),"",SUM(G1752:H1752))</f>
        <v>284.5568955</v>
      </c>
      <c r="J1752" s="877">
        <f t="shared" si="441"/>
        <v>347.79</v>
      </c>
      <c r="K1752" s="878" t="s">
        <v>10</v>
      </c>
      <c r="L1752" s="1013">
        <f>ROUND(SUM(ORÇAMENTO!L1752),2)</f>
        <v>0</v>
      </c>
      <c r="M1752" s="1013">
        <f t="shared" si="443"/>
        <v>0</v>
      </c>
      <c r="N1752" s="868">
        <f t="shared" si="444"/>
        <v>0</v>
      </c>
      <c r="O1752" s="880"/>
      <c r="Q1752" s="317" t="str">
        <f t="shared" si="445"/>
        <v/>
      </c>
      <c r="R1752" s="317" t="str">
        <f t="shared" si="446"/>
        <v/>
      </c>
      <c r="S1752" s="317" t="str">
        <f t="shared" si="447"/>
        <v/>
      </c>
      <c r="V1752" s="314">
        <f>SUM(ORÇAMENTO!N1752)</f>
        <v>0</v>
      </c>
      <c r="W1752" s="315">
        <f t="shared" si="448"/>
        <v>0</v>
      </c>
    </row>
    <row r="1753" spans="1:23" hidden="1">
      <c r="A1753" s="63" t="s">
        <v>147</v>
      </c>
      <c r="B1753" s="870" t="s">
        <v>147</v>
      </c>
      <c r="C1753" s="871"/>
      <c r="D1753" s="931" t="s">
        <v>802</v>
      </c>
      <c r="E1753" s="882">
        <f>DMT!$F$14</f>
        <v>43.1</v>
      </c>
      <c r="F1753" s="883">
        <v>0.51749999999999996</v>
      </c>
      <c r="G1753" s="923">
        <f t="shared" si="442"/>
        <v>25.252447499999999</v>
      </c>
      <c r="H1753" s="876">
        <v>0</v>
      </c>
      <c r="I1753" s="876"/>
      <c r="J1753" s="877">
        <f t="shared" si="441"/>
        <v>0</v>
      </c>
      <c r="K1753" s="932" t="s">
        <v>506</v>
      </c>
      <c r="L1753" s="1014">
        <f>ROUND(SUM(ORÇAMENTO!L1753),2)</f>
        <v>0</v>
      </c>
      <c r="M1753" s="1015">
        <f t="shared" si="443"/>
        <v>0</v>
      </c>
      <c r="N1753" s="868">
        <f t="shared" si="444"/>
        <v>0</v>
      </c>
      <c r="O1753" s="880"/>
      <c r="P1753" s="58" t="str">
        <f>IF(N1752&gt;0,"xx",IF(N1752&gt;0,"xy",""))</f>
        <v/>
      </c>
      <c r="Q1753" s="317" t="str">
        <f t="shared" si="445"/>
        <v/>
      </c>
      <c r="R1753" s="317" t="str">
        <f t="shared" si="446"/>
        <v/>
      </c>
      <c r="S1753" s="317" t="str">
        <f t="shared" si="447"/>
        <v/>
      </c>
      <c r="V1753" s="314">
        <f>SUM(ORÇAMENTO!N1753)</f>
        <v>0</v>
      </c>
      <c r="W1753" s="315">
        <f t="shared" si="448"/>
        <v>0</v>
      </c>
    </row>
    <row r="1754" spans="1:23" hidden="1">
      <c r="A1754" s="63" t="s">
        <v>147</v>
      </c>
      <c r="B1754" s="870" t="s">
        <v>147</v>
      </c>
      <c r="C1754" s="871"/>
      <c r="D1754" s="931" t="s">
        <v>323</v>
      </c>
      <c r="E1754" s="882">
        <f>DMT!$D$25</f>
        <v>468</v>
      </c>
      <c r="F1754" s="883">
        <v>4.1999999999999997E-3</v>
      </c>
      <c r="G1754" s="923">
        <f t="shared" si="442"/>
        <v>2.1144479999999999</v>
      </c>
      <c r="H1754" s="876">
        <v>0</v>
      </c>
      <c r="I1754" s="876"/>
      <c r="J1754" s="877">
        <f t="shared" si="441"/>
        <v>0</v>
      </c>
      <c r="K1754" s="932" t="s">
        <v>506</v>
      </c>
      <c r="L1754" s="1014">
        <f>ROUND(SUM(ORÇAMENTO!L1754),2)</f>
        <v>0</v>
      </c>
      <c r="M1754" s="1015">
        <f t="shared" si="443"/>
        <v>0</v>
      </c>
      <c r="N1754" s="868">
        <f t="shared" si="444"/>
        <v>0</v>
      </c>
      <c r="O1754" s="880"/>
      <c r="P1754" s="58" t="str">
        <f>IF(N1752&gt;0,"xx",IF(N1752&gt;0,"xy",""))</f>
        <v/>
      </c>
      <c r="Q1754" s="317" t="str">
        <f t="shared" si="445"/>
        <v/>
      </c>
      <c r="R1754" s="317" t="str">
        <f t="shared" si="446"/>
        <v/>
      </c>
      <c r="S1754" s="317" t="str">
        <f t="shared" si="447"/>
        <v/>
      </c>
      <c r="V1754" s="314">
        <f>SUM(ORÇAMENTO!N1754)</f>
        <v>0</v>
      </c>
      <c r="W1754" s="315">
        <f t="shared" si="448"/>
        <v>0</v>
      </c>
    </row>
    <row r="1755" spans="1:23" hidden="1">
      <c r="A1755" s="63">
        <v>861030</v>
      </c>
      <c r="B1755" s="870">
        <v>861030</v>
      </c>
      <c r="C1755" s="871" t="s">
        <v>184</v>
      </c>
      <c r="D1755" s="881" t="s">
        <v>808</v>
      </c>
      <c r="E1755" s="882"/>
      <c r="F1755" s="883"/>
      <c r="G1755" s="887">
        <f>SUM(G1756:G1757)</f>
        <v>90.367137000000014</v>
      </c>
      <c r="H1755" s="876">
        <v>286.49</v>
      </c>
      <c r="I1755" s="876">
        <f>IF(ISBLANK(H1755),"",SUM(G1755:H1755))</f>
        <v>376.85713700000002</v>
      </c>
      <c r="J1755" s="877">
        <f t="shared" si="441"/>
        <v>460.59</v>
      </c>
      <c r="K1755" s="878" t="s">
        <v>10</v>
      </c>
      <c r="L1755" s="1013">
        <f>ROUND(SUM(ORÇAMENTO!L1755),2)</f>
        <v>0</v>
      </c>
      <c r="M1755" s="1013">
        <f t="shared" si="443"/>
        <v>0</v>
      </c>
      <c r="N1755" s="868">
        <f t="shared" si="444"/>
        <v>0</v>
      </c>
      <c r="O1755" s="880"/>
      <c r="Q1755" s="317" t="str">
        <f t="shared" si="445"/>
        <v/>
      </c>
      <c r="R1755" s="317" t="str">
        <f t="shared" si="446"/>
        <v/>
      </c>
      <c r="S1755" s="317" t="str">
        <f t="shared" si="447"/>
        <v/>
      </c>
      <c r="V1755" s="314">
        <f>SUM(ORÇAMENTO!N1755)</f>
        <v>0</v>
      </c>
      <c r="W1755" s="315">
        <f t="shared" si="448"/>
        <v>0</v>
      </c>
    </row>
    <row r="1756" spans="1:23" hidden="1">
      <c r="A1756" s="63" t="s">
        <v>147</v>
      </c>
      <c r="B1756" s="870" t="s">
        <v>147</v>
      </c>
      <c r="C1756" s="871"/>
      <c r="D1756" s="931" t="s">
        <v>802</v>
      </c>
      <c r="E1756" s="882">
        <f>DMT!$F$14</f>
        <v>43.1</v>
      </c>
      <c r="F1756" s="883">
        <v>1.7250000000000001</v>
      </c>
      <c r="G1756" s="923">
        <f t="shared" si="442"/>
        <v>84.174825000000013</v>
      </c>
      <c r="H1756" s="876">
        <v>0</v>
      </c>
      <c r="I1756" s="876"/>
      <c r="J1756" s="877">
        <f t="shared" si="441"/>
        <v>0</v>
      </c>
      <c r="K1756" s="932" t="s">
        <v>506</v>
      </c>
      <c r="L1756" s="1014">
        <f>ROUND(SUM(ORÇAMENTO!L1756),2)</f>
        <v>0</v>
      </c>
      <c r="M1756" s="1015">
        <f t="shared" si="443"/>
        <v>0</v>
      </c>
      <c r="N1756" s="868">
        <f t="shared" si="444"/>
        <v>0</v>
      </c>
      <c r="O1756" s="880"/>
      <c r="P1756" s="58" t="str">
        <f>IF(N1755&gt;0,"xx",IF(N1755&gt;0,"xy",""))</f>
        <v/>
      </c>
      <c r="Q1756" s="317" t="str">
        <f t="shared" si="445"/>
        <v/>
      </c>
      <c r="R1756" s="317" t="str">
        <f t="shared" si="446"/>
        <v/>
      </c>
      <c r="S1756" s="317" t="str">
        <f t="shared" si="447"/>
        <v/>
      </c>
      <c r="V1756" s="314">
        <f>SUM(ORÇAMENTO!N1756)</f>
        <v>0</v>
      </c>
      <c r="W1756" s="315">
        <f t="shared" si="448"/>
        <v>0</v>
      </c>
    </row>
    <row r="1757" spans="1:23" hidden="1">
      <c r="A1757" s="63" t="s">
        <v>147</v>
      </c>
      <c r="B1757" s="969" t="s">
        <v>147</v>
      </c>
      <c r="C1757" s="970"/>
      <c r="D1757" s="988" t="s">
        <v>323</v>
      </c>
      <c r="E1757" s="940">
        <f>DMT!$D$25</f>
        <v>468</v>
      </c>
      <c r="F1757" s="971">
        <v>1.23E-2</v>
      </c>
      <c r="G1757" s="1282">
        <f t="shared" si="442"/>
        <v>6.1923120000000011</v>
      </c>
      <c r="H1757" s="914">
        <v>0</v>
      </c>
      <c r="I1757" s="914"/>
      <c r="J1757" s="943">
        <f t="shared" si="441"/>
        <v>0</v>
      </c>
      <c r="K1757" s="1296" t="s">
        <v>506</v>
      </c>
      <c r="L1757" s="1297">
        <f>ROUND(SUM(ORÇAMENTO!L1757),2)</f>
        <v>0</v>
      </c>
      <c r="M1757" s="1298">
        <f t="shared" si="443"/>
        <v>0</v>
      </c>
      <c r="N1757" s="916">
        <f t="shared" si="444"/>
        <v>0</v>
      </c>
      <c r="O1757" s="880"/>
      <c r="P1757" s="58" t="str">
        <f>IF(N1755&gt;0,"xx",IF(N1755&gt;0,"xy",""))</f>
        <v/>
      </c>
      <c r="Q1757" s="317" t="str">
        <f t="shared" si="445"/>
        <v/>
      </c>
      <c r="R1757" s="317" t="str">
        <f t="shared" si="446"/>
        <v/>
      </c>
      <c r="S1757" s="317" t="str">
        <f t="shared" si="447"/>
        <v/>
      </c>
      <c r="V1757" s="314">
        <f>SUM(ORÇAMENTO!N1757)</f>
        <v>0</v>
      </c>
      <c r="W1757" s="315">
        <f t="shared" si="448"/>
        <v>0</v>
      </c>
    </row>
    <row r="1758" spans="1:23" ht="13.5" thickBot="1">
      <c r="A1758" s="63">
        <v>601200</v>
      </c>
      <c r="B1758" s="1348" t="s">
        <v>1795</v>
      </c>
      <c r="C1758" s="1349" t="s">
        <v>184</v>
      </c>
      <c r="D1758" s="1350" t="s">
        <v>1503</v>
      </c>
      <c r="E1758" s="1351"/>
      <c r="F1758" s="1352"/>
      <c r="G1758" s="1362"/>
      <c r="H1758" s="1354">
        <v>34.119999999999997</v>
      </c>
      <c r="I1758" s="1354">
        <f>IF(ISBLANK(H1758),"",SUM(G1758:H1758))*0.9</f>
        <v>30.707999999999998</v>
      </c>
      <c r="J1758" s="1355">
        <f t="shared" si="441"/>
        <v>37.53</v>
      </c>
      <c r="K1758" s="1356" t="s">
        <v>10</v>
      </c>
      <c r="L1758" s="1383">
        <f>ROUND(SUM(ORÇAMENTO!L1758),2)</f>
        <v>235.63</v>
      </c>
      <c r="M1758" s="1383">
        <f t="shared" si="443"/>
        <v>37.53</v>
      </c>
      <c r="N1758" s="1358">
        <f t="shared" si="444"/>
        <v>8843.19</v>
      </c>
      <c r="O1758" s="1359"/>
      <c r="Q1758" s="317" t="str">
        <f t="shared" si="445"/>
        <v>x</v>
      </c>
      <c r="R1758" s="317" t="str">
        <f t="shared" si="446"/>
        <v>x</v>
      </c>
      <c r="S1758" s="317" t="str">
        <f t="shared" si="447"/>
        <v>x</v>
      </c>
      <c r="V1758" s="314">
        <f>SUM(ORÇAMENTO!N1758)</f>
        <v>8843.19</v>
      </c>
      <c r="W1758" s="315">
        <f t="shared" si="448"/>
        <v>0</v>
      </c>
    </row>
    <row r="1759" spans="1:23" hidden="1">
      <c r="A1759" s="63">
        <v>601200</v>
      </c>
      <c r="B1759" s="858" t="s">
        <v>1796</v>
      </c>
      <c r="C1759" s="859" t="s">
        <v>184</v>
      </c>
      <c r="D1759" s="920" t="s">
        <v>325</v>
      </c>
      <c r="E1759" s="1005"/>
      <c r="F1759" s="921"/>
      <c r="G1759" s="923"/>
      <c r="H1759" s="864">
        <v>17.059999999999999</v>
      </c>
      <c r="I1759" s="864">
        <f>IF(ISBLANK(H1759),"",SUM(G1759:H1759))*0.9</f>
        <v>15.353999999999999</v>
      </c>
      <c r="J1759" s="865">
        <f t="shared" si="441"/>
        <v>18.77</v>
      </c>
      <c r="K1759" s="866" t="s">
        <v>10</v>
      </c>
      <c r="L1759" s="1013">
        <f>ROUND(SUM(ORÇAMENTO!L1759),2)</f>
        <v>0</v>
      </c>
      <c r="M1759" s="1013">
        <f t="shared" si="443"/>
        <v>0</v>
      </c>
      <c r="N1759" s="907">
        <f t="shared" si="444"/>
        <v>0</v>
      </c>
      <c r="O1759" s="880"/>
      <c r="Q1759" s="317" t="str">
        <f t="shared" si="445"/>
        <v/>
      </c>
      <c r="R1759" s="317" t="str">
        <f t="shared" si="446"/>
        <v/>
      </c>
      <c r="S1759" s="317" t="str">
        <f t="shared" si="447"/>
        <v/>
      </c>
      <c r="V1759" s="314">
        <f>SUM(ORÇAMENTO!N1759)</f>
        <v>0</v>
      </c>
      <c r="W1759" s="315">
        <f t="shared" si="448"/>
        <v>0</v>
      </c>
    </row>
    <row r="1760" spans="1:23" hidden="1">
      <c r="A1760" s="63">
        <v>97623</v>
      </c>
      <c r="B1760" s="870" t="s">
        <v>1712</v>
      </c>
      <c r="C1760" s="871" t="s">
        <v>590</v>
      </c>
      <c r="D1760" s="872" t="s">
        <v>1708</v>
      </c>
      <c r="E1760" s="873"/>
      <c r="F1760" s="874"/>
      <c r="G1760" s="875"/>
      <c r="H1760" s="876">
        <v>201.31</v>
      </c>
      <c r="I1760" s="876">
        <f t="shared" ref="I1760:I1768" si="449">IF(ISBLANK(H1760),"",SUM(G1760:H1760))</f>
        <v>201.31</v>
      </c>
      <c r="J1760" s="877">
        <f t="shared" si="441"/>
        <v>246.04</v>
      </c>
      <c r="K1760" s="878" t="s">
        <v>10</v>
      </c>
      <c r="L1760" s="1016">
        <f>ROUND(SUM(ORÇAMENTO!L1760),2)</f>
        <v>0</v>
      </c>
      <c r="M1760" s="1017">
        <f t="shared" si="443"/>
        <v>0</v>
      </c>
      <c r="N1760" s="868">
        <f t="shared" si="444"/>
        <v>0</v>
      </c>
      <c r="O1760" s="880"/>
      <c r="Q1760" s="317" t="str">
        <f t="shared" si="445"/>
        <v/>
      </c>
      <c r="R1760" s="317" t="str">
        <f t="shared" si="446"/>
        <v/>
      </c>
      <c r="S1760" s="317" t="str">
        <f t="shared" si="447"/>
        <v/>
      </c>
      <c r="V1760" s="314">
        <f>SUM(ORÇAMENTO!N1760)</f>
        <v>0</v>
      </c>
      <c r="W1760" s="315">
        <f t="shared" si="448"/>
        <v>0</v>
      </c>
    </row>
    <row r="1761" spans="1:23" hidden="1">
      <c r="A1761" s="63">
        <v>97624</v>
      </c>
      <c r="B1761" s="870" t="s">
        <v>1711</v>
      </c>
      <c r="C1761" s="871" t="s">
        <v>590</v>
      </c>
      <c r="D1761" s="872" t="s">
        <v>1705</v>
      </c>
      <c r="E1761" s="873"/>
      <c r="F1761" s="874"/>
      <c r="G1761" s="875"/>
      <c r="H1761" s="876">
        <v>123.54</v>
      </c>
      <c r="I1761" s="876">
        <f t="shared" si="449"/>
        <v>123.54</v>
      </c>
      <c r="J1761" s="877">
        <f t="shared" si="441"/>
        <v>150.99</v>
      </c>
      <c r="K1761" s="878" t="s">
        <v>10</v>
      </c>
      <c r="L1761" s="1016">
        <f>ROUND(SUM(ORÇAMENTO!L1761),2)</f>
        <v>0</v>
      </c>
      <c r="M1761" s="1017">
        <f t="shared" si="443"/>
        <v>0</v>
      </c>
      <c r="N1761" s="868">
        <f t="shared" si="444"/>
        <v>0</v>
      </c>
      <c r="O1761" s="880"/>
      <c r="Q1761" s="317" t="str">
        <f t="shared" si="445"/>
        <v/>
      </c>
      <c r="R1761" s="317" t="str">
        <f t="shared" si="446"/>
        <v/>
      </c>
      <c r="S1761" s="317" t="str">
        <f t="shared" si="447"/>
        <v/>
      </c>
      <c r="V1761" s="314">
        <f>SUM(ORÇAMENTO!N1761)</f>
        <v>0</v>
      </c>
      <c r="W1761" s="315">
        <f t="shared" si="448"/>
        <v>0</v>
      </c>
    </row>
    <row r="1762" spans="1:23" hidden="1">
      <c r="A1762" s="63">
        <v>606500</v>
      </c>
      <c r="B1762" s="870" t="s">
        <v>1713</v>
      </c>
      <c r="C1762" s="871" t="s">
        <v>184</v>
      </c>
      <c r="D1762" s="881" t="s">
        <v>466</v>
      </c>
      <c r="E1762" s="882"/>
      <c r="F1762" s="883"/>
      <c r="G1762" s="887"/>
      <c r="H1762" s="876">
        <v>182.46</v>
      </c>
      <c r="I1762" s="876">
        <f t="shared" si="449"/>
        <v>182.46</v>
      </c>
      <c r="J1762" s="877">
        <f t="shared" si="441"/>
        <v>223</v>
      </c>
      <c r="K1762" s="878" t="s">
        <v>10</v>
      </c>
      <c r="L1762" s="1013">
        <f>ROUND(SUM(ORÇAMENTO!L1762),2)</f>
        <v>0</v>
      </c>
      <c r="M1762" s="1013">
        <f t="shared" si="443"/>
        <v>0</v>
      </c>
      <c r="N1762" s="868">
        <f t="shared" si="444"/>
        <v>0</v>
      </c>
      <c r="O1762" s="880"/>
      <c r="Q1762" s="317" t="str">
        <f t="shared" si="445"/>
        <v/>
      </c>
      <c r="R1762" s="317" t="str">
        <f t="shared" si="446"/>
        <v/>
      </c>
      <c r="S1762" s="317" t="str">
        <f t="shared" si="447"/>
        <v/>
      </c>
      <c r="V1762" s="314">
        <f>SUM(ORÇAMENTO!N1762)</f>
        <v>0</v>
      </c>
      <c r="W1762" s="315">
        <f t="shared" si="448"/>
        <v>0</v>
      </c>
    </row>
    <row r="1763" spans="1:23" hidden="1">
      <c r="A1763" s="63">
        <v>606700</v>
      </c>
      <c r="B1763" s="870" t="s">
        <v>1690</v>
      </c>
      <c r="C1763" s="871" t="s">
        <v>184</v>
      </c>
      <c r="D1763" s="881" t="s">
        <v>177</v>
      </c>
      <c r="E1763" s="882"/>
      <c r="F1763" s="883"/>
      <c r="G1763" s="887">
        <f>IF(E1763&lt;=30,(0.31*E1763+0.77)*F1763,((0.31*30+0.77)+0.31*(E1763-30))*F1763)</f>
        <v>0</v>
      </c>
      <c r="H1763" s="876">
        <v>148.04</v>
      </c>
      <c r="I1763" s="876">
        <f t="shared" si="449"/>
        <v>148.04</v>
      </c>
      <c r="J1763" s="877">
        <f t="shared" si="441"/>
        <v>180.93</v>
      </c>
      <c r="K1763" s="878" t="s">
        <v>10</v>
      </c>
      <c r="L1763" s="1013">
        <f>ROUND(SUM(ORÇAMENTO!L1763),2)</f>
        <v>0</v>
      </c>
      <c r="M1763" s="1013">
        <f t="shared" si="443"/>
        <v>0</v>
      </c>
      <c r="N1763" s="868">
        <f t="shared" si="444"/>
        <v>0</v>
      </c>
      <c r="O1763" s="880"/>
      <c r="Q1763" s="317" t="str">
        <f t="shared" si="445"/>
        <v/>
      </c>
      <c r="R1763" s="317" t="str">
        <f t="shared" si="446"/>
        <v/>
      </c>
      <c r="S1763" s="317" t="str">
        <f t="shared" si="447"/>
        <v/>
      </c>
      <c r="V1763" s="314">
        <f>SUM(ORÇAMENTO!N1763)</f>
        <v>0</v>
      </c>
      <c r="W1763" s="315">
        <f t="shared" si="448"/>
        <v>0</v>
      </c>
    </row>
    <row r="1764" spans="1:23" hidden="1">
      <c r="A1764" s="63">
        <v>606600</v>
      </c>
      <c r="B1764" s="870" t="s">
        <v>1687</v>
      </c>
      <c r="C1764" s="871" t="s">
        <v>184</v>
      </c>
      <c r="D1764" s="881" t="s">
        <v>178</v>
      </c>
      <c r="E1764" s="882"/>
      <c r="F1764" s="883"/>
      <c r="G1764" s="887">
        <f>IF(E1764&lt;=30,(0.31*E1764+0.77)*F1764,((0.31*30+0.77)+0.31*(E1764-30))*F1764)</f>
        <v>0</v>
      </c>
      <c r="H1764" s="876">
        <v>309.52999999999997</v>
      </c>
      <c r="I1764" s="876">
        <f t="shared" si="449"/>
        <v>309.52999999999997</v>
      </c>
      <c r="J1764" s="877">
        <f t="shared" si="441"/>
        <v>378.31</v>
      </c>
      <c r="K1764" s="878" t="s">
        <v>10</v>
      </c>
      <c r="L1764" s="1013">
        <f>ROUND(SUM(ORÇAMENTO!L1764),2)</f>
        <v>0</v>
      </c>
      <c r="M1764" s="1013">
        <f t="shared" si="443"/>
        <v>0</v>
      </c>
      <c r="N1764" s="868">
        <f t="shared" si="444"/>
        <v>0</v>
      </c>
      <c r="O1764" s="880"/>
      <c r="Q1764" s="317" t="str">
        <f t="shared" si="445"/>
        <v/>
      </c>
      <c r="R1764" s="317" t="str">
        <f t="shared" si="446"/>
        <v/>
      </c>
      <c r="S1764" s="317" t="str">
        <f t="shared" si="447"/>
        <v/>
      </c>
      <c r="V1764" s="314">
        <f>SUM(ORÇAMENTO!N1764)</f>
        <v>0</v>
      </c>
      <c r="W1764" s="315">
        <f t="shared" si="448"/>
        <v>0</v>
      </c>
    </row>
    <row r="1765" spans="1:23" hidden="1">
      <c r="A1765" s="63">
        <v>602000</v>
      </c>
      <c r="B1765" s="870" t="s">
        <v>1981</v>
      </c>
      <c r="C1765" s="871" t="s">
        <v>184</v>
      </c>
      <c r="D1765" s="881" t="s">
        <v>1978</v>
      </c>
      <c r="E1765" s="882"/>
      <c r="F1765" s="883"/>
      <c r="G1765" s="887">
        <f>IF(E1765&lt;=30,(0.31*E1765+0.77)*F1765,((0.31*30+0.77)+0.31*(E1765-30))*F1765)</f>
        <v>0</v>
      </c>
      <c r="H1765" s="876">
        <v>62.53</v>
      </c>
      <c r="I1765" s="876">
        <f t="shared" si="449"/>
        <v>62.53</v>
      </c>
      <c r="J1765" s="877">
        <f t="shared" si="441"/>
        <v>76.42</v>
      </c>
      <c r="K1765" s="878" t="s">
        <v>12</v>
      </c>
      <c r="L1765" s="1013">
        <f>ROUND(SUM(ORÇAMENTO!L1765),2)</f>
        <v>0</v>
      </c>
      <c r="M1765" s="1013">
        <f t="shared" si="443"/>
        <v>0</v>
      </c>
      <c r="N1765" s="868">
        <f t="shared" si="444"/>
        <v>0</v>
      </c>
      <c r="O1765" s="880"/>
      <c r="Q1765" s="317" t="str">
        <f t="shared" si="445"/>
        <v/>
      </c>
      <c r="R1765" s="317" t="str">
        <f t="shared" si="446"/>
        <v/>
      </c>
      <c r="S1765" s="317" t="str">
        <f t="shared" si="447"/>
        <v/>
      </c>
      <c r="V1765" s="314">
        <f>SUM(ORÇAMENTO!N1765)</f>
        <v>0</v>
      </c>
      <c r="W1765" s="315">
        <f t="shared" si="448"/>
        <v>0</v>
      </c>
    </row>
    <row r="1766" spans="1:23" hidden="1">
      <c r="A1766" s="63">
        <v>603000</v>
      </c>
      <c r="B1766" s="870" t="s">
        <v>1754</v>
      </c>
      <c r="C1766" s="871" t="s">
        <v>184</v>
      </c>
      <c r="D1766" s="881" t="s">
        <v>261</v>
      </c>
      <c r="E1766" s="882"/>
      <c r="F1766" s="883"/>
      <c r="G1766" s="887">
        <f>IF(E1766&lt;=30,(0.31*E1766+0.77)*F1766,((0.31*30+0.77)+0.31*(E1766-30))*F1766)</f>
        <v>0</v>
      </c>
      <c r="H1766" s="876">
        <v>18.34</v>
      </c>
      <c r="I1766" s="876">
        <f t="shared" si="449"/>
        <v>18.34</v>
      </c>
      <c r="J1766" s="877">
        <f t="shared" si="441"/>
        <v>22.42</v>
      </c>
      <c r="K1766" s="878" t="s">
        <v>16</v>
      </c>
      <c r="L1766" s="1013">
        <f>ROUND(SUM(ORÇAMENTO!L1766),2)</f>
        <v>0</v>
      </c>
      <c r="M1766" s="1013">
        <f t="shared" si="443"/>
        <v>0</v>
      </c>
      <c r="N1766" s="868">
        <f t="shared" si="444"/>
        <v>0</v>
      </c>
      <c r="O1766" s="880"/>
      <c r="Q1766" s="317" t="str">
        <f t="shared" si="445"/>
        <v/>
      </c>
      <c r="R1766" s="317" t="str">
        <f t="shared" si="446"/>
        <v/>
      </c>
      <c r="S1766" s="317" t="str">
        <f t="shared" si="447"/>
        <v/>
      </c>
      <c r="V1766" s="314">
        <f>SUM(ORÇAMENTO!N1766)</f>
        <v>0</v>
      </c>
      <c r="W1766" s="315">
        <f t="shared" si="448"/>
        <v>0</v>
      </c>
    </row>
    <row r="1767" spans="1:23" hidden="1">
      <c r="A1767" s="63">
        <v>603300</v>
      </c>
      <c r="B1767" s="870" t="s">
        <v>1757</v>
      </c>
      <c r="C1767" s="871" t="s">
        <v>184</v>
      </c>
      <c r="D1767" s="881" t="s">
        <v>262</v>
      </c>
      <c r="E1767" s="882"/>
      <c r="F1767" s="883"/>
      <c r="G1767" s="887">
        <f>IF(E1767&lt;=30,(0.31*E1767+0.77)*F1767,((0.31*30+0.77)+0.31*(E1767-30))*F1767)</f>
        <v>0</v>
      </c>
      <c r="H1767" s="876">
        <v>20.91</v>
      </c>
      <c r="I1767" s="876">
        <f t="shared" si="449"/>
        <v>20.91</v>
      </c>
      <c r="J1767" s="877">
        <f t="shared" si="441"/>
        <v>25.56</v>
      </c>
      <c r="K1767" s="878" t="s">
        <v>16</v>
      </c>
      <c r="L1767" s="1013">
        <f>ROUND(SUM(ORÇAMENTO!L1767),2)</f>
        <v>0</v>
      </c>
      <c r="M1767" s="1013">
        <f t="shared" si="443"/>
        <v>0</v>
      </c>
      <c r="N1767" s="868">
        <f t="shared" si="444"/>
        <v>0</v>
      </c>
      <c r="O1767" s="880"/>
      <c r="Q1767" s="317" t="str">
        <f t="shared" si="445"/>
        <v/>
      </c>
      <c r="R1767" s="317" t="str">
        <f t="shared" si="446"/>
        <v/>
      </c>
      <c r="S1767" s="317" t="str">
        <f t="shared" si="447"/>
        <v/>
      </c>
      <c r="V1767" s="314">
        <f>SUM(ORÇAMENTO!N1767)</f>
        <v>0</v>
      </c>
      <c r="W1767" s="315">
        <f t="shared" si="448"/>
        <v>0</v>
      </c>
    </row>
    <row r="1768" spans="1:23" hidden="1">
      <c r="A1768" s="63">
        <v>603600</v>
      </c>
      <c r="B1768" s="870">
        <v>603600</v>
      </c>
      <c r="C1768" s="871" t="s">
        <v>184</v>
      </c>
      <c r="D1768" s="881" t="s">
        <v>326</v>
      </c>
      <c r="E1768" s="882"/>
      <c r="F1768" s="883"/>
      <c r="G1768" s="887">
        <f>SUM(G1769:G1771)</f>
        <v>268.30730000000005</v>
      </c>
      <c r="H1768" s="876">
        <v>291.92</v>
      </c>
      <c r="I1768" s="876">
        <f t="shared" si="449"/>
        <v>560.22730000000001</v>
      </c>
      <c r="J1768" s="877">
        <f t="shared" si="441"/>
        <v>684.71</v>
      </c>
      <c r="K1768" s="878" t="s">
        <v>10</v>
      </c>
      <c r="L1768" s="1013">
        <f>ROUND(SUM(ORÇAMENTO!L1768),2)</f>
        <v>0</v>
      </c>
      <c r="M1768" s="1013">
        <f t="shared" si="443"/>
        <v>0</v>
      </c>
      <c r="N1768" s="868">
        <f t="shared" si="444"/>
        <v>0</v>
      </c>
      <c r="O1768" s="880"/>
      <c r="Q1768" s="317" t="str">
        <f t="shared" si="445"/>
        <v/>
      </c>
      <c r="R1768" s="317" t="str">
        <f t="shared" si="446"/>
        <v/>
      </c>
      <c r="S1768" s="317" t="str">
        <f t="shared" si="447"/>
        <v/>
      </c>
      <c r="V1768" s="314">
        <f>SUM(ORÇAMENTO!N1768)</f>
        <v>0</v>
      </c>
      <c r="W1768" s="315">
        <f t="shared" si="448"/>
        <v>0</v>
      </c>
    </row>
    <row r="1769" spans="1:23" hidden="1">
      <c r="A1769" s="63" t="s">
        <v>147</v>
      </c>
      <c r="B1769" s="870" t="s">
        <v>147</v>
      </c>
      <c r="C1769" s="871"/>
      <c r="D1769" s="881" t="s">
        <v>190</v>
      </c>
      <c r="E1769" s="882">
        <f>DMT!$D$20</f>
        <v>445</v>
      </c>
      <c r="F1769" s="883">
        <v>0.1</v>
      </c>
      <c r="G1769" s="884">
        <f>IF(E1769&lt;=30,(0.78*E1769+7.82)*F1769,((0.78*30+7.82)+0.78*(E1769-30))*F1769)</f>
        <v>35.492000000000004</v>
      </c>
      <c r="H1769" s="876"/>
      <c r="I1769" s="876"/>
      <c r="J1769" s="877">
        <f t="shared" si="441"/>
        <v>0</v>
      </c>
      <c r="K1769" s="878"/>
      <c r="L1769" s="1013">
        <f>ROUND(SUM(ORÇAMENTO!L1769),2)</f>
        <v>0</v>
      </c>
      <c r="M1769" s="1013">
        <f t="shared" si="443"/>
        <v>0</v>
      </c>
      <c r="N1769" s="868">
        <f t="shared" si="444"/>
        <v>0</v>
      </c>
      <c r="O1769" s="880"/>
      <c r="P1769" s="36" t="str">
        <f>IF(N1768&gt;0,"xx",IF(N1768&gt;0,"xy",""))</f>
        <v/>
      </c>
      <c r="Q1769" s="317" t="str">
        <f t="shared" si="445"/>
        <v/>
      </c>
      <c r="R1769" s="317" t="str">
        <f t="shared" si="446"/>
        <v/>
      </c>
      <c r="S1769" s="317" t="str">
        <f t="shared" si="447"/>
        <v/>
      </c>
      <c r="V1769" s="314">
        <f>SUM(ORÇAMENTO!N1769)</f>
        <v>0</v>
      </c>
      <c r="W1769" s="315">
        <f t="shared" si="448"/>
        <v>0</v>
      </c>
    </row>
    <row r="1770" spans="1:23" hidden="1">
      <c r="A1770" s="63" t="s">
        <v>147</v>
      </c>
      <c r="B1770" s="870" t="s">
        <v>147</v>
      </c>
      <c r="C1770" s="871"/>
      <c r="D1770" s="881" t="s">
        <v>229</v>
      </c>
      <c r="E1770" s="882">
        <f>DMT!$F$8</f>
        <v>290</v>
      </c>
      <c r="F1770" s="883">
        <v>0.51</v>
      </c>
      <c r="G1770" s="923">
        <f t="shared" ref="G1770:G1775" si="450">IF(E1770&lt;=30,(1.07*E1770+2.68)*F1770,((1.07*30+2.68)+1.07*(E1770-30))*F1770)</f>
        <v>159.6198</v>
      </c>
      <c r="H1770" s="876"/>
      <c r="I1770" s="876"/>
      <c r="J1770" s="877">
        <f t="shared" si="441"/>
        <v>0</v>
      </c>
      <c r="K1770" s="878"/>
      <c r="L1770" s="1013">
        <f>ROUND(SUM(ORÇAMENTO!L1770),2)</f>
        <v>0</v>
      </c>
      <c r="M1770" s="1013">
        <f t="shared" si="443"/>
        <v>0</v>
      </c>
      <c r="N1770" s="868">
        <f t="shared" si="444"/>
        <v>0</v>
      </c>
      <c r="O1770" s="880"/>
      <c r="P1770" s="36" t="str">
        <f>IF(N1768&gt;0,"xx",IF(N1768&gt;0,"xy",""))</f>
        <v/>
      </c>
      <c r="Q1770" s="317" t="str">
        <f t="shared" si="445"/>
        <v/>
      </c>
      <c r="R1770" s="317" t="str">
        <f t="shared" si="446"/>
        <v/>
      </c>
      <c r="S1770" s="317" t="str">
        <f t="shared" si="447"/>
        <v/>
      </c>
      <c r="V1770" s="314">
        <f>SUM(ORÇAMENTO!N1770)</f>
        <v>0</v>
      </c>
      <c r="W1770" s="315">
        <f t="shared" si="448"/>
        <v>0</v>
      </c>
    </row>
    <row r="1771" spans="1:23" hidden="1">
      <c r="A1771" s="63" t="s">
        <v>147</v>
      </c>
      <c r="B1771" s="870" t="s">
        <v>147</v>
      </c>
      <c r="C1771" s="871"/>
      <c r="D1771" s="881" t="s">
        <v>233</v>
      </c>
      <c r="E1771" s="882">
        <f>DMT!$F$14</f>
        <v>43.1</v>
      </c>
      <c r="F1771" s="883">
        <v>1.5</v>
      </c>
      <c r="G1771" s="923">
        <f t="shared" si="450"/>
        <v>73.19550000000001</v>
      </c>
      <c r="H1771" s="876"/>
      <c r="I1771" s="876"/>
      <c r="J1771" s="877">
        <f t="shared" si="441"/>
        <v>0</v>
      </c>
      <c r="K1771" s="878"/>
      <c r="L1771" s="1013">
        <f>ROUND(SUM(ORÇAMENTO!L1771),2)</f>
        <v>0</v>
      </c>
      <c r="M1771" s="1013">
        <f t="shared" si="443"/>
        <v>0</v>
      </c>
      <c r="N1771" s="868">
        <f t="shared" si="444"/>
        <v>0</v>
      </c>
      <c r="O1771" s="880"/>
      <c r="P1771" s="36" t="str">
        <f>IF(N1768&gt;0,"xx",IF(N1768&gt;0,"xy",""))</f>
        <v/>
      </c>
      <c r="Q1771" s="317" t="str">
        <f t="shared" si="445"/>
        <v/>
      </c>
      <c r="R1771" s="317" t="str">
        <f t="shared" si="446"/>
        <v/>
      </c>
      <c r="S1771" s="317" t="str">
        <f t="shared" si="447"/>
        <v/>
      </c>
      <c r="V1771" s="314">
        <f>SUM(ORÇAMENTO!N1771)</f>
        <v>0</v>
      </c>
      <c r="W1771" s="315">
        <f t="shared" si="448"/>
        <v>0</v>
      </c>
    </row>
    <row r="1772" spans="1:23" hidden="1">
      <c r="A1772" s="63">
        <v>603700</v>
      </c>
      <c r="B1772" s="870" t="s">
        <v>1785</v>
      </c>
      <c r="C1772" s="871" t="s">
        <v>184</v>
      </c>
      <c r="D1772" s="881" t="s">
        <v>327</v>
      </c>
      <c r="E1772" s="882">
        <f>DMT!$F$14</f>
        <v>43.1</v>
      </c>
      <c r="F1772" s="883">
        <v>1.8</v>
      </c>
      <c r="G1772" s="923">
        <f t="shared" si="450"/>
        <v>87.834600000000009</v>
      </c>
      <c r="H1772" s="876">
        <v>213.87</v>
      </c>
      <c r="I1772" s="876">
        <f>IF(ISBLANK(H1772),"",SUM(G1772:H1772))</f>
        <v>301.70460000000003</v>
      </c>
      <c r="J1772" s="877">
        <f t="shared" si="441"/>
        <v>368.74</v>
      </c>
      <c r="K1772" s="878" t="s">
        <v>10</v>
      </c>
      <c r="L1772" s="1013">
        <f>ROUND(SUM(ORÇAMENTO!L1772),2)</f>
        <v>0</v>
      </c>
      <c r="M1772" s="1013">
        <f t="shared" si="443"/>
        <v>0</v>
      </c>
      <c r="N1772" s="868">
        <f t="shared" si="444"/>
        <v>0</v>
      </c>
      <c r="O1772" s="880"/>
      <c r="Q1772" s="317" t="str">
        <f t="shared" si="445"/>
        <v/>
      </c>
      <c r="R1772" s="317" t="str">
        <f t="shared" si="446"/>
        <v/>
      </c>
      <c r="S1772" s="317" t="str">
        <f t="shared" si="447"/>
        <v/>
      </c>
      <c r="V1772" s="314">
        <f>SUM(ORÇAMENTO!N1772)</f>
        <v>0</v>
      </c>
      <c r="W1772" s="315">
        <f t="shared" si="448"/>
        <v>0</v>
      </c>
    </row>
    <row r="1773" spans="1:23" hidden="1">
      <c r="A1773" s="63">
        <v>603800</v>
      </c>
      <c r="B1773" s="870" t="s">
        <v>1786</v>
      </c>
      <c r="C1773" s="871" t="s">
        <v>184</v>
      </c>
      <c r="D1773" s="881" t="s">
        <v>328</v>
      </c>
      <c r="E1773" s="882">
        <f>DMT!$F$14</f>
        <v>43.1</v>
      </c>
      <c r="F1773" s="883">
        <v>1.5</v>
      </c>
      <c r="G1773" s="923">
        <f t="shared" si="450"/>
        <v>73.19550000000001</v>
      </c>
      <c r="H1773" s="876">
        <v>126.05</v>
      </c>
      <c r="I1773" s="876">
        <f>IF(ISBLANK(H1773),"",SUM(G1773:H1773))</f>
        <v>199.24549999999999</v>
      </c>
      <c r="J1773" s="877">
        <f t="shared" si="441"/>
        <v>243.52</v>
      </c>
      <c r="K1773" s="878" t="s">
        <v>10</v>
      </c>
      <c r="L1773" s="1013">
        <f>ROUND(SUM(ORÇAMENTO!L1773),2)</f>
        <v>0</v>
      </c>
      <c r="M1773" s="1013">
        <f t="shared" si="443"/>
        <v>0</v>
      </c>
      <c r="N1773" s="868">
        <f t="shared" si="444"/>
        <v>0</v>
      </c>
      <c r="O1773" s="880"/>
      <c r="Q1773" s="317" t="str">
        <f t="shared" si="445"/>
        <v/>
      </c>
      <c r="R1773" s="317" t="str">
        <f t="shared" si="446"/>
        <v/>
      </c>
      <c r="S1773" s="317" t="str">
        <f t="shared" si="447"/>
        <v/>
      </c>
      <c r="V1773" s="314">
        <f>SUM(ORÇAMENTO!N1773)</f>
        <v>0</v>
      </c>
      <c r="W1773" s="315">
        <f t="shared" si="448"/>
        <v>0</v>
      </c>
    </row>
    <row r="1774" spans="1:23" hidden="1">
      <c r="A1774" s="63">
        <v>532500</v>
      </c>
      <c r="B1774" s="870" t="s">
        <v>1723</v>
      </c>
      <c r="C1774" s="871" t="s">
        <v>184</v>
      </c>
      <c r="D1774" s="931" t="s">
        <v>329</v>
      </c>
      <c r="E1774" s="882">
        <f>DMT!$F$8</f>
        <v>290</v>
      </c>
      <c r="F1774" s="883">
        <v>1.7250000000000001</v>
      </c>
      <c r="G1774" s="923">
        <f t="shared" si="450"/>
        <v>539.89050000000009</v>
      </c>
      <c r="H1774" s="876">
        <v>102.38</v>
      </c>
      <c r="I1774" s="876">
        <f>IF(ISBLANK(H1774),"",SUM(G1774:H1774))</f>
        <v>642.27050000000008</v>
      </c>
      <c r="J1774" s="877">
        <f t="shared" si="441"/>
        <v>784.98</v>
      </c>
      <c r="K1774" s="878" t="s">
        <v>10</v>
      </c>
      <c r="L1774" s="1013">
        <f>ROUND(SUM(ORÇAMENTO!L1774),2)</f>
        <v>0</v>
      </c>
      <c r="M1774" s="1013">
        <f t="shared" si="443"/>
        <v>0</v>
      </c>
      <c r="N1774" s="868">
        <f t="shared" si="444"/>
        <v>0</v>
      </c>
      <c r="O1774" s="880"/>
      <c r="Q1774" s="317" t="str">
        <f t="shared" si="445"/>
        <v/>
      </c>
      <c r="R1774" s="317" t="str">
        <f t="shared" si="446"/>
        <v/>
      </c>
      <c r="S1774" s="317" t="str">
        <f t="shared" si="447"/>
        <v/>
      </c>
      <c r="V1774" s="314">
        <f>SUM(ORÇAMENTO!N1774)</f>
        <v>0</v>
      </c>
      <c r="W1774" s="315">
        <f t="shared" si="448"/>
        <v>0</v>
      </c>
    </row>
    <row r="1775" spans="1:23" hidden="1">
      <c r="A1775" s="63">
        <v>603900</v>
      </c>
      <c r="B1775" s="870" t="s">
        <v>1758</v>
      </c>
      <c r="C1775" s="871" t="s">
        <v>184</v>
      </c>
      <c r="D1775" s="881" t="s">
        <v>330</v>
      </c>
      <c r="E1775" s="882">
        <f>DMT!$F$10</f>
        <v>43.1</v>
      </c>
      <c r="F1775" s="883">
        <v>1.5</v>
      </c>
      <c r="G1775" s="923">
        <f t="shared" si="450"/>
        <v>73.19550000000001</v>
      </c>
      <c r="H1775" s="876">
        <v>131.84</v>
      </c>
      <c r="I1775" s="876">
        <f>IF(ISBLANK(H1775),"",SUM(G1775:H1775))</f>
        <v>205.03550000000001</v>
      </c>
      <c r="J1775" s="877">
        <f t="shared" si="441"/>
        <v>250.59</v>
      </c>
      <c r="K1775" s="878" t="s">
        <v>10</v>
      </c>
      <c r="L1775" s="1013">
        <f>ROUND(SUM(ORÇAMENTO!L1775),2)</f>
        <v>0</v>
      </c>
      <c r="M1775" s="1013">
        <f t="shared" si="443"/>
        <v>0</v>
      </c>
      <c r="N1775" s="868">
        <f t="shared" si="444"/>
        <v>0</v>
      </c>
      <c r="O1775" s="880"/>
      <c r="Q1775" s="317" t="str">
        <f t="shared" si="445"/>
        <v/>
      </c>
      <c r="R1775" s="317" t="str">
        <f t="shared" si="446"/>
        <v/>
      </c>
      <c r="S1775" s="317" t="str">
        <f t="shared" si="447"/>
        <v/>
      </c>
      <c r="V1775" s="314">
        <f>SUM(ORÇAMENTO!N1775)</f>
        <v>0</v>
      </c>
      <c r="W1775" s="315">
        <f t="shared" si="448"/>
        <v>0</v>
      </c>
    </row>
    <row r="1776" spans="1:23" hidden="1">
      <c r="A1776" s="63">
        <v>605000</v>
      </c>
      <c r="B1776" s="870" t="s">
        <v>1767</v>
      </c>
      <c r="C1776" s="871" t="s">
        <v>184</v>
      </c>
      <c r="D1776" s="881" t="s">
        <v>259</v>
      </c>
      <c r="E1776" s="882"/>
      <c r="F1776" s="883"/>
      <c r="G1776" s="887">
        <f>SUM(G1777:G1779)</f>
        <v>449.80907000000002</v>
      </c>
      <c r="H1776" s="876">
        <v>425.25</v>
      </c>
      <c r="I1776" s="876">
        <f>IF(ISBLANK(H1776),"",SUM(G1776:H1776))</f>
        <v>875.05907000000002</v>
      </c>
      <c r="J1776" s="877">
        <f t="shared" si="441"/>
        <v>1069.5</v>
      </c>
      <c r="K1776" s="878" t="s">
        <v>10</v>
      </c>
      <c r="L1776" s="1013">
        <f>ROUND(SUM(ORÇAMENTO!L1776),2)</f>
        <v>0</v>
      </c>
      <c r="M1776" s="1013">
        <f t="shared" si="443"/>
        <v>0</v>
      </c>
      <c r="N1776" s="868">
        <f t="shared" si="444"/>
        <v>0</v>
      </c>
      <c r="O1776" s="880"/>
      <c r="Q1776" s="317" t="str">
        <f t="shared" si="445"/>
        <v/>
      </c>
      <c r="R1776" s="317" t="str">
        <f t="shared" si="446"/>
        <v/>
      </c>
      <c r="S1776" s="317" t="str">
        <f t="shared" si="447"/>
        <v/>
      </c>
      <c r="V1776" s="314">
        <f>SUM(ORÇAMENTO!N1776)</f>
        <v>0</v>
      </c>
      <c r="W1776" s="315">
        <f t="shared" si="448"/>
        <v>0</v>
      </c>
    </row>
    <row r="1777" spans="1:23" hidden="1">
      <c r="A1777" s="63" t="s">
        <v>147</v>
      </c>
      <c r="B1777" s="870" t="s">
        <v>147</v>
      </c>
      <c r="C1777" s="871"/>
      <c r="D1777" s="931" t="s">
        <v>190</v>
      </c>
      <c r="E1777" s="882">
        <f>DMT!$D$20</f>
        <v>445</v>
      </c>
      <c r="F1777" s="883">
        <v>0.18</v>
      </c>
      <c r="G1777" s="884">
        <f>IF(E1777&lt;=30,(0.78*E1777+7.82)*F1777,((0.78*30+7.82)+0.78*(E1777-30))*F1777)</f>
        <v>63.885600000000004</v>
      </c>
      <c r="H1777" s="876">
        <v>0</v>
      </c>
      <c r="I1777" s="876"/>
      <c r="J1777" s="877">
        <f t="shared" si="441"/>
        <v>0</v>
      </c>
      <c r="K1777" s="932" t="s">
        <v>506</v>
      </c>
      <c r="L1777" s="1014">
        <f>ROUND(SUM(ORÇAMENTO!L1777),2)</f>
        <v>0</v>
      </c>
      <c r="M1777" s="1015">
        <f t="shared" si="443"/>
        <v>0</v>
      </c>
      <c r="N1777" s="868">
        <f t="shared" si="444"/>
        <v>0</v>
      </c>
      <c r="O1777" s="880"/>
      <c r="P1777" s="58" t="str">
        <f>IF(N1776&gt;0,"xx",IF(N1776&gt;0,"xy",""))</f>
        <v/>
      </c>
      <c r="Q1777" s="317" t="str">
        <f t="shared" si="445"/>
        <v/>
      </c>
      <c r="R1777" s="317" t="str">
        <f t="shared" si="446"/>
        <v/>
      </c>
      <c r="S1777" s="317" t="str">
        <f t="shared" si="447"/>
        <v/>
      </c>
      <c r="V1777" s="314">
        <f>SUM(ORÇAMENTO!N1777)</f>
        <v>0</v>
      </c>
      <c r="W1777" s="315">
        <f t="shared" si="448"/>
        <v>0</v>
      </c>
    </row>
    <row r="1778" spans="1:23" hidden="1">
      <c r="A1778" s="63" t="s">
        <v>147</v>
      </c>
      <c r="B1778" s="870" t="s">
        <v>147</v>
      </c>
      <c r="C1778" s="871"/>
      <c r="D1778" s="931" t="s">
        <v>229</v>
      </c>
      <c r="E1778" s="882">
        <f>DMT!$F$8</f>
        <v>290</v>
      </c>
      <c r="F1778" s="883">
        <v>1.06</v>
      </c>
      <c r="G1778" s="923">
        <f t="shared" ref="G1778:G1779" si="451">IF(E1778&lt;=30,(1.07*E1778+2.68)*F1778,((1.07*30+2.68)+1.07*(E1778-30))*F1778)</f>
        <v>331.75880000000001</v>
      </c>
      <c r="H1778" s="876">
        <v>0</v>
      </c>
      <c r="I1778" s="876"/>
      <c r="J1778" s="877">
        <f t="shared" si="441"/>
        <v>0</v>
      </c>
      <c r="K1778" s="932" t="s">
        <v>506</v>
      </c>
      <c r="L1778" s="1014">
        <f>ROUND(SUM(ORÇAMENTO!L1778),2)</f>
        <v>0</v>
      </c>
      <c r="M1778" s="1015">
        <f t="shared" si="443"/>
        <v>0</v>
      </c>
      <c r="N1778" s="868">
        <f t="shared" si="444"/>
        <v>0</v>
      </c>
      <c r="O1778" s="880"/>
      <c r="P1778" s="58" t="str">
        <f>IF(N1776&gt;0,"xx",IF(N1776&gt;0,"xy",""))</f>
        <v/>
      </c>
      <c r="Q1778" s="317" t="str">
        <f t="shared" si="445"/>
        <v/>
      </c>
      <c r="R1778" s="317" t="str">
        <f t="shared" si="446"/>
        <v/>
      </c>
      <c r="S1778" s="317" t="str">
        <f t="shared" si="447"/>
        <v/>
      </c>
      <c r="V1778" s="314">
        <f>SUM(ORÇAMENTO!N1778)</f>
        <v>0</v>
      </c>
      <c r="W1778" s="315">
        <f t="shared" si="448"/>
        <v>0</v>
      </c>
    </row>
    <row r="1779" spans="1:23" hidden="1">
      <c r="A1779" s="63" t="s">
        <v>147</v>
      </c>
      <c r="B1779" s="870" t="s">
        <v>147</v>
      </c>
      <c r="C1779" s="871"/>
      <c r="D1779" s="931" t="s">
        <v>233</v>
      </c>
      <c r="E1779" s="882">
        <f>DMT!$F$10</f>
        <v>43.1</v>
      </c>
      <c r="F1779" s="883">
        <v>1.1100000000000001</v>
      </c>
      <c r="G1779" s="923">
        <f t="shared" si="451"/>
        <v>54.164670000000008</v>
      </c>
      <c r="H1779" s="876">
        <v>0</v>
      </c>
      <c r="I1779" s="876"/>
      <c r="J1779" s="877">
        <f t="shared" si="441"/>
        <v>0</v>
      </c>
      <c r="K1779" s="932" t="s">
        <v>506</v>
      </c>
      <c r="L1779" s="1014">
        <f>ROUND(SUM(ORÇAMENTO!L1779),2)</f>
        <v>0</v>
      </c>
      <c r="M1779" s="1015">
        <f t="shared" si="443"/>
        <v>0</v>
      </c>
      <c r="N1779" s="868">
        <f t="shared" si="444"/>
        <v>0</v>
      </c>
      <c r="O1779" s="880"/>
      <c r="P1779" s="58" t="str">
        <f>IF(N1776&gt;0,"xx",IF(N1776&gt;0,"xy",""))</f>
        <v/>
      </c>
      <c r="Q1779" s="317" t="str">
        <f t="shared" si="445"/>
        <v/>
      </c>
      <c r="R1779" s="317" t="str">
        <f t="shared" si="446"/>
        <v/>
      </c>
      <c r="S1779" s="317" t="str">
        <f t="shared" si="447"/>
        <v/>
      </c>
      <c r="V1779" s="314">
        <f>SUM(ORÇAMENTO!N1779)</f>
        <v>0</v>
      </c>
      <c r="W1779" s="315">
        <f t="shared" si="448"/>
        <v>0</v>
      </c>
    </row>
    <row r="1780" spans="1:23" hidden="1">
      <c r="A1780" s="63">
        <v>603500</v>
      </c>
      <c r="B1780" s="870">
        <v>603500</v>
      </c>
      <c r="C1780" s="871" t="s">
        <v>184</v>
      </c>
      <c r="D1780" s="881" t="s">
        <v>331</v>
      </c>
      <c r="E1780" s="882"/>
      <c r="F1780" s="883"/>
      <c r="G1780" s="887">
        <f>IF(E1780&lt;=30,(0.31*E1780+0.77)*F1780,((0.31*30+0.77)+0.31*(E1780-30))*F1780)</f>
        <v>0</v>
      </c>
      <c r="H1780" s="876">
        <v>1378.26</v>
      </c>
      <c r="I1780" s="876">
        <f>IF(ISBLANK(H1780),"",SUM(G1780:H1780))</f>
        <v>1378.26</v>
      </c>
      <c r="J1780" s="877">
        <f t="shared" si="441"/>
        <v>1684.51</v>
      </c>
      <c r="K1780" s="878" t="s">
        <v>10</v>
      </c>
      <c r="L1780" s="1013">
        <f>ROUND(SUM(ORÇAMENTO!L1780),2)</f>
        <v>0</v>
      </c>
      <c r="M1780" s="1013">
        <f t="shared" si="443"/>
        <v>0</v>
      </c>
      <c r="N1780" s="868">
        <f t="shared" si="444"/>
        <v>0</v>
      </c>
      <c r="O1780" s="880"/>
      <c r="Q1780" s="317" t="str">
        <f t="shared" si="445"/>
        <v/>
      </c>
      <c r="R1780" s="317" t="str">
        <f t="shared" si="446"/>
        <v/>
      </c>
      <c r="S1780" s="317" t="str">
        <f t="shared" si="447"/>
        <v/>
      </c>
      <c r="V1780" s="314">
        <f>SUM(ORÇAMENTO!N1780)</f>
        <v>0</v>
      </c>
      <c r="W1780" s="315">
        <f t="shared" si="448"/>
        <v>0</v>
      </c>
    </row>
    <row r="1781" spans="1:23" hidden="1">
      <c r="A1781" s="63">
        <v>603500</v>
      </c>
      <c r="B1781" s="870" t="s">
        <v>1882</v>
      </c>
      <c r="C1781" s="871" t="s">
        <v>184</v>
      </c>
      <c r="D1781" s="881" t="s">
        <v>332</v>
      </c>
      <c r="E1781" s="882"/>
      <c r="F1781" s="883"/>
      <c r="G1781" s="887">
        <f>IF(E1781&lt;=30,(0.31*E1781+0.77)*F1781,((0.31*30+0.77)+0.31*(E1781-30))*F1781)</f>
        <v>0</v>
      </c>
      <c r="H1781" s="876">
        <v>1378.26</v>
      </c>
      <c r="I1781" s="876">
        <f>IF(ISBLANK(H1781),"",SUM(G1781:H1781))*0.86</f>
        <v>1185.3036</v>
      </c>
      <c r="J1781" s="877">
        <f t="shared" si="441"/>
        <v>1448.68</v>
      </c>
      <c r="K1781" s="878" t="s">
        <v>10</v>
      </c>
      <c r="L1781" s="1013">
        <f>ROUND(SUM(ORÇAMENTO!L1781),2)</f>
        <v>0</v>
      </c>
      <c r="M1781" s="1013">
        <f t="shared" si="443"/>
        <v>0</v>
      </c>
      <c r="N1781" s="868">
        <f t="shared" si="444"/>
        <v>0</v>
      </c>
      <c r="O1781" s="880"/>
      <c r="Q1781" s="317" t="str">
        <f t="shared" si="445"/>
        <v/>
      </c>
      <c r="R1781" s="317" t="str">
        <f t="shared" si="446"/>
        <v/>
      </c>
      <c r="S1781" s="317" t="str">
        <f t="shared" si="447"/>
        <v/>
      </c>
      <c r="V1781" s="314">
        <f>SUM(ORÇAMENTO!N1781)</f>
        <v>0</v>
      </c>
      <c r="W1781" s="315">
        <f t="shared" si="448"/>
        <v>0</v>
      </c>
    </row>
    <row r="1782" spans="1:23" hidden="1">
      <c r="A1782" s="63">
        <v>604000</v>
      </c>
      <c r="B1782" s="870">
        <v>604000</v>
      </c>
      <c r="C1782" s="871" t="s">
        <v>184</v>
      </c>
      <c r="D1782" s="881" t="s">
        <v>333</v>
      </c>
      <c r="E1782" s="882"/>
      <c r="F1782" s="883"/>
      <c r="G1782" s="887">
        <f>SUM(G1783:G1784)</f>
        <v>646.97878000000003</v>
      </c>
      <c r="H1782" s="876">
        <v>523.20000000000005</v>
      </c>
      <c r="I1782" s="876">
        <f>IF(ISBLANK(H1782),"",SUM(G1782:H1782))</f>
        <v>1170.1787800000002</v>
      </c>
      <c r="J1782" s="877">
        <f t="shared" si="441"/>
        <v>1430.19</v>
      </c>
      <c r="K1782" s="878" t="s">
        <v>10</v>
      </c>
      <c r="L1782" s="1013">
        <f>ROUND(SUM(ORÇAMENTO!L1782),2)</f>
        <v>0</v>
      </c>
      <c r="M1782" s="1013">
        <f t="shared" si="443"/>
        <v>0</v>
      </c>
      <c r="N1782" s="868">
        <f t="shared" si="444"/>
        <v>0</v>
      </c>
      <c r="O1782" s="880"/>
      <c r="Q1782" s="317" t="str">
        <f t="shared" si="445"/>
        <v/>
      </c>
      <c r="R1782" s="317" t="str">
        <f t="shared" si="446"/>
        <v/>
      </c>
      <c r="S1782" s="317" t="str">
        <f t="shared" si="447"/>
        <v/>
      </c>
      <c r="V1782" s="314">
        <f>SUM(ORÇAMENTO!N1782)</f>
        <v>0</v>
      </c>
      <c r="W1782" s="315">
        <f t="shared" si="448"/>
        <v>0</v>
      </c>
    </row>
    <row r="1783" spans="1:23" hidden="1">
      <c r="A1783" s="63" t="s">
        <v>147</v>
      </c>
      <c r="B1783" s="870" t="s">
        <v>147</v>
      </c>
      <c r="C1783" s="871"/>
      <c r="D1783" s="881" t="s">
        <v>190</v>
      </c>
      <c r="E1783" s="882">
        <f>DMT!$D$20</f>
        <v>445</v>
      </c>
      <c r="F1783" s="883">
        <v>0.434</v>
      </c>
      <c r="G1783" s="884">
        <f>IF(E1783&lt;=30,(0.78*E1783+7.82)*F1783,((0.78*30+7.82)+0.78*(E1783-30))*F1783)</f>
        <v>154.03528</v>
      </c>
      <c r="H1783" s="876"/>
      <c r="I1783" s="876"/>
      <c r="J1783" s="877">
        <f t="shared" si="441"/>
        <v>0</v>
      </c>
      <c r="K1783" s="878"/>
      <c r="L1783" s="1013">
        <f>ROUND(SUM(ORÇAMENTO!L1783),2)</f>
        <v>0</v>
      </c>
      <c r="M1783" s="1013">
        <f t="shared" si="443"/>
        <v>0</v>
      </c>
      <c r="N1783" s="868">
        <f t="shared" si="444"/>
        <v>0</v>
      </c>
      <c r="O1783" s="880"/>
      <c r="P1783" s="36" t="str">
        <f>IF(N1782&gt;0,"xx",IF(N1782&gt;0,"xy",""))</f>
        <v/>
      </c>
      <c r="Q1783" s="317" t="str">
        <f t="shared" si="445"/>
        <v/>
      </c>
      <c r="R1783" s="317" t="str">
        <f t="shared" si="446"/>
        <v/>
      </c>
      <c r="S1783" s="317" t="str">
        <f t="shared" si="447"/>
        <v/>
      </c>
      <c r="V1783" s="314">
        <f>SUM(ORÇAMENTO!N1783)</f>
        <v>0</v>
      </c>
      <c r="W1783" s="315">
        <f t="shared" si="448"/>
        <v>0</v>
      </c>
    </row>
    <row r="1784" spans="1:23" hidden="1">
      <c r="A1784" s="63" t="s">
        <v>147</v>
      </c>
      <c r="B1784" s="870" t="s">
        <v>147</v>
      </c>
      <c r="C1784" s="871"/>
      <c r="D1784" s="881" t="s">
        <v>229</v>
      </c>
      <c r="E1784" s="882">
        <f>DMT!$F$8</f>
        <v>290</v>
      </c>
      <c r="F1784" s="883">
        <v>1.575</v>
      </c>
      <c r="G1784" s="923">
        <f t="shared" ref="G1784" si="452">IF(E1784&lt;=30,(1.07*E1784+2.68)*F1784,((1.07*30+2.68)+1.07*(E1784-30))*F1784)</f>
        <v>492.94350000000003</v>
      </c>
      <c r="H1784" s="876"/>
      <c r="I1784" s="876"/>
      <c r="J1784" s="877">
        <f t="shared" si="441"/>
        <v>0</v>
      </c>
      <c r="K1784" s="878"/>
      <c r="L1784" s="1013">
        <f>ROUND(SUM(ORÇAMENTO!L1784),2)</f>
        <v>0</v>
      </c>
      <c r="M1784" s="1013">
        <f t="shared" si="443"/>
        <v>0</v>
      </c>
      <c r="N1784" s="868">
        <f t="shared" si="444"/>
        <v>0</v>
      </c>
      <c r="O1784" s="880"/>
      <c r="P1784" s="36" t="str">
        <f>IF(N1782&gt;0,"xx",IF(N1782&gt;0,"xy",""))</f>
        <v/>
      </c>
      <c r="Q1784" s="317" t="str">
        <f t="shared" si="445"/>
        <v/>
      </c>
      <c r="R1784" s="317" t="str">
        <f t="shared" si="446"/>
        <v/>
      </c>
      <c r="S1784" s="317" t="str">
        <f t="shared" si="447"/>
        <v/>
      </c>
      <c r="V1784" s="314">
        <f>SUM(ORÇAMENTO!N1784)</f>
        <v>0</v>
      </c>
      <c r="W1784" s="315">
        <f t="shared" si="448"/>
        <v>0</v>
      </c>
    </row>
    <row r="1785" spans="1:23" hidden="1">
      <c r="A1785" s="63">
        <v>604100</v>
      </c>
      <c r="B1785" s="870">
        <v>604100</v>
      </c>
      <c r="C1785" s="871" t="s">
        <v>184</v>
      </c>
      <c r="D1785" s="881" t="s">
        <v>334</v>
      </c>
      <c r="E1785" s="882"/>
      <c r="F1785" s="883"/>
      <c r="G1785" s="887">
        <f>SUM(G1786:G1787)</f>
        <v>676.64740000000006</v>
      </c>
      <c r="H1785" s="876">
        <v>466.54</v>
      </c>
      <c r="I1785" s="876">
        <f>IF(ISBLANK(H1785),"",SUM(G1785:H1785))</f>
        <v>1143.1874</v>
      </c>
      <c r="J1785" s="877">
        <f t="shared" si="441"/>
        <v>1397.2</v>
      </c>
      <c r="K1785" s="878" t="s">
        <v>10</v>
      </c>
      <c r="L1785" s="1013">
        <f>ROUND(SUM(ORÇAMENTO!L1785),2)</f>
        <v>0</v>
      </c>
      <c r="M1785" s="1013">
        <f t="shared" si="443"/>
        <v>0</v>
      </c>
      <c r="N1785" s="868">
        <f t="shared" si="444"/>
        <v>0</v>
      </c>
      <c r="O1785" s="880"/>
      <c r="Q1785" s="317" t="str">
        <f t="shared" si="445"/>
        <v/>
      </c>
      <c r="R1785" s="317" t="str">
        <f t="shared" si="446"/>
        <v/>
      </c>
      <c r="S1785" s="317" t="str">
        <f t="shared" si="447"/>
        <v/>
      </c>
      <c r="V1785" s="314">
        <f>SUM(ORÇAMENTO!N1785)</f>
        <v>0</v>
      </c>
      <c r="W1785" s="315">
        <f t="shared" si="448"/>
        <v>0</v>
      </c>
    </row>
    <row r="1786" spans="1:23" hidden="1">
      <c r="A1786" s="63" t="s">
        <v>147</v>
      </c>
      <c r="B1786" s="870" t="s">
        <v>147</v>
      </c>
      <c r="C1786" s="871"/>
      <c r="D1786" s="881" t="s">
        <v>190</v>
      </c>
      <c r="E1786" s="882">
        <f>DMT!$D$20</f>
        <v>445</v>
      </c>
      <c r="F1786" s="883">
        <v>0.42499999999999999</v>
      </c>
      <c r="G1786" s="884">
        <f>IF(E1786&lt;=30,(0.78*E1786+7.82)*F1786,((0.78*30+7.82)+0.78*(E1786-30))*F1786)</f>
        <v>150.84100000000001</v>
      </c>
      <c r="H1786" s="876"/>
      <c r="I1786" s="876"/>
      <c r="J1786" s="877">
        <f t="shared" ref="J1786:J1849" si="453">IF(ISBLANK(H1786),0,ROUND(I1786*(1+$E$10),2))</f>
        <v>0</v>
      </c>
      <c r="K1786" s="878"/>
      <c r="L1786" s="1013">
        <f>ROUND(SUM(ORÇAMENTO!L1786),2)</f>
        <v>0</v>
      </c>
      <c r="M1786" s="1013">
        <f t="shared" si="443"/>
        <v>0</v>
      </c>
      <c r="N1786" s="868">
        <f t="shared" si="444"/>
        <v>0</v>
      </c>
      <c r="O1786" s="880"/>
      <c r="P1786" s="36" t="str">
        <f>IF(N1785&gt;0,"xx",IF(N1785&gt;0,"xy",""))</f>
        <v/>
      </c>
      <c r="Q1786" s="317" t="str">
        <f t="shared" si="445"/>
        <v/>
      </c>
      <c r="R1786" s="317" t="str">
        <f t="shared" si="446"/>
        <v/>
      </c>
      <c r="S1786" s="317" t="str">
        <f t="shared" si="447"/>
        <v/>
      </c>
      <c r="V1786" s="314">
        <f>SUM(ORÇAMENTO!N1786)</f>
        <v>0</v>
      </c>
      <c r="W1786" s="315">
        <f t="shared" si="448"/>
        <v>0</v>
      </c>
    </row>
    <row r="1787" spans="1:23" hidden="1">
      <c r="A1787" s="63" t="s">
        <v>147</v>
      </c>
      <c r="B1787" s="870" t="s">
        <v>147</v>
      </c>
      <c r="C1787" s="871"/>
      <c r="D1787" s="881" t="s">
        <v>229</v>
      </c>
      <c r="E1787" s="882">
        <f>DMT!$F$8</f>
        <v>290</v>
      </c>
      <c r="F1787" s="883">
        <v>1.68</v>
      </c>
      <c r="G1787" s="923">
        <f t="shared" ref="G1787:G1790" si="454">IF(E1787&lt;=30,(1.07*E1787+2.68)*F1787,((1.07*30+2.68)+1.07*(E1787-30))*F1787)</f>
        <v>525.80640000000005</v>
      </c>
      <c r="H1787" s="876"/>
      <c r="I1787" s="876"/>
      <c r="J1787" s="877">
        <f t="shared" si="453"/>
        <v>0</v>
      </c>
      <c r="K1787" s="878"/>
      <c r="L1787" s="1013">
        <f>ROUND(SUM(ORÇAMENTO!L1787),2)</f>
        <v>0</v>
      </c>
      <c r="M1787" s="1013">
        <f t="shared" si="443"/>
        <v>0</v>
      </c>
      <c r="N1787" s="868">
        <f t="shared" si="444"/>
        <v>0</v>
      </c>
      <c r="O1787" s="880"/>
      <c r="P1787" s="36" t="str">
        <f>IF(N1785&gt;0,"xx",IF(N1785&gt;0,"xy",""))</f>
        <v/>
      </c>
      <c r="Q1787" s="317" t="str">
        <f t="shared" si="445"/>
        <v/>
      </c>
      <c r="R1787" s="317" t="str">
        <f t="shared" si="446"/>
        <v/>
      </c>
      <c r="S1787" s="317" t="str">
        <f t="shared" si="447"/>
        <v/>
      </c>
      <c r="V1787" s="314">
        <f>SUM(ORÇAMENTO!N1787)</f>
        <v>0</v>
      </c>
      <c r="W1787" s="315">
        <f t="shared" si="448"/>
        <v>0</v>
      </c>
    </row>
    <row r="1788" spans="1:23" hidden="1">
      <c r="A1788" s="63">
        <v>640000</v>
      </c>
      <c r="B1788" s="870">
        <v>640000</v>
      </c>
      <c r="C1788" s="871" t="s">
        <v>184</v>
      </c>
      <c r="D1788" s="881" t="s">
        <v>335</v>
      </c>
      <c r="E1788" s="882"/>
      <c r="F1788" s="883"/>
      <c r="G1788" s="887">
        <f>SUM(G1789:G1790)</f>
        <v>160.87890000000002</v>
      </c>
      <c r="H1788" s="876">
        <v>104.04</v>
      </c>
      <c r="I1788" s="876">
        <f>IF(ISBLANK(H1788),"",SUM(G1788:H1788))</f>
        <v>264.91890000000001</v>
      </c>
      <c r="J1788" s="877">
        <f t="shared" si="453"/>
        <v>323.77999999999997</v>
      </c>
      <c r="K1788" s="878" t="s">
        <v>13</v>
      </c>
      <c r="L1788" s="1013">
        <f>ROUND(SUM(ORÇAMENTO!L1788),2)</f>
        <v>0</v>
      </c>
      <c r="M1788" s="1013">
        <f t="shared" si="443"/>
        <v>0</v>
      </c>
      <c r="N1788" s="868">
        <f t="shared" si="444"/>
        <v>0</v>
      </c>
      <c r="O1788" s="880"/>
      <c r="Q1788" s="317" t="str">
        <f t="shared" si="445"/>
        <v/>
      </c>
      <c r="R1788" s="317" t="str">
        <f t="shared" si="446"/>
        <v/>
      </c>
      <c r="S1788" s="317" t="str">
        <f t="shared" si="447"/>
        <v/>
      </c>
      <c r="V1788" s="314">
        <f>SUM(ORÇAMENTO!N1788)</f>
        <v>0</v>
      </c>
      <c r="W1788" s="315">
        <f t="shared" si="448"/>
        <v>0</v>
      </c>
    </row>
    <row r="1789" spans="1:23" hidden="1">
      <c r="A1789" s="63" t="s">
        <v>147</v>
      </c>
      <c r="B1789" s="870" t="s">
        <v>147</v>
      </c>
      <c r="C1789" s="871"/>
      <c r="D1789" s="881" t="s">
        <v>229</v>
      </c>
      <c r="E1789" s="882">
        <f>DMT!$F$8</f>
        <v>290</v>
      </c>
      <c r="F1789" s="883">
        <v>0.50700000000000001</v>
      </c>
      <c r="G1789" s="923">
        <f t="shared" si="454"/>
        <v>158.68086000000002</v>
      </c>
      <c r="H1789" s="876"/>
      <c r="I1789" s="876"/>
      <c r="J1789" s="877">
        <f t="shared" si="453"/>
        <v>0</v>
      </c>
      <c r="K1789" s="878"/>
      <c r="L1789" s="1013">
        <f>ROUND(SUM(ORÇAMENTO!L1789),2)</f>
        <v>0</v>
      </c>
      <c r="M1789" s="1013">
        <f t="shared" si="443"/>
        <v>0</v>
      </c>
      <c r="N1789" s="868">
        <f t="shared" si="444"/>
        <v>0</v>
      </c>
      <c r="O1789" s="880"/>
      <c r="P1789" s="36" t="str">
        <f>IF(N1788&gt;0,"xx",IF(N1788&gt;0,"xy",""))</f>
        <v/>
      </c>
      <c r="Q1789" s="317" t="str">
        <f t="shared" si="445"/>
        <v/>
      </c>
      <c r="R1789" s="317" t="str">
        <f t="shared" si="446"/>
        <v/>
      </c>
      <c r="S1789" s="317" t="str">
        <f t="shared" si="447"/>
        <v/>
      </c>
      <c r="V1789" s="314">
        <f>SUM(ORÇAMENTO!N1789)</f>
        <v>0</v>
      </c>
      <c r="W1789" s="315">
        <f t="shared" si="448"/>
        <v>0</v>
      </c>
    </row>
    <row r="1790" spans="1:23" hidden="1">
      <c r="A1790" s="63" t="s">
        <v>147</v>
      </c>
      <c r="B1790" s="870" t="s">
        <v>147</v>
      </c>
      <c r="C1790" s="871"/>
      <c r="D1790" s="881" t="s">
        <v>336</v>
      </c>
      <c r="E1790" s="882">
        <f>DMT!$F$38</f>
        <v>37</v>
      </c>
      <c r="F1790" s="883">
        <v>5.1999999999999998E-2</v>
      </c>
      <c r="G1790" s="923">
        <f t="shared" si="454"/>
        <v>2.1980400000000002</v>
      </c>
      <c r="H1790" s="876"/>
      <c r="I1790" s="876"/>
      <c r="J1790" s="877">
        <f t="shared" si="453"/>
        <v>0</v>
      </c>
      <c r="K1790" s="878"/>
      <c r="L1790" s="1013">
        <f>ROUND(SUM(ORÇAMENTO!L1790),2)</f>
        <v>0</v>
      </c>
      <c r="M1790" s="1013">
        <f t="shared" si="443"/>
        <v>0</v>
      </c>
      <c r="N1790" s="868">
        <f t="shared" si="444"/>
        <v>0</v>
      </c>
      <c r="O1790" s="880"/>
      <c r="P1790" s="36" t="str">
        <f>IF(N1788&gt;0,"xx",IF(N1788&gt;0,"xy",""))</f>
        <v/>
      </c>
      <c r="Q1790" s="317" t="str">
        <f t="shared" si="445"/>
        <v/>
      </c>
      <c r="R1790" s="317" t="str">
        <f t="shared" si="446"/>
        <v/>
      </c>
      <c r="S1790" s="317" t="str">
        <f t="shared" si="447"/>
        <v/>
      </c>
      <c r="V1790" s="314">
        <f>SUM(ORÇAMENTO!N1790)</f>
        <v>0</v>
      </c>
      <c r="W1790" s="315">
        <f t="shared" si="448"/>
        <v>0</v>
      </c>
    </row>
    <row r="1791" spans="1:23" hidden="1">
      <c r="A1791" s="63">
        <v>605000</v>
      </c>
      <c r="B1791" s="870" t="s">
        <v>1768</v>
      </c>
      <c r="C1791" s="871" t="s">
        <v>184</v>
      </c>
      <c r="D1791" s="881" t="s">
        <v>337</v>
      </c>
      <c r="E1791" s="882"/>
      <c r="F1791" s="883"/>
      <c r="G1791" s="887">
        <f>SUM(G1792:G1794)</f>
        <v>449.80907000000002</v>
      </c>
      <c r="H1791" s="876">
        <v>425.25</v>
      </c>
      <c r="I1791" s="876">
        <f>IF(ISBLANK(H1791),"",SUM(G1791:H1791))</f>
        <v>875.05907000000002</v>
      </c>
      <c r="J1791" s="877">
        <f t="shared" si="453"/>
        <v>1069.5</v>
      </c>
      <c r="K1791" s="878" t="s">
        <v>10</v>
      </c>
      <c r="L1791" s="1013">
        <f>ROUND(SUM(ORÇAMENTO!L1791),2)</f>
        <v>0</v>
      </c>
      <c r="M1791" s="1013">
        <f t="shared" si="443"/>
        <v>0</v>
      </c>
      <c r="N1791" s="868">
        <f t="shared" si="444"/>
        <v>0</v>
      </c>
      <c r="O1791" s="880"/>
      <c r="Q1791" s="317" t="str">
        <f t="shared" si="445"/>
        <v/>
      </c>
      <c r="R1791" s="317" t="str">
        <f t="shared" si="446"/>
        <v/>
      </c>
      <c r="S1791" s="317" t="str">
        <f t="shared" si="447"/>
        <v/>
      </c>
      <c r="V1791" s="314">
        <f>SUM(ORÇAMENTO!N1791)</f>
        <v>0</v>
      </c>
      <c r="W1791" s="315">
        <f t="shared" si="448"/>
        <v>0</v>
      </c>
    </row>
    <row r="1792" spans="1:23" hidden="1">
      <c r="A1792" s="63" t="s">
        <v>147</v>
      </c>
      <c r="B1792" s="870" t="s">
        <v>147</v>
      </c>
      <c r="C1792" s="871"/>
      <c r="D1792" s="881" t="s">
        <v>190</v>
      </c>
      <c r="E1792" s="882">
        <f>DMT!$D$20</f>
        <v>445</v>
      </c>
      <c r="F1792" s="883">
        <v>0.18</v>
      </c>
      <c r="G1792" s="884">
        <f>IF(E1792&lt;=30,(0.78*E1792+7.82)*F1792,((0.78*30+7.82)+0.78*(E1792-30))*F1792)</f>
        <v>63.885600000000004</v>
      </c>
      <c r="H1792" s="876"/>
      <c r="I1792" s="876"/>
      <c r="J1792" s="877">
        <f t="shared" si="453"/>
        <v>0</v>
      </c>
      <c r="K1792" s="878"/>
      <c r="L1792" s="1013">
        <f>ROUND(SUM(ORÇAMENTO!L1792),2)</f>
        <v>0</v>
      </c>
      <c r="M1792" s="1013">
        <f t="shared" si="443"/>
        <v>0</v>
      </c>
      <c r="N1792" s="868">
        <f t="shared" si="444"/>
        <v>0</v>
      </c>
      <c r="O1792" s="880"/>
      <c r="P1792" s="36" t="str">
        <f>IF(N1791&gt;0,"xx",IF(N1791&gt;0,"xy",""))</f>
        <v/>
      </c>
      <c r="Q1792" s="317" t="str">
        <f t="shared" si="445"/>
        <v/>
      </c>
      <c r="R1792" s="317" t="str">
        <f t="shared" si="446"/>
        <v/>
      </c>
      <c r="S1792" s="317" t="str">
        <f t="shared" si="447"/>
        <v/>
      </c>
      <c r="V1792" s="314">
        <f>SUM(ORÇAMENTO!N1792)</f>
        <v>0</v>
      </c>
      <c r="W1792" s="315">
        <f t="shared" si="448"/>
        <v>0</v>
      </c>
    </row>
    <row r="1793" spans="1:23" hidden="1">
      <c r="A1793" s="63" t="s">
        <v>147</v>
      </c>
      <c r="B1793" s="870" t="s">
        <v>147</v>
      </c>
      <c r="C1793" s="871"/>
      <c r="D1793" s="881" t="s">
        <v>229</v>
      </c>
      <c r="E1793" s="882">
        <f>DMT!$F$8</f>
        <v>290</v>
      </c>
      <c r="F1793" s="883">
        <v>1.06</v>
      </c>
      <c r="G1793" s="923">
        <f t="shared" ref="G1793:G1794" si="455">IF(E1793&lt;=30,(1.07*E1793+2.68)*F1793,((1.07*30+2.68)+1.07*(E1793-30))*F1793)</f>
        <v>331.75880000000001</v>
      </c>
      <c r="H1793" s="876"/>
      <c r="I1793" s="876"/>
      <c r="J1793" s="877">
        <f t="shared" si="453"/>
        <v>0</v>
      </c>
      <c r="K1793" s="878"/>
      <c r="L1793" s="1013">
        <f>ROUND(SUM(ORÇAMENTO!L1793),2)</f>
        <v>0</v>
      </c>
      <c r="M1793" s="1013">
        <f t="shared" si="443"/>
        <v>0</v>
      </c>
      <c r="N1793" s="868">
        <f t="shared" si="444"/>
        <v>0</v>
      </c>
      <c r="O1793" s="880"/>
      <c r="P1793" s="36" t="str">
        <f>IF(N1791&gt;0,"xx",IF(N1791&gt;0,"xy",""))</f>
        <v/>
      </c>
      <c r="Q1793" s="317" t="str">
        <f t="shared" si="445"/>
        <v/>
      </c>
      <c r="R1793" s="317" t="str">
        <f t="shared" si="446"/>
        <v/>
      </c>
      <c r="S1793" s="317" t="str">
        <f t="shared" si="447"/>
        <v/>
      </c>
      <c r="V1793" s="314">
        <f>SUM(ORÇAMENTO!N1793)</f>
        <v>0</v>
      </c>
      <c r="W1793" s="315">
        <f t="shared" si="448"/>
        <v>0</v>
      </c>
    </row>
    <row r="1794" spans="1:23" hidden="1">
      <c r="A1794" s="63" t="s">
        <v>147</v>
      </c>
      <c r="B1794" s="870" t="s">
        <v>147</v>
      </c>
      <c r="C1794" s="871"/>
      <c r="D1794" s="881" t="s">
        <v>233</v>
      </c>
      <c r="E1794" s="882">
        <f>DMT!$F$10</f>
        <v>43.1</v>
      </c>
      <c r="F1794" s="883">
        <v>1.1100000000000001</v>
      </c>
      <c r="G1794" s="923">
        <f t="shared" si="455"/>
        <v>54.164670000000008</v>
      </c>
      <c r="H1794" s="876"/>
      <c r="I1794" s="876"/>
      <c r="J1794" s="877">
        <f t="shared" si="453"/>
        <v>0</v>
      </c>
      <c r="K1794" s="878"/>
      <c r="L1794" s="1013">
        <f>ROUND(SUM(ORÇAMENTO!L1794),2)</f>
        <v>0</v>
      </c>
      <c r="M1794" s="1013">
        <f t="shared" si="443"/>
        <v>0</v>
      </c>
      <c r="N1794" s="868">
        <f t="shared" si="444"/>
        <v>0</v>
      </c>
      <c r="O1794" s="880"/>
      <c r="P1794" s="36" t="str">
        <f>IF(N1791&gt;0,"xx",IF(N1791&gt;0,"xy",""))</f>
        <v/>
      </c>
      <c r="Q1794" s="317" t="str">
        <f t="shared" si="445"/>
        <v/>
      </c>
      <c r="R1794" s="317" t="str">
        <f t="shared" si="446"/>
        <v/>
      </c>
      <c r="S1794" s="317" t="str">
        <f t="shared" si="447"/>
        <v/>
      </c>
      <c r="V1794" s="314">
        <f>SUM(ORÇAMENTO!N1794)</f>
        <v>0</v>
      </c>
      <c r="W1794" s="315">
        <f t="shared" si="448"/>
        <v>0</v>
      </c>
    </row>
    <row r="1795" spans="1:23" hidden="1">
      <c r="A1795" s="63">
        <v>606000</v>
      </c>
      <c r="B1795" s="870" t="s">
        <v>1776</v>
      </c>
      <c r="C1795" s="871" t="s">
        <v>184</v>
      </c>
      <c r="D1795" s="881" t="s">
        <v>529</v>
      </c>
      <c r="E1795" s="882"/>
      <c r="F1795" s="883"/>
      <c r="G1795" s="887">
        <f>SUM(G1796:G1798)</f>
        <v>337.27635900000007</v>
      </c>
      <c r="H1795" s="876">
        <v>378.9</v>
      </c>
      <c r="I1795" s="876">
        <f>IF(ISBLANK(H1795),"",SUM(G1795:H1795))</f>
        <v>716.17635900000005</v>
      </c>
      <c r="J1795" s="877">
        <f t="shared" si="453"/>
        <v>875.31</v>
      </c>
      <c r="K1795" s="878" t="s">
        <v>10</v>
      </c>
      <c r="L1795" s="1013">
        <f>ROUND(SUM(ORÇAMENTO!L1795),2)</f>
        <v>0</v>
      </c>
      <c r="M1795" s="1013">
        <f t="shared" si="443"/>
        <v>0</v>
      </c>
      <c r="N1795" s="868">
        <f t="shared" si="444"/>
        <v>0</v>
      </c>
      <c r="O1795" s="880"/>
      <c r="Q1795" s="317" t="str">
        <f t="shared" si="445"/>
        <v/>
      </c>
      <c r="R1795" s="317" t="str">
        <f t="shared" si="446"/>
        <v/>
      </c>
      <c r="S1795" s="317" t="str">
        <f t="shared" si="447"/>
        <v/>
      </c>
      <c r="V1795" s="314">
        <f>SUM(ORÇAMENTO!N1795)</f>
        <v>0</v>
      </c>
      <c r="W1795" s="315">
        <f t="shared" si="448"/>
        <v>0</v>
      </c>
    </row>
    <row r="1796" spans="1:23" hidden="1">
      <c r="A1796" s="63" t="s">
        <v>147</v>
      </c>
      <c r="B1796" s="870" t="s">
        <v>147</v>
      </c>
      <c r="C1796" s="871"/>
      <c r="D1796" s="881" t="s">
        <v>190</v>
      </c>
      <c r="E1796" s="882">
        <f>DMT!$D$20</f>
        <v>445</v>
      </c>
      <c r="F1796" s="883">
        <v>0.189</v>
      </c>
      <c r="G1796" s="884">
        <f>IF(E1796&lt;=30,(0.78*E1796+7.82)*F1796,((0.78*30+7.82)+0.78*(E1796-30))*F1796)</f>
        <v>67.079880000000003</v>
      </c>
      <c r="H1796" s="876"/>
      <c r="I1796" s="876"/>
      <c r="J1796" s="877">
        <f t="shared" si="453"/>
        <v>0</v>
      </c>
      <c r="K1796" s="878"/>
      <c r="L1796" s="1013">
        <f>ROUND(SUM(ORÇAMENTO!L1796),2)</f>
        <v>0</v>
      </c>
      <c r="M1796" s="1013">
        <f t="shared" si="443"/>
        <v>0</v>
      </c>
      <c r="N1796" s="868">
        <f t="shared" si="444"/>
        <v>0</v>
      </c>
      <c r="O1796" s="880"/>
      <c r="P1796" s="36" t="str">
        <f>IF(N1795&gt;0,"xx",IF(N1795&gt;0,"xy",""))</f>
        <v/>
      </c>
      <c r="Q1796" s="317" t="str">
        <f t="shared" si="445"/>
        <v/>
      </c>
      <c r="R1796" s="317" t="str">
        <f t="shared" si="446"/>
        <v/>
      </c>
      <c r="S1796" s="317" t="str">
        <f t="shared" si="447"/>
        <v/>
      </c>
      <c r="V1796" s="314">
        <f>SUM(ORÇAMENTO!N1796)</f>
        <v>0</v>
      </c>
      <c r="W1796" s="315">
        <f t="shared" si="448"/>
        <v>0</v>
      </c>
    </row>
    <row r="1797" spans="1:23" hidden="1">
      <c r="A1797" s="63" t="s">
        <v>147</v>
      </c>
      <c r="B1797" s="870" t="s">
        <v>147</v>
      </c>
      <c r="C1797" s="871"/>
      <c r="D1797" s="881" t="s">
        <v>229</v>
      </c>
      <c r="E1797" s="882">
        <f>DMT!$F$8</f>
        <v>290</v>
      </c>
      <c r="F1797" s="883">
        <v>0.67200000000000004</v>
      </c>
      <c r="G1797" s="923">
        <f t="shared" ref="G1797:G1798" si="456">IF(E1797&lt;=30,(1.07*E1797+2.68)*F1797,((1.07*30+2.68)+1.07*(E1797-30))*F1797)</f>
        <v>210.32256000000004</v>
      </c>
      <c r="H1797" s="876"/>
      <c r="I1797" s="876"/>
      <c r="J1797" s="877">
        <f t="shared" si="453"/>
        <v>0</v>
      </c>
      <c r="K1797" s="878"/>
      <c r="L1797" s="1013">
        <f>ROUND(SUM(ORÇAMENTO!L1797),2)</f>
        <v>0</v>
      </c>
      <c r="M1797" s="1013">
        <f t="shared" si="443"/>
        <v>0</v>
      </c>
      <c r="N1797" s="868">
        <f t="shared" si="444"/>
        <v>0</v>
      </c>
      <c r="O1797" s="880"/>
      <c r="P1797" s="36" t="str">
        <f>IF(N1795&gt;0,"xx",IF(N1795&gt;0,"xy",""))</f>
        <v/>
      </c>
      <c r="Q1797" s="317" t="str">
        <f t="shared" si="445"/>
        <v/>
      </c>
      <c r="R1797" s="317" t="str">
        <f t="shared" si="446"/>
        <v/>
      </c>
      <c r="S1797" s="317" t="str">
        <f t="shared" si="447"/>
        <v/>
      </c>
      <c r="V1797" s="314">
        <f>SUM(ORÇAMENTO!N1797)</f>
        <v>0</v>
      </c>
      <c r="W1797" s="315">
        <f t="shared" si="448"/>
        <v>0</v>
      </c>
    </row>
    <row r="1798" spans="1:23" hidden="1">
      <c r="A1798" s="63" t="s">
        <v>147</v>
      </c>
      <c r="B1798" s="870" t="s">
        <v>147</v>
      </c>
      <c r="C1798" s="871"/>
      <c r="D1798" s="881" t="s">
        <v>339</v>
      </c>
      <c r="E1798" s="882">
        <f>DMT!$F$14</f>
        <v>43.1</v>
      </c>
      <c r="F1798" s="883">
        <v>1.2270000000000001</v>
      </c>
      <c r="G1798" s="923">
        <f t="shared" si="456"/>
        <v>59.873919000000008</v>
      </c>
      <c r="H1798" s="876"/>
      <c r="I1798" s="876"/>
      <c r="J1798" s="877">
        <f t="shared" si="453"/>
        <v>0</v>
      </c>
      <c r="K1798" s="878"/>
      <c r="L1798" s="1013">
        <f>ROUND(SUM(ORÇAMENTO!L1798),2)</f>
        <v>0</v>
      </c>
      <c r="M1798" s="1013">
        <f t="shared" si="443"/>
        <v>0</v>
      </c>
      <c r="N1798" s="868">
        <f t="shared" si="444"/>
        <v>0</v>
      </c>
      <c r="O1798" s="880"/>
      <c r="P1798" s="36" t="str">
        <f>IF(N1795&gt;0,"xx",IF(N1795&gt;0,"xy",""))</f>
        <v/>
      </c>
      <c r="Q1798" s="317" t="str">
        <f t="shared" si="445"/>
        <v/>
      </c>
      <c r="R1798" s="317" t="str">
        <f t="shared" si="446"/>
        <v/>
      </c>
      <c r="S1798" s="317" t="str">
        <f t="shared" si="447"/>
        <v/>
      </c>
      <c r="V1798" s="314">
        <f>SUM(ORÇAMENTO!N1798)</f>
        <v>0</v>
      </c>
      <c r="W1798" s="315">
        <f t="shared" si="448"/>
        <v>0</v>
      </c>
    </row>
    <row r="1799" spans="1:23" hidden="1">
      <c r="A1799" s="63">
        <v>605100</v>
      </c>
      <c r="B1799" s="870">
        <v>605100</v>
      </c>
      <c r="C1799" s="871" t="s">
        <v>184</v>
      </c>
      <c r="D1799" s="881" t="s">
        <v>794</v>
      </c>
      <c r="E1799" s="882"/>
      <c r="F1799" s="883"/>
      <c r="G1799" s="887">
        <f>SUM(G1800:G1802)</f>
        <v>456.90746999999999</v>
      </c>
      <c r="H1799" s="876">
        <v>436.57</v>
      </c>
      <c r="I1799" s="876">
        <f>IF(ISBLANK(H1799),"",SUM(G1799:H1799))</f>
        <v>893.47747000000004</v>
      </c>
      <c r="J1799" s="877">
        <f t="shared" si="453"/>
        <v>1092.01</v>
      </c>
      <c r="K1799" s="878" t="s">
        <v>10</v>
      </c>
      <c r="L1799" s="1013">
        <f>ROUND(SUM(ORÇAMENTO!L1799),2)</f>
        <v>0</v>
      </c>
      <c r="M1799" s="1013">
        <f t="shared" si="443"/>
        <v>0</v>
      </c>
      <c r="N1799" s="868">
        <f t="shared" si="444"/>
        <v>0</v>
      </c>
      <c r="O1799" s="880"/>
      <c r="Q1799" s="317" t="str">
        <f t="shared" si="445"/>
        <v/>
      </c>
      <c r="R1799" s="317" t="str">
        <f t="shared" si="446"/>
        <v/>
      </c>
      <c r="S1799" s="317" t="str">
        <f t="shared" si="447"/>
        <v/>
      </c>
      <c r="V1799" s="314">
        <f>SUM(ORÇAMENTO!N1799)</f>
        <v>0</v>
      </c>
      <c r="W1799" s="315">
        <f t="shared" si="448"/>
        <v>0</v>
      </c>
    </row>
    <row r="1800" spans="1:23" hidden="1">
      <c r="A1800" s="63" t="s">
        <v>147</v>
      </c>
      <c r="B1800" s="870" t="s">
        <v>147</v>
      </c>
      <c r="C1800" s="871"/>
      <c r="D1800" s="881" t="s">
        <v>190</v>
      </c>
      <c r="E1800" s="882">
        <f>DMT!$D$20</f>
        <v>445</v>
      </c>
      <c r="F1800" s="883">
        <v>0.2</v>
      </c>
      <c r="G1800" s="884">
        <f>IF(E1800&lt;=30,(0.78*E1800+7.82)*F1800,((0.78*30+7.82)+0.78*(E1800-30))*F1800)</f>
        <v>70.984000000000009</v>
      </c>
      <c r="H1800" s="876"/>
      <c r="I1800" s="876"/>
      <c r="J1800" s="877">
        <f t="shared" si="453"/>
        <v>0</v>
      </c>
      <c r="K1800" s="878"/>
      <c r="L1800" s="1013">
        <f>ROUND(SUM(ORÇAMENTO!L1800),2)</f>
        <v>0</v>
      </c>
      <c r="M1800" s="1013">
        <f t="shared" si="443"/>
        <v>0</v>
      </c>
      <c r="N1800" s="868">
        <f t="shared" si="444"/>
        <v>0</v>
      </c>
      <c r="O1800" s="880"/>
      <c r="P1800" s="36" t="str">
        <f>IF(N1799&gt;0,"xx",IF(N1799&gt;0,"xy",""))</f>
        <v/>
      </c>
      <c r="Q1800" s="317" t="str">
        <f t="shared" si="445"/>
        <v/>
      </c>
      <c r="R1800" s="317" t="str">
        <f t="shared" si="446"/>
        <v/>
      </c>
      <c r="S1800" s="317" t="str">
        <f t="shared" si="447"/>
        <v/>
      </c>
      <c r="V1800" s="314">
        <f>SUM(ORÇAMENTO!N1800)</f>
        <v>0</v>
      </c>
      <c r="W1800" s="315">
        <f t="shared" si="448"/>
        <v>0</v>
      </c>
    </row>
    <row r="1801" spans="1:23" hidden="1">
      <c r="A1801" s="63" t="s">
        <v>147</v>
      </c>
      <c r="B1801" s="870" t="s">
        <v>147</v>
      </c>
      <c r="C1801" s="871"/>
      <c r="D1801" s="881" t="s">
        <v>229</v>
      </c>
      <c r="E1801" s="882">
        <f>DMT!$F$8</f>
        <v>290</v>
      </c>
      <c r="F1801" s="883">
        <v>1.06</v>
      </c>
      <c r="G1801" s="923">
        <f t="shared" ref="G1801:G1802" si="457">IF(E1801&lt;=30,(1.07*E1801+2.68)*F1801,((1.07*30+2.68)+1.07*(E1801-30))*F1801)</f>
        <v>331.75880000000001</v>
      </c>
      <c r="H1801" s="876"/>
      <c r="I1801" s="876"/>
      <c r="J1801" s="877">
        <f t="shared" si="453"/>
        <v>0</v>
      </c>
      <c r="K1801" s="878"/>
      <c r="L1801" s="1013">
        <f>ROUND(SUM(ORÇAMENTO!L1801),2)</f>
        <v>0</v>
      </c>
      <c r="M1801" s="1013">
        <f t="shared" si="443"/>
        <v>0</v>
      </c>
      <c r="N1801" s="868">
        <f t="shared" si="444"/>
        <v>0</v>
      </c>
      <c r="O1801" s="880"/>
      <c r="P1801" s="36" t="str">
        <f>IF(N1799&gt;0,"xx",IF(N1799&gt;0,"xy",""))</f>
        <v/>
      </c>
      <c r="Q1801" s="317" t="str">
        <f t="shared" si="445"/>
        <v/>
      </c>
      <c r="R1801" s="317" t="str">
        <f t="shared" si="446"/>
        <v/>
      </c>
      <c r="S1801" s="317" t="str">
        <f t="shared" si="447"/>
        <v/>
      </c>
      <c r="V1801" s="314">
        <f>SUM(ORÇAMENTO!N1801)</f>
        <v>0</v>
      </c>
      <c r="W1801" s="315">
        <f t="shared" si="448"/>
        <v>0</v>
      </c>
    </row>
    <row r="1802" spans="1:23" hidden="1">
      <c r="A1802" s="63" t="s">
        <v>147</v>
      </c>
      <c r="B1802" s="870" t="s">
        <v>147</v>
      </c>
      <c r="C1802" s="871"/>
      <c r="D1802" s="881" t="s">
        <v>233</v>
      </c>
      <c r="E1802" s="882">
        <f>DMT!$F$10</f>
        <v>43.1</v>
      </c>
      <c r="F1802" s="883">
        <v>1.1100000000000001</v>
      </c>
      <c r="G1802" s="923">
        <f t="shared" si="457"/>
        <v>54.164670000000008</v>
      </c>
      <c r="H1802" s="876"/>
      <c r="I1802" s="876"/>
      <c r="J1802" s="877">
        <f t="shared" si="453"/>
        <v>0</v>
      </c>
      <c r="K1802" s="878"/>
      <c r="L1802" s="1013">
        <f>ROUND(SUM(ORÇAMENTO!L1802),2)</f>
        <v>0</v>
      </c>
      <c r="M1802" s="1013">
        <f t="shared" si="443"/>
        <v>0</v>
      </c>
      <c r="N1802" s="868">
        <f t="shared" si="444"/>
        <v>0</v>
      </c>
      <c r="O1802" s="880"/>
      <c r="P1802" s="36" t="str">
        <f>IF(N1799&gt;0,"xx",IF(N1799&gt;0,"xy",""))</f>
        <v/>
      </c>
      <c r="Q1802" s="317" t="str">
        <f t="shared" si="445"/>
        <v/>
      </c>
      <c r="R1802" s="317" t="str">
        <f t="shared" si="446"/>
        <v/>
      </c>
      <c r="S1802" s="317" t="str">
        <f t="shared" si="447"/>
        <v/>
      </c>
      <c r="V1802" s="314">
        <f>SUM(ORÇAMENTO!N1802)</f>
        <v>0</v>
      </c>
      <c r="W1802" s="315">
        <f t="shared" si="448"/>
        <v>0</v>
      </c>
    </row>
    <row r="1803" spans="1:23" hidden="1">
      <c r="A1803" s="63">
        <v>605200</v>
      </c>
      <c r="B1803" s="870" t="s">
        <v>1778</v>
      </c>
      <c r="C1803" s="871" t="s">
        <v>184</v>
      </c>
      <c r="D1803" s="881" t="s">
        <v>340</v>
      </c>
      <c r="E1803" s="882"/>
      <c r="F1803" s="883"/>
      <c r="G1803" s="887">
        <f>SUM(G1804:G1806)</f>
        <v>450.45387000000005</v>
      </c>
      <c r="H1803" s="876">
        <v>471.16</v>
      </c>
      <c r="I1803" s="876">
        <f>IF(ISBLANK(H1803),"",SUM(G1803:H1803))</f>
        <v>921.61387000000013</v>
      </c>
      <c r="J1803" s="877">
        <f t="shared" si="453"/>
        <v>1126.4000000000001</v>
      </c>
      <c r="K1803" s="878" t="s">
        <v>10</v>
      </c>
      <c r="L1803" s="1013">
        <f>ROUND(SUM(ORÇAMENTO!L1803),2)</f>
        <v>0</v>
      </c>
      <c r="M1803" s="1013">
        <f t="shared" si="443"/>
        <v>0</v>
      </c>
      <c r="N1803" s="868">
        <f t="shared" si="444"/>
        <v>0</v>
      </c>
      <c r="O1803" s="880"/>
      <c r="Q1803" s="317" t="str">
        <f t="shared" si="445"/>
        <v/>
      </c>
      <c r="R1803" s="317" t="str">
        <f t="shared" si="446"/>
        <v/>
      </c>
      <c r="S1803" s="317" t="str">
        <f t="shared" si="447"/>
        <v/>
      </c>
      <c r="V1803" s="314">
        <f>SUM(ORÇAMENTO!N1803)</f>
        <v>0</v>
      </c>
      <c r="W1803" s="315">
        <f t="shared" si="448"/>
        <v>0</v>
      </c>
    </row>
    <row r="1804" spans="1:23" hidden="1">
      <c r="A1804" s="63" t="s">
        <v>147</v>
      </c>
      <c r="B1804" s="870" t="s">
        <v>147</v>
      </c>
      <c r="C1804" s="871"/>
      <c r="D1804" s="881" t="s">
        <v>190</v>
      </c>
      <c r="E1804" s="882">
        <f>DMT!$D$20</f>
        <v>445</v>
      </c>
      <c r="F1804" s="883">
        <v>0.27</v>
      </c>
      <c r="G1804" s="884">
        <f>IF(E1804&lt;=30,(0.78*E1804+7.82)*F1804,((0.78*30+7.82)+0.78*(E1804-30))*F1804)</f>
        <v>95.828400000000016</v>
      </c>
      <c r="H1804" s="876"/>
      <c r="I1804" s="876"/>
      <c r="J1804" s="877">
        <f t="shared" si="453"/>
        <v>0</v>
      </c>
      <c r="K1804" s="878"/>
      <c r="L1804" s="1013">
        <f>ROUND(SUM(ORÇAMENTO!L1804),2)</f>
        <v>0</v>
      </c>
      <c r="M1804" s="1013">
        <f t="shared" si="443"/>
        <v>0</v>
      </c>
      <c r="N1804" s="868">
        <f t="shared" si="444"/>
        <v>0</v>
      </c>
      <c r="O1804" s="880"/>
      <c r="P1804" s="36" t="str">
        <f>IF(N1803&gt;0,"xx",IF(N1803&gt;0,"xy",""))</f>
        <v/>
      </c>
      <c r="Q1804" s="317" t="str">
        <f t="shared" si="445"/>
        <v/>
      </c>
      <c r="R1804" s="317" t="str">
        <f t="shared" si="446"/>
        <v/>
      </c>
      <c r="S1804" s="317" t="str">
        <f t="shared" si="447"/>
        <v/>
      </c>
      <c r="V1804" s="314">
        <f>SUM(ORÇAMENTO!N1804)</f>
        <v>0</v>
      </c>
      <c r="W1804" s="315">
        <f t="shared" si="448"/>
        <v>0</v>
      </c>
    </row>
    <row r="1805" spans="1:23" hidden="1">
      <c r="A1805" s="63" t="s">
        <v>147</v>
      </c>
      <c r="B1805" s="870" t="s">
        <v>147</v>
      </c>
      <c r="C1805" s="871"/>
      <c r="D1805" s="881" t="s">
        <v>229</v>
      </c>
      <c r="E1805" s="882">
        <f>DMT!$F$8</f>
        <v>290</v>
      </c>
      <c r="F1805" s="883">
        <v>0.96</v>
      </c>
      <c r="G1805" s="923">
        <f t="shared" ref="G1805:G1806" si="458">IF(E1805&lt;=30,(1.07*E1805+2.68)*F1805,((1.07*30+2.68)+1.07*(E1805-30))*F1805)</f>
        <v>300.46080000000001</v>
      </c>
      <c r="H1805" s="876"/>
      <c r="I1805" s="876"/>
      <c r="J1805" s="877">
        <f t="shared" si="453"/>
        <v>0</v>
      </c>
      <c r="K1805" s="878"/>
      <c r="L1805" s="1013">
        <f>ROUND(SUM(ORÇAMENTO!L1805),2)</f>
        <v>0</v>
      </c>
      <c r="M1805" s="1013">
        <f t="shared" si="443"/>
        <v>0</v>
      </c>
      <c r="N1805" s="868">
        <f t="shared" si="444"/>
        <v>0</v>
      </c>
      <c r="O1805" s="880"/>
      <c r="P1805" s="36" t="str">
        <f>IF(N1803&gt;0,"xx",IF(N1803&gt;0,"xy",""))</f>
        <v/>
      </c>
      <c r="Q1805" s="317" t="str">
        <f t="shared" si="445"/>
        <v/>
      </c>
      <c r="R1805" s="317" t="str">
        <f t="shared" si="446"/>
        <v/>
      </c>
      <c r="S1805" s="317" t="str">
        <f t="shared" si="447"/>
        <v/>
      </c>
      <c r="V1805" s="314">
        <f>SUM(ORÇAMENTO!N1805)</f>
        <v>0</v>
      </c>
      <c r="W1805" s="315">
        <f t="shared" si="448"/>
        <v>0</v>
      </c>
    </row>
    <row r="1806" spans="1:23" hidden="1">
      <c r="A1806" s="63" t="s">
        <v>147</v>
      </c>
      <c r="B1806" s="870" t="s">
        <v>147</v>
      </c>
      <c r="C1806" s="871"/>
      <c r="D1806" s="881" t="s">
        <v>233</v>
      </c>
      <c r="E1806" s="882">
        <f>DMT!$F$10</f>
        <v>43.1</v>
      </c>
      <c r="F1806" s="883">
        <v>1.1100000000000001</v>
      </c>
      <c r="G1806" s="923">
        <f t="shared" si="458"/>
        <v>54.164670000000008</v>
      </c>
      <c r="H1806" s="876"/>
      <c r="I1806" s="876"/>
      <c r="J1806" s="877">
        <f t="shared" si="453"/>
        <v>0</v>
      </c>
      <c r="K1806" s="878"/>
      <c r="L1806" s="1013">
        <f>ROUND(SUM(ORÇAMENTO!L1806),2)</f>
        <v>0</v>
      </c>
      <c r="M1806" s="1013">
        <f t="shared" si="443"/>
        <v>0</v>
      </c>
      <c r="N1806" s="868">
        <f t="shared" si="444"/>
        <v>0</v>
      </c>
      <c r="O1806" s="880"/>
      <c r="P1806" s="36" t="str">
        <f>IF(N1803&gt;0,"xx",IF(N1803&gt;0,"xy",""))</f>
        <v/>
      </c>
      <c r="Q1806" s="317" t="str">
        <f t="shared" si="445"/>
        <v/>
      </c>
      <c r="R1806" s="317" t="str">
        <f t="shared" si="446"/>
        <v/>
      </c>
      <c r="S1806" s="317" t="str">
        <f t="shared" si="447"/>
        <v/>
      </c>
      <c r="V1806" s="314">
        <f>SUM(ORÇAMENTO!N1806)</f>
        <v>0</v>
      </c>
      <c r="W1806" s="315">
        <f t="shared" si="448"/>
        <v>0</v>
      </c>
    </row>
    <row r="1807" spans="1:23" hidden="1">
      <c r="A1807" s="63">
        <v>605300</v>
      </c>
      <c r="B1807" s="870" t="s">
        <v>1780</v>
      </c>
      <c r="C1807" s="871" t="s">
        <v>184</v>
      </c>
      <c r="D1807" s="881" t="s">
        <v>341</v>
      </c>
      <c r="E1807" s="882"/>
      <c r="F1807" s="883"/>
      <c r="G1807" s="887">
        <f>SUM(G1808:G1810)</f>
        <v>459.54285000000004</v>
      </c>
      <c r="H1807" s="876">
        <v>503.25</v>
      </c>
      <c r="I1807" s="876">
        <f>IF(ISBLANK(H1807),"",SUM(G1807:H1807))</f>
        <v>962.79285000000004</v>
      </c>
      <c r="J1807" s="877">
        <f t="shared" si="453"/>
        <v>1176.73</v>
      </c>
      <c r="K1807" s="878" t="s">
        <v>10</v>
      </c>
      <c r="L1807" s="1013">
        <f>ROUND(SUM(ORÇAMENTO!L1807),2)</f>
        <v>0</v>
      </c>
      <c r="M1807" s="1013">
        <f t="shared" si="443"/>
        <v>0</v>
      </c>
      <c r="N1807" s="868">
        <f t="shared" si="444"/>
        <v>0</v>
      </c>
      <c r="O1807" s="880"/>
      <c r="Q1807" s="317" t="str">
        <f t="shared" si="445"/>
        <v/>
      </c>
      <c r="R1807" s="317" t="str">
        <f t="shared" si="446"/>
        <v/>
      </c>
      <c r="S1807" s="317" t="str">
        <f t="shared" si="447"/>
        <v/>
      </c>
      <c r="V1807" s="314">
        <f>SUM(ORÇAMENTO!N1807)</f>
        <v>0</v>
      </c>
      <c r="W1807" s="315">
        <f t="shared" si="448"/>
        <v>0</v>
      </c>
    </row>
    <row r="1808" spans="1:23" hidden="1">
      <c r="A1808" s="63" t="s">
        <v>147</v>
      </c>
      <c r="B1808" s="870" t="s">
        <v>147</v>
      </c>
      <c r="C1808" s="871"/>
      <c r="D1808" s="881" t="s">
        <v>190</v>
      </c>
      <c r="E1808" s="882">
        <f>DMT!$D$20</f>
        <v>445</v>
      </c>
      <c r="F1808" s="883">
        <v>0.33</v>
      </c>
      <c r="G1808" s="884">
        <f>IF(E1808&lt;=30,(0.78*E1808+7.82)*F1808,((0.78*30+7.82)+0.78*(E1808-30))*F1808)</f>
        <v>117.12360000000001</v>
      </c>
      <c r="H1808" s="876"/>
      <c r="I1808" s="876"/>
      <c r="J1808" s="877">
        <f t="shared" si="453"/>
        <v>0</v>
      </c>
      <c r="K1808" s="878"/>
      <c r="L1808" s="1013">
        <f>ROUND(SUM(ORÇAMENTO!L1808),2)</f>
        <v>0</v>
      </c>
      <c r="M1808" s="1013">
        <f t="shared" si="443"/>
        <v>0</v>
      </c>
      <c r="N1808" s="868">
        <f t="shared" si="444"/>
        <v>0</v>
      </c>
      <c r="O1808" s="880"/>
      <c r="P1808" s="36" t="str">
        <f>IF(N1807&gt;0,"xx",IF(N1807&gt;0,"xy",""))</f>
        <v/>
      </c>
      <c r="Q1808" s="317" t="str">
        <f t="shared" si="445"/>
        <v/>
      </c>
      <c r="R1808" s="317" t="str">
        <f t="shared" si="446"/>
        <v/>
      </c>
      <c r="S1808" s="317" t="str">
        <f t="shared" si="447"/>
        <v/>
      </c>
      <c r="V1808" s="314">
        <f>SUM(ORÇAMENTO!N1808)</f>
        <v>0</v>
      </c>
      <c r="W1808" s="315">
        <f t="shared" si="448"/>
        <v>0</v>
      </c>
    </row>
    <row r="1809" spans="1:23" hidden="1">
      <c r="A1809" s="63" t="s">
        <v>147</v>
      </c>
      <c r="B1809" s="870" t="s">
        <v>147</v>
      </c>
      <c r="C1809" s="871"/>
      <c r="D1809" s="881" t="s">
        <v>229</v>
      </c>
      <c r="E1809" s="882">
        <f>DMT!$F$8</f>
        <v>290</v>
      </c>
      <c r="F1809" s="883">
        <v>0.92100000000000004</v>
      </c>
      <c r="G1809" s="923">
        <f t="shared" ref="G1809:G1810" si="459">IF(E1809&lt;=30,(1.07*E1809+2.68)*F1809,((1.07*30+2.68)+1.07*(E1809-30))*F1809)</f>
        <v>288.25458000000003</v>
      </c>
      <c r="H1809" s="876"/>
      <c r="I1809" s="876"/>
      <c r="J1809" s="877">
        <f t="shared" si="453"/>
        <v>0</v>
      </c>
      <c r="K1809" s="878"/>
      <c r="L1809" s="1013">
        <f>ROUND(SUM(ORÇAMENTO!L1809),2)</f>
        <v>0</v>
      </c>
      <c r="M1809" s="1013">
        <f t="shared" si="443"/>
        <v>0</v>
      </c>
      <c r="N1809" s="868">
        <f t="shared" si="444"/>
        <v>0</v>
      </c>
      <c r="O1809" s="880"/>
      <c r="P1809" s="36" t="str">
        <f>IF(N1807&gt;0,"xx",IF(N1807&gt;0,"xy",""))</f>
        <v/>
      </c>
      <c r="Q1809" s="317" t="str">
        <f t="shared" si="445"/>
        <v/>
      </c>
      <c r="R1809" s="317" t="str">
        <f t="shared" si="446"/>
        <v/>
      </c>
      <c r="S1809" s="317" t="str">
        <f t="shared" si="447"/>
        <v/>
      </c>
      <c r="V1809" s="314">
        <f>SUM(ORÇAMENTO!N1809)</f>
        <v>0</v>
      </c>
      <c r="W1809" s="315">
        <f t="shared" si="448"/>
        <v>0</v>
      </c>
    </row>
    <row r="1810" spans="1:23" hidden="1">
      <c r="A1810" s="63" t="s">
        <v>147</v>
      </c>
      <c r="B1810" s="870" t="s">
        <v>147</v>
      </c>
      <c r="C1810" s="871"/>
      <c r="D1810" s="881" t="s">
        <v>233</v>
      </c>
      <c r="E1810" s="882">
        <f>DMT!$F$10</f>
        <v>43.1</v>
      </c>
      <c r="F1810" s="883">
        <v>1.1100000000000001</v>
      </c>
      <c r="G1810" s="923">
        <f t="shared" si="459"/>
        <v>54.164670000000008</v>
      </c>
      <c r="H1810" s="876"/>
      <c r="I1810" s="876"/>
      <c r="J1810" s="877">
        <f t="shared" si="453"/>
        <v>0</v>
      </c>
      <c r="K1810" s="878"/>
      <c r="L1810" s="1013">
        <f>ROUND(SUM(ORÇAMENTO!L1810),2)</f>
        <v>0</v>
      </c>
      <c r="M1810" s="1013">
        <f t="shared" ref="M1810:M1873" si="460">IF(L1810=0,0,ROUND(J1810,2))</f>
        <v>0</v>
      </c>
      <c r="N1810" s="868">
        <f t="shared" ref="N1810:N1873" si="461">IF(ISBLANK(L1810),0,ROUND(L1810*M1810,2))</f>
        <v>0</v>
      </c>
      <c r="O1810" s="880"/>
      <c r="P1810" s="36" t="str">
        <f>IF(N1807&gt;0,"xx",IF(N1807&gt;0,"xy",""))</f>
        <v/>
      </c>
      <c r="Q1810" s="317" t="str">
        <f t="shared" ref="Q1810:Q1873" si="462">IF(P1810="X","x",IF(P1810="xx","x",IF(P1810="xy","x",IF(P1810="y","x",IF(OR(N1810&gt;0,N1810&gt;0),"x","")))))</f>
        <v/>
      </c>
      <c r="R1810" s="317" t="str">
        <f t="shared" ref="R1810:R1873" si="463">IF(P1810="X","x",IF(P1810="y","x",IF(P1810="xx","x",IF(N1810&gt;0,"x",""))))</f>
        <v/>
      </c>
      <c r="S1810" s="317" t="str">
        <f t="shared" ref="S1810:S1873" si="464">IF(P1810="X","x",IF(N1810&gt;0,"x",""))</f>
        <v/>
      </c>
      <c r="V1810" s="314">
        <f>SUM(ORÇAMENTO!N1810)</f>
        <v>0</v>
      </c>
      <c r="W1810" s="315">
        <f t="shared" si="448"/>
        <v>0</v>
      </c>
    </row>
    <row r="1811" spans="1:23" hidden="1">
      <c r="A1811" s="63">
        <v>605400</v>
      </c>
      <c r="B1811" s="870" t="s">
        <v>1782</v>
      </c>
      <c r="C1811" s="871" t="s">
        <v>184</v>
      </c>
      <c r="D1811" s="881" t="s">
        <v>342</v>
      </c>
      <c r="E1811" s="882"/>
      <c r="F1811" s="883"/>
      <c r="G1811" s="887">
        <f>SUM(G1812:G1814)</f>
        <v>495.49675000000002</v>
      </c>
      <c r="H1811" s="876">
        <v>510.89</v>
      </c>
      <c r="I1811" s="876">
        <f>IF(ISBLANK(H1811),"",SUM(G1811:H1811))</f>
        <v>1006.38675</v>
      </c>
      <c r="J1811" s="877">
        <f t="shared" si="453"/>
        <v>1230.01</v>
      </c>
      <c r="K1811" s="878" t="s">
        <v>10</v>
      </c>
      <c r="L1811" s="1013">
        <f>ROUND(SUM(ORÇAMENTO!L1811),2)</f>
        <v>0</v>
      </c>
      <c r="M1811" s="1013">
        <f t="shared" si="460"/>
        <v>0</v>
      </c>
      <c r="N1811" s="868">
        <f t="shared" si="461"/>
        <v>0</v>
      </c>
      <c r="O1811" s="880"/>
      <c r="Q1811" s="317" t="str">
        <f t="shared" si="462"/>
        <v/>
      </c>
      <c r="R1811" s="317" t="str">
        <f t="shared" si="463"/>
        <v/>
      </c>
      <c r="S1811" s="317" t="str">
        <f t="shared" si="464"/>
        <v/>
      </c>
      <c r="V1811" s="314">
        <f>SUM(ORÇAMENTO!N1811)</f>
        <v>0</v>
      </c>
      <c r="W1811" s="315">
        <f t="shared" si="448"/>
        <v>0</v>
      </c>
    </row>
    <row r="1812" spans="1:23" hidden="1">
      <c r="A1812" s="63" t="s">
        <v>147</v>
      </c>
      <c r="B1812" s="870" t="s">
        <v>147</v>
      </c>
      <c r="C1812" s="871"/>
      <c r="D1812" s="881" t="s">
        <v>190</v>
      </c>
      <c r="E1812" s="882">
        <f>DMT!$D$20</f>
        <v>445</v>
      </c>
      <c r="F1812" s="883">
        <v>0.34399999999999997</v>
      </c>
      <c r="G1812" s="884">
        <f>IF(E1812&lt;=30,(0.78*E1812+7.82)*F1812,((0.78*30+7.82)+0.78*(E1812-30))*F1812)</f>
        <v>122.09247999999999</v>
      </c>
      <c r="H1812" s="876"/>
      <c r="I1812" s="876"/>
      <c r="J1812" s="877">
        <f t="shared" si="453"/>
        <v>0</v>
      </c>
      <c r="K1812" s="878"/>
      <c r="L1812" s="1013">
        <f>ROUND(SUM(ORÇAMENTO!L1812),2)</f>
        <v>0</v>
      </c>
      <c r="M1812" s="1013">
        <f t="shared" si="460"/>
        <v>0</v>
      </c>
      <c r="N1812" s="868">
        <f t="shared" si="461"/>
        <v>0</v>
      </c>
      <c r="O1812" s="880"/>
      <c r="P1812" s="36" t="str">
        <f>IF(N1811&gt;0,"xx",IF(N1811&gt;0,"xy",""))</f>
        <v/>
      </c>
      <c r="Q1812" s="317" t="str">
        <f t="shared" si="462"/>
        <v/>
      </c>
      <c r="R1812" s="317" t="str">
        <f t="shared" si="463"/>
        <v/>
      </c>
      <c r="S1812" s="317" t="str">
        <f t="shared" si="464"/>
        <v/>
      </c>
      <c r="V1812" s="314">
        <f>SUM(ORÇAMENTO!N1812)</f>
        <v>0</v>
      </c>
      <c r="W1812" s="315">
        <f t="shared" si="448"/>
        <v>0</v>
      </c>
    </row>
    <row r="1813" spans="1:23" hidden="1">
      <c r="A1813" s="63" t="s">
        <v>147</v>
      </c>
      <c r="B1813" s="870" t="s">
        <v>147</v>
      </c>
      <c r="C1813" s="871"/>
      <c r="D1813" s="881" t="s">
        <v>229</v>
      </c>
      <c r="E1813" s="882">
        <f>DMT!$F$8</f>
        <v>290</v>
      </c>
      <c r="F1813" s="883">
        <v>1.02</v>
      </c>
      <c r="G1813" s="923">
        <f t="shared" ref="G1813:G1814" si="465">IF(E1813&lt;=30,(1.07*E1813+2.68)*F1813,((1.07*30+2.68)+1.07*(E1813-30))*F1813)</f>
        <v>319.2396</v>
      </c>
      <c r="H1813" s="876"/>
      <c r="I1813" s="876"/>
      <c r="J1813" s="877">
        <f t="shared" si="453"/>
        <v>0</v>
      </c>
      <c r="K1813" s="878"/>
      <c r="L1813" s="1013">
        <f>ROUND(SUM(ORÇAMENTO!L1813),2)</f>
        <v>0</v>
      </c>
      <c r="M1813" s="1013">
        <f t="shared" si="460"/>
        <v>0</v>
      </c>
      <c r="N1813" s="868">
        <f t="shared" si="461"/>
        <v>0</v>
      </c>
      <c r="O1813" s="880"/>
      <c r="P1813" s="36" t="str">
        <f>IF(N1811&gt;0,"xx",IF(N1811&gt;0,"xy",""))</f>
        <v/>
      </c>
      <c r="Q1813" s="317" t="str">
        <f t="shared" si="462"/>
        <v/>
      </c>
      <c r="R1813" s="317" t="str">
        <f t="shared" si="463"/>
        <v/>
      </c>
      <c r="S1813" s="317" t="str">
        <f t="shared" si="464"/>
        <v/>
      </c>
      <c r="V1813" s="314">
        <f>SUM(ORÇAMENTO!N1813)</f>
        <v>0</v>
      </c>
      <c r="W1813" s="315">
        <f t="shared" ref="W1813:W1876" si="466">N1813-V1813</f>
        <v>0</v>
      </c>
    </row>
    <row r="1814" spans="1:23" hidden="1">
      <c r="A1814" s="63" t="s">
        <v>147</v>
      </c>
      <c r="B1814" s="870" t="s">
        <v>147</v>
      </c>
      <c r="C1814" s="871"/>
      <c r="D1814" s="881" t="s">
        <v>233</v>
      </c>
      <c r="E1814" s="882">
        <f>DMT!$F$10</f>
        <v>43.1</v>
      </c>
      <c r="F1814" s="883">
        <v>1.1100000000000001</v>
      </c>
      <c r="G1814" s="923">
        <f t="shared" si="465"/>
        <v>54.164670000000008</v>
      </c>
      <c r="H1814" s="876"/>
      <c r="I1814" s="876"/>
      <c r="J1814" s="877">
        <f t="shared" si="453"/>
        <v>0</v>
      </c>
      <c r="K1814" s="878"/>
      <c r="L1814" s="1013">
        <f>ROUND(SUM(ORÇAMENTO!L1814),2)</f>
        <v>0</v>
      </c>
      <c r="M1814" s="1013">
        <f t="shared" si="460"/>
        <v>0</v>
      </c>
      <c r="N1814" s="868">
        <f t="shared" si="461"/>
        <v>0</v>
      </c>
      <c r="O1814" s="880"/>
      <c r="P1814" s="36" t="str">
        <f>IF(N1811&gt;0,"xx",IF(N1811&gt;0,"xy",""))</f>
        <v/>
      </c>
      <c r="Q1814" s="317" t="str">
        <f t="shared" si="462"/>
        <v/>
      </c>
      <c r="R1814" s="317" t="str">
        <f t="shared" si="463"/>
        <v/>
      </c>
      <c r="S1814" s="317" t="str">
        <f t="shared" si="464"/>
        <v/>
      </c>
      <c r="V1814" s="314">
        <f>SUM(ORÇAMENTO!N1814)</f>
        <v>0</v>
      </c>
      <c r="W1814" s="315">
        <f t="shared" si="466"/>
        <v>0</v>
      </c>
    </row>
    <row r="1815" spans="1:23" hidden="1">
      <c r="A1815" s="63">
        <v>605500</v>
      </c>
      <c r="B1815" s="870">
        <v>605500</v>
      </c>
      <c r="C1815" s="871" t="s">
        <v>184</v>
      </c>
      <c r="D1815" s="881" t="s">
        <v>795</v>
      </c>
      <c r="E1815" s="882"/>
      <c r="F1815" s="883"/>
      <c r="G1815" s="887">
        <f>SUM(G1816:G1818)</f>
        <v>464.39533</v>
      </c>
      <c r="H1815" s="876">
        <v>532.64</v>
      </c>
      <c r="I1815" s="876">
        <f>IF(ISBLANK(H1815),"",SUM(G1815:H1815))</f>
        <v>997.03532999999993</v>
      </c>
      <c r="J1815" s="877">
        <f t="shared" si="453"/>
        <v>1218.58</v>
      </c>
      <c r="K1815" s="878" t="s">
        <v>10</v>
      </c>
      <c r="L1815" s="1013">
        <f>ROUND(SUM(ORÇAMENTO!L1815),2)</f>
        <v>0</v>
      </c>
      <c r="M1815" s="1013">
        <f t="shared" si="460"/>
        <v>0</v>
      </c>
      <c r="N1815" s="868">
        <f t="shared" si="461"/>
        <v>0</v>
      </c>
      <c r="O1815" s="880"/>
      <c r="Q1815" s="317" t="str">
        <f t="shared" si="462"/>
        <v/>
      </c>
      <c r="R1815" s="317" t="str">
        <f t="shared" si="463"/>
        <v/>
      </c>
      <c r="S1815" s="317" t="str">
        <f t="shared" si="464"/>
        <v/>
      </c>
      <c r="V1815" s="314">
        <f>SUM(ORÇAMENTO!N1815)</f>
        <v>0</v>
      </c>
      <c r="W1815" s="315">
        <f t="shared" si="466"/>
        <v>0</v>
      </c>
    </row>
    <row r="1816" spans="1:23" hidden="1">
      <c r="A1816" s="63" t="s">
        <v>147</v>
      </c>
      <c r="B1816" s="870" t="s">
        <v>147</v>
      </c>
      <c r="C1816" s="871"/>
      <c r="D1816" s="881" t="s">
        <v>190</v>
      </c>
      <c r="E1816" s="882">
        <f>DMT!$D$20</f>
        <v>445</v>
      </c>
      <c r="F1816" s="883">
        <v>0.38600000000000001</v>
      </c>
      <c r="G1816" s="884">
        <f>IF(E1816&lt;=30,(0.78*E1816+7.82)*F1816,((0.78*30+7.82)+0.78*(E1816-30))*F1816)</f>
        <v>136.99912</v>
      </c>
      <c r="H1816" s="876"/>
      <c r="I1816" s="876"/>
      <c r="J1816" s="877">
        <f t="shared" si="453"/>
        <v>0</v>
      </c>
      <c r="K1816" s="878"/>
      <c r="L1816" s="1013">
        <f>ROUND(SUM(ORÇAMENTO!L1816),2)</f>
        <v>0</v>
      </c>
      <c r="M1816" s="1013">
        <f t="shared" si="460"/>
        <v>0</v>
      </c>
      <c r="N1816" s="868">
        <f t="shared" si="461"/>
        <v>0</v>
      </c>
      <c r="O1816" s="880"/>
      <c r="P1816" s="36" t="str">
        <f>IF(N1815&gt;0,"xx",IF(N1815&gt;0,"xy",""))</f>
        <v/>
      </c>
      <c r="Q1816" s="317" t="str">
        <f t="shared" si="462"/>
        <v/>
      </c>
      <c r="R1816" s="317" t="str">
        <f t="shared" si="463"/>
        <v/>
      </c>
      <c r="S1816" s="317" t="str">
        <f t="shared" si="464"/>
        <v/>
      </c>
      <c r="V1816" s="314">
        <f>SUM(ORÇAMENTO!N1816)</f>
        <v>0</v>
      </c>
      <c r="W1816" s="315">
        <f t="shared" si="466"/>
        <v>0</v>
      </c>
    </row>
    <row r="1817" spans="1:23" hidden="1">
      <c r="A1817" s="63" t="s">
        <v>147</v>
      </c>
      <c r="B1817" s="870" t="s">
        <v>147</v>
      </c>
      <c r="C1817" s="871"/>
      <c r="D1817" s="881" t="s">
        <v>229</v>
      </c>
      <c r="E1817" s="882">
        <f>DMT!$F$8</f>
        <v>290</v>
      </c>
      <c r="F1817" s="883">
        <v>0.873</v>
      </c>
      <c r="G1817" s="923">
        <f t="shared" ref="G1817:G1818" si="467">IF(E1817&lt;=30,(1.07*E1817+2.68)*F1817,((1.07*30+2.68)+1.07*(E1817-30))*F1817)</f>
        <v>273.23154</v>
      </c>
      <c r="H1817" s="876"/>
      <c r="I1817" s="876"/>
      <c r="J1817" s="877">
        <f t="shared" si="453"/>
        <v>0</v>
      </c>
      <c r="K1817" s="878"/>
      <c r="L1817" s="1013">
        <f>ROUND(SUM(ORÇAMENTO!L1817),2)</f>
        <v>0</v>
      </c>
      <c r="M1817" s="1013">
        <f t="shared" si="460"/>
        <v>0</v>
      </c>
      <c r="N1817" s="868">
        <f t="shared" si="461"/>
        <v>0</v>
      </c>
      <c r="O1817" s="880"/>
      <c r="P1817" s="36" t="str">
        <f>IF(N1815&gt;0,"xx",IF(N1815&gt;0,"xy",""))</f>
        <v/>
      </c>
      <c r="Q1817" s="317" t="str">
        <f t="shared" si="462"/>
        <v/>
      </c>
      <c r="R1817" s="317" t="str">
        <f t="shared" si="463"/>
        <v/>
      </c>
      <c r="S1817" s="317" t="str">
        <f t="shared" si="464"/>
        <v/>
      </c>
      <c r="V1817" s="314">
        <f>SUM(ORÇAMENTO!N1817)</f>
        <v>0</v>
      </c>
      <c r="W1817" s="315">
        <f t="shared" si="466"/>
        <v>0</v>
      </c>
    </row>
    <row r="1818" spans="1:23" hidden="1">
      <c r="A1818" s="63" t="s">
        <v>147</v>
      </c>
      <c r="B1818" s="870" t="s">
        <v>147</v>
      </c>
      <c r="C1818" s="871"/>
      <c r="D1818" s="881" t="s">
        <v>233</v>
      </c>
      <c r="E1818" s="882">
        <f>DMT!$F$10</f>
        <v>43.1</v>
      </c>
      <c r="F1818" s="883">
        <v>1.1100000000000001</v>
      </c>
      <c r="G1818" s="923">
        <f t="shared" si="467"/>
        <v>54.164670000000008</v>
      </c>
      <c r="H1818" s="876"/>
      <c r="I1818" s="876"/>
      <c r="J1818" s="877">
        <f t="shared" si="453"/>
        <v>0</v>
      </c>
      <c r="K1818" s="878"/>
      <c r="L1818" s="1013">
        <f>ROUND(SUM(ORÇAMENTO!L1818),2)</f>
        <v>0</v>
      </c>
      <c r="M1818" s="1013">
        <f t="shared" si="460"/>
        <v>0</v>
      </c>
      <c r="N1818" s="868">
        <f t="shared" si="461"/>
        <v>0</v>
      </c>
      <c r="O1818" s="880"/>
      <c r="P1818" s="36" t="str">
        <f>IF(N1815&gt;0,"xx",IF(N1815&gt;0,"xy",""))</f>
        <v/>
      </c>
      <c r="Q1818" s="317" t="str">
        <f t="shared" si="462"/>
        <v/>
      </c>
      <c r="R1818" s="317" t="str">
        <f t="shared" si="463"/>
        <v/>
      </c>
      <c r="S1818" s="317" t="str">
        <f t="shared" si="464"/>
        <v/>
      </c>
      <c r="V1818" s="314">
        <f>SUM(ORÇAMENTO!N1818)</f>
        <v>0</v>
      </c>
      <c r="W1818" s="315">
        <f t="shared" si="466"/>
        <v>0</v>
      </c>
    </row>
    <row r="1819" spans="1:23" hidden="1">
      <c r="A1819" s="63">
        <v>605600</v>
      </c>
      <c r="B1819" s="870">
        <v>605600</v>
      </c>
      <c r="C1819" s="871" t="s">
        <v>184</v>
      </c>
      <c r="D1819" s="881" t="s">
        <v>796</v>
      </c>
      <c r="E1819" s="882"/>
      <c r="F1819" s="883"/>
      <c r="G1819" s="887">
        <f>SUM(G1820:G1822)</f>
        <v>462.58507000000003</v>
      </c>
      <c r="H1819" s="876">
        <v>544.65</v>
      </c>
      <c r="I1819" s="876">
        <f>IF(ISBLANK(H1819),"",SUM(G1819:H1819))</f>
        <v>1007.23507</v>
      </c>
      <c r="J1819" s="877">
        <f t="shared" si="453"/>
        <v>1231.04</v>
      </c>
      <c r="K1819" s="878" t="s">
        <v>10</v>
      </c>
      <c r="L1819" s="1013">
        <f>ROUND(SUM(ORÇAMENTO!L1819),2)</f>
        <v>0</v>
      </c>
      <c r="M1819" s="1013">
        <f t="shared" si="460"/>
        <v>0</v>
      </c>
      <c r="N1819" s="868">
        <f t="shared" si="461"/>
        <v>0</v>
      </c>
      <c r="O1819" s="880"/>
      <c r="Q1819" s="317" t="str">
        <f t="shared" si="462"/>
        <v/>
      </c>
      <c r="R1819" s="317" t="str">
        <f t="shared" si="463"/>
        <v/>
      </c>
      <c r="S1819" s="317" t="str">
        <f t="shared" si="464"/>
        <v/>
      </c>
      <c r="V1819" s="314">
        <f>SUM(ORÇAMENTO!N1819)</f>
        <v>0</v>
      </c>
      <c r="W1819" s="315">
        <f t="shared" si="466"/>
        <v>0</v>
      </c>
    </row>
    <row r="1820" spans="1:23" hidden="1">
      <c r="A1820" s="63" t="s">
        <v>147</v>
      </c>
      <c r="B1820" s="870" t="s">
        <v>147</v>
      </c>
      <c r="C1820" s="871"/>
      <c r="D1820" s="881" t="s">
        <v>190</v>
      </c>
      <c r="E1820" s="882">
        <f>DMT!$D$20</f>
        <v>445</v>
      </c>
      <c r="F1820" s="883">
        <v>0.41</v>
      </c>
      <c r="G1820" s="884">
        <f>IF(E1820&lt;=30,(0.78*E1820+7.82)*F1820,((0.78*30+7.82)+0.78*(E1820-30))*F1820)</f>
        <v>145.5172</v>
      </c>
      <c r="H1820" s="876"/>
      <c r="I1820" s="876"/>
      <c r="J1820" s="877">
        <f t="shared" si="453"/>
        <v>0</v>
      </c>
      <c r="K1820" s="878"/>
      <c r="L1820" s="1013">
        <f>ROUND(SUM(ORÇAMENTO!L1820),2)</f>
        <v>0</v>
      </c>
      <c r="M1820" s="1013">
        <f t="shared" si="460"/>
        <v>0</v>
      </c>
      <c r="N1820" s="868">
        <f t="shared" si="461"/>
        <v>0</v>
      </c>
      <c r="O1820" s="880"/>
      <c r="P1820" s="36" t="str">
        <f>IF(N1819&gt;0,"xx",IF(N1819&gt;0,"xy",""))</f>
        <v/>
      </c>
      <c r="Q1820" s="317" t="str">
        <f t="shared" si="462"/>
        <v/>
      </c>
      <c r="R1820" s="317" t="str">
        <f t="shared" si="463"/>
        <v/>
      </c>
      <c r="S1820" s="317" t="str">
        <f t="shared" si="464"/>
        <v/>
      </c>
      <c r="V1820" s="314">
        <f>SUM(ORÇAMENTO!N1820)</f>
        <v>0</v>
      </c>
      <c r="W1820" s="315">
        <f t="shared" si="466"/>
        <v>0</v>
      </c>
    </row>
    <row r="1821" spans="1:23" hidden="1">
      <c r="A1821" s="63" t="s">
        <v>147</v>
      </c>
      <c r="B1821" s="870" t="s">
        <v>147</v>
      </c>
      <c r="C1821" s="871"/>
      <c r="D1821" s="881" t="s">
        <v>229</v>
      </c>
      <c r="E1821" s="882">
        <f>DMT!$F$8</f>
        <v>290</v>
      </c>
      <c r="F1821" s="883">
        <v>0.84</v>
      </c>
      <c r="G1821" s="923">
        <f t="shared" ref="G1821:G1822" si="468">IF(E1821&lt;=30,(1.07*E1821+2.68)*F1821,((1.07*30+2.68)+1.07*(E1821-30))*F1821)</f>
        <v>262.90320000000003</v>
      </c>
      <c r="H1821" s="876"/>
      <c r="I1821" s="876"/>
      <c r="J1821" s="877">
        <f t="shared" si="453"/>
        <v>0</v>
      </c>
      <c r="K1821" s="878"/>
      <c r="L1821" s="1013">
        <f>ROUND(SUM(ORÇAMENTO!L1821),2)</f>
        <v>0</v>
      </c>
      <c r="M1821" s="1013">
        <f t="shared" si="460"/>
        <v>0</v>
      </c>
      <c r="N1821" s="868">
        <f t="shared" si="461"/>
        <v>0</v>
      </c>
      <c r="O1821" s="880"/>
      <c r="P1821" s="36" t="str">
        <f>IF(N1819&gt;0,"xx",IF(N1819&gt;0,"xy",""))</f>
        <v/>
      </c>
      <c r="Q1821" s="317" t="str">
        <f t="shared" si="462"/>
        <v/>
      </c>
      <c r="R1821" s="317" t="str">
        <f t="shared" si="463"/>
        <v/>
      </c>
      <c r="S1821" s="317" t="str">
        <f t="shared" si="464"/>
        <v/>
      </c>
      <c r="V1821" s="314">
        <f>SUM(ORÇAMENTO!N1821)</f>
        <v>0</v>
      </c>
      <c r="W1821" s="315">
        <f t="shared" si="466"/>
        <v>0</v>
      </c>
    </row>
    <row r="1822" spans="1:23" hidden="1">
      <c r="A1822" s="63" t="s">
        <v>147</v>
      </c>
      <c r="B1822" s="870" t="s">
        <v>147</v>
      </c>
      <c r="C1822" s="871"/>
      <c r="D1822" s="881" t="s">
        <v>233</v>
      </c>
      <c r="E1822" s="882">
        <f>DMT!$F$10</f>
        <v>43.1</v>
      </c>
      <c r="F1822" s="883">
        <v>1.1100000000000001</v>
      </c>
      <c r="G1822" s="923">
        <f t="shared" si="468"/>
        <v>54.164670000000008</v>
      </c>
      <c r="H1822" s="876"/>
      <c r="I1822" s="876"/>
      <c r="J1822" s="877">
        <f t="shared" si="453"/>
        <v>0</v>
      </c>
      <c r="K1822" s="878"/>
      <c r="L1822" s="1013">
        <f>ROUND(SUM(ORÇAMENTO!L1822),2)</f>
        <v>0</v>
      </c>
      <c r="M1822" s="1013">
        <f t="shared" si="460"/>
        <v>0</v>
      </c>
      <c r="N1822" s="868">
        <f t="shared" si="461"/>
        <v>0</v>
      </c>
      <c r="O1822" s="880"/>
      <c r="P1822" s="36" t="str">
        <f>IF(N1819&gt;0,"xx",IF(N1819&gt;0,"xy",""))</f>
        <v/>
      </c>
      <c r="Q1822" s="317" t="str">
        <f t="shared" si="462"/>
        <v/>
      </c>
      <c r="R1822" s="317" t="str">
        <f t="shared" si="463"/>
        <v/>
      </c>
      <c r="S1822" s="317" t="str">
        <f t="shared" si="464"/>
        <v/>
      </c>
      <c r="V1822" s="314">
        <f>SUM(ORÇAMENTO!N1822)</f>
        <v>0</v>
      </c>
      <c r="W1822" s="315">
        <f t="shared" si="466"/>
        <v>0</v>
      </c>
    </row>
    <row r="1823" spans="1:23" hidden="1">
      <c r="A1823" s="63">
        <v>605700</v>
      </c>
      <c r="B1823" s="870">
        <v>605700</v>
      </c>
      <c r="C1823" s="871" t="s">
        <v>184</v>
      </c>
      <c r="D1823" s="881" t="s">
        <v>797</v>
      </c>
      <c r="E1823" s="882"/>
      <c r="F1823" s="883"/>
      <c r="G1823" s="887">
        <f>SUM(G1824:G1826)</f>
        <v>464.98877000000005</v>
      </c>
      <c r="H1823" s="876">
        <v>555.25</v>
      </c>
      <c r="I1823" s="876">
        <f>IF(ISBLANK(H1823),"",SUM(G1823:H1823))</f>
        <v>1020.23877</v>
      </c>
      <c r="J1823" s="877">
        <f t="shared" si="453"/>
        <v>1246.94</v>
      </c>
      <c r="K1823" s="878" t="s">
        <v>10</v>
      </c>
      <c r="L1823" s="1013">
        <f>ROUND(SUM(ORÇAMENTO!L1823),2)</f>
        <v>0</v>
      </c>
      <c r="M1823" s="1013">
        <f t="shared" si="460"/>
        <v>0</v>
      </c>
      <c r="N1823" s="868">
        <f t="shared" si="461"/>
        <v>0</v>
      </c>
      <c r="O1823" s="880"/>
      <c r="Q1823" s="317" t="str">
        <f t="shared" si="462"/>
        <v/>
      </c>
      <c r="R1823" s="317" t="str">
        <f t="shared" si="463"/>
        <v/>
      </c>
      <c r="S1823" s="317" t="str">
        <f t="shared" si="464"/>
        <v/>
      </c>
      <c r="V1823" s="314">
        <f>SUM(ORÇAMENTO!N1823)</f>
        <v>0</v>
      </c>
      <c r="W1823" s="315">
        <f t="shared" si="466"/>
        <v>0</v>
      </c>
    </row>
    <row r="1824" spans="1:23" hidden="1">
      <c r="A1824" s="63" t="s">
        <v>147</v>
      </c>
      <c r="B1824" s="870" t="s">
        <v>147</v>
      </c>
      <c r="C1824" s="871"/>
      <c r="D1824" s="881" t="s">
        <v>190</v>
      </c>
      <c r="E1824" s="882">
        <f>DMT!$D$20</f>
        <v>445</v>
      </c>
      <c r="F1824" s="883">
        <v>0.43</v>
      </c>
      <c r="G1824" s="884">
        <f>IF(E1824&lt;=30,(0.78*E1824+7.82)*F1824,((0.78*30+7.82)+0.78*(E1824-30))*F1824)</f>
        <v>152.6156</v>
      </c>
      <c r="H1824" s="876"/>
      <c r="I1824" s="876"/>
      <c r="J1824" s="877">
        <f t="shared" si="453"/>
        <v>0</v>
      </c>
      <c r="K1824" s="878"/>
      <c r="L1824" s="1013">
        <f>ROUND(SUM(ORÇAMENTO!L1824),2)</f>
        <v>0</v>
      </c>
      <c r="M1824" s="1013">
        <f t="shared" si="460"/>
        <v>0</v>
      </c>
      <c r="N1824" s="868">
        <f t="shared" si="461"/>
        <v>0</v>
      </c>
      <c r="O1824" s="880"/>
      <c r="P1824" s="36" t="str">
        <f>IF(N1823&gt;0,"xx",IF(N1823&gt;0,"xy",""))</f>
        <v/>
      </c>
      <c r="Q1824" s="317" t="str">
        <f t="shared" si="462"/>
        <v/>
      </c>
      <c r="R1824" s="317" t="str">
        <f t="shared" si="463"/>
        <v/>
      </c>
      <c r="S1824" s="317" t="str">
        <f t="shared" si="464"/>
        <v/>
      </c>
      <c r="V1824" s="314">
        <f>SUM(ORÇAMENTO!N1824)</f>
        <v>0</v>
      </c>
      <c r="W1824" s="315">
        <f t="shared" si="466"/>
        <v>0</v>
      </c>
    </row>
    <row r="1825" spans="1:23" hidden="1">
      <c r="A1825" s="63" t="s">
        <v>147</v>
      </c>
      <c r="B1825" s="870" t="s">
        <v>147</v>
      </c>
      <c r="C1825" s="871"/>
      <c r="D1825" s="881" t="s">
        <v>229</v>
      </c>
      <c r="E1825" s="882">
        <f>DMT!$F$8</f>
        <v>290</v>
      </c>
      <c r="F1825" s="883">
        <v>0.82499999999999996</v>
      </c>
      <c r="G1825" s="923">
        <f t="shared" ref="G1825:G1826" si="469">IF(E1825&lt;=30,(1.07*E1825+2.68)*F1825,((1.07*30+2.68)+1.07*(E1825-30))*F1825)</f>
        <v>258.20850000000002</v>
      </c>
      <c r="H1825" s="876"/>
      <c r="I1825" s="876"/>
      <c r="J1825" s="877">
        <f t="shared" si="453"/>
        <v>0</v>
      </c>
      <c r="K1825" s="878"/>
      <c r="L1825" s="1013">
        <f>ROUND(SUM(ORÇAMENTO!L1825),2)</f>
        <v>0</v>
      </c>
      <c r="M1825" s="1013">
        <f t="shared" si="460"/>
        <v>0</v>
      </c>
      <c r="N1825" s="868">
        <f t="shared" si="461"/>
        <v>0</v>
      </c>
      <c r="O1825" s="880"/>
      <c r="P1825" s="36" t="str">
        <f>IF(N1823&gt;0,"xx",IF(N1823&gt;0,"xy",""))</f>
        <v/>
      </c>
      <c r="Q1825" s="317" t="str">
        <f t="shared" si="462"/>
        <v/>
      </c>
      <c r="R1825" s="317" t="str">
        <f t="shared" si="463"/>
        <v/>
      </c>
      <c r="S1825" s="317" t="str">
        <f t="shared" si="464"/>
        <v/>
      </c>
      <c r="V1825" s="314">
        <f>SUM(ORÇAMENTO!N1825)</f>
        <v>0</v>
      </c>
      <c r="W1825" s="315">
        <f t="shared" si="466"/>
        <v>0</v>
      </c>
    </row>
    <row r="1826" spans="1:23" hidden="1">
      <c r="A1826" s="63" t="s">
        <v>147</v>
      </c>
      <c r="B1826" s="870" t="s">
        <v>147</v>
      </c>
      <c r="C1826" s="871"/>
      <c r="D1826" s="881" t="s">
        <v>233</v>
      </c>
      <c r="E1826" s="882">
        <f>DMT!$F$10</f>
        <v>43.1</v>
      </c>
      <c r="F1826" s="883">
        <v>1.1100000000000001</v>
      </c>
      <c r="G1826" s="923">
        <f t="shared" si="469"/>
        <v>54.164670000000008</v>
      </c>
      <c r="H1826" s="876"/>
      <c r="I1826" s="876"/>
      <c r="J1826" s="877">
        <f t="shared" si="453"/>
        <v>0</v>
      </c>
      <c r="K1826" s="878"/>
      <c r="L1826" s="1013">
        <f>ROUND(SUM(ORÇAMENTO!L1826),2)</f>
        <v>0</v>
      </c>
      <c r="M1826" s="1013">
        <f t="shared" si="460"/>
        <v>0</v>
      </c>
      <c r="N1826" s="868">
        <f t="shared" si="461"/>
        <v>0</v>
      </c>
      <c r="O1826" s="880"/>
      <c r="P1826" s="36" t="str">
        <f>IF(N1823&gt;0,"xx",IF(N1823&gt;0,"xy",""))</f>
        <v/>
      </c>
      <c r="Q1826" s="317" t="str">
        <f t="shared" si="462"/>
        <v/>
      </c>
      <c r="R1826" s="317" t="str">
        <f t="shared" si="463"/>
        <v/>
      </c>
      <c r="S1826" s="317" t="str">
        <f t="shared" si="464"/>
        <v/>
      </c>
      <c r="V1826" s="314">
        <f>SUM(ORÇAMENTO!N1826)</f>
        <v>0</v>
      </c>
      <c r="W1826" s="315">
        <f t="shared" si="466"/>
        <v>0</v>
      </c>
    </row>
    <row r="1827" spans="1:23" hidden="1">
      <c r="A1827" s="63">
        <v>605800</v>
      </c>
      <c r="B1827" s="870">
        <v>605800</v>
      </c>
      <c r="C1827" s="871" t="s">
        <v>184</v>
      </c>
      <c r="D1827" s="881" t="s">
        <v>798</v>
      </c>
      <c r="E1827" s="882"/>
      <c r="F1827" s="883"/>
      <c r="G1827" s="887">
        <f>SUM(G1828:G1830)</f>
        <v>466.76337000000001</v>
      </c>
      <c r="H1827" s="876">
        <v>558.08000000000004</v>
      </c>
      <c r="I1827" s="876">
        <f>IF(ISBLANK(H1827),"",SUM(G1827:H1827))</f>
        <v>1024.84337</v>
      </c>
      <c r="J1827" s="877">
        <f t="shared" si="453"/>
        <v>1252.56</v>
      </c>
      <c r="K1827" s="878" t="s">
        <v>10</v>
      </c>
      <c r="L1827" s="1013">
        <f>ROUND(SUM(ORÇAMENTO!L1827),2)</f>
        <v>0</v>
      </c>
      <c r="M1827" s="1013">
        <f t="shared" si="460"/>
        <v>0</v>
      </c>
      <c r="N1827" s="868">
        <f t="shared" si="461"/>
        <v>0</v>
      </c>
      <c r="O1827" s="880"/>
      <c r="Q1827" s="317" t="str">
        <f t="shared" si="462"/>
        <v/>
      </c>
      <c r="R1827" s="317" t="str">
        <f t="shared" si="463"/>
        <v/>
      </c>
      <c r="S1827" s="317" t="str">
        <f t="shared" si="464"/>
        <v/>
      </c>
      <c r="V1827" s="314">
        <f>SUM(ORÇAMENTO!N1827)</f>
        <v>0</v>
      </c>
      <c r="W1827" s="315">
        <f t="shared" si="466"/>
        <v>0</v>
      </c>
    </row>
    <row r="1828" spans="1:23" hidden="1">
      <c r="A1828" s="63" t="s">
        <v>147</v>
      </c>
      <c r="B1828" s="870" t="s">
        <v>147</v>
      </c>
      <c r="C1828" s="871"/>
      <c r="D1828" s="881" t="s">
        <v>190</v>
      </c>
      <c r="E1828" s="882">
        <f>DMT!$D$20</f>
        <v>445</v>
      </c>
      <c r="F1828" s="883">
        <v>0.435</v>
      </c>
      <c r="G1828" s="884">
        <f>IF(E1828&lt;=30,(0.78*E1828+7.82)*F1828,((0.78*30+7.82)+0.78*(E1828-30))*F1828)</f>
        <v>154.39019999999999</v>
      </c>
      <c r="H1828" s="876"/>
      <c r="I1828" s="876"/>
      <c r="J1828" s="877">
        <f t="shared" si="453"/>
        <v>0</v>
      </c>
      <c r="K1828" s="878"/>
      <c r="L1828" s="1013">
        <f>ROUND(SUM(ORÇAMENTO!L1828),2)</f>
        <v>0</v>
      </c>
      <c r="M1828" s="1013">
        <f t="shared" si="460"/>
        <v>0</v>
      </c>
      <c r="N1828" s="868">
        <f t="shared" si="461"/>
        <v>0</v>
      </c>
      <c r="O1828" s="880"/>
      <c r="P1828" s="36" t="str">
        <f>IF(N1827&gt;0,"xx",IF(N1827&gt;0,"xy",""))</f>
        <v/>
      </c>
      <c r="Q1828" s="317" t="str">
        <f t="shared" si="462"/>
        <v/>
      </c>
      <c r="R1828" s="317" t="str">
        <f t="shared" si="463"/>
        <v/>
      </c>
      <c r="S1828" s="317" t="str">
        <f t="shared" si="464"/>
        <v/>
      </c>
      <c r="V1828" s="314">
        <f>SUM(ORÇAMENTO!N1828)</f>
        <v>0</v>
      </c>
      <c r="W1828" s="315">
        <f t="shared" si="466"/>
        <v>0</v>
      </c>
    </row>
    <row r="1829" spans="1:23" hidden="1">
      <c r="A1829" s="63" t="s">
        <v>147</v>
      </c>
      <c r="B1829" s="870" t="s">
        <v>147</v>
      </c>
      <c r="C1829" s="871"/>
      <c r="D1829" s="881" t="s">
        <v>229</v>
      </c>
      <c r="E1829" s="882">
        <f>DMT!$F$8</f>
        <v>290</v>
      </c>
      <c r="F1829" s="883">
        <v>0.82499999999999996</v>
      </c>
      <c r="G1829" s="923">
        <f t="shared" ref="G1829:G1830" si="470">IF(E1829&lt;=30,(1.07*E1829+2.68)*F1829,((1.07*30+2.68)+1.07*(E1829-30))*F1829)</f>
        <v>258.20850000000002</v>
      </c>
      <c r="H1829" s="876"/>
      <c r="I1829" s="876"/>
      <c r="J1829" s="877">
        <f t="shared" si="453"/>
        <v>0</v>
      </c>
      <c r="K1829" s="878"/>
      <c r="L1829" s="1013">
        <f>ROUND(SUM(ORÇAMENTO!L1829),2)</f>
        <v>0</v>
      </c>
      <c r="M1829" s="1013">
        <f t="shared" si="460"/>
        <v>0</v>
      </c>
      <c r="N1829" s="868">
        <f t="shared" si="461"/>
        <v>0</v>
      </c>
      <c r="O1829" s="880"/>
      <c r="P1829" s="36" t="str">
        <f>IF(N1827&gt;0,"xx",IF(N1827&gt;0,"xy",""))</f>
        <v/>
      </c>
      <c r="Q1829" s="317" t="str">
        <f t="shared" si="462"/>
        <v/>
      </c>
      <c r="R1829" s="317" t="str">
        <f t="shared" si="463"/>
        <v/>
      </c>
      <c r="S1829" s="317" t="str">
        <f t="shared" si="464"/>
        <v/>
      </c>
      <c r="V1829" s="314">
        <f>SUM(ORÇAMENTO!N1829)</f>
        <v>0</v>
      </c>
      <c r="W1829" s="315">
        <f t="shared" si="466"/>
        <v>0</v>
      </c>
    </row>
    <row r="1830" spans="1:23" hidden="1">
      <c r="A1830" s="63" t="s">
        <v>147</v>
      </c>
      <c r="B1830" s="870" t="s">
        <v>147</v>
      </c>
      <c r="C1830" s="871"/>
      <c r="D1830" s="881" t="s">
        <v>233</v>
      </c>
      <c r="E1830" s="882">
        <f>DMT!$F$10</f>
        <v>43.1</v>
      </c>
      <c r="F1830" s="883">
        <v>1.1100000000000001</v>
      </c>
      <c r="G1830" s="923">
        <f t="shared" si="470"/>
        <v>54.164670000000008</v>
      </c>
      <c r="H1830" s="876"/>
      <c r="I1830" s="876"/>
      <c r="J1830" s="877">
        <f t="shared" si="453"/>
        <v>0</v>
      </c>
      <c r="K1830" s="878"/>
      <c r="L1830" s="1013">
        <f>ROUND(SUM(ORÇAMENTO!L1830),2)</f>
        <v>0</v>
      </c>
      <c r="M1830" s="1013">
        <f t="shared" si="460"/>
        <v>0</v>
      </c>
      <c r="N1830" s="868">
        <f t="shared" si="461"/>
        <v>0</v>
      </c>
      <c r="O1830" s="880"/>
      <c r="P1830" s="36" t="str">
        <f>IF(N1827&gt;0,"xx",IF(N1827&gt;0,"xy",""))</f>
        <v/>
      </c>
      <c r="Q1830" s="317" t="str">
        <f t="shared" si="462"/>
        <v/>
      </c>
      <c r="R1830" s="317" t="str">
        <f t="shared" si="463"/>
        <v/>
      </c>
      <c r="S1830" s="317" t="str">
        <f t="shared" si="464"/>
        <v/>
      </c>
      <c r="V1830" s="314">
        <f>SUM(ORÇAMENTO!N1830)</f>
        <v>0</v>
      </c>
      <c r="W1830" s="315">
        <f t="shared" si="466"/>
        <v>0</v>
      </c>
    </row>
    <row r="1831" spans="1:23" hidden="1">
      <c r="A1831" s="63">
        <v>605900</v>
      </c>
      <c r="B1831" s="870">
        <v>605900</v>
      </c>
      <c r="C1831" s="871" t="s">
        <v>184</v>
      </c>
      <c r="D1831" s="881" t="s">
        <v>799</v>
      </c>
      <c r="E1831" s="882"/>
      <c r="F1831" s="883"/>
      <c r="G1831" s="887">
        <f>SUM(G1832:G1834)</f>
        <v>468.65066999999999</v>
      </c>
      <c r="H1831" s="876">
        <v>581.4</v>
      </c>
      <c r="I1831" s="876">
        <f>IF(ISBLANK(H1831),"",SUM(G1831:H1831))</f>
        <v>1050.0506700000001</v>
      </c>
      <c r="J1831" s="877">
        <f t="shared" si="453"/>
        <v>1283.3699999999999</v>
      </c>
      <c r="K1831" s="878" t="s">
        <v>10</v>
      </c>
      <c r="L1831" s="1013">
        <f>ROUND(SUM(ORÇAMENTO!L1831),2)</f>
        <v>0</v>
      </c>
      <c r="M1831" s="1013">
        <f t="shared" si="460"/>
        <v>0</v>
      </c>
      <c r="N1831" s="868">
        <f t="shared" si="461"/>
        <v>0</v>
      </c>
      <c r="O1831" s="880"/>
      <c r="Q1831" s="317" t="str">
        <f t="shared" si="462"/>
        <v/>
      </c>
      <c r="R1831" s="317" t="str">
        <f t="shared" si="463"/>
        <v/>
      </c>
      <c r="S1831" s="317" t="str">
        <f t="shared" si="464"/>
        <v/>
      </c>
      <c r="V1831" s="314">
        <f>SUM(ORÇAMENTO!N1831)</f>
        <v>0</v>
      </c>
      <c r="W1831" s="315">
        <f t="shared" si="466"/>
        <v>0</v>
      </c>
    </row>
    <row r="1832" spans="1:23" hidden="1">
      <c r="A1832" s="63" t="s">
        <v>147</v>
      </c>
      <c r="B1832" s="870" t="s">
        <v>147</v>
      </c>
      <c r="C1832" s="871"/>
      <c r="D1832" s="881" t="s">
        <v>190</v>
      </c>
      <c r="E1832" s="882">
        <f>DMT!$D$20</f>
        <v>445</v>
      </c>
      <c r="F1832" s="883">
        <v>0.48</v>
      </c>
      <c r="G1832" s="884">
        <f>IF(E1832&lt;=30,(0.78*E1832+7.82)*F1832,((0.78*30+7.82)+0.78*(E1832-30))*F1832)</f>
        <v>170.36160000000001</v>
      </c>
      <c r="H1832" s="876"/>
      <c r="I1832" s="876"/>
      <c r="J1832" s="877">
        <f t="shared" si="453"/>
        <v>0</v>
      </c>
      <c r="K1832" s="878"/>
      <c r="L1832" s="1013">
        <f>ROUND(SUM(ORÇAMENTO!L1832),2)</f>
        <v>0</v>
      </c>
      <c r="M1832" s="1013">
        <f t="shared" si="460"/>
        <v>0</v>
      </c>
      <c r="N1832" s="868">
        <f t="shared" si="461"/>
        <v>0</v>
      </c>
      <c r="O1832" s="880"/>
      <c r="P1832" s="36" t="str">
        <f>IF(N1831&gt;0,"xx",IF(N1831&gt;0,"xy",""))</f>
        <v/>
      </c>
      <c r="Q1832" s="317" t="str">
        <f t="shared" si="462"/>
        <v/>
      </c>
      <c r="R1832" s="317" t="str">
        <f t="shared" si="463"/>
        <v/>
      </c>
      <c r="S1832" s="317" t="str">
        <f t="shared" si="464"/>
        <v/>
      </c>
      <c r="V1832" s="314">
        <f>SUM(ORÇAMENTO!N1832)</f>
        <v>0</v>
      </c>
      <c r="W1832" s="315">
        <f t="shared" si="466"/>
        <v>0</v>
      </c>
    </row>
    <row r="1833" spans="1:23" hidden="1">
      <c r="A1833" s="63" t="s">
        <v>147</v>
      </c>
      <c r="B1833" s="870" t="s">
        <v>147</v>
      </c>
      <c r="C1833" s="871"/>
      <c r="D1833" s="881" t="s">
        <v>229</v>
      </c>
      <c r="E1833" s="882">
        <f>DMT!$F$8</f>
        <v>290</v>
      </c>
      <c r="F1833" s="883">
        <v>0.78</v>
      </c>
      <c r="G1833" s="923">
        <f t="shared" ref="G1833:G1834" si="471">IF(E1833&lt;=30,(1.07*E1833+2.68)*F1833,((1.07*30+2.68)+1.07*(E1833-30))*F1833)</f>
        <v>244.12440000000001</v>
      </c>
      <c r="H1833" s="876"/>
      <c r="I1833" s="876"/>
      <c r="J1833" s="877">
        <f t="shared" si="453"/>
        <v>0</v>
      </c>
      <c r="K1833" s="878"/>
      <c r="L1833" s="1013">
        <f>ROUND(SUM(ORÇAMENTO!L1833),2)</f>
        <v>0</v>
      </c>
      <c r="M1833" s="1013">
        <f t="shared" si="460"/>
        <v>0</v>
      </c>
      <c r="N1833" s="868">
        <f t="shared" si="461"/>
        <v>0</v>
      </c>
      <c r="O1833" s="880"/>
      <c r="P1833" s="36" t="str">
        <f>IF(N1831&gt;0,"xx",IF(N1831&gt;0,"xy",""))</f>
        <v/>
      </c>
      <c r="Q1833" s="317" t="str">
        <f t="shared" si="462"/>
        <v/>
      </c>
      <c r="R1833" s="317" t="str">
        <f t="shared" si="463"/>
        <v/>
      </c>
      <c r="S1833" s="317" t="str">
        <f t="shared" si="464"/>
        <v/>
      </c>
      <c r="V1833" s="314">
        <f>SUM(ORÇAMENTO!N1833)</f>
        <v>0</v>
      </c>
      <c r="W1833" s="315">
        <f t="shared" si="466"/>
        <v>0</v>
      </c>
    </row>
    <row r="1834" spans="1:23" hidden="1">
      <c r="A1834" s="63" t="s">
        <v>147</v>
      </c>
      <c r="B1834" s="870" t="s">
        <v>147</v>
      </c>
      <c r="C1834" s="871"/>
      <c r="D1834" s="881" t="s">
        <v>233</v>
      </c>
      <c r="E1834" s="882">
        <f>DMT!$F$10</f>
        <v>43.1</v>
      </c>
      <c r="F1834" s="883">
        <v>1.1100000000000001</v>
      </c>
      <c r="G1834" s="923">
        <f t="shared" si="471"/>
        <v>54.164670000000008</v>
      </c>
      <c r="H1834" s="876"/>
      <c r="I1834" s="876"/>
      <c r="J1834" s="877">
        <f t="shared" si="453"/>
        <v>0</v>
      </c>
      <c r="K1834" s="878"/>
      <c r="L1834" s="1013">
        <f>ROUND(SUM(ORÇAMENTO!L1834),2)</f>
        <v>0</v>
      </c>
      <c r="M1834" s="1013">
        <f t="shared" si="460"/>
        <v>0</v>
      </c>
      <c r="N1834" s="868">
        <f t="shared" si="461"/>
        <v>0</v>
      </c>
      <c r="O1834" s="880"/>
      <c r="P1834" s="36" t="str">
        <f>IF(N1831&gt;0,"xx",IF(N1831&gt;0,"xy",""))</f>
        <v/>
      </c>
      <c r="Q1834" s="317" t="str">
        <f t="shared" si="462"/>
        <v/>
      </c>
      <c r="R1834" s="317" t="str">
        <f t="shared" si="463"/>
        <v/>
      </c>
      <c r="S1834" s="317" t="str">
        <f t="shared" si="464"/>
        <v/>
      </c>
      <c r="V1834" s="314">
        <f>SUM(ORÇAMENTO!N1834)</f>
        <v>0</v>
      </c>
      <c r="W1834" s="315">
        <f t="shared" si="466"/>
        <v>0</v>
      </c>
    </row>
    <row r="1835" spans="1:23" hidden="1">
      <c r="A1835" s="63">
        <v>606200</v>
      </c>
      <c r="B1835" s="870">
        <v>606200</v>
      </c>
      <c r="C1835" s="871" t="s">
        <v>184</v>
      </c>
      <c r="D1835" s="881" t="s">
        <v>800</v>
      </c>
      <c r="E1835" s="882"/>
      <c r="F1835" s="883"/>
      <c r="G1835" s="887">
        <f>SUM(G1836:G1838)</f>
        <v>470.61871000000002</v>
      </c>
      <c r="H1835" s="876">
        <v>598.07000000000005</v>
      </c>
      <c r="I1835" s="876">
        <f>IF(ISBLANK(H1835),"",SUM(G1835:H1835))</f>
        <v>1068.6887100000001</v>
      </c>
      <c r="J1835" s="877">
        <f t="shared" si="453"/>
        <v>1306.1500000000001</v>
      </c>
      <c r="K1835" s="878" t="s">
        <v>10</v>
      </c>
      <c r="L1835" s="1013">
        <f>ROUND(SUM(ORÇAMENTO!L1835),2)</f>
        <v>0</v>
      </c>
      <c r="M1835" s="1013">
        <f t="shared" si="460"/>
        <v>0</v>
      </c>
      <c r="N1835" s="868">
        <f t="shared" si="461"/>
        <v>0</v>
      </c>
      <c r="O1835" s="880"/>
      <c r="Q1835" s="317" t="str">
        <f t="shared" si="462"/>
        <v/>
      </c>
      <c r="R1835" s="317" t="str">
        <f t="shared" si="463"/>
        <v/>
      </c>
      <c r="S1835" s="317" t="str">
        <f t="shared" si="464"/>
        <v/>
      </c>
      <c r="V1835" s="314">
        <f>SUM(ORÇAMENTO!N1835)</f>
        <v>0</v>
      </c>
      <c r="W1835" s="315">
        <f t="shared" si="466"/>
        <v>0</v>
      </c>
    </row>
    <row r="1836" spans="1:23" hidden="1">
      <c r="A1836" s="63" t="s">
        <v>147</v>
      </c>
      <c r="B1836" s="870" t="s">
        <v>147</v>
      </c>
      <c r="C1836" s="871"/>
      <c r="D1836" s="881" t="s">
        <v>190</v>
      </c>
      <c r="E1836" s="882">
        <f>DMT!$D$20</f>
        <v>445</v>
      </c>
      <c r="F1836" s="883">
        <v>0.51200000000000001</v>
      </c>
      <c r="G1836" s="884">
        <f>IF(E1836&lt;=30,(0.78*E1836+7.82)*F1836,((0.78*30+7.82)+0.78*(E1836-30))*F1836)</f>
        <v>181.71904000000001</v>
      </c>
      <c r="H1836" s="876"/>
      <c r="I1836" s="876"/>
      <c r="J1836" s="877">
        <f t="shared" si="453"/>
        <v>0</v>
      </c>
      <c r="K1836" s="878"/>
      <c r="L1836" s="1013">
        <f>ROUND(SUM(ORÇAMENTO!L1836),2)</f>
        <v>0</v>
      </c>
      <c r="M1836" s="1013">
        <f t="shared" si="460"/>
        <v>0</v>
      </c>
      <c r="N1836" s="868">
        <f t="shared" si="461"/>
        <v>0</v>
      </c>
      <c r="O1836" s="880"/>
      <c r="P1836" s="36" t="str">
        <f>IF(N1835&gt;0,"xx",IF(N1835&gt;0,"xy",""))</f>
        <v/>
      </c>
      <c r="Q1836" s="317" t="str">
        <f t="shared" si="462"/>
        <v/>
      </c>
      <c r="R1836" s="317" t="str">
        <f t="shared" si="463"/>
        <v/>
      </c>
      <c r="S1836" s="317" t="str">
        <f t="shared" si="464"/>
        <v/>
      </c>
      <c r="V1836" s="314">
        <f>SUM(ORÇAMENTO!N1836)</f>
        <v>0</v>
      </c>
      <c r="W1836" s="315">
        <f t="shared" si="466"/>
        <v>0</v>
      </c>
    </row>
    <row r="1837" spans="1:23" hidden="1">
      <c r="A1837" s="63" t="s">
        <v>147</v>
      </c>
      <c r="B1837" s="870" t="s">
        <v>147</v>
      </c>
      <c r="C1837" s="871"/>
      <c r="D1837" s="881" t="s">
        <v>229</v>
      </c>
      <c r="E1837" s="882">
        <f>DMT!$F$8</f>
        <v>290</v>
      </c>
      <c r="F1837" s="883">
        <v>0.75</v>
      </c>
      <c r="G1837" s="923">
        <f t="shared" ref="G1837:G1838" si="472">IF(E1837&lt;=30,(1.07*E1837+2.68)*F1837,((1.07*30+2.68)+1.07*(E1837-30))*F1837)</f>
        <v>234.73500000000001</v>
      </c>
      <c r="H1837" s="876"/>
      <c r="I1837" s="876"/>
      <c r="J1837" s="877">
        <f t="shared" si="453"/>
        <v>0</v>
      </c>
      <c r="K1837" s="878"/>
      <c r="L1837" s="1013">
        <f>ROUND(SUM(ORÇAMENTO!L1837),2)</f>
        <v>0</v>
      </c>
      <c r="M1837" s="1013">
        <f t="shared" si="460"/>
        <v>0</v>
      </c>
      <c r="N1837" s="868">
        <f t="shared" si="461"/>
        <v>0</v>
      </c>
      <c r="O1837" s="880"/>
      <c r="P1837" s="36" t="str">
        <f>IF(N1835&gt;0,"xx",IF(N1835&gt;0,"xy",""))</f>
        <v/>
      </c>
      <c r="Q1837" s="317" t="str">
        <f t="shared" si="462"/>
        <v/>
      </c>
      <c r="R1837" s="317" t="str">
        <f t="shared" si="463"/>
        <v/>
      </c>
      <c r="S1837" s="317" t="str">
        <f t="shared" si="464"/>
        <v/>
      </c>
      <c r="V1837" s="314">
        <f>SUM(ORÇAMENTO!N1837)</f>
        <v>0</v>
      </c>
      <c r="W1837" s="315">
        <f t="shared" si="466"/>
        <v>0</v>
      </c>
    </row>
    <row r="1838" spans="1:23" hidden="1">
      <c r="A1838" s="63" t="s">
        <v>147</v>
      </c>
      <c r="B1838" s="870" t="s">
        <v>147</v>
      </c>
      <c r="C1838" s="871"/>
      <c r="D1838" s="881" t="s">
        <v>233</v>
      </c>
      <c r="E1838" s="882">
        <f>DMT!$F$10</f>
        <v>43.1</v>
      </c>
      <c r="F1838" s="883">
        <v>1.1100000000000001</v>
      </c>
      <c r="G1838" s="923">
        <f t="shared" si="472"/>
        <v>54.164670000000008</v>
      </c>
      <c r="H1838" s="876"/>
      <c r="I1838" s="876"/>
      <c r="J1838" s="877">
        <f t="shared" si="453"/>
        <v>0</v>
      </c>
      <c r="K1838" s="878"/>
      <c r="L1838" s="1013">
        <f>ROUND(SUM(ORÇAMENTO!L1838),2)</f>
        <v>0</v>
      </c>
      <c r="M1838" s="1013">
        <f t="shared" si="460"/>
        <v>0</v>
      </c>
      <c r="N1838" s="868">
        <f t="shared" si="461"/>
        <v>0</v>
      </c>
      <c r="O1838" s="880"/>
      <c r="P1838" s="36" t="str">
        <f>IF(N1835&gt;0,"xx",IF(N1835&gt;0,"xy",""))</f>
        <v/>
      </c>
      <c r="Q1838" s="317" t="str">
        <f t="shared" si="462"/>
        <v/>
      </c>
      <c r="R1838" s="317" t="str">
        <f t="shared" si="463"/>
        <v/>
      </c>
      <c r="S1838" s="317" t="str">
        <f t="shared" si="464"/>
        <v/>
      </c>
      <c r="V1838" s="314">
        <f>SUM(ORÇAMENTO!N1838)</f>
        <v>0</v>
      </c>
      <c r="W1838" s="315">
        <f t="shared" si="466"/>
        <v>0</v>
      </c>
    </row>
    <row r="1839" spans="1:23" hidden="1">
      <c r="A1839" s="63">
        <v>622000</v>
      </c>
      <c r="B1839" s="870">
        <v>622000</v>
      </c>
      <c r="C1839" s="871" t="s">
        <v>184</v>
      </c>
      <c r="D1839" s="881" t="s">
        <v>520</v>
      </c>
      <c r="E1839" s="882"/>
      <c r="F1839" s="883"/>
      <c r="G1839" s="887">
        <f>SUM(G1840:G1843)</f>
        <v>72.473811100000006</v>
      </c>
      <c r="H1839" s="876">
        <v>240.43</v>
      </c>
      <c r="I1839" s="876">
        <f>IF(ISBLANK(H1839),"",SUM(G1839:H1839))</f>
        <v>312.90381109999998</v>
      </c>
      <c r="J1839" s="877">
        <f t="shared" si="453"/>
        <v>382.43</v>
      </c>
      <c r="K1839" s="878" t="s">
        <v>15</v>
      </c>
      <c r="L1839" s="1013">
        <f>ROUND(SUM(ORÇAMENTO!L1839),2)</f>
        <v>0</v>
      </c>
      <c r="M1839" s="1013">
        <f t="shared" si="460"/>
        <v>0</v>
      </c>
      <c r="N1839" s="868">
        <f t="shared" si="461"/>
        <v>0</v>
      </c>
      <c r="O1839" s="880"/>
      <c r="Q1839" s="317" t="str">
        <f t="shared" si="462"/>
        <v/>
      </c>
      <c r="R1839" s="317" t="str">
        <f t="shared" si="463"/>
        <v/>
      </c>
      <c r="S1839" s="317" t="str">
        <f t="shared" si="464"/>
        <v/>
      </c>
      <c r="V1839" s="314">
        <f>SUM(ORÇAMENTO!N1839)</f>
        <v>0</v>
      </c>
      <c r="W1839" s="315">
        <f t="shared" si="466"/>
        <v>0</v>
      </c>
    </row>
    <row r="1840" spans="1:23" hidden="1">
      <c r="A1840" s="63" t="s">
        <v>147</v>
      </c>
      <c r="B1840" s="870" t="s">
        <v>147</v>
      </c>
      <c r="C1840" s="871"/>
      <c r="D1840" s="881" t="s">
        <v>190</v>
      </c>
      <c r="E1840" s="882">
        <f>DMT!$D$20</f>
        <v>445</v>
      </c>
      <c r="F1840" s="883">
        <v>4.24E-2</v>
      </c>
      <c r="G1840" s="884">
        <f>IF(E1840&lt;=30,(0.78*E1840+7.82)*F1840,((0.78*30+7.82)+0.78*(E1840-30))*F1840)</f>
        <v>15.048608000000002</v>
      </c>
      <c r="H1840" s="876"/>
      <c r="I1840" s="876"/>
      <c r="J1840" s="877">
        <f t="shared" si="453"/>
        <v>0</v>
      </c>
      <c r="K1840" s="878"/>
      <c r="L1840" s="1013">
        <f>ROUND(SUM(ORÇAMENTO!L1840),2)</f>
        <v>0</v>
      </c>
      <c r="M1840" s="1013">
        <f t="shared" si="460"/>
        <v>0</v>
      </c>
      <c r="N1840" s="868">
        <f t="shared" si="461"/>
        <v>0</v>
      </c>
      <c r="O1840" s="880"/>
      <c r="P1840" s="36" t="str">
        <f>IF(N1839&gt;0,"xx",IF(N1839&gt;0,"xy",""))</f>
        <v/>
      </c>
      <c r="Q1840" s="317" t="str">
        <f t="shared" si="462"/>
        <v/>
      </c>
      <c r="R1840" s="317" t="str">
        <f t="shared" si="463"/>
        <v/>
      </c>
      <c r="S1840" s="317" t="str">
        <f t="shared" si="464"/>
        <v/>
      </c>
      <c r="V1840" s="314">
        <f>SUM(ORÇAMENTO!N1840)</f>
        <v>0</v>
      </c>
      <c r="W1840" s="315">
        <f t="shared" si="466"/>
        <v>0</v>
      </c>
    </row>
    <row r="1841" spans="1:23" hidden="1">
      <c r="A1841" s="63" t="s">
        <v>147</v>
      </c>
      <c r="B1841" s="870" t="s">
        <v>147</v>
      </c>
      <c r="C1841" s="871"/>
      <c r="D1841" s="881" t="s">
        <v>229</v>
      </c>
      <c r="E1841" s="882">
        <f>DMT!$F$8</f>
        <v>290</v>
      </c>
      <c r="F1841" s="883">
        <v>0.1507</v>
      </c>
      <c r="G1841" s="923">
        <f t="shared" ref="G1841:G1842" si="473">IF(E1841&lt;=30,(1.07*E1841+2.68)*F1841,((1.07*30+2.68)+1.07*(E1841-30))*F1841)</f>
        <v>47.166086</v>
      </c>
      <c r="H1841" s="876"/>
      <c r="I1841" s="876"/>
      <c r="J1841" s="877">
        <f t="shared" si="453"/>
        <v>0</v>
      </c>
      <c r="K1841" s="878"/>
      <c r="L1841" s="1013">
        <f>ROUND(SUM(ORÇAMENTO!L1841),2)</f>
        <v>0</v>
      </c>
      <c r="M1841" s="1013">
        <f t="shared" si="460"/>
        <v>0</v>
      </c>
      <c r="N1841" s="868">
        <f t="shared" si="461"/>
        <v>0</v>
      </c>
      <c r="O1841" s="880"/>
      <c r="P1841" s="36" t="str">
        <f>IF(N1839&gt;0,"xx",IF(N1839&gt;0,"xy",""))</f>
        <v/>
      </c>
      <c r="Q1841" s="317" t="str">
        <f t="shared" si="462"/>
        <v/>
      </c>
      <c r="R1841" s="317" t="str">
        <f t="shared" si="463"/>
        <v/>
      </c>
      <c r="S1841" s="317" t="str">
        <f t="shared" si="464"/>
        <v/>
      </c>
      <c r="V1841" s="314">
        <f>SUM(ORÇAMENTO!N1841)</f>
        <v>0</v>
      </c>
      <c r="W1841" s="315">
        <f t="shared" si="466"/>
        <v>0</v>
      </c>
    </row>
    <row r="1842" spans="1:23" hidden="1">
      <c r="A1842" s="63" t="s">
        <v>147</v>
      </c>
      <c r="B1842" s="870" t="s">
        <v>147</v>
      </c>
      <c r="C1842" s="871"/>
      <c r="D1842" s="881" t="s">
        <v>233</v>
      </c>
      <c r="E1842" s="882">
        <f>DMT!$F$10</f>
        <v>43.1</v>
      </c>
      <c r="F1842" s="883">
        <v>0.17430000000000001</v>
      </c>
      <c r="G1842" s="923">
        <f t="shared" si="473"/>
        <v>8.505317100000001</v>
      </c>
      <c r="H1842" s="876"/>
      <c r="I1842" s="876"/>
      <c r="J1842" s="877">
        <f t="shared" si="453"/>
        <v>0</v>
      </c>
      <c r="K1842" s="878"/>
      <c r="L1842" s="1013">
        <f>ROUND(SUM(ORÇAMENTO!L1842),2)</f>
        <v>0</v>
      </c>
      <c r="M1842" s="1013">
        <f t="shared" si="460"/>
        <v>0</v>
      </c>
      <c r="N1842" s="868">
        <f t="shared" si="461"/>
        <v>0</v>
      </c>
      <c r="O1842" s="880"/>
      <c r="P1842" s="36" t="str">
        <f>IF(N1839&gt;0,"xx",IF(N1839&gt;0,"xy",""))</f>
        <v/>
      </c>
      <c r="Q1842" s="317" t="str">
        <f t="shared" si="462"/>
        <v/>
      </c>
      <c r="R1842" s="317" t="str">
        <f t="shared" si="463"/>
        <v/>
      </c>
      <c r="S1842" s="317" t="str">
        <f t="shared" si="464"/>
        <v/>
      </c>
      <c r="V1842" s="314">
        <f>SUM(ORÇAMENTO!N1842)</f>
        <v>0</v>
      </c>
      <c r="W1842" s="315">
        <f t="shared" si="466"/>
        <v>0</v>
      </c>
    </row>
    <row r="1843" spans="1:23" hidden="1">
      <c r="A1843" s="63" t="s">
        <v>147</v>
      </c>
      <c r="B1843" s="870" t="s">
        <v>147</v>
      </c>
      <c r="C1843" s="871"/>
      <c r="D1843" s="881" t="s">
        <v>336</v>
      </c>
      <c r="E1843" s="882">
        <f>DMT!$F$38</f>
        <v>37</v>
      </c>
      <c r="F1843" s="883">
        <v>0.06</v>
      </c>
      <c r="G1843" s="923">
        <f>IF(E1843&lt;=30,(0.62*E1843+6.29)*F1843,((0.62*30+6.29)+0.62*(E1843-30))*F1843)</f>
        <v>1.7538</v>
      </c>
      <c r="H1843" s="876"/>
      <c r="I1843" s="876"/>
      <c r="J1843" s="877">
        <f t="shared" si="453"/>
        <v>0</v>
      </c>
      <c r="K1843" s="878"/>
      <c r="L1843" s="1013">
        <f>ROUND(SUM(ORÇAMENTO!L1843),2)</f>
        <v>0</v>
      </c>
      <c r="M1843" s="1013">
        <f t="shared" si="460"/>
        <v>0</v>
      </c>
      <c r="N1843" s="868">
        <f t="shared" si="461"/>
        <v>0</v>
      </c>
      <c r="O1843" s="880"/>
      <c r="P1843" s="36" t="str">
        <f>IF(N1839&gt;0,"xx",IF(N1839&gt;0,"xy",""))</f>
        <v/>
      </c>
      <c r="Q1843" s="317" t="str">
        <f t="shared" si="462"/>
        <v/>
      </c>
      <c r="R1843" s="317" t="str">
        <f t="shared" si="463"/>
        <v/>
      </c>
      <c r="S1843" s="317" t="str">
        <f t="shared" si="464"/>
        <v/>
      </c>
      <c r="V1843" s="314">
        <f>SUM(ORÇAMENTO!N1843)</f>
        <v>0</v>
      </c>
      <c r="W1843" s="315">
        <f t="shared" si="466"/>
        <v>0</v>
      </c>
    </row>
    <row r="1844" spans="1:23" hidden="1">
      <c r="A1844" s="63">
        <v>620000</v>
      </c>
      <c r="B1844" s="870" t="s">
        <v>1797</v>
      </c>
      <c r="C1844" s="871" t="s">
        <v>184</v>
      </c>
      <c r="D1844" s="881" t="s">
        <v>521</v>
      </c>
      <c r="E1844" s="882"/>
      <c r="F1844" s="883"/>
      <c r="G1844" s="887">
        <f>SUM(G1845:G1847)</f>
        <v>106.09810550000002</v>
      </c>
      <c r="H1844" s="876">
        <v>643.26</v>
      </c>
      <c r="I1844" s="876">
        <f>IF(ISBLANK(H1844),"",SUM(G1844:H1844))</f>
        <v>749.35810549999997</v>
      </c>
      <c r="J1844" s="877">
        <f t="shared" si="453"/>
        <v>915.87</v>
      </c>
      <c r="K1844" s="878" t="s">
        <v>15</v>
      </c>
      <c r="L1844" s="1013">
        <f>ROUND(SUM(ORÇAMENTO!L1844),2)</f>
        <v>0</v>
      </c>
      <c r="M1844" s="1013">
        <f t="shared" si="460"/>
        <v>0</v>
      </c>
      <c r="N1844" s="868">
        <f t="shared" si="461"/>
        <v>0</v>
      </c>
      <c r="O1844" s="880"/>
      <c r="Q1844" s="317" t="str">
        <f t="shared" si="462"/>
        <v/>
      </c>
      <c r="R1844" s="317" t="str">
        <f t="shared" si="463"/>
        <v/>
      </c>
      <c r="S1844" s="317" t="str">
        <f t="shared" si="464"/>
        <v/>
      </c>
      <c r="V1844" s="314">
        <f>SUM(ORÇAMENTO!N1844)</f>
        <v>0</v>
      </c>
      <c r="W1844" s="315">
        <f t="shared" si="466"/>
        <v>0</v>
      </c>
    </row>
    <row r="1845" spans="1:23" hidden="1">
      <c r="A1845" s="63" t="s">
        <v>147</v>
      </c>
      <c r="B1845" s="870" t="s">
        <v>147</v>
      </c>
      <c r="C1845" s="871"/>
      <c r="D1845" s="881" t="s">
        <v>190</v>
      </c>
      <c r="E1845" s="882">
        <f>DMT!$D$20</f>
        <v>445</v>
      </c>
      <c r="F1845" s="883">
        <v>6.3600000000000004E-2</v>
      </c>
      <c r="G1845" s="884">
        <f>IF(E1845&lt;=30,(0.78*E1845+7.82)*F1845,((0.78*30+7.82)+0.78*(E1845-30))*F1845)</f>
        <v>22.572912000000002</v>
      </c>
      <c r="H1845" s="876"/>
      <c r="I1845" s="876"/>
      <c r="J1845" s="877">
        <f t="shared" si="453"/>
        <v>0</v>
      </c>
      <c r="K1845" s="878"/>
      <c r="L1845" s="1013">
        <f>ROUND(SUM(ORÇAMENTO!L1845),2)</f>
        <v>0</v>
      </c>
      <c r="M1845" s="1013">
        <f t="shared" si="460"/>
        <v>0</v>
      </c>
      <c r="N1845" s="868">
        <f t="shared" si="461"/>
        <v>0</v>
      </c>
      <c r="O1845" s="880"/>
      <c r="P1845" s="36" t="str">
        <f>IF(N1844&gt;0,"xx",IF(N1844&gt;0,"xy",""))</f>
        <v/>
      </c>
      <c r="Q1845" s="317" t="str">
        <f t="shared" si="462"/>
        <v/>
      </c>
      <c r="R1845" s="317" t="str">
        <f t="shared" si="463"/>
        <v/>
      </c>
      <c r="S1845" s="317" t="str">
        <f t="shared" si="464"/>
        <v/>
      </c>
      <c r="V1845" s="314">
        <f>SUM(ORÇAMENTO!N1845)</f>
        <v>0</v>
      </c>
      <c r="W1845" s="315">
        <f t="shared" si="466"/>
        <v>0</v>
      </c>
    </row>
    <row r="1846" spans="1:23" hidden="1">
      <c r="A1846" s="63" t="s">
        <v>147</v>
      </c>
      <c r="B1846" s="870" t="s">
        <v>147</v>
      </c>
      <c r="C1846" s="871"/>
      <c r="D1846" s="881" t="s">
        <v>229</v>
      </c>
      <c r="E1846" s="882">
        <f>DMT!$F$8</f>
        <v>290</v>
      </c>
      <c r="F1846" s="883">
        <v>0.2261</v>
      </c>
      <c r="G1846" s="923">
        <f t="shared" ref="G1846:G1847" si="474">IF(E1846&lt;=30,(1.07*E1846+2.68)*F1846,((1.07*30+2.68)+1.07*(E1846-30))*F1846)</f>
        <v>70.764778000000007</v>
      </c>
      <c r="H1846" s="876"/>
      <c r="I1846" s="876"/>
      <c r="J1846" s="877">
        <f t="shared" si="453"/>
        <v>0</v>
      </c>
      <c r="K1846" s="878"/>
      <c r="L1846" s="1013">
        <f>ROUND(SUM(ORÇAMENTO!L1846),2)</f>
        <v>0</v>
      </c>
      <c r="M1846" s="1013">
        <f t="shared" si="460"/>
        <v>0</v>
      </c>
      <c r="N1846" s="868">
        <f t="shared" si="461"/>
        <v>0</v>
      </c>
      <c r="O1846" s="880"/>
      <c r="P1846" s="36" t="str">
        <f>IF(N1844&gt;0,"xx",IF(N1844&gt;0,"xy",""))</f>
        <v/>
      </c>
      <c r="Q1846" s="317" t="str">
        <f t="shared" si="462"/>
        <v/>
      </c>
      <c r="R1846" s="317" t="str">
        <f t="shared" si="463"/>
        <v/>
      </c>
      <c r="S1846" s="317" t="str">
        <f t="shared" si="464"/>
        <v/>
      </c>
      <c r="V1846" s="314">
        <f>SUM(ORÇAMENTO!N1846)</f>
        <v>0</v>
      </c>
      <c r="W1846" s="315">
        <f t="shared" si="466"/>
        <v>0</v>
      </c>
    </row>
    <row r="1847" spans="1:23" hidden="1">
      <c r="A1847" s="63" t="s">
        <v>147</v>
      </c>
      <c r="B1847" s="870" t="s">
        <v>147</v>
      </c>
      <c r="C1847" s="871"/>
      <c r="D1847" s="881" t="s">
        <v>233</v>
      </c>
      <c r="E1847" s="882">
        <f>DMT!$F$10</f>
        <v>43.1</v>
      </c>
      <c r="F1847" s="883">
        <v>0.26150000000000001</v>
      </c>
      <c r="G1847" s="923">
        <f t="shared" si="474"/>
        <v>12.760415500000002</v>
      </c>
      <c r="H1847" s="876"/>
      <c r="I1847" s="876"/>
      <c r="J1847" s="877">
        <f t="shared" si="453"/>
        <v>0</v>
      </c>
      <c r="K1847" s="878"/>
      <c r="L1847" s="1013">
        <f>ROUND(SUM(ORÇAMENTO!L1847),2)</f>
        <v>0</v>
      </c>
      <c r="M1847" s="1013">
        <f t="shared" si="460"/>
        <v>0</v>
      </c>
      <c r="N1847" s="868">
        <f t="shared" si="461"/>
        <v>0</v>
      </c>
      <c r="O1847" s="880"/>
      <c r="P1847" s="36" t="str">
        <f>IF(N1844&gt;0,"xx",IF(N1844&gt;0,"xy",""))</f>
        <v/>
      </c>
      <c r="Q1847" s="317" t="str">
        <f t="shared" si="462"/>
        <v/>
      </c>
      <c r="R1847" s="317" t="str">
        <f t="shared" si="463"/>
        <v/>
      </c>
      <c r="S1847" s="317" t="str">
        <f t="shared" si="464"/>
        <v/>
      </c>
      <c r="V1847" s="314">
        <f>SUM(ORÇAMENTO!N1847)</f>
        <v>0</v>
      </c>
      <c r="W1847" s="315">
        <f t="shared" si="466"/>
        <v>0</v>
      </c>
    </row>
    <row r="1848" spans="1:23" hidden="1">
      <c r="A1848" s="63">
        <v>620000</v>
      </c>
      <c r="B1848" s="870" t="s">
        <v>1798</v>
      </c>
      <c r="C1848" s="871" t="s">
        <v>184</v>
      </c>
      <c r="D1848" s="881" t="s">
        <v>343</v>
      </c>
      <c r="E1848" s="882"/>
      <c r="F1848" s="883"/>
      <c r="G1848" s="887">
        <f>SUM(G1849:G1851)</f>
        <v>206.01428920000001</v>
      </c>
      <c r="H1848" s="876">
        <v>643.26</v>
      </c>
      <c r="I1848" s="876">
        <f>IF(ISBLANK(H1848),"",SUM(G1848:H1848))</f>
        <v>849.2742892</v>
      </c>
      <c r="J1848" s="877">
        <f t="shared" si="453"/>
        <v>1037.98</v>
      </c>
      <c r="K1848" s="878" t="s">
        <v>15</v>
      </c>
      <c r="L1848" s="1013">
        <f>ROUND(SUM(ORÇAMENTO!L1848),2)</f>
        <v>0</v>
      </c>
      <c r="M1848" s="1013">
        <f t="shared" si="460"/>
        <v>0</v>
      </c>
      <c r="N1848" s="868">
        <f t="shared" si="461"/>
        <v>0</v>
      </c>
      <c r="O1848" s="880"/>
      <c r="Q1848" s="317" t="str">
        <f t="shared" si="462"/>
        <v/>
      </c>
      <c r="R1848" s="317" t="str">
        <f t="shared" si="463"/>
        <v/>
      </c>
      <c r="S1848" s="317" t="str">
        <f t="shared" si="464"/>
        <v/>
      </c>
      <c r="V1848" s="314">
        <f>SUM(ORÇAMENTO!N1848)</f>
        <v>0</v>
      </c>
      <c r="W1848" s="315">
        <f t="shared" si="466"/>
        <v>0</v>
      </c>
    </row>
    <row r="1849" spans="1:23" hidden="1">
      <c r="A1849" s="63" t="s">
        <v>147</v>
      </c>
      <c r="B1849" s="870" t="s">
        <v>147</v>
      </c>
      <c r="C1849" s="871"/>
      <c r="D1849" s="881" t="s">
        <v>190</v>
      </c>
      <c r="E1849" s="882">
        <f>DMT!$D$20</f>
        <v>445</v>
      </c>
      <c r="F1849" s="883">
        <v>0.1154</v>
      </c>
      <c r="G1849" s="884">
        <f>IF(E1849&lt;=30,(0.78*E1849+7.82)*F1849,((0.78*30+7.82)+0.78*(E1849-30))*F1849)</f>
        <v>40.957768000000002</v>
      </c>
      <c r="H1849" s="876"/>
      <c r="I1849" s="876"/>
      <c r="J1849" s="877">
        <f t="shared" si="453"/>
        <v>0</v>
      </c>
      <c r="K1849" s="878"/>
      <c r="L1849" s="1013">
        <f>ROUND(SUM(ORÇAMENTO!L1849),2)</f>
        <v>0</v>
      </c>
      <c r="M1849" s="1013">
        <f t="shared" si="460"/>
        <v>0</v>
      </c>
      <c r="N1849" s="868">
        <f t="shared" si="461"/>
        <v>0</v>
      </c>
      <c r="O1849" s="880"/>
      <c r="P1849" s="36" t="str">
        <f>IF(N1848&gt;0,"xx",IF(N1848&gt;0,"xy",""))</f>
        <v/>
      </c>
      <c r="Q1849" s="317" t="str">
        <f t="shared" si="462"/>
        <v/>
      </c>
      <c r="R1849" s="317" t="str">
        <f t="shared" si="463"/>
        <v/>
      </c>
      <c r="S1849" s="317" t="str">
        <f t="shared" si="464"/>
        <v/>
      </c>
      <c r="V1849" s="314">
        <f>SUM(ORÇAMENTO!N1849)</f>
        <v>0</v>
      </c>
      <c r="W1849" s="315">
        <f t="shared" si="466"/>
        <v>0</v>
      </c>
    </row>
    <row r="1850" spans="1:23" hidden="1">
      <c r="A1850" s="63" t="s">
        <v>147</v>
      </c>
      <c r="B1850" s="870" t="s">
        <v>147</v>
      </c>
      <c r="C1850" s="871"/>
      <c r="D1850" s="881" t="s">
        <v>229</v>
      </c>
      <c r="E1850" s="882">
        <f>DMT!$F$8</f>
        <v>290</v>
      </c>
      <c r="F1850" s="883">
        <v>0.41049999999999998</v>
      </c>
      <c r="G1850" s="923">
        <f t="shared" ref="G1850:G1851" si="475">IF(E1850&lt;=30,(1.07*E1850+2.68)*F1850,((1.07*30+2.68)+1.07*(E1850-30))*F1850)</f>
        <v>128.47828999999999</v>
      </c>
      <c r="H1850" s="876"/>
      <c r="I1850" s="876"/>
      <c r="J1850" s="877">
        <f t="shared" ref="J1850:J1913" si="476">IF(ISBLANK(H1850),0,ROUND(I1850*(1+$E$10),2))</f>
        <v>0</v>
      </c>
      <c r="K1850" s="878"/>
      <c r="L1850" s="1013">
        <f>ROUND(SUM(ORÇAMENTO!L1850),2)</f>
        <v>0</v>
      </c>
      <c r="M1850" s="1013">
        <f t="shared" si="460"/>
        <v>0</v>
      </c>
      <c r="N1850" s="868">
        <f t="shared" si="461"/>
        <v>0</v>
      </c>
      <c r="O1850" s="880"/>
      <c r="P1850" s="36" t="str">
        <f>IF(N1848&gt;0,"xx",IF(N1848&gt;0,"xy",""))</f>
        <v/>
      </c>
      <c r="Q1850" s="317" t="str">
        <f t="shared" si="462"/>
        <v/>
      </c>
      <c r="R1850" s="317" t="str">
        <f t="shared" si="463"/>
        <v/>
      </c>
      <c r="S1850" s="317" t="str">
        <f t="shared" si="464"/>
        <v/>
      </c>
      <c r="V1850" s="314">
        <f>SUM(ORÇAMENTO!N1850)</f>
        <v>0</v>
      </c>
      <c r="W1850" s="315">
        <f t="shared" si="466"/>
        <v>0</v>
      </c>
    </row>
    <row r="1851" spans="1:23" hidden="1">
      <c r="A1851" s="63" t="s">
        <v>147</v>
      </c>
      <c r="B1851" s="870" t="s">
        <v>147</v>
      </c>
      <c r="C1851" s="871"/>
      <c r="D1851" s="881" t="s">
        <v>233</v>
      </c>
      <c r="E1851" s="882">
        <f>DMT!$F$10</f>
        <v>43.1</v>
      </c>
      <c r="F1851" s="883">
        <v>0.74960000000000004</v>
      </c>
      <c r="G1851" s="923">
        <f t="shared" si="475"/>
        <v>36.578231200000005</v>
      </c>
      <c r="H1851" s="876"/>
      <c r="I1851" s="876"/>
      <c r="J1851" s="877">
        <f t="shared" si="476"/>
        <v>0</v>
      </c>
      <c r="K1851" s="878"/>
      <c r="L1851" s="1013">
        <f>ROUND(SUM(ORÇAMENTO!L1851),2)</f>
        <v>0</v>
      </c>
      <c r="M1851" s="1013">
        <f t="shared" si="460"/>
        <v>0</v>
      </c>
      <c r="N1851" s="868">
        <f t="shared" si="461"/>
        <v>0</v>
      </c>
      <c r="O1851" s="880"/>
      <c r="P1851" s="36" t="str">
        <f>IF(N1848&gt;0,"xx",IF(N1848&gt;0,"xy",""))</f>
        <v/>
      </c>
      <c r="Q1851" s="317" t="str">
        <f t="shared" si="462"/>
        <v/>
      </c>
      <c r="R1851" s="317" t="str">
        <f t="shared" si="463"/>
        <v/>
      </c>
      <c r="S1851" s="317" t="str">
        <f t="shared" si="464"/>
        <v/>
      </c>
      <c r="V1851" s="314">
        <f>SUM(ORÇAMENTO!N1851)</f>
        <v>0</v>
      </c>
      <c r="W1851" s="315">
        <f t="shared" si="466"/>
        <v>0</v>
      </c>
    </row>
    <row r="1852" spans="1:23" hidden="1">
      <c r="A1852" s="63">
        <v>620000</v>
      </c>
      <c r="B1852" s="870" t="s">
        <v>1799</v>
      </c>
      <c r="C1852" s="871" t="s">
        <v>184</v>
      </c>
      <c r="D1852" s="881" t="s">
        <v>522</v>
      </c>
      <c r="E1852" s="882"/>
      <c r="F1852" s="883"/>
      <c r="G1852" s="887">
        <f>SUM(G1853:G1855)</f>
        <v>279.54176070000005</v>
      </c>
      <c r="H1852" s="876">
        <v>643.26</v>
      </c>
      <c r="I1852" s="876">
        <f>IF(ISBLANK(H1852),"",SUM(G1852:H1852))</f>
        <v>922.80176070000005</v>
      </c>
      <c r="J1852" s="877">
        <f t="shared" si="476"/>
        <v>1127.8499999999999</v>
      </c>
      <c r="K1852" s="878" t="s">
        <v>15</v>
      </c>
      <c r="L1852" s="1013">
        <f>ROUND(SUM(ORÇAMENTO!L1852),2)</f>
        <v>0</v>
      </c>
      <c r="M1852" s="1013">
        <f t="shared" si="460"/>
        <v>0</v>
      </c>
      <c r="N1852" s="868">
        <f t="shared" si="461"/>
        <v>0</v>
      </c>
      <c r="O1852" s="880"/>
      <c r="Q1852" s="317" t="str">
        <f t="shared" si="462"/>
        <v/>
      </c>
      <c r="R1852" s="317" t="str">
        <f t="shared" si="463"/>
        <v/>
      </c>
      <c r="S1852" s="317" t="str">
        <f t="shared" si="464"/>
        <v/>
      </c>
      <c r="V1852" s="314">
        <f>SUM(ORÇAMENTO!N1852)</f>
        <v>0</v>
      </c>
      <c r="W1852" s="315">
        <f t="shared" si="466"/>
        <v>0</v>
      </c>
    </row>
    <row r="1853" spans="1:23" hidden="1">
      <c r="A1853" s="63" t="s">
        <v>147</v>
      </c>
      <c r="B1853" s="870" t="s">
        <v>147</v>
      </c>
      <c r="C1853" s="871"/>
      <c r="D1853" s="881" t="s">
        <v>190</v>
      </c>
      <c r="E1853" s="882">
        <f>DMT!$D$20</f>
        <v>445</v>
      </c>
      <c r="F1853" s="883">
        <v>0.15659999999999999</v>
      </c>
      <c r="G1853" s="884">
        <f>IF(E1853&lt;=30,(0.78*E1853+7.82)*F1853,((0.78*30+7.82)+0.78*(E1853-30))*F1853)</f>
        <v>55.580472</v>
      </c>
      <c r="H1853" s="876"/>
      <c r="I1853" s="876"/>
      <c r="J1853" s="877">
        <f t="shared" si="476"/>
        <v>0</v>
      </c>
      <c r="K1853" s="878"/>
      <c r="L1853" s="1013">
        <f>ROUND(SUM(ORÇAMENTO!L1853),2)</f>
        <v>0</v>
      </c>
      <c r="M1853" s="1013">
        <f t="shared" si="460"/>
        <v>0</v>
      </c>
      <c r="N1853" s="868">
        <f t="shared" si="461"/>
        <v>0</v>
      </c>
      <c r="O1853" s="880"/>
      <c r="P1853" s="36" t="str">
        <f>IF(N1852&gt;0,"xx",IF(N1852&gt;0,"xy",""))</f>
        <v/>
      </c>
      <c r="Q1853" s="317" t="str">
        <f t="shared" si="462"/>
        <v/>
      </c>
      <c r="R1853" s="317" t="str">
        <f t="shared" si="463"/>
        <v/>
      </c>
      <c r="S1853" s="317" t="str">
        <f t="shared" si="464"/>
        <v/>
      </c>
      <c r="V1853" s="314">
        <f>SUM(ORÇAMENTO!N1853)</f>
        <v>0</v>
      </c>
      <c r="W1853" s="315">
        <f t="shared" si="466"/>
        <v>0</v>
      </c>
    </row>
    <row r="1854" spans="1:23" hidden="1">
      <c r="A1854" s="63" t="s">
        <v>147</v>
      </c>
      <c r="B1854" s="870" t="s">
        <v>147</v>
      </c>
      <c r="C1854" s="871"/>
      <c r="D1854" s="881" t="s">
        <v>229</v>
      </c>
      <c r="E1854" s="882">
        <f>DMT!$F$8</f>
        <v>290</v>
      </c>
      <c r="F1854" s="883">
        <v>0.55700000000000005</v>
      </c>
      <c r="G1854" s="923">
        <f t="shared" ref="G1854:G1855" si="477">IF(E1854&lt;=30,(1.07*E1854+2.68)*F1854,((1.07*30+2.68)+1.07*(E1854-30))*F1854)</f>
        <v>174.32986000000002</v>
      </c>
      <c r="H1854" s="876"/>
      <c r="I1854" s="876"/>
      <c r="J1854" s="877">
        <f t="shared" si="476"/>
        <v>0</v>
      </c>
      <c r="K1854" s="878"/>
      <c r="L1854" s="1013">
        <f>ROUND(SUM(ORÇAMENTO!L1854),2)</f>
        <v>0</v>
      </c>
      <c r="M1854" s="1013">
        <f t="shared" si="460"/>
        <v>0</v>
      </c>
      <c r="N1854" s="868">
        <f t="shared" si="461"/>
        <v>0</v>
      </c>
      <c r="O1854" s="880"/>
      <c r="P1854" s="36" t="str">
        <f>IF(N1852&gt;0,"xx",IF(N1852&gt;0,"xy",""))</f>
        <v/>
      </c>
      <c r="Q1854" s="317" t="str">
        <f t="shared" si="462"/>
        <v/>
      </c>
      <c r="R1854" s="317" t="str">
        <f t="shared" si="463"/>
        <v/>
      </c>
      <c r="S1854" s="317" t="str">
        <f t="shared" si="464"/>
        <v/>
      </c>
      <c r="V1854" s="314">
        <f>SUM(ORÇAMENTO!N1854)</f>
        <v>0</v>
      </c>
      <c r="W1854" s="315">
        <f t="shared" si="466"/>
        <v>0</v>
      </c>
    </row>
    <row r="1855" spans="1:23" hidden="1">
      <c r="A1855" s="63" t="s">
        <v>147</v>
      </c>
      <c r="B1855" s="870" t="s">
        <v>147</v>
      </c>
      <c r="C1855" s="871"/>
      <c r="D1855" s="881" t="s">
        <v>233</v>
      </c>
      <c r="E1855" s="882">
        <f>DMT!$F$10</f>
        <v>43.1</v>
      </c>
      <c r="F1855" s="883">
        <v>1.0170999999999999</v>
      </c>
      <c r="G1855" s="923">
        <f t="shared" si="477"/>
        <v>49.631428700000001</v>
      </c>
      <c r="H1855" s="876"/>
      <c r="I1855" s="876"/>
      <c r="J1855" s="877">
        <f t="shared" si="476"/>
        <v>0</v>
      </c>
      <c r="K1855" s="878"/>
      <c r="L1855" s="1013">
        <f>ROUND(SUM(ORÇAMENTO!L1855),2)</f>
        <v>0</v>
      </c>
      <c r="M1855" s="1013">
        <f t="shared" si="460"/>
        <v>0</v>
      </c>
      <c r="N1855" s="868">
        <f t="shared" si="461"/>
        <v>0</v>
      </c>
      <c r="O1855" s="880"/>
      <c r="P1855" s="36" t="str">
        <f>IF(N1852&gt;0,"xx",IF(N1852&gt;0,"xy",""))</f>
        <v/>
      </c>
      <c r="Q1855" s="317" t="str">
        <f t="shared" si="462"/>
        <v/>
      </c>
      <c r="R1855" s="317" t="str">
        <f t="shared" si="463"/>
        <v/>
      </c>
      <c r="S1855" s="317" t="str">
        <f t="shared" si="464"/>
        <v/>
      </c>
      <c r="V1855" s="314">
        <f>SUM(ORÇAMENTO!N1855)</f>
        <v>0</v>
      </c>
      <c r="W1855" s="315">
        <f t="shared" si="466"/>
        <v>0</v>
      </c>
    </row>
    <row r="1856" spans="1:23" hidden="1">
      <c r="A1856" s="63">
        <v>620100</v>
      </c>
      <c r="B1856" s="870" t="s">
        <v>1800</v>
      </c>
      <c r="C1856" s="871" t="s">
        <v>184</v>
      </c>
      <c r="D1856" s="881" t="s">
        <v>344</v>
      </c>
      <c r="E1856" s="882"/>
      <c r="F1856" s="883"/>
      <c r="G1856" s="887">
        <f>SUM(G1857:G1859)</f>
        <v>353.06923220000004</v>
      </c>
      <c r="H1856" s="876">
        <v>954.15</v>
      </c>
      <c r="I1856" s="876">
        <f>IF(ISBLANK(H1856),"",SUM(G1856:H1856))</f>
        <v>1307.2192322000001</v>
      </c>
      <c r="J1856" s="877">
        <f t="shared" si="476"/>
        <v>1597.68</v>
      </c>
      <c r="K1856" s="878" t="s">
        <v>15</v>
      </c>
      <c r="L1856" s="1013">
        <f>ROUND(SUM(ORÇAMENTO!L1856),2)</f>
        <v>0</v>
      </c>
      <c r="M1856" s="1013">
        <f t="shared" si="460"/>
        <v>0</v>
      </c>
      <c r="N1856" s="868">
        <f t="shared" si="461"/>
        <v>0</v>
      </c>
      <c r="O1856" s="880"/>
      <c r="Q1856" s="317" t="str">
        <f t="shared" si="462"/>
        <v/>
      </c>
      <c r="R1856" s="317" t="str">
        <f t="shared" si="463"/>
        <v/>
      </c>
      <c r="S1856" s="317" t="str">
        <f t="shared" si="464"/>
        <v/>
      </c>
      <c r="V1856" s="314">
        <f>SUM(ORÇAMENTO!N1856)</f>
        <v>0</v>
      </c>
      <c r="W1856" s="315">
        <f t="shared" si="466"/>
        <v>0</v>
      </c>
    </row>
    <row r="1857" spans="1:23" hidden="1">
      <c r="A1857" s="63" t="s">
        <v>147</v>
      </c>
      <c r="B1857" s="870" t="s">
        <v>147</v>
      </c>
      <c r="C1857" s="871"/>
      <c r="D1857" s="881" t="s">
        <v>190</v>
      </c>
      <c r="E1857" s="882">
        <f>DMT!$D$20</f>
        <v>445</v>
      </c>
      <c r="F1857" s="883">
        <v>0.1978</v>
      </c>
      <c r="G1857" s="884">
        <f>IF(E1857&lt;=30,(0.78*E1857+7.82)*F1857,((0.78*30+7.82)+0.78*(E1857-30))*F1857)</f>
        <v>70.203175999999999</v>
      </c>
      <c r="H1857" s="876"/>
      <c r="I1857" s="876"/>
      <c r="J1857" s="877">
        <f t="shared" si="476"/>
        <v>0</v>
      </c>
      <c r="K1857" s="878"/>
      <c r="L1857" s="1013">
        <f>ROUND(SUM(ORÇAMENTO!L1857),2)</f>
        <v>0</v>
      </c>
      <c r="M1857" s="1013">
        <f t="shared" si="460"/>
        <v>0</v>
      </c>
      <c r="N1857" s="868">
        <f t="shared" si="461"/>
        <v>0</v>
      </c>
      <c r="O1857" s="880"/>
      <c r="P1857" s="36" t="str">
        <f>IF(N1856&gt;0,"xx",IF(N1856&gt;0,"xy",""))</f>
        <v/>
      </c>
      <c r="Q1857" s="317" t="str">
        <f t="shared" si="462"/>
        <v/>
      </c>
      <c r="R1857" s="317" t="str">
        <f t="shared" si="463"/>
        <v/>
      </c>
      <c r="S1857" s="317" t="str">
        <f t="shared" si="464"/>
        <v/>
      </c>
      <c r="V1857" s="314">
        <f>SUM(ORÇAMENTO!N1857)</f>
        <v>0</v>
      </c>
      <c r="W1857" s="315">
        <f t="shared" si="466"/>
        <v>0</v>
      </c>
    </row>
    <row r="1858" spans="1:23" hidden="1">
      <c r="A1858" s="63" t="s">
        <v>147</v>
      </c>
      <c r="B1858" s="870" t="s">
        <v>147</v>
      </c>
      <c r="C1858" s="871"/>
      <c r="D1858" s="881" t="s">
        <v>229</v>
      </c>
      <c r="E1858" s="882">
        <f>DMT!$F$8</f>
        <v>290</v>
      </c>
      <c r="F1858" s="883">
        <v>0.70350000000000001</v>
      </c>
      <c r="G1858" s="923">
        <f t="shared" ref="G1858:G1859" si="478">IF(E1858&lt;=30,(1.07*E1858+2.68)*F1858,((1.07*30+2.68)+1.07*(E1858-30))*F1858)</f>
        <v>220.18143000000001</v>
      </c>
      <c r="H1858" s="876"/>
      <c r="I1858" s="876"/>
      <c r="J1858" s="877">
        <f t="shared" si="476"/>
        <v>0</v>
      </c>
      <c r="K1858" s="878"/>
      <c r="L1858" s="1013">
        <f>ROUND(SUM(ORÇAMENTO!L1858),2)</f>
        <v>0</v>
      </c>
      <c r="M1858" s="1013">
        <f t="shared" si="460"/>
        <v>0</v>
      </c>
      <c r="N1858" s="868">
        <f t="shared" si="461"/>
        <v>0</v>
      </c>
      <c r="O1858" s="880"/>
      <c r="P1858" s="36" t="str">
        <f>IF(N1856&gt;0,"xx",IF(N1856&gt;0,"xy",""))</f>
        <v/>
      </c>
      <c r="Q1858" s="317" t="str">
        <f t="shared" si="462"/>
        <v/>
      </c>
      <c r="R1858" s="317" t="str">
        <f t="shared" si="463"/>
        <v/>
      </c>
      <c r="S1858" s="317" t="str">
        <f t="shared" si="464"/>
        <v/>
      </c>
      <c r="V1858" s="314">
        <f>SUM(ORÇAMENTO!N1858)</f>
        <v>0</v>
      </c>
      <c r="W1858" s="315">
        <f t="shared" si="466"/>
        <v>0</v>
      </c>
    </row>
    <row r="1859" spans="1:23" hidden="1">
      <c r="A1859" s="63" t="s">
        <v>147</v>
      </c>
      <c r="B1859" s="870" t="s">
        <v>147</v>
      </c>
      <c r="C1859" s="871"/>
      <c r="D1859" s="881" t="s">
        <v>233</v>
      </c>
      <c r="E1859" s="882">
        <f>DMT!$F$10</f>
        <v>43.1</v>
      </c>
      <c r="F1859" s="883">
        <v>1.2846</v>
      </c>
      <c r="G1859" s="923">
        <f t="shared" si="478"/>
        <v>62.684626200000004</v>
      </c>
      <c r="H1859" s="876"/>
      <c r="I1859" s="876"/>
      <c r="J1859" s="877">
        <f t="shared" si="476"/>
        <v>0</v>
      </c>
      <c r="K1859" s="878"/>
      <c r="L1859" s="1013">
        <f>ROUND(SUM(ORÇAMENTO!L1859),2)</f>
        <v>0</v>
      </c>
      <c r="M1859" s="1013">
        <f t="shared" si="460"/>
        <v>0</v>
      </c>
      <c r="N1859" s="868">
        <f t="shared" si="461"/>
        <v>0</v>
      </c>
      <c r="O1859" s="880"/>
      <c r="P1859" s="36" t="str">
        <f>IF(N1856&gt;0,"xx",IF(N1856&gt;0,"xy",""))</f>
        <v/>
      </c>
      <c r="Q1859" s="317" t="str">
        <f t="shared" si="462"/>
        <v/>
      </c>
      <c r="R1859" s="317" t="str">
        <f t="shared" si="463"/>
        <v/>
      </c>
      <c r="S1859" s="317" t="str">
        <f t="shared" si="464"/>
        <v/>
      </c>
      <c r="V1859" s="314">
        <f>SUM(ORÇAMENTO!N1859)</f>
        <v>0</v>
      </c>
      <c r="W1859" s="315">
        <f t="shared" si="466"/>
        <v>0</v>
      </c>
    </row>
    <row r="1860" spans="1:23" hidden="1">
      <c r="A1860" s="63">
        <v>620100</v>
      </c>
      <c r="B1860" s="870" t="s">
        <v>1801</v>
      </c>
      <c r="C1860" s="871" t="s">
        <v>184</v>
      </c>
      <c r="D1860" s="881" t="s">
        <v>523</v>
      </c>
      <c r="E1860" s="882"/>
      <c r="F1860" s="883"/>
      <c r="G1860" s="887">
        <f>SUM(G1861:G1863)</f>
        <v>383.74873120000001</v>
      </c>
      <c r="H1860" s="876">
        <v>954.15</v>
      </c>
      <c r="I1860" s="876">
        <f>IF(ISBLANK(H1860),"",SUM(G1860:H1860))</f>
        <v>1337.8987311999999</v>
      </c>
      <c r="J1860" s="877">
        <f t="shared" si="476"/>
        <v>1635.18</v>
      </c>
      <c r="K1860" s="878" t="s">
        <v>15</v>
      </c>
      <c r="L1860" s="1013">
        <f>ROUND(SUM(ORÇAMENTO!L1860),2)</f>
        <v>0</v>
      </c>
      <c r="M1860" s="1013">
        <f t="shared" si="460"/>
        <v>0</v>
      </c>
      <c r="N1860" s="868">
        <f t="shared" si="461"/>
        <v>0</v>
      </c>
      <c r="O1860" s="880"/>
      <c r="Q1860" s="317" t="str">
        <f t="shared" si="462"/>
        <v/>
      </c>
      <c r="R1860" s="317" t="str">
        <f t="shared" si="463"/>
        <v/>
      </c>
      <c r="S1860" s="317" t="str">
        <f t="shared" si="464"/>
        <v/>
      </c>
      <c r="V1860" s="314">
        <f>SUM(ORÇAMENTO!N1860)</f>
        <v>0</v>
      </c>
      <c r="W1860" s="315">
        <f t="shared" si="466"/>
        <v>0</v>
      </c>
    </row>
    <row r="1861" spans="1:23" hidden="1">
      <c r="A1861" s="63" t="s">
        <v>147</v>
      </c>
      <c r="B1861" s="870" t="s">
        <v>147</v>
      </c>
      <c r="C1861" s="871"/>
      <c r="D1861" s="881" t="s">
        <v>190</v>
      </c>
      <c r="E1861" s="882">
        <f>DMT!$D$20</f>
        <v>445</v>
      </c>
      <c r="F1861" s="883">
        <v>0.2424</v>
      </c>
      <c r="G1861" s="884">
        <f>IF(E1861&lt;=30,(0.78*E1861+7.82)*F1861,((0.78*30+7.82)+0.78*(E1861-30))*F1861)</f>
        <v>86.03260800000001</v>
      </c>
      <c r="H1861" s="876"/>
      <c r="I1861" s="876"/>
      <c r="J1861" s="877">
        <f t="shared" si="476"/>
        <v>0</v>
      </c>
      <c r="K1861" s="878"/>
      <c r="L1861" s="1013">
        <f>ROUND(SUM(ORÇAMENTO!L1861),2)</f>
        <v>0</v>
      </c>
      <c r="M1861" s="1013">
        <f t="shared" si="460"/>
        <v>0</v>
      </c>
      <c r="N1861" s="868">
        <f t="shared" si="461"/>
        <v>0</v>
      </c>
      <c r="O1861" s="880"/>
      <c r="P1861" s="36" t="str">
        <f>IF(N1860&gt;0,"xx",IF(N1860&gt;0,"xy",""))</f>
        <v/>
      </c>
      <c r="Q1861" s="317" t="str">
        <f t="shared" si="462"/>
        <v/>
      </c>
      <c r="R1861" s="317" t="str">
        <f t="shared" si="463"/>
        <v/>
      </c>
      <c r="S1861" s="317" t="str">
        <f t="shared" si="464"/>
        <v/>
      </c>
      <c r="V1861" s="314">
        <f>SUM(ORÇAMENTO!N1861)</f>
        <v>0</v>
      </c>
      <c r="W1861" s="315">
        <f t="shared" si="466"/>
        <v>0</v>
      </c>
    </row>
    <row r="1862" spans="1:23" hidden="1">
      <c r="A1862" s="63" t="s">
        <v>147</v>
      </c>
      <c r="B1862" s="870" t="s">
        <v>147</v>
      </c>
      <c r="C1862" s="871"/>
      <c r="D1862" s="881" t="s">
        <v>229</v>
      </c>
      <c r="E1862" s="882">
        <f>DMT!$F$8</f>
        <v>290</v>
      </c>
      <c r="F1862" s="883">
        <v>0.86180000000000001</v>
      </c>
      <c r="G1862" s="923">
        <f t="shared" ref="G1862:G1863" si="479">IF(E1862&lt;=30,(1.07*E1862+2.68)*F1862,((1.07*30+2.68)+1.07*(E1862-30))*F1862)</f>
        <v>269.72616400000004</v>
      </c>
      <c r="H1862" s="876"/>
      <c r="I1862" s="876"/>
      <c r="J1862" s="877">
        <f t="shared" si="476"/>
        <v>0</v>
      </c>
      <c r="K1862" s="878"/>
      <c r="L1862" s="1013">
        <f>ROUND(SUM(ORÇAMENTO!L1862),2)</f>
        <v>0</v>
      </c>
      <c r="M1862" s="1013">
        <f t="shared" si="460"/>
        <v>0</v>
      </c>
      <c r="N1862" s="868">
        <f t="shared" si="461"/>
        <v>0</v>
      </c>
      <c r="O1862" s="880"/>
      <c r="P1862" s="36" t="str">
        <f>IF(N1860&gt;0,"xx",IF(N1860&gt;0,"xy",""))</f>
        <v/>
      </c>
      <c r="Q1862" s="317" t="str">
        <f t="shared" si="462"/>
        <v/>
      </c>
      <c r="R1862" s="317" t="str">
        <f t="shared" si="463"/>
        <v/>
      </c>
      <c r="S1862" s="317" t="str">
        <f t="shared" si="464"/>
        <v/>
      </c>
      <c r="V1862" s="314">
        <f>SUM(ORÇAMENTO!N1862)</f>
        <v>0</v>
      </c>
      <c r="W1862" s="315">
        <f t="shared" si="466"/>
        <v>0</v>
      </c>
    </row>
    <row r="1863" spans="1:23" hidden="1">
      <c r="A1863" s="63" t="s">
        <v>147</v>
      </c>
      <c r="B1863" s="870" t="s">
        <v>147</v>
      </c>
      <c r="C1863" s="871"/>
      <c r="D1863" s="881" t="s">
        <v>233</v>
      </c>
      <c r="E1863" s="882">
        <f>DMT!$F$10</f>
        <v>43.1</v>
      </c>
      <c r="F1863" s="883">
        <v>0.5736</v>
      </c>
      <c r="G1863" s="923">
        <f t="shared" si="479"/>
        <v>27.989959200000001</v>
      </c>
      <c r="H1863" s="876"/>
      <c r="I1863" s="876"/>
      <c r="J1863" s="877">
        <f t="shared" si="476"/>
        <v>0</v>
      </c>
      <c r="K1863" s="878"/>
      <c r="L1863" s="1013">
        <f>ROUND(SUM(ORÇAMENTO!L1863),2)</f>
        <v>0</v>
      </c>
      <c r="M1863" s="1013">
        <f t="shared" si="460"/>
        <v>0</v>
      </c>
      <c r="N1863" s="868">
        <f t="shared" si="461"/>
        <v>0</v>
      </c>
      <c r="O1863" s="880"/>
      <c r="P1863" s="36" t="str">
        <f>IF(N1860&gt;0,"xx",IF(N1860&gt;0,"xy",""))</f>
        <v/>
      </c>
      <c r="Q1863" s="317" t="str">
        <f t="shared" si="462"/>
        <v/>
      </c>
      <c r="R1863" s="317" t="str">
        <f t="shared" si="463"/>
        <v/>
      </c>
      <c r="S1863" s="317" t="str">
        <f t="shared" si="464"/>
        <v/>
      </c>
      <c r="V1863" s="314">
        <f>SUM(ORÇAMENTO!N1863)</f>
        <v>0</v>
      </c>
      <c r="W1863" s="315">
        <f t="shared" si="466"/>
        <v>0</v>
      </c>
    </row>
    <row r="1864" spans="1:23" hidden="1">
      <c r="A1864" s="63">
        <v>620200</v>
      </c>
      <c r="B1864" s="870" t="s">
        <v>1804</v>
      </c>
      <c r="C1864" s="871" t="s">
        <v>184</v>
      </c>
      <c r="D1864" s="881" t="s">
        <v>345</v>
      </c>
      <c r="E1864" s="882"/>
      <c r="F1864" s="883"/>
      <c r="G1864" s="887">
        <f>SUM(G1865:G1867)</f>
        <v>511.95056049999999</v>
      </c>
      <c r="H1864" s="876">
        <v>1321.46</v>
      </c>
      <c r="I1864" s="876">
        <f>IF(ISBLANK(H1864),"",SUM(G1864:H1864))</f>
        <v>1833.4105605</v>
      </c>
      <c r="J1864" s="877">
        <f t="shared" si="476"/>
        <v>2240.79</v>
      </c>
      <c r="K1864" s="878" t="s">
        <v>15</v>
      </c>
      <c r="L1864" s="1013">
        <f>ROUND(SUM(ORÇAMENTO!L1864),2)</f>
        <v>0</v>
      </c>
      <c r="M1864" s="1013">
        <f t="shared" si="460"/>
        <v>0</v>
      </c>
      <c r="N1864" s="868">
        <f t="shared" si="461"/>
        <v>0</v>
      </c>
      <c r="O1864" s="880"/>
      <c r="Q1864" s="317" t="str">
        <f t="shared" si="462"/>
        <v/>
      </c>
      <c r="R1864" s="317" t="str">
        <f t="shared" si="463"/>
        <v/>
      </c>
      <c r="S1864" s="317" t="str">
        <f t="shared" si="464"/>
        <v/>
      </c>
      <c r="V1864" s="314">
        <f>SUM(ORÇAMENTO!N1864)</f>
        <v>0</v>
      </c>
      <c r="W1864" s="315">
        <f t="shared" si="466"/>
        <v>0</v>
      </c>
    </row>
    <row r="1865" spans="1:23" hidden="1">
      <c r="A1865" s="63" t="s">
        <v>147</v>
      </c>
      <c r="B1865" s="870" t="s">
        <v>147</v>
      </c>
      <c r="C1865" s="871"/>
      <c r="D1865" s="881" t="s">
        <v>190</v>
      </c>
      <c r="E1865" s="882">
        <f>DMT!$D$20</f>
        <v>445</v>
      </c>
      <c r="F1865" s="883">
        <v>0.28689999999999999</v>
      </c>
      <c r="G1865" s="884">
        <f>IF(E1865&lt;=30,(0.78*E1865+7.82)*F1865,((0.78*30+7.82)+0.78*(E1865-30))*F1865)</f>
        <v>101.826548</v>
      </c>
      <c r="H1865" s="876"/>
      <c r="I1865" s="876"/>
      <c r="J1865" s="877">
        <f t="shared" si="476"/>
        <v>0</v>
      </c>
      <c r="K1865" s="878"/>
      <c r="L1865" s="1013">
        <f>ROUND(SUM(ORÇAMENTO!L1865),2)</f>
        <v>0</v>
      </c>
      <c r="M1865" s="1013">
        <f t="shared" si="460"/>
        <v>0</v>
      </c>
      <c r="N1865" s="868">
        <f t="shared" si="461"/>
        <v>0</v>
      </c>
      <c r="O1865" s="880"/>
      <c r="P1865" s="36" t="str">
        <f>IF(N1864&gt;0,"xx",IF(N1864&gt;0,"xy",""))</f>
        <v/>
      </c>
      <c r="Q1865" s="317" t="str">
        <f t="shared" si="462"/>
        <v/>
      </c>
      <c r="R1865" s="317" t="str">
        <f t="shared" si="463"/>
        <v/>
      </c>
      <c r="S1865" s="317" t="str">
        <f t="shared" si="464"/>
        <v/>
      </c>
      <c r="V1865" s="314">
        <f>SUM(ORÇAMENTO!N1865)</f>
        <v>0</v>
      </c>
      <c r="W1865" s="315">
        <f t="shared" si="466"/>
        <v>0</v>
      </c>
    </row>
    <row r="1866" spans="1:23" hidden="1">
      <c r="A1866" s="63" t="s">
        <v>147</v>
      </c>
      <c r="B1866" s="870" t="s">
        <v>147</v>
      </c>
      <c r="C1866" s="871"/>
      <c r="D1866" s="881" t="s">
        <v>229</v>
      </c>
      <c r="E1866" s="882">
        <f>DMT!$F$8</f>
        <v>290</v>
      </c>
      <c r="F1866" s="883">
        <v>1.02</v>
      </c>
      <c r="G1866" s="923">
        <f t="shared" ref="G1866:G1867" si="480">IF(E1866&lt;=30,(1.07*E1866+2.68)*F1866,((1.07*30+2.68)+1.07*(E1866-30))*F1866)</f>
        <v>319.2396</v>
      </c>
      <c r="H1866" s="876"/>
      <c r="I1866" s="876"/>
      <c r="J1866" s="877">
        <f t="shared" si="476"/>
        <v>0</v>
      </c>
      <c r="K1866" s="878"/>
      <c r="L1866" s="1013">
        <f>ROUND(SUM(ORÇAMENTO!L1866),2)</f>
        <v>0</v>
      </c>
      <c r="M1866" s="1013">
        <f t="shared" si="460"/>
        <v>0</v>
      </c>
      <c r="N1866" s="868">
        <f t="shared" si="461"/>
        <v>0</v>
      </c>
      <c r="O1866" s="880"/>
      <c r="P1866" s="36" t="str">
        <f>IF(N1864&gt;0,"xx",IF(N1864&gt;0,"xy",""))</f>
        <v/>
      </c>
      <c r="Q1866" s="317" t="str">
        <f t="shared" si="462"/>
        <v/>
      </c>
      <c r="R1866" s="317" t="str">
        <f t="shared" si="463"/>
        <v/>
      </c>
      <c r="S1866" s="317" t="str">
        <f t="shared" si="464"/>
        <v/>
      </c>
      <c r="V1866" s="314">
        <f>SUM(ORÇAMENTO!N1866)</f>
        <v>0</v>
      </c>
      <c r="W1866" s="315">
        <f t="shared" si="466"/>
        <v>0</v>
      </c>
    </row>
    <row r="1867" spans="1:23" hidden="1">
      <c r="A1867" s="63" t="s">
        <v>147</v>
      </c>
      <c r="B1867" s="870" t="s">
        <v>147</v>
      </c>
      <c r="C1867" s="871"/>
      <c r="D1867" s="881" t="s">
        <v>233</v>
      </c>
      <c r="E1867" s="882">
        <f>DMT!$F$10</f>
        <v>43.1</v>
      </c>
      <c r="F1867" s="883">
        <v>1.8625</v>
      </c>
      <c r="G1867" s="923">
        <f t="shared" si="480"/>
        <v>90.88441250000001</v>
      </c>
      <c r="H1867" s="876"/>
      <c r="I1867" s="876"/>
      <c r="J1867" s="877">
        <f t="shared" si="476"/>
        <v>0</v>
      </c>
      <c r="K1867" s="878"/>
      <c r="L1867" s="1013">
        <f>ROUND(SUM(ORÇAMENTO!L1867),2)</f>
        <v>0</v>
      </c>
      <c r="M1867" s="1013">
        <f t="shared" si="460"/>
        <v>0</v>
      </c>
      <c r="N1867" s="868">
        <f t="shared" si="461"/>
        <v>0</v>
      </c>
      <c r="O1867" s="880"/>
      <c r="P1867" s="36" t="str">
        <f>IF(N1864&gt;0,"xx",IF(N1864&gt;0,"xy",""))</f>
        <v/>
      </c>
      <c r="Q1867" s="317" t="str">
        <f t="shared" si="462"/>
        <v/>
      </c>
      <c r="R1867" s="317" t="str">
        <f t="shared" si="463"/>
        <v/>
      </c>
      <c r="S1867" s="317" t="str">
        <f t="shared" si="464"/>
        <v/>
      </c>
      <c r="V1867" s="314">
        <f>SUM(ORÇAMENTO!N1867)</f>
        <v>0</v>
      </c>
      <c r="W1867" s="315">
        <f t="shared" si="466"/>
        <v>0</v>
      </c>
    </row>
    <row r="1868" spans="1:23" hidden="1">
      <c r="A1868" s="63">
        <v>620300</v>
      </c>
      <c r="B1868" s="870">
        <v>620300</v>
      </c>
      <c r="C1868" s="871" t="s">
        <v>184</v>
      </c>
      <c r="D1868" s="881" t="s">
        <v>346</v>
      </c>
      <c r="E1868" s="882"/>
      <c r="F1868" s="883"/>
      <c r="G1868" s="887">
        <f>SUM(G1869:G1871)</f>
        <v>768.2953387</v>
      </c>
      <c r="H1868" s="876">
        <v>1880.07</v>
      </c>
      <c r="I1868" s="876">
        <f>IF(ISBLANK(H1868),"",SUM(G1868:H1868))</f>
        <v>2648.3653386999999</v>
      </c>
      <c r="J1868" s="877">
        <f t="shared" si="476"/>
        <v>3236.83</v>
      </c>
      <c r="K1868" s="878" t="s">
        <v>15</v>
      </c>
      <c r="L1868" s="1013">
        <f>ROUND(SUM(ORÇAMENTO!L1868),2)</f>
        <v>0</v>
      </c>
      <c r="M1868" s="1013">
        <f t="shared" si="460"/>
        <v>0</v>
      </c>
      <c r="N1868" s="868">
        <f t="shared" si="461"/>
        <v>0</v>
      </c>
      <c r="O1868" s="880"/>
      <c r="Q1868" s="317" t="str">
        <f t="shared" si="462"/>
        <v/>
      </c>
      <c r="R1868" s="317" t="str">
        <f t="shared" si="463"/>
        <v/>
      </c>
      <c r="S1868" s="317" t="str">
        <f t="shared" si="464"/>
        <v/>
      </c>
      <c r="V1868" s="314">
        <f>SUM(ORÇAMENTO!N1868)</f>
        <v>0</v>
      </c>
      <c r="W1868" s="315">
        <f t="shared" si="466"/>
        <v>0</v>
      </c>
    </row>
    <row r="1869" spans="1:23" hidden="1">
      <c r="A1869" s="63" t="s">
        <v>147</v>
      </c>
      <c r="B1869" s="870" t="s">
        <v>147</v>
      </c>
      <c r="C1869" s="871"/>
      <c r="D1869" s="881" t="s">
        <v>190</v>
      </c>
      <c r="E1869" s="882">
        <f>DMT!$D$20</f>
        <v>445</v>
      </c>
      <c r="F1869" s="883">
        <v>0.43049999999999999</v>
      </c>
      <c r="G1869" s="884">
        <f>IF(E1869&lt;=30,(0.78*E1869+7.82)*F1869,((0.78*30+7.82)+0.78*(E1869-30))*F1869)</f>
        <v>152.79306</v>
      </c>
      <c r="H1869" s="876"/>
      <c r="I1869" s="876"/>
      <c r="J1869" s="877">
        <f t="shared" si="476"/>
        <v>0</v>
      </c>
      <c r="K1869" s="878"/>
      <c r="L1869" s="1013">
        <f>ROUND(SUM(ORÇAMENTO!L1869),2)</f>
        <v>0</v>
      </c>
      <c r="M1869" s="1013">
        <f t="shared" si="460"/>
        <v>0</v>
      </c>
      <c r="N1869" s="868">
        <f t="shared" si="461"/>
        <v>0</v>
      </c>
      <c r="O1869" s="880"/>
      <c r="P1869" s="36" t="str">
        <f>IF(N1868&gt;0,"xx",IF(N1868&gt;0,"xy",""))</f>
        <v/>
      </c>
      <c r="Q1869" s="317" t="str">
        <f t="shared" si="462"/>
        <v/>
      </c>
      <c r="R1869" s="317" t="str">
        <f t="shared" si="463"/>
        <v/>
      </c>
      <c r="S1869" s="317" t="str">
        <f t="shared" si="464"/>
        <v/>
      </c>
      <c r="V1869" s="314">
        <f>SUM(ORÇAMENTO!N1869)</f>
        <v>0</v>
      </c>
      <c r="W1869" s="315">
        <f t="shared" si="466"/>
        <v>0</v>
      </c>
    </row>
    <row r="1870" spans="1:23" hidden="1">
      <c r="A1870" s="63" t="s">
        <v>147</v>
      </c>
      <c r="B1870" s="870" t="s">
        <v>147</v>
      </c>
      <c r="C1870" s="871"/>
      <c r="D1870" s="881" t="s">
        <v>229</v>
      </c>
      <c r="E1870" s="882">
        <f>DMT!$F$8</f>
        <v>290</v>
      </c>
      <c r="F1870" s="883">
        <v>1.5307999999999999</v>
      </c>
      <c r="G1870" s="923">
        <f t="shared" ref="G1870:G1871" si="481">IF(E1870&lt;=30,(1.07*E1870+2.68)*F1870,((1.07*30+2.68)+1.07*(E1870-30))*F1870)</f>
        <v>479.10978399999999</v>
      </c>
      <c r="H1870" s="876"/>
      <c r="I1870" s="876"/>
      <c r="J1870" s="877">
        <f t="shared" si="476"/>
        <v>0</v>
      </c>
      <c r="K1870" s="878"/>
      <c r="L1870" s="1013">
        <f>ROUND(SUM(ORÇAMENTO!L1870),2)</f>
        <v>0</v>
      </c>
      <c r="M1870" s="1013">
        <f t="shared" si="460"/>
        <v>0</v>
      </c>
      <c r="N1870" s="868">
        <f t="shared" si="461"/>
        <v>0</v>
      </c>
      <c r="O1870" s="880"/>
      <c r="P1870" s="36" t="str">
        <f>IF(N1868&gt;0,"xx",IF(N1868&gt;0,"xy",""))</f>
        <v/>
      </c>
      <c r="Q1870" s="317" t="str">
        <f t="shared" si="462"/>
        <v/>
      </c>
      <c r="R1870" s="317" t="str">
        <f t="shared" si="463"/>
        <v/>
      </c>
      <c r="S1870" s="317" t="str">
        <f t="shared" si="464"/>
        <v/>
      </c>
      <c r="V1870" s="314">
        <f>SUM(ORÇAMENTO!N1870)</f>
        <v>0</v>
      </c>
      <c r="W1870" s="315">
        <f t="shared" si="466"/>
        <v>0</v>
      </c>
    </row>
    <row r="1871" spans="1:23" hidden="1">
      <c r="A1871" s="63" t="s">
        <v>147</v>
      </c>
      <c r="B1871" s="870" t="s">
        <v>147</v>
      </c>
      <c r="C1871" s="871"/>
      <c r="D1871" s="881" t="s">
        <v>233</v>
      </c>
      <c r="E1871" s="882">
        <f>DMT!$F$10</f>
        <v>43.1</v>
      </c>
      <c r="F1871" s="883">
        <v>2.7951000000000001</v>
      </c>
      <c r="G1871" s="923">
        <f t="shared" si="481"/>
        <v>136.39249470000001</v>
      </c>
      <c r="H1871" s="876"/>
      <c r="I1871" s="876"/>
      <c r="J1871" s="877">
        <f t="shared" si="476"/>
        <v>0</v>
      </c>
      <c r="K1871" s="878"/>
      <c r="L1871" s="1013">
        <f>ROUND(SUM(ORÇAMENTO!L1871),2)</f>
        <v>0</v>
      </c>
      <c r="M1871" s="1013">
        <f t="shared" si="460"/>
        <v>0</v>
      </c>
      <c r="N1871" s="868">
        <f t="shared" si="461"/>
        <v>0</v>
      </c>
      <c r="O1871" s="880"/>
      <c r="P1871" s="36" t="str">
        <f>IF(N1868&gt;0,"xx",IF(N1868&gt;0,"xy",""))</f>
        <v/>
      </c>
      <c r="Q1871" s="317" t="str">
        <f t="shared" si="462"/>
        <v/>
      </c>
      <c r="R1871" s="317" t="str">
        <f t="shared" si="463"/>
        <v/>
      </c>
      <c r="S1871" s="317" t="str">
        <f t="shared" si="464"/>
        <v/>
      </c>
      <c r="V1871" s="314">
        <f>SUM(ORÇAMENTO!N1871)</f>
        <v>0</v>
      </c>
      <c r="W1871" s="315">
        <f t="shared" si="466"/>
        <v>0</v>
      </c>
    </row>
    <row r="1872" spans="1:23" hidden="1">
      <c r="A1872" s="63">
        <v>620400</v>
      </c>
      <c r="B1872" s="870">
        <v>620400</v>
      </c>
      <c r="C1872" s="871" t="s">
        <v>184</v>
      </c>
      <c r="D1872" s="881" t="s">
        <v>347</v>
      </c>
      <c r="E1872" s="882"/>
      <c r="F1872" s="883"/>
      <c r="G1872" s="887">
        <f>SUM(G1873:G1875)</f>
        <v>1037.4142934000001</v>
      </c>
      <c r="H1872" s="876">
        <v>2407.5300000000002</v>
      </c>
      <c r="I1872" s="876">
        <f>IF(ISBLANK(H1872),"",SUM(G1872:H1872))</f>
        <v>3444.9442934000003</v>
      </c>
      <c r="J1872" s="877">
        <f t="shared" si="476"/>
        <v>4210.41</v>
      </c>
      <c r="K1872" s="878" t="s">
        <v>15</v>
      </c>
      <c r="L1872" s="1013">
        <f>ROUND(SUM(ORÇAMENTO!L1872),2)</f>
        <v>0</v>
      </c>
      <c r="M1872" s="1013">
        <f t="shared" si="460"/>
        <v>0</v>
      </c>
      <c r="N1872" s="868">
        <f t="shared" si="461"/>
        <v>0</v>
      </c>
      <c r="O1872" s="880"/>
      <c r="Q1872" s="317" t="str">
        <f t="shared" si="462"/>
        <v/>
      </c>
      <c r="R1872" s="317" t="str">
        <f t="shared" si="463"/>
        <v/>
      </c>
      <c r="S1872" s="317" t="str">
        <f t="shared" si="464"/>
        <v/>
      </c>
      <c r="V1872" s="314">
        <f>SUM(ORÇAMENTO!N1872)</f>
        <v>0</v>
      </c>
      <c r="W1872" s="315">
        <f t="shared" si="466"/>
        <v>0</v>
      </c>
    </row>
    <row r="1873" spans="1:23" hidden="1">
      <c r="A1873" s="63" t="s">
        <v>147</v>
      </c>
      <c r="B1873" s="870" t="s">
        <v>147</v>
      </c>
      <c r="C1873" s="871"/>
      <c r="D1873" s="881" t="s">
        <v>190</v>
      </c>
      <c r="E1873" s="882">
        <f>DMT!$D$20</f>
        <v>445</v>
      </c>
      <c r="F1873" s="883">
        <v>0.58130000000000004</v>
      </c>
      <c r="G1873" s="884">
        <f>IF(E1873&lt;=30,(0.78*E1873+7.82)*F1873,((0.78*30+7.82)+0.78*(E1873-30))*F1873)</f>
        <v>206.31499600000004</v>
      </c>
      <c r="H1873" s="876"/>
      <c r="I1873" s="876"/>
      <c r="J1873" s="877">
        <f t="shared" si="476"/>
        <v>0</v>
      </c>
      <c r="K1873" s="878"/>
      <c r="L1873" s="1013">
        <f>ROUND(SUM(ORÇAMENTO!L1873),2)</f>
        <v>0</v>
      </c>
      <c r="M1873" s="1013">
        <f t="shared" si="460"/>
        <v>0</v>
      </c>
      <c r="N1873" s="868">
        <f t="shared" si="461"/>
        <v>0</v>
      </c>
      <c r="O1873" s="880"/>
      <c r="P1873" s="36" t="str">
        <f>IF(N1872&gt;0,"xx",IF(N1872&gt;0,"xy",""))</f>
        <v/>
      </c>
      <c r="Q1873" s="317" t="str">
        <f t="shared" si="462"/>
        <v/>
      </c>
      <c r="R1873" s="317" t="str">
        <f t="shared" si="463"/>
        <v/>
      </c>
      <c r="S1873" s="317" t="str">
        <f t="shared" si="464"/>
        <v/>
      </c>
      <c r="V1873" s="314">
        <f>SUM(ORÇAMENTO!N1873)</f>
        <v>0</v>
      </c>
      <c r="W1873" s="315">
        <f t="shared" si="466"/>
        <v>0</v>
      </c>
    </row>
    <row r="1874" spans="1:23" hidden="1">
      <c r="A1874" s="63" t="s">
        <v>147</v>
      </c>
      <c r="B1874" s="870" t="s">
        <v>147</v>
      </c>
      <c r="C1874" s="871"/>
      <c r="D1874" s="881" t="s">
        <v>229</v>
      </c>
      <c r="E1874" s="882">
        <f>DMT!$F$8</f>
        <v>290</v>
      </c>
      <c r="F1874" s="883">
        <v>2.0670000000000002</v>
      </c>
      <c r="G1874" s="923">
        <f t="shared" ref="G1874:G1875" si="482">IF(E1874&lt;=30,(1.07*E1874+2.68)*F1874,((1.07*30+2.68)+1.07*(E1874-30))*F1874)</f>
        <v>646.92966000000013</v>
      </c>
      <c r="H1874" s="876"/>
      <c r="I1874" s="876"/>
      <c r="J1874" s="877">
        <f t="shared" si="476"/>
        <v>0</v>
      </c>
      <c r="K1874" s="878"/>
      <c r="L1874" s="1013">
        <f>ROUND(SUM(ORÇAMENTO!L1874),2)</f>
        <v>0</v>
      </c>
      <c r="M1874" s="1013">
        <f t="shared" ref="M1874:M1937" si="483">IF(L1874=0,0,ROUND(J1874,2))</f>
        <v>0</v>
      </c>
      <c r="N1874" s="868">
        <f t="shared" ref="N1874:N1937" si="484">IF(ISBLANK(L1874),0,ROUND(L1874*M1874,2))</f>
        <v>0</v>
      </c>
      <c r="O1874" s="880"/>
      <c r="P1874" s="36" t="str">
        <f>IF(N1872&gt;0,"xx",IF(N1872&gt;0,"xy",""))</f>
        <v/>
      </c>
      <c r="Q1874" s="317" t="str">
        <f t="shared" ref="Q1874:Q1937" si="485">IF(P1874="X","x",IF(P1874="xx","x",IF(P1874="xy","x",IF(P1874="y","x",IF(OR(N1874&gt;0,N1874&gt;0),"x","")))))</f>
        <v/>
      </c>
      <c r="R1874" s="317" t="str">
        <f t="shared" ref="R1874:R1937" si="486">IF(P1874="X","x",IF(P1874="y","x",IF(P1874="xx","x",IF(N1874&gt;0,"x",""))))</f>
        <v/>
      </c>
      <c r="S1874" s="317" t="str">
        <f t="shared" ref="S1874:S1937" si="487">IF(P1874="X","x",IF(N1874&gt;0,"x",""))</f>
        <v/>
      </c>
      <c r="V1874" s="314">
        <f>SUM(ORÇAMENTO!N1874)</f>
        <v>0</v>
      </c>
      <c r="W1874" s="315">
        <f t="shared" si="466"/>
        <v>0</v>
      </c>
    </row>
    <row r="1875" spans="1:23" hidden="1">
      <c r="A1875" s="63" t="s">
        <v>147</v>
      </c>
      <c r="B1875" s="870" t="s">
        <v>147</v>
      </c>
      <c r="C1875" s="871"/>
      <c r="D1875" s="881" t="s">
        <v>233</v>
      </c>
      <c r="E1875" s="882">
        <f>DMT!$F$10</f>
        <v>43.1</v>
      </c>
      <c r="F1875" s="883">
        <v>3.7742</v>
      </c>
      <c r="G1875" s="923">
        <f t="shared" si="482"/>
        <v>184.16963740000003</v>
      </c>
      <c r="H1875" s="876"/>
      <c r="I1875" s="876"/>
      <c r="J1875" s="877">
        <f t="shared" si="476"/>
        <v>0</v>
      </c>
      <c r="K1875" s="878"/>
      <c r="L1875" s="1013">
        <f>ROUND(SUM(ORÇAMENTO!L1875),2)</f>
        <v>0</v>
      </c>
      <c r="M1875" s="1013">
        <f t="shared" si="483"/>
        <v>0</v>
      </c>
      <c r="N1875" s="868">
        <f t="shared" si="484"/>
        <v>0</v>
      </c>
      <c r="O1875" s="880"/>
      <c r="P1875" s="36" t="str">
        <f>IF(N1872&gt;0,"xx",IF(N1872&gt;0,"xy",""))</f>
        <v/>
      </c>
      <c r="Q1875" s="317" t="str">
        <f t="shared" si="485"/>
        <v/>
      </c>
      <c r="R1875" s="317" t="str">
        <f t="shared" si="486"/>
        <v/>
      </c>
      <c r="S1875" s="317" t="str">
        <f t="shared" si="487"/>
        <v/>
      </c>
      <c r="V1875" s="314">
        <f>SUM(ORÇAMENTO!N1875)</f>
        <v>0</v>
      </c>
      <c r="W1875" s="315">
        <f t="shared" si="466"/>
        <v>0</v>
      </c>
    </row>
    <row r="1876" spans="1:23" hidden="1">
      <c r="A1876" s="63">
        <v>620500</v>
      </c>
      <c r="B1876" s="870">
        <v>620500</v>
      </c>
      <c r="C1876" s="871" t="s">
        <v>184</v>
      </c>
      <c r="D1876" s="881" t="s">
        <v>348</v>
      </c>
      <c r="E1876" s="882"/>
      <c r="F1876" s="883"/>
      <c r="G1876" s="887">
        <f>SUM(G1877:G1879)</f>
        <v>2082.9710062999998</v>
      </c>
      <c r="H1876" s="876">
        <v>4302.26</v>
      </c>
      <c r="I1876" s="876">
        <f>IF(ISBLANK(H1876),"",SUM(G1876:H1876))</f>
        <v>6385.2310063000004</v>
      </c>
      <c r="J1876" s="877">
        <f t="shared" si="476"/>
        <v>7804.03</v>
      </c>
      <c r="K1876" s="878" t="s">
        <v>15</v>
      </c>
      <c r="L1876" s="1013">
        <f>ROUND(SUM(ORÇAMENTO!L1876),2)</f>
        <v>0</v>
      </c>
      <c r="M1876" s="1013">
        <f t="shared" si="483"/>
        <v>0</v>
      </c>
      <c r="N1876" s="868">
        <f t="shared" si="484"/>
        <v>0</v>
      </c>
      <c r="O1876" s="880"/>
      <c r="Q1876" s="317" t="str">
        <f t="shared" si="485"/>
        <v/>
      </c>
      <c r="R1876" s="317" t="str">
        <f t="shared" si="486"/>
        <v/>
      </c>
      <c r="S1876" s="317" t="str">
        <f t="shared" si="487"/>
        <v/>
      </c>
      <c r="V1876" s="314">
        <f>SUM(ORÇAMENTO!N1876)</f>
        <v>0</v>
      </c>
      <c r="W1876" s="315">
        <f t="shared" si="466"/>
        <v>0</v>
      </c>
    </row>
    <row r="1877" spans="1:23" hidden="1">
      <c r="A1877" s="63" t="s">
        <v>147</v>
      </c>
      <c r="B1877" s="870" t="s">
        <v>147</v>
      </c>
      <c r="C1877" s="871"/>
      <c r="D1877" s="881" t="s">
        <v>190</v>
      </c>
      <c r="E1877" s="882">
        <f>DMT!$D$20</f>
        <v>445</v>
      </c>
      <c r="F1877" s="883">
        <v>1.1672</v>
      </c>
      <c r="G1877" s="884">
        <f>IF(E1877&lt;=30,(0.78*E1877+7.82)*F1877,((0.78*30+7.82)+0.78*(E1877-30))*F1877)</f>
        <v>414.26262400000002</v>
      </c>
      <c r="H1877" s="876"/>
      <c r="I1877" s="876"/>
      <c r="J1877" s="877">
        <f t="shared" si="476"/>
        <v>0</v>
      </c>
      <c r="K1877" s="878"/>
      <c r="L1877" s="1013">
        <f>ROUND(SUM(ORÇAMENTO!L1877),2)</f>
        <v>0</v>
      </c>
      <c r="M1877" s="1013">
        <f t="shared" si="483"/>
        <v>0</v>
      </c>
      <c r="N1877" s="868">
        <f t="shared" si="484"/>
        <v>0</v>
      </c>
      <c r="O1877" s="880"/>
      <c r="P1877" s="36" t="str">
        <f>IF(N1876&gt;0,"xx",IF(N1876&gt;0,"xy",""))</f>
        <v/>
      </c>
      <c r="Q1877" s="317" t="str">
        <f t="shared" si="485"/>
        <v/>
      </c>
      <c r="R1877" s="317" t="str">
        <f t="shared" si="486"/>
        <v/>
      </c>
      <c r="S1877" s="317" t="str">
        <f t="shared" si="487"/>
        <v/>
      </c>
      <c r="V1877" s="314">
        <f>SUM(ORÇAMENTO!N1877)</f>
        <v>0</v>
      </c>
      <c r="W1877" s="315">
        <f t="shared" ref="W1877:W1940" si="488">N1877-V1877</f>
        <v>0</v>
      </c>
    </row>
    <row r="1878" spans="1:23" hidden="1">
      <c r="A1878" s="63" t="s">
        <v>147</v>
      </c>
      <c r="B1878" s="870" t="s">
        <v>147</v>
      </c>
      <c r="C1878" s="871"/>
      <c r="D1878" s="881" t="s">
        <v>229</v>
      </c>
      <c r="E1878" s="882">
        <f>DMT!$F$8</f>
        <v>290</v>
      </c>
      <c r="F1878" s="883">
        <v>4.1501999999999999</v>
      </c>
      <c r="G1878" s="923">
        <f t="shared" ref="G1878:G1879" si="489">IF(E1878&lt;=30,(1.07*E1878+2.68)*F1878,((1.07*30+2.68)+1.07*(E1878-30))*F1878)</f>
        <v>1298.9295959999999</v>
      </c>
      <c r="H1878" s="876"/>
      <c r="I1878" s="876"/>
      <c r="J1878" s="877">
        <f t="shared" si="476"/>
        <v>0</v>
      </c>
      <c r="K1878" s="878"/>
      <c r="L1878" s="1013">
        <f>ROUND(SUM(ORÇAMENTO!L1878),2)</f>
        <v>0</v>
      </c>
      <c r="M1878" s="1013">
        <f t="shared" si="483"/>
        <v>0</v>
      </c>
      <c r="N1878" s="868">
        <f t="shared" si="484"/>
        <v>0</v>
      </c>
      <c r="O1878" s="880"/>
      <c r="P1878" s="36" t="str">
        <f>IF(N1876&gt;0,"xx",IF(N1876&gt;0,"xy",""))</f>
        <v/>
      </c>
      <c r="Q1878" s="317" t="str">
        <f t="shared" si="485"/>
        <v/>
      </c>
      <c r="R1878" s="317" t="str">
        <f t="shared" si="486"/>
        <v/>
      </c>
      <c r="S1878" s="317" t="str">
        <f t="shared" si="487"/>
        <v/>
      </c>
      <c r="V1878" s="314">
        <f>SUM(ORÇAMENTO!N1878)</f>
        <v>0</v>
      </c>
      <c r="W1878" s="315">
        <f t="shared" si="488"/>
        <v>0</v>
      </c>
    </row>
    <row r="1879" spans="1:23" hidden="1">
      <c r="A1879" s="63" t="s">
        <v>147</v>
      </c>
      <c r="B1879" s="870" t="s">
        <v>147</v>
      </c>
      <c r="C1879" s="871"/>
      <c r="D1879" s="881" t="s">
        <v>233</v>
      </c>
      <c r="E1879" s="882">
        <f>DMT!$F$10</f>
        <v>43.1</v>
      </c>
      <c r="F1879" s="883">
        <v>7.5778999999999996</v>
      </c>
      <c r="G1879" s="923">
        <f t="shared" si="489"/>
        <v>369.77878630000004</v>
      </c>
      <c r="H1879" s="876"/>
      <c r="I1879" s="876"/>
      <c r="J1879" s="877">
        <f t="shared" si="476"/>
        <v>0</v>
      </c>
      <c r="K1879" s="878"/>
      <c r="L1879" s="1013">
        <f>ROUND(SUM(ORÇAMENTO!L1879),2)</f>
        <v>0</v>
      </c>
      <c r="M1879" s="1013">
        <f t="shared" si="483"/>
        <v>0</v>
      </c>
      <c r="N1879" s="868">
        <f t="shared" si="484"/>
        <v>0</v>
      </c>
      <c r="O1879" s="880"/>
      <c r="P1879" s="36" t="str">
        <f>IF(N1876&gt;0,"xx",IF(N1876&gt;0,"xy",""))</f>
        <v/>
      </c>
      <c r="Q1879" s="317" t="str">
        <f t="shared" si="485"/>
        <v/>
      </c>
      <c r="R1879" s="317" t="str">
        <f t="shared" si="486"/>
        <v/>
      </c>
      <c r="S1879" s="317" t="str">
        <f t="shared" si="487"/>
        <v/>
      </c>
      <c r="V1879" s="314">
        <f>SUM(ORÇAMENTO!N1879)</f>
        <v>0</v>
      </c>
      <c r="W1879" s="315">
        <f t="shared" si="488"/>
        <v>0</v>
      </c>
    </row>
    <row r="1880" spans="1:23" hidden="1">
      <c r="A1880" s="63">
        <v>620600</v>
      </c>
      <c r="B1880" s="870">
        <v>620600</v>
      </c>
      <c r="C1880" s="871" t="s">
        <v>184</v>
      </c>
      <c r="D1880" s="881" t="s">
        <v>349</v>
      </c>
      <c r="E1880" s="882"/>
      <c r="F1880" s="883"/>
      <c r="G1880" s="887">
        <f>SUM(G1881:G1883)</f>
        <v>4004.4267916999997</v>
      </c>
      <c r="H1880" s="876">
        <v>7668.6</v>
      </c>
      <c r="I1880" s="876">
        <f>IF(ISBLANK(H1880),"",SUM(G1880:H1880))</f>
        <v>11673.0267917</v>
      </c>
      <c r="J1880" s="877">
        <f t="shared" si="476"/>
        <v>14266.77</v>
      </c>
      <c r="K1880" s="878" t="s">
        <v>15</v>
      </c>
      <c r="L1880" s="1013">
        <f>ROUND(SUM(ORÇAMENTO!L1880),2)</f>
        <v>0</v>
      </c>
      <c r="M1880" s="1013">
        <f t="shared" si="483"/>
        <v>0</v>
      </c>
      <c r="N1880" s="868">
        <f t="shared" si="484"/>
        <v>0</v>
      </c>
      <c r="O1880" s="880"/>
      <c r="Q1880" s="317" t="str">
        <f t="shared" si="485"/>
        <v/>
      </c>
      <c r="R1880" s="317" t="str">
        <f t="shared" si="486"/>
        <v/>
      </c>
      <c r="S1880" s="317" t="str">
        <f t="shared" si="487"/>
        <v/>
      </c>
      <c r="V1880" s="314">
        <f>SUM(ORÇAMENTO!N1880)</f>
        <v>0</v>
      </c>
      <c r="W1880" s="315">
        <f t="shared" si="488"/>
        <v>0</v>
      </c>
    </row>
    <row r="1881" spans="1:23" hidden="1">
      <c r="A1881" s="63" t="s">
        <v>147</v>
      </c>
      <c r="B1881" s="870" t="s">
        <v>147</v>
      </c>
      <c r="C1881" s="871"/>
      <c r="D1881" s="881" t="s">
        <v>190</v>
      </c>
      <c r="E1881" s="882">
        <f>DMT!$D$20</f>
        <v>445</v>
      </c>
      <c r="F1881" s="883">
        <v>2.2439</v>
      </c>
      <c r="G1881" s="884">
        <f>IF(E1881&lt;=30,(0.78*E1881+7.82)*F1881,((0.78*30+7.82)+0.78*(E1881-30))*F1881)</f>
        <v>796.404988</v>
      </c>
      <c r="H1881" s="876"/>
      <c r="I1881" s="876"/>
      <c r="J1881" s="877">
        <f t="shared" si="476"/>
        <v>0</v>
      </c>
      <c r="K1881" s="878"/>
      <c r="L1881" s="1013">
        <f>ROUND(SUM(ORÇAMENTO!L1881),2)</f>
        <v>0</v>
      </c>
      <c r="M1881" s="1013">
        <f t="shared" si="483"/>
        <v>0</v>
      </c>
      <c r="N1881" s="868">
        <f t="shared" si="484"/>
        <v>0</v>
      </c>
      <c r="O1881" s="880"/>
      <c r="P1881" s="36" t="str">
        <f>IF(N1880&gt;0,"xx",IF(N1880&gt;0,"xy",""))</f>
        <v/>
      </c>
      <c r="Q1881" s="317" t="str">
        <f t="shared" si="485"/>
        <v/>
      </c>
      <c r="R1881" s="317" t="str">
        <f t="shared" si="486"/>
        <v/>
      </c>
      <c r="S1881" s="317" t="str">
        <f t="shared" si="487"/>
        <v/>
      </c>
      <c r="V1881" s="314">
        <f>SUM(ORÇAMENTO!N1881)</f>
        <v>0</v>
      </c>
      <c r="W1881" s="315">
        <f t="shared" si="488"/>
        <v>0</v>
      </c>
    </row>
    <row r="1882" spans="1:23" hidden="1">
      <c r="A1882" s="63" t="s">
        <v>147</v>
      </c>
      <c r="B1882" s="870" t="s">
        <v>147</v>
      </c>
      <c r="C1882" s="871"/>
      <c r="D1882" s="881" t="s">
        <v>229</v>
      </c>
      <c r="E1882" s="882">
        <f>DMT!$F$8</f>
        <v>290</v>
      </c>
      <c r="F1882" s="883">
        <v>7.9786000000000001</v>
      </c>
      <c r="G1882" s="923">
        <f t="shared" ref="G1882:G1883" si="490">IF(E1882&lt;=30,(1.07*E1882+2.68)*F1882,((1.07*30+2.68)+1.07*(E1882-30))*F1882)</f>
        <v>2497.1422280000002</v>
      </c>
      <c r="H1882" s="876"/>
      <c r="I1882" s="876"/>
      <c r="J1882" s="877">
        <f t="shared" si="476"/>
        <v>0</v>
      </c>
      <c r="K1882" s="878"/>
      <c r="L1882" s="1013">
        <f>ROUND(SUM(ORÇAMENTO!L1882),2)</f>
        <v>0</v>
      </c>
      <c r="M1882" s="1013">
        <f t="shared" si="483"/>
        <v>0</v>
      </c>
      <c r="N1882" s="868">
        <f t="shared" si="484"/>
        <v>0</v>
      </c>
      <c r="O1882" s="880"/>
      <c r="P1882" s="36" t="str">
        <f>IF(N1880&gt;0,"xx",IF(N1880&gt;0,"xy",""))</f>
        <v/>
      </c>
      <c r="Q1882" s="317" t="str">
        <f t="shared" si="485"/>
        <v/>
      </c>
      <c r="R1882" s="317" t="str">
        <f t="shared" si="486"/>
        <v/>
      </c>
      <c r="S1882" s="317" t="str">
        <f t="shared" si="487"/>
        <v/>
      </c>
      <c r="V1882" s="314">
        <f>SUM(ORÇAMENTO!N1882)</f>
        <v>0</v>
      </c>
      <c r="W1882" s="315">
        <f t="shared" si="488"/>
        <v>0</v>
      </c>
    </row>
    <row r="1883" spans="1:23" hidden="1">
      <c r="A1883" s="63" t="s">
        <v>147</v>
      </c>
      <c r="B1883" s="870" t="s">
        <v>147</v>
      </c>
      <c r="C1883" s="871"/>
      <c r="D1883" s="881" t="s">
        <v>233</v>
      </c>
      <c r="E1883" s="882">
        <f>DMT!$F$10</f>
        <v>43.1</v>
      </c>
      <c r="F1883" s="883">
        <v>14.568099999999999</v>
      </c>
      <c r="G1883" s="923">
        <f t="shared" si="490"/>
        <v>710.87957570000003</v>
      </c>
      <c r="H1883" s="876"/>
      <c r="I1883" s="876"/>
      <c r="J1883" s="877">
        <f t="shared" si="476"/>
        <v>0</v>
      </c>
      <c r="K1883" s="878"/>
      <c r="L1883" s="1013">
        <f>ROUND(SUM(ORÇAMENTO!L1883),2)</f>
        <v>0</v>
      </c>
      <c r="M1883" s="1013">
        <f t="shared" si="483"/>
        <v>0</v>
      </c>
      <c r="N1883" s="868">
        <f t="shared" si="484"/>
        <v>0</v>
      </c>
      <c r="O1883" s="880"/>
      <c r="P1883" s="36" t="str">
        <f>IF(N1880&gt;0,"xx",IF(N1880&gt;0,"xy",""))</f>
        <v/>
      </c>
      <c r="Q1883" s="317" t="str">
        <f t="shared" si="485"/>
        <v/>
      </c>
      <c r="R1883" s="317" t="str">
        <f t="shared" si="486"/>
        <v/>
      </c>
      <c r="S1883" s="317" t="str">
        <f t="shared" si="487"/>
        <v/>
      </c>
      <c r="V1883" s="314">
        <f>SUM(ORÇAMENTO!N1883)</f>
        <v>0</v>
      </c>
      <c r="W1883" s="315">
        <f t="shared" si="488"/>
        <v>0</v>
      </c>
    </row>
    <row r="1884" spans="1:23" hidden="1">
      <c r="A1884" s="63">
        <v>620100</v>
      </c>
      <c r="B1884" s="870" t="s">
        <v>1802</v>
      </c>
      <c r="C1884" s="871" t="s">
        <v>184</v>
      </c>
      <c r="D1884" s="881" t="s">
        <v>350</v>
      </c>
      <c r="E1884" s="882"/>
      <c r="F1884" s="883"/>
      <c r="G1884" s="887">
        <f>SUM(G1885:G1887)</f>
        <v>511.01809410000004</v>
      </c>
      <c r="H1884" s="876">
        <v>954.15</v>
      </c>
      <c r="I1884" s="876">
        <f>IF(ISBLANK(H1884),"",SUM(G1884:H1884))</f>
        <v>1465.1680941</v>
      </c>
      <c r="J1884" s="877">
        <f t="shared" si="476"/>
        <v>1790.73</v>
      </c>
      <c r="K1884" s="878" t="s">
        <v>15</v>
      </c>
      <c r="L1884" s="1013">
        <f>ROUND(SUM(ORÇAMENTO!L1884),2)</f>
        <v>0</v>
      </c>
      <c r="M1884" s="1013">
        <f t="shared" si="483"/>
        <v>0</v>
      </c>
      <c r="N1884" s="868">
        <f t="shared" si="484"/>
        <v>0</v>
      </c>
      <c r="O1884" s="880"/>
      <c r="Q1884" s="317" t="str">
        <f t="shared" si="485"/>
        <v/>
      </c>
      <c r="R1884" s="317" t="str">
        <f t="shared" si="486"/>
        <v/>
      </c>
      <c r="S1884" s="317" t="str">
        <f t="shared" si="487"/>
        <v/>
      </c>
      <c r="V1884" s="314">
        <f>SUM(ORÇAMENTO!N1884)</f>
        <v>0</v>
      </c>
      <c r="W1884" s="315">
        <f t="shared" si="488"/>
        <v>0</v>
      </c>
    </row>
    <row r="1885" spans="1:23" hidden="1">
      <c r="A1885" s="63" t="s">
        <v>147</v>
      </c>
      <c r="B1885" s="870" t="s">
        <v>147</v>
      </c>
      <c r="C1885" s="871"/>
      <c r="D1885" s="881" t="s">
        <v>190</v>
      </c>
      <c r="E1885" s="882">
        <f>DMT!$D$20</f>
        <v>445</v>
      </c>
      <c r="F1885" s="883">
        <v>0.2863</v>
      </c>
      <c r="G1885" s="884">
        <f>IF(E1885&lt;=30,(0.78*E1885+7.82)*F1885,((0.78*30+7.82)+0.78*(E1885-30))*F1885)</f>
        <v>101.613596</v>
      </c>
      <c r="H1885" s="876"/>
      <c r="I1885" s="876"/>
      <c r="J1885" s="877">
        <f t="shared" si="476"/>
        <v>0</v>
      </c>
      <c r="K1885" s="878"/>
      <c r="L1885" s="1013">
        <f>ROUND(SUM(ORÇAMENTO!L1885),2)</f>
        <v>0</v>
      </c>
      <c r="M1885" s="1013">
        <f t="shared" si="483"/>
        <v>0</v>
      </c>
      <c r="N1885" s="868">
        <f t="shared" si="484"/>
        <v>0</v>
      </c>
      <c r="O1885" s="880"/>
      <c r="P1885" s="36" t="str">
        <f>IF(N1884&gt;0,"xx",IF(N1884&gt;0,"xy",""))</f>
        <v/>
      </c>
      <c r="Q1885" s="317" t="str">
        <f t="shared" si="485"/>
        <v/>
      </c>
      <c r="R1885" s="317" t="str">
        <f t="shared" si="486"/>
        <v/>
      </c>
      <c r="S1885" s="317" t="str">
        <f t="shared" si="487"/>
        <v/>
      </c>
      <c r="V1885" s="314">
        <f>SUM(ORÇAMENTO!N1885)</f>
        <v>0</v>
      </c>
      <c r="W1885" s="315">
        <f t="shared" si="488"/>
        <v>0</v>
      </c>
    </row>
    <row r="1886" spans="1:23" hidden="1">
      <c r="A1886" s="63" t="s">
        <v>147</v>
      </c>
      <c r="B1886" s="870" t="s">
        <v>147</v>
      </c>
      <c r="C1886" s="871"/>
      <c r="D1886" s="881" t="s">
        <v>229</v>
      </c>
      <c r="E1886" s="882">
        <f>DMT!$F$8</f>
        <v>290</v>
      </c>
      <c r="F1886" s="883">
        <v>1.0182</v>
      </c>
      <c r="G1886" s="923">
        <f t="shared" ref="G1886:G1887" si="491">IF(E1886&lt;=30,(1.07*E1886+2.68)*F1886,((1.07*30+2.68)+1.07*(E1886-30))*F1886)</f>
        <v>318.67623600000002</v>
      </c>
      <c r="H1886" s="876"/>
      <c r="I1886" s="876"/>
      <c r="J1886" s="877">
        <f t="shared" si="476"/>
        <v>0</v>
      </c>
      <c r="K1886" s="878"/>
      <c r="L1886" s="1013">
        <f>ROUND(SUM(ORÇAMENTO!L1886),2)</f>
        <v>0</v>
      </c>
      <c r="M1886" s="1013">
        <f t="shared" si="483"/>
        <v>0</v>
      </c>
      <c r="N1886" s="868">
        <f t="shared" si="484"/>
        <v>0</v>
      </c>
      <c r="O1886" s="880"/>
      <c r="P1886" s="36" t="str">
        <f>IF(N1884&gt;0,"xx",IF(N1884&gt;0,"xy",""))</f>
        <v/>
      </c>
      <c r="Q1886" s="317" t="str">
        <f t="shared" si="485"/>
        <v/>
      </c>
      <c r="R1886" s="317" t="str">
        <f t="shared" si="486"/>
        <v/>
      </c>
      <c r="S1886" s="317" t="str">
        <f t="shared" si="487"/>
        <v/>
      </c>
      <c r="V1886" s="314">
        <f>SUM(ORÇAMENTO!N1886)</f>
        <v>0</v>
      </c>
      <c r="W1886" s="315">
        <f t="shared" si="488"/>
        <v>0</v>
      </c>
    </row>
    <row r="1887" spans="1:23" hidden="1">
      <c r="A1887" s="63" t="s">
        <v>147</v>
      </c>
      <c r="B1887" s="870" t="s">
        <v>147</v>
      </c>
      <c r="C1887" s="871"/>
      <c r="D1887" s="881" t="s">
        <v>233</v>
      </c>
      <c r="E1887" s="882">
        <f>DMT!$F$10</f>
        <v>43.1</v>
      </c>
      <c r="F1887" s="883">
        <v>1.8593</v>
      </c>
      <c r="G1887" s="923">
        <f t="shared" si="491"/>
        <v>90.728262100000009</v>
      </c>
      <c r="H1887" s="876"/>
      <c r="I1887" s="876"/>
      <c r="J1887" s="877">
        <f t="shared" si="476"/>
        <v>0</v>
      </c>
      <c r="K1887" s="878"/>
      <c r="L1887" s="1013">
        <f>ROUND(SUM(ORÇAMENTO!L1887),2)</f>
        <v>0</v>
      </c>
      <c r="M1887" s="1013">
        <f t="shared" si="483"/>
        <v>0</v>
      </c>
      <c r="N1887" s="868">
        <f t="shared" si="484"/>
        <v>0</v>
      </c>
      <c r="O1887" s="880"/>
      <c r="P1887" s="36" t="str">
        <f>IF(N1884&gt;0,"xx",IF(N1884&gt;0,"xy",""))</f>
        <v/>
      </c>
      <c r="Q1887" s="317" t="str">
        <f t="shared" si="485"/>
        <v/>
      </c>
      <c r="R1887" s="317" t="str">
        <f t="shared" si="486"/>
        <v/>
      </c>
      <c r="S1887" s="317" t="str">
        <f t="shared" si="487"/>
        <v/>
      </c>
      <c r="V1887" s="314">
        <f>SUM(ORÇAMENTO!N1887)</f>
        <v>0</v>
      </c>
      <c r="W1887" s="315">
        <f t="shared" si="488"/>
        <v>0</v>
      </c>
    </row>
    <row r="1888" spans="1:23" hidden="1">
      <c r="A1888" s="63">
        <v>620200</v>
      </c>
      <c r="B1888" s="870" t="s">
        <v>1805</v>
      </c>
      <c r="C1888" s="871" t="s">
        <v>184</v>
      </c>
      <c r="D1888" s="881" t="s">
        <v>351</v>
      </c>
      <c r="E1888" s="882"/>
      <c r="F1888" s="883"/>
      <c r="G1888" s="887">
        <f>SUM(G1889:G1891)</f>
        <v>740.99760260000005</v>
      </c>
      <c r="H1888" s="876">
        <v>1321.46</v>
      </c>
      <c r="I1888" s="876">
        <f>IF(ISBLANK(H1888),"",SUM(G1888:H1888))</f>
        <v>2062.4576026</v>
      </c>
      <c r="J1888" s="877">
        <f t="shared" si="476"/>
        <v>2520.7399999999998</v>
      </c>
      <c r="K1888" s="878" t="s">
        <v>15</v>
      </c>
      <c r="L1888" s="1013">
        <f>ROUND(SUM(ORÇAMENTO!L1888),2)</f>
        <v>0</v>
      </c>
      <c r="M1888" s="1013">
        <f t="shared" si="483"/>
        <v>0</v>
      </c>
      <c r="N1888" s="868">
        <f t="shared" si="484"/>
        <v>0</v>
      </c>
      <c r="O1888" s="880"/>
      <c r="Q1888" s="317" t="str">
        <f t="shared" si="485"/>
        <v/>
      </c>
      <c r="R1888" s="317" t="str">
        <f t="shared" si="486"/>
        <v/>
      </c>
      <c r="S1888" s="317" t="str">
        <f t="shared" si="487"/>
        <v/>
      </c>
      <c r="V1888" s="314">
        <f>SUM(ORÇAMENTO!N1888)</f>
        <v>0</v>
      </c>
      <c r="W1888" s="315">
        <f t="shared" si="488"/>
        <v>0</v>
      </c>
    </row>
    <row r="1889" spans="1:23" hidden="1">
      <c r="A1889" s="63" t="s">
        <v>147</v>
      </c>
      <c r="B1889" s="870" t="s">
        <v>147</v>
      </c>
      <c r="C1889" s="871"/>
      <c r="D1889" s="881" t="s">
        <v>190</v>
      </c>
      <c r="E1889" s="882">
        <f>DMT!$D$20</f>
        <v>445</v>
      </c>
      <c r="F1889" s="883">
        <v>0.4153</v>
      </c>
      <c r="G1889" s="884">
        <f>IF(E1889&lt;=30,(0.78*E1889+7.82)*F1889,((0.78*30+7.82)+0.78*(E1889-30))*F1889)</f>
        <v>147.39827600000001</v>
      </c>
      <c r="H1889" s="876"/>
      <c r="I1889" s="876"/>
      <c r="J1889" s="877">
        <f t="shared" si="476"/>
        <v>0</v>
      </c>
      <c r="K1889" s="878"/>
      <c r="L1889" s="1013">
        <f>ROUND(SUM(ORÇAMENTO!L1889),2)</f>
        <v>0</v>
      </c>
      <c r="M1889" s="1013">
        <f t="shared" si="483"/>
        <v>0</v>
      </c>
      <c r="N1889" s="868">
        <f t="shared" si="484"/>
        <v>0</v>
      </c>
      <c r="O1889" s="880"/>
      <c r="P1889" s="36" t="str">
        <f>IF(N1888&gt;0,"xx",IF(N1888&gt;0,"xy",""))</f>
        <v/>
      </c>
      <c r="Q1889" s="317" t="str">
        <f t="shared" si="485"/>
        <v/>
      </c>
      <c r="R1889" s="317" t="str">
        <f t="shared" si="486"/>
        <v/>
      </c>
      <c r="S1889" s="317" t="str">
        <f t="shared" si="487"/>
        <v/>
      </c>
      <c r="V1889" s="314">
        <f>SUM(ORÇAMENTO!N1889)</f>
        <v>0</v>
      </c>
      <c r="W1889" s="315">
        <f t="shared" si="488"/>
        <v>0</v>
      </c>
    </row>
    <row r="1890" spans="1:23" hidden="1">
      <c r="A1890" s="63" t="s">
        <v>147</v>
      </c>
      <c r="B1890" s="870" t="s">
        <v>147</v>
      </c>
      <c r="C1890" s="871"/>
      <c r="D1890" s="881" t="s">
        <v>229</v>
      </c>
      <c r="E1890" s="882">
        <f>DMT!$F$8</f>
        <v>290</v>
      </c>
      <c r="F1890" s="883">
        <v>1.4762999999999999</v>
      </c>
      <c r="G1890" s="923">
        <f t="shared" ref="G1890:G1891" si="492">IF(E1890&lt;=30,(1.07*E1890+2.68)*F1890,((1.07*30+2.68)+1.07*(E1890-30))*F1890)</f>
        <v>462.05237399999999</v>
      </c>
      <c r="H1890" s="876"/>
      <c r="I1890" s="876"/>
      <c r="J1890" s="877">
        <f t="shared" si="476"/>
        <v>0</v>
      </c>
      <c r="K1890" s="878"/>
      <c r="L1890" s="1013">
        <f>ROUND(SUM(ORÇAMENTO!L1890),2)</f>
        <v>0</v>
      </c>
      <c r="M1890" s="1013">
        <f t="shared" si="483"/>
        <v>0</v>
      </c>
      <c r="N1890" s="868">
        <f t="shared" si="484"/>
        <v>0</v>
      </c>
      <c r="O1890" s="880"/>
      <c r="P1890" s="36" t="str">
        <f>IF(N1888&gt;0,"xx",IF(N1888&gt;0,"xy",""))</f>
        <v/>
      </c>
      <c r="Q1890" s="317" t="str">
        <f t="shared" si="485"/>
        <v/>
      </c>
      <c r="R1890" s="317" t="str">
        <f t="shared" si="486"/>
        <v/>
      </c>
      <c r="S1890" s="317" t="str">
        <f t="shared" si="487"/>
        <v/>
      </c>
      <c r="V1890" s="314">
        <f>SUM(ORÇAMENTO!N1890)</f>
        <v>0</v>
      </c>
      <c r="W1890" s="315">
        <f t="shared" si="488"/>
        <v>0</v>
      </c>
    </row>
    <row r="1891" spans="1:23" hidden="1">
      <c r="A1891" s="63" t="s">
        <v>147</v>
      </c>
      <c r="B1891" s="969" t="s">
        <v>147</v>
      </c>
      <c r="C1891" s="970"/>
      <c r="D1891" s="939" t="s">
        <v>233</v>
      </c>
      <c r="E1891" s="940">
        <f>DMT!$F$10</f>
        <v>43.1</v>
      </c>
      <c r="F1891" s="971">
        <v>2.6958000000000002</v>
      </c>
      <c r="G1891" s="1282">
        <f t="shared" si="492"/>
        <v>131.54695260000003</v>
      </c>
      <c r="H1891" s="914"/>
      <c r="I1891" s="914"/>
      <c r="J1891" s="943">
        <f t="shared" si="476"/>
        <v>0</v>
      </c>
      <c r="K1891" s="944"/>
      <c r="L1891" s="1295">
        <f>ROUND(SUM(ORÇAMENTO!L1891),2)</f>
        <v>0</v>
      </c>
      <c r="M1891" s="1295">
        <f t="shared" si="483"/>
        <v>0</v>
      </c>
      <c r="N1891" s="916">
        <f t="shared" si="484"/>
        <v>0</v>
      </c>
      <c r="O1891" s="880"/>
      <c r="P1891" s="36" t="str">
        <f>IF(N1888&gt;0,"xx",IF(N1888&gt;0,"xy",""))</f>
        <v/>
      </c>
      <c r="Q1891" s="317" t="str">
        <f t="shared" si="485"/>
        <v/>
      </c>
      <c r="R1891" s="317" t="str">
        <f t="shared" si="486"/>
        <v/>
      </c>
      <c r="S1891" s="317" t="str">
        <f t="shared" si="487"/>
        <v/>
      </c>
      <c r="V1891" s="314">
        <f>SUM(ORÇAMENTO!N1891)</f>
        <v>0</v>
      </c>
      <c r="W1891" s="315">
        <f t="shared" si="488"/>
        <v>0</v>
      </c>
    </row>
    <row r="1892" spans="1:23">
      <c r="A1892" s="63">
        <v>620700</v>
      </c>
      <c r="B1892" s="973">
        <v>620700</v>
      </c>
      <c r="C1892" s="974" t="s">
        <v>184</v>
      </c>
      <c r="D1892" s="947" t="s">
        <v>352</v>
      </c>
      <c r="E1892" s="948"/>
      <c r="F1892" s="949"/>
      <c r="G1892" s="950">
        <f>SUM(G1893:G1895)</f>
        <v>926.26494020000007</v>
      </c>
      <c r="H1892" s="951">
        <v>2601.2199999999998</v>
      </c>
      <c r="I1892" s="951">
        <f>IF(ISBLANK(H1892),"",SUM(G1892:H1892))</f>
        <v>3527.4849402</v>
      </c>
      <c r="J1892" s="952">
        <f t="shared" si="476"/>
        <v>4311.29</v>
      </c>
      <c r="K1892" s="953" t="s">
        <v>15</v>
      </c>
      <c r="L1892" s="1384">
        <v>4</v>
      </c>
      <c r="M1892" s="1384">
        <f t="shared" si="483"/>
        <v>4311.29</v>
      </c>
      <c r="N1892" s="956">
        <f t="shared" si="484"/>
        <v>17245.16</v>
      </c>
      <c r="O1892" s="869"/>
      <c r="Q1892" s="317" t="str">
        <f t="shared" si="485"/>
        <v>x</v>
      </c>
      <c r="R1892" s="317" t="str">
        <f t="shared" si="486"/>
        <v>x</v>
      </c>
      <c r="S1892" s="317" t="str">
        <f t="shared" si="487"/>
        <v>x</v>
      </c>
      <c r="V1892" s="314">
        <f>SUM(ORÇAMENTO!N1892)</f>
        <v>17245.16</v>
      </c>
      <c r="W1892" s="315">
        <f t="shared" si="488"/>
        <v>0</v>
      </c>
    </row>
    <row r="1893" spans="1:23">
      <c r="A1893" s="63" t="s">
        <v>147</v>
      </c>
      <c r="B1893" s="870" t="s">
        <v>147</v>
      </c>
      <c r="C1893" s="871"/>
      <c r="D1893" s="881" t="s">
        <v>190</v>
      </c>
      <c r="E1893" s="882">
        <f>DMT!$D$20</f>
        <v>445</v>
      </c>
      <c r="F1893" s="883" t="s">
        <v>79</v>
      </c>
      <c r="G1893" s="884">
        <f>IF(E1893&lt;=30,(0.78*E1893+7.82)*F1893,((0.78*30+7.82)+0.78*(E1893-30))*F1893)</f>
        <v>221.15065200000001</v>
      </c>
      <c r="H1893" s="876"/>
      <c r="I1893" s="876"/>
      <c r="J1893" s="877">
        <f t="shared" si="476"/>
        <v>0</v>
      </c>
      <c r="K1893" s="878"/>
      <c r="L1893" s="1013">
        <f>ROUND(SUM(ORÇAMENTO!L1893),2)</f>
        <v>0</v>
      </c>
      <c r="M1893" s="1013">
        <f t="shared" si="483"/>
        <v>0</v>
      </c>
      <c r="N1893" s="868">
        <f t="shared" si="484"/>
        <v>0</v>
      </c>
      <c r="O1893" s="880"/>
      <c r="P1893" s="36" t="str">
        <f>IF(N1892&gt;0,"xx",IF(N1892&gt;0,"xy",""))</f>
        <v>xx</v>
      </c>
      <c r="Q1893" s="317" t="str">
        <f t="shared" si="485"/>
        <v>x</v>
      </c>
      <c r="R1893" s="317" t="str">
        <f t="shared" si="486"/>
        <v>x</v>
      </c>
      <c r="S1893" s="317" t="str">
        <f t="shared" si="487"/>
        <v/>
      </c>
      <c r="V1893" s="314">
        <f>SUM(ORÇAMENTO!N1893)</f>
        <v>0</v>
      </c>
      <c r="W1893" s="315">
        <f t="shared" si="488"/>
        <v>0</v>
      </c>
    </row>
    <row r="1894" spans="1:23">
      <c r="A1894" s="63" t="s">
        <v>147</v>
      </c>
      <c r="B1894" s="870" t="s">
        <v>147</v>
      </c>
      <c r="C1894" s="871"/>
      <c r="D1894" s="881" t="s">
        <v>229</v>
      </c>
      <c r="E1894" s="882">
        <v>290</v>
      </c>
      <c r="F1894" s="883" t="s">
        <v>80</v>
      </c>
      <c r="G1894" s="923">
        <f t="shared" ref="G1894:G1895" si="493">IF(E1894&lt;=30,(1.07*E1894+2.68)*F1894,((1.07*30+2.68)+1.07*(E1894-30))*F1894)</f>
        <v>693.40719000000001</v>
      </c>
      <c r="H1894" s="876"/>
      <c r="I1894" s="876"/>
      <c r="J1894" s="877">
        <f t="shared" si="476"/>
        <v>0</v>
      </c>
      <c r="K1894" s="878"/>
      <c r="L1894" s="1013">
        <f>ROUND(SUM(ORÇAMENTO!L1894),2)</f>
        <v>0</v>
      </c>
      <c r="M1894" s="1013">
        <f t="shared" si="483"/>
        <v>0</v>
      </c>
      <c r="N1894" s="868">
        <f t="shared" si="484"/>
        <v>0</v>
      </c>
      <c r="O1894" s="880"/>
      <c r="P1894" s="36" t="str">
        <f>IF(N1892&gt;0,"xx",IF(N1892&gt;0,"xy",""))</f>
        <v>xx</v>
      </c>
      <c r="Q1894" s="317" t="str">
        <f t="shared" si="485"/>
        <v>x</v>
      </c>
      <c r="R1894" s="317" t="str">
        <f t="shared" si="486"/>
        <v>x</v>
      </c>
      <c r="S1894" s="317" t="str">
        <f t="shared" si="487"/>
        <v/>
      </c>
      <c r="V1894" s="314">
        <f>SUM(ORÇAMENTO!N1894)</f>
        <v>0</v>
      </c>
      <c r="W1894" s="315">
        <f t="shared" si="488"/>
        <v>0</v>
      </c>
    </row>
    <row r="1895" spans="1:23" ht="13.5" thickBot="1">
      <c r="A1895" s="63" t="s">
        <v>147</v>
      </c>
      <c r="B1895" s="978" t="s">
        <v>147</v>
      </c>
      <c r="C1895" s="958"/>
      <c r="D1895" s="959" t="s">
        <v>233</v>
      </c>
      <c r="E1895" s="979">
        <v>0.2</v>
      </c>
      <c r="F1895" s="980">
        <v>4.0453000000000001</v>
      </c>
      <c r="G1895" s="1382">
        <f t="shared" si="493"/>
        <v>11.707098200000001</v>
      </c>
      <c r="H1895" s="962"/>
      <c r="I1895" s="962"/>
      <c r="J1895" s="963">
        <f t="shared" si="476"/>
        <v>0</v>
      </c>
      <c r="K1895" s="964"/>
      <c r="L1895" s="1385">
        <f>ROUND(SUM(ORÇAMENTO!L1895),2)</f>
        <v>0</v>
      </c>
      <c r="M1895" s="1385">
        <f t="shared" si="483"/>
        <v>0</v>
      </c>
      <c r="N1895" s="967">
        <f t="shared" si="484"/>
        <v>0</v>
      </c>
      <c r="O1895" s="1372"/>
      <c r="P1895" s="36" t="str">
        <f>IF(N1892&gt;0,"xx",IF(N1892&gt;0,"xy",""))</f>
        <v>xx</v>
      </c>
      <c r="Q1895" s="317" t="str">
        <f t="shared" si="485"/>
        <v>x</v>
      </c>
      <c r="R1895" s="317" t="str">
        <f t="shared" si="486"/>
        <v>x</v>
      </c>
      <c r="S1895" s="317" t="str">
        <f t="shared" si="487"/>
        <v/>
      </c>
      <c r="V1895" s="314">
        <f>SUM(ORÇAMENTO!N1895)</f>
        <v>0</v>
      </c>
      <c r="W1895" s="315">
        <f t="shared" si="488"/>
        <v>0</v>
      </c>
    </row>
    <row r="1896" spans="1:23" hidden="1">
      <c r="A1896" s="63">
        <v>620800</v>
      </c>
      <c r="B1896" s="858">
        <v>620800</v>
      </c>
      <c r="C1896" s="859" t="s">
        <v>184</v>
      </c>
      <c r="D1896" s="920" t="s">
        <v>353</v>
      </c>
      <c r="E1896" s="1005"/>
      <c r="F1896" s="921"/>
      <c r="G1896" s="923">
        <f>SUM(G1897:G1899)</f>
        <v>1462.0743573</v>
      </c>
      <c r="H1896" s="864">
        <v>3307.79</v>
      </c>
      <c r="I1896" s="864">
        <f>IF(ISBLANK(H1896),"",SUM(G1896:H1896))</f>
        <v>4769.8643572999999</v>
      </c>
      <c r="J1896" s="865">
        <f t="shared" si="476"/>
        <v>5829.73</v>
      </c>
      <c r="K1896" s="866" t="s">
        <v>15</v>
      </c>
      <c r="L1896" s="1013">
        <f>ROUND(SUM(ORÇAMENTO!L1896),2)</f>
        <v>0</v>
      </c>
      <c r="M1896" s="1013">
        <f t="shared" si="483"/>
        <v>0</v>
      </c>
      <c r="N1896" s="907">
        <f t="shared" si="484"/>
        <v>0</v>
      </c>
      <c r="O1896" s="880"/>
      <c r="Q1896" s="317" t="str">
        <f t="shared" si="485"/>
        <v/>
      </c>
      <c r="R1896" s="317" t="str">
        <f t="shared" si="486"/>
        <v/>
      </c>
      <c r="S1896" s="317" t="str">
        <f t="shared" si="487"/>
        <v/>
      </c>
      <c r="V1896" s="314">
        <f>SUM(ORÇAMENTO!N1896)</f>
        <v>0</v>
      </c>
      <c r="W1896" s="315">
        <f t="shared" si="488"/>
        <v>0</v>
      </c>
    </row>
    <row r="1897" spans="1:23" hidden="1">
      <c r="A1897" s="63" t="s">
        <v>147</v>
      </c>
      <c r="B1897" s="870" t="s">
        <v>147</v>
      </c>
      <c r="C1897" s="871"/>
      <c r="D1897" s="881" t="s">
        <v>190</v>
      </c>
      <c r="E1897" s="882">
        <f>DMT!$D$20</f>
        <v>445</v>
      </c>
      <c r="F1897" s="883">
        <v>0.81930000000000003</v>
      </c>
      <c r="G1897" s="884">
        <f>IF(E1897&lt;=30,(0.78*E1897+7.82)*F1897,((0.78*30+7.82)+0.78*(E1897-30))*F1897)</f>
        <v>290.785956</v>
      </c>
      <c r="H1897" s="876"/>
      <c r="I1897" s="876"/>
      <c r="J1897" s="877">
        <f t="shared" si="476"/>
        <v>0</v>
      </c>
      <c r="K1897" s="878"/>
      <c r="L1897" s="1013">
        <f>ROUND(SUM(ORÇAMENTO!L1897),2)</f>
        <v>0</v>
      </c>
      <c r="M1897" s="1013">
        <f t="shared" si="483"/>
        <v>0</v>
      </c>
      <c r="N1897" s="868">
        <f t="shared" si="484"/>
        <v>0</v>
      </c>
      <c r="O1897" s="880"/>
      <c r="P1897" s="36" t="str">
        <f>IF(N1896&gt;0,"xx",IF(N1896&gt;0,"xy",""))</f>
        <v/>
      </c>
      <c r="Q1897" s="317" t="str">
        <f t="shared" si="485"/>
        <v/>
      </c>
      <c r="R1897" s="317" t="str">
        <f t="shared" si="486"/>
        <v/>
      </c>
      <c r="S1897" s="317" t="str">
        <f t="shared" si="487"/>
        <v/>
      </c>
      <c r="V1897" s="314">
        <f>SUM(ORÇAMENTO!N1897)</f>
        <v>0</v>
      </c>
      <c r="W1897" s="315">
        <f t="shared" si="488"/>
        <v>0</v>
      </c>
    </row>
    <row r="1898" spans="1:23" hidden="1">
      <c r="A1898" s="63" t="s">
        <v>147</v>
      </c>
      <c r="B1898" s="870" t="s">
        <v>147</v>
      </c>
      <c r="C1898" s="871"/>
      <c r="D1898" s="881" t="s">
        <v>229</v>
      </c>
      <c r="E1898" s="882">
        <f>DMT!$F$8</f>
        <v>290</v>
      </c>
      <c r="F1898" s="883">
        <v>2.9131</v>
      </c>
      <c r="G1898" s="923">
        <f t="shared" ref="G1898:G1899" si="494">IF(E1898&lt;=30,(1.07*E1898+2.68)*F1898,((1.07*30+2.68)+1.07*(E1898-30))*F1898)</f>
        <v>911.74203800000009</v>
      </c>
      <c r="H1898" s="876"/>
      <c r="I1898" s="876"/>
      <c r="J1898" s="877">
        <f t="shared" si="476"/>
        <v>0</v>
      </c>
      <c r="K1898" s="878"/>
      <c r="L1898" s="1013">
        <f>ROUND(SUM(ORÇAMENTO!L1898),2)</f>
        <v>0</v>
      </c>
      <c r="M1898" s="1013">
        <f t="shared" si="483"/>
        <v>0</v>
      </c>
      <c r="N1898" s="868">
        <f t="shared" si="484"/>
        <v>0</v>
      </c>
      <c r="O1898" s="880"/>
      <c r="P1898" s="36" t="str">
        <f>IF(N1896&gt;0,"xx",IF(N1896&gt;0,"xy",""))</f>
        <v/>
      </c>
      <c r="Q1898" s="317" t="str">
        <f t="shared" si="485"/>
        <v/>
      </c>
      <c r="R1898" s="317" t="str">
        <f t="shared" si="486"/>
        <v/>
      </c>
      <c r="S1898" s="317" t="str">
        <f t="shared" si="487"/>
        <v/>
      </c>
      <c r="V1898" s="314">
        <f>SUM(ORÇAMENTO!N1898)</f>
        <v>0</v>
      </c>
      <c r="W1898" s="315">
        <f t="shared" si="488"/>
        <v>0</v>
      </c>
    </row>
    <row r="1899" spans="1:23" hidden="1">
      <c r="A1899" s="63" t="s">
        <v>147</v>
      </c>
      <c r="B1899" s="870" t="s">
        <v>147</v>
      </c>
      <c r="C1899" s="871"/>
      <c r="D1899" s="881" t="s">
        <v>233</v>
      </c>
      <c r="E1899" s="882">
        <f>DMT!$F$10</f>
        <v>43.1</v>
      </c>
      <c r="F1899" s="883">
        <v>5.3189000000000002</v>
      </c>
      <c r="G1899" s="923">
        <f t="shared" si="494"/>
        <v>259.54636330000005</v>
      </c>
      <c r="H1899" s="876"/>
      <c r="I1899" s="876"/>
      <c r="J1899" s="877">
        <f t="shared" si="476"/>
        <v>0</v>
      </c>
      <c r="K1899" s="878"/>
      <c r="L1899" s="1013">
        <f>ROUND(SUM(ORÇAMENTO!L1899),2)</f>
        <v>0</v>
      </c>
      <c r="M1899" s="1013">
        <f t="shared" si="483"/>
        <v>0</v>
      </c>
      <c r="N1899" s="868">
        <f t="shared" si="484"/>
        <v>0</v>
      </c>
      <c r="O1899" s="880"/>
      <c r="P1899" s="36" t="str">
        <f>IF(N1896&gt;0,"xx",IF(N1896&gt;0,"xy",""))</f>
        <v/>
      </c>
      <c r="Q1899" s="317" t="str">
        <f t="shared" si="485"/>
        <v/>
      </c>
      <c r="R1899" s="317" t="str">
        <f t="shared" si="486"/>
        <v/>
      </c>
      <c r="S1899" s="317" t="str">
        <f t="shared" si="487"/>
        <v/>
      </c>
      <c r="V1899" s="314">
        <f>SUM(ORÇAMENTO!N1899)</f>
        <v>0</v>
      </c>
      <c r="W1899" s="315">
        <f t="shared" si="488"/>
        <v>0</v>
      </c>
    </row>
    <row r="1900" spans="1:23" hidden="1">
      <c r="A1900" s="63">
        <v>620900</v>
      </c>
      <c r="B1900" s="870">
        <v>620900</v>
      </c>
      <c r="C1900" s="871" t="s">
        <v>184</v>
      </c>
      <c r="D1900" s="881" t="s">
        <v>354</v>
      </c>
      <c r="E1900" s="882"/>
      <c r="F1900" s="883"/>
      <c r="G1900" s="887">
        <f>SUM(G1901:G1903)</f>
        <v>2873.9003404000005</v>
      </c>
      <c r="H1900" s="876">
        <v>5805.6</v>
      </c>
      <c r="I1900" s="876">
        <f>IF(ISBLANK(H1900),"",SUM(G1900:H1900))</f>
        <v>8679.5003404000017</v>
      </c>
      <c r="J1900" s="877">
        <f t="shared" si="476"/>
        <v>10608.09</v>
      </c>
      <c r="K1900" s="878" t="s">
        <v>15</v>
      </c>
      <c r="L1900" s="1013">
        <f>ROUND(SUM(ORÇAMENTO!L1900),2)</f>
        <v>0</v>
      </c>
      <c r="M1900" s="1013">
        <f t="shared" si="483"/>
        <v>0</v>
      </c>
      <c r="N1900" s="868">
        <f t="shared" si="484"/>
        <v>0</v>
      </c>
      <c r="O1900" s="880"/>
      <c r="Q1900" s="317" t="str">
        <f t="shared" si="485"/>
        <v/>
      </c>
      <c r="R1900" s="317" t="str">
        <f t="shared" si="486"/>
        <v/>
      </c>
      <c r="S1900" s="317" t="str">
        <f t="shared" si="487"/>
        <v/>
      </c>
      <c r="V1900" s="314">
        <f>SUM(ORÇAMENTO!N1900)</f>
        <v>0</v>
      </c>
      <c r="W1900" s="315">
        <f t="shared" si="488"/>
        <v>0</v>
      </c>
    </row>
    <row r="1901" spans="1:23" hidden="1">
      <c r="A1901" s="63" t="s">
        <v>147</v>
      </c>
      <c r="B1901" s="870" t="s">
        <v>147</v>
      </c>
      <c r="C1901" s="871"/>
      <c r="D1901" s="881" t="s">
        <v>190</v>
      </c>
      <c r="E1901" s="882">
        <f>DMT!$D$20</f>
        <v>445</v>
      </c>
      <c r="F1901" s="883">
        <v>1.6104000000000001</v>
      </c>
      <c r="G1901" s="884">
        <f>IF(E1901&lt;=30,(0.78*E1901+7.82)*F1901,((0.78*30+7.82)+0.78*(E1901-30))*F1901)</f>
        <v>571.56316800000002</v>
      </c>
      <c r="H1901" s="876"/>
      <c r="I1901" s="876"/>
      <c r="J1901" s="877">
        <f t="shared" si="476"/>
        <v>0</v>
      </c>
      <c r="K1901" s="878"/>
      <c r="L1901" s="1013">
        <f>ROUND(SUM(ORÇAMENTO!L1901),2)</f>
        <v>0</v>
      </c>
      <c r="M1901" s="1013">
        <f t="shared" si="483"/>
        <v>0</v>
      </c>
      <c r="N1901" s="868">
        <f t="shared" si="484"/>
        <v>0</v>
      </c>
      <c r="O1901" s="880"/>
      <c r="P1901" s="36" t="str">
        <f>IF(N1900&gt;0,"xx",IF(N1900&gt;0,"xy",""))</f>
        <v/>
      </c>
      <c r="Q1901" s="317" t="str">
        <f t="shared" si="485"/>
        <v/>
      </c>
      <c r="R1901" s="317" t="str">
        <f t="shared" si="486"/>
        <v/>
      </c>
      <c r="S1901" s="317" t="str">
        <f t="shared" si="487"/>
        <v/>
      </c>
      <c r="V1901" s="314">
        <f>SUM(ORÇAMENTO!N1901)</f>
        <v>0</v>
      </c>
      <c r="W1901" s="315">
        <f t="shared" si="488"/>
        <v>0</v>
      </c>
    </row>
    <row r="1902" spans="1:23" hidden="1">
      <c r="A1902" s="63" t="s">
        <v>147</v>
      </c>
      <c r="B1902" s="870" t="s">
        <v>147</v>
      </c>
      <c r="C1902" s="871"/>
      <c r="D1902" s="881" t="s">
        <v>229</v>
      </c>
      <c r="E1902" s="882">
        <f>DMT!$F$8</f>
        <v>290</v>
      </c>
      <c r="F1902" s="883">
        <v>5.7260999999999997</v>
      </c>
      <c r="G1902" s="923">
        <f t="shared" ref="G1902:G1903" si="495">IF(E1902&lt;=30,(1.07*E1902+2.68)*F1902,((1.07*30+2.68)+1.07*(E1902-30))*F1902)</f>
        <v>1792.1547780000001</v>
      </c>
      <c r="H1902" s="876"/>
      <c r="I1902" s="876"/>
      <c r="J1902" s="877">
        <f t="shared" si="476"/>
        <v>0</v>
      </c>
      <c r="K1902" s="878"/>
      <c r="L1902" s="1013">
        <f>ROUND(SUM(ORÇAMENTO!L1902),2)</f>
        <v>0</v>
      </c>
      <c r="M1902" s="1013">
        <f t="shared" si="483"/>
        <v>0</v>
      </c>
      <c r="N1902" s="868">
        <f t="shared" si="484"/>
        <v>0</v>
      </c>
      <c r="O1902" s="880"/>
      <c r="P1902" s="36" t="str">
        <f>IF(N1900&gt;0,"xx",IF(N1900&gt;0,"xy",""))</f>
        <v/>
      </c>
      <c r="Q1902" s="317" t="str">
        <f t="shared" si="485"/>
        <v/>
      </c>
      <c r="R1902" s="317" t="str">
        <f t="shared" si="486"/>
        <v/>
      </c>
      <c r="S1902" s="317" t="str">
        <f t="shared" si="487"/>
        <v/>
      </c>
      <c r="V1902" s="314">
        <f>SUM(ORÇAMENTO!N1902)</f>
        <v>0</v>
      </c>
      <c r="W1902" s="315">
        <f t="shared" si="488"/>
        <v>0</v>
      </c>
    </row>
    <row r="1903" spans="1:23" hidden="1">
      <c r="A1903" s="63" t="s">
        <v>147</v>
      </c>
      <c r="B1903" s="870" t="s">
        <v>147</v>
      </c>
      <c r="C1903" s="871"/>
      <c r="D1903" s="881" t="s">
        <v>233</v>
      </c>
      <c r="E1903" s="882">
        <f>DMT!$F$10</f>
        <v>43.1</v>
      </c>
      <c r="F1903" s="883">
        <v>10.4552</v>
      </c>
      <c r="G1903" s="923">
        <f t="shared" si="495"/>
        <v>510.18239440000002</v>
      </c>
      <c r="H1903" s="876"/>
      <c r="I1903" s="876"/>
      <c r="J1903" s="877">
        <f t="shared" si="476"/>
        <v>0</v>
      </c>
      <c r="K1903" s="878"/>
      <c r="L1903" s="1013">
        <f>ROUND(SUM(ORÇAMENTO!L1903),2)</f>
        <v>0</v>
      </c>
      <c r="M1903" s="1013">
        <f t="shared" si="483"/>
        <v>0</v>
      </c>
      <c r="N1903" s="868">
        <f t="shared" si="484"/>
        <v>0</v>
      </c>
      <c r="O1903" s="880"/>
      <c r="P1903" s="36" t="str">
        <f>IF(N1900&gt;0,"xx",IF(N1900&gt;0,"xy",""))</f>
        <v/>
      </c>
      <c r="Q1903" s="317" t="str">
        <f t="shared" si="485"/>
        <v/>
      </c>
      <c r="R1903" s="317" t="str">
        <f t="shared" si="486"/>
        <v/>
      </c>
      <c r="S1903" s="317" t="str">
        <f t="shared" si="487"/>
        <v/>
      </c>
      <c r="V1903" s="314">
        <f>SUM(ORÇAMENTO!N1903)</f>
        <v>0</v>
      </c>
      <c r="W1903" s="315">
        <f t="shared" si="488"/>
        <v>0</v>
      </c>
    </row>
    <row r="1904" spans="1:23" hidden="1">
      <c r="A1904" s="63">
        <v>621000</v>
      </c>
      <c r="B1904" s="870">
        <v>621000</v>
      </c>
      <c r="C1904" s="871" t="s">
        <v>184</v>
      </c>
      <c r="D1904" s="881" t="s">
        <v>355</v>
      </c>
      <c r="E1904" s="882"/>
      <c r="F1904" s="883"/>
      <c r="G1904" s="887">
        <f>SUM(G1905:G1907)</f>
        <v>5498.2351145000002</v>
      </c>
      <c r="H1904" s="876">
        <v>10293.86</v>
      </c>
      <c r="I1904" s="876">
        <f>IF(ISBLANK(H1904),"",SUM(G1904:H1904))</f>
        <v>15792.0951145</v>
      </c>
      <c r="J1904" s="877">
        <f t="shared" si="476"/>
        <v>19301.099999999999</v>
      </c>
      <c r="K1904" s="878" t="s">
        <v>15</v>
      </c>
      <c r="L1904" s="1013">
        <f>ROUND(SUM(ORÇAMENTO!L1904),2)</f>
        <v>0</v>
      </c>
      <c r="M1904" s="1013">
        <f t="shared" si="483"/>
        <v>0</v>
      </c>
      <c r="N1904" s="868">
        <f t="shared" si="484"/>
        <v>0</v>
      </c>
      <c r="O1904" s="880"/>
      <c r="Q1904" s="317" t="str">
        <f t="shared" si="485"/>
        <v/>
      </c>
      <c r="R1904" s="317" t="str">
        <f t="shared" si="486"/>
        <v/>
      </c>
      <c r="S1904" s="317" t="str">
        <f t="shared" si="487"/>
        <v/>
      </c>
      <c r="V1904" s="314">
        <f>SUM(ORÇAMENTO!N1904)</f>
        <v>0</v>
      </c>
      <c r="W1904" s="315">
        <f t="shared" si="488"/>
        <v>0</v>
      </c>
    </row>
    <row r="1905" spans="1:23" hidden="1">
      <c r="A1905" s="63" t="s">
        <v>147</v>
      </c>
      <c r="B1905" s="870" t="s">
        <v>147</v>
      </c>
      <c r="C1905" s="871"/>
      <c r="D1905" s="881" t="s">
        <v>190</v>
      </c>
      <c r="E1905" s="882">
        <f>DMT!$D$20</f>
        <v>445</v>
      </c>
      <c r="F1905" s="883">
        <v>3.081</v>
      </c>
      <c r="G1905" s="884">
        <f>IF(E1905&lt;=30,(0.78*E1905+7.82)*F1905,((0.78*30+7.82)+0.78*(E1905-30))*F1905)</f>
        <v>1093.5085200000001</v>
      </c>
      <c r="H1905" s="876"/>
      <c r="I1905" s="876"/>
      <c r="J1905" s="877">
        <f t="shared" si="476"/>
        <v>0</v>
      </c>
      <c r="K1905" s="878"/>
      <c r="L1905" s="1013">
        <f>ROUND(SUM(ORÇAMENTO!L1905),2)</f>
        <v>0</v>
      </c>
      <c r="M1905" s="1013">
        <f t="shared" si="483"/>
        <v>0</v>
      </c>
      <c r="N1905" s="868">
        <f t="shared" si="484"/>
        <v>0</v>
      </c>
      <c r="O1905" s="880"/>
      <c r="P1905" s="36" t="str">
        <f>IF(N1904&gt;0,"xx",IF(N1904&gt;0,"xy",""))</f>
        <v/>
      </c>
      <c r="Q1905" s="317" t="str">
        <f t="shared" si="485"/>
        <v/>
      </c>
      <c r="R1905" s="317" t="str">
        <f t="shared" si="486"/>
        <v/>
      </c>
      <c r="S1905" s="317" t="str">
        <f t="shared" si="487"/>
        <v/>
      </c>
      <c r="V1905" s="314">
        <f>SUM(ORÇAMENTO!N1905)</f>
        <v>0</v>
      </c>
      <c r="W1905" s="315">
        <f t="shared" si="488"/>
        <v>0</v>
      </c>
    </row>
    <row r="1906" spans="1:23" hidden="1">
      <c r="A1906" s="63" t="s">
        <v>147</v>
      </c>
      <c r="B1906" s="870" t="s">
        <v>147</v>
      </c>
      <c r="C1906" s="871"/>
      <c r="D1906" s="881" t="s">
        <v>229</v>
      </c>
      <c r="E1906" s="882">
        <f>DMT!$F$8</f>
        <v>290</v>
      </c>
      <c r="F1906" s="883">
        <v>10.9549</v>
      </c>
      <c r="G1906" s="923">
        <f t="shared" ref="G1906:G1907" si="496">IF(E1906&lt;=30,(1.07*E1906+2.68)*F1906,((1.07*30+2.68)+1.07*(E1906-30))*F1906)</f>
        <v>3428.6646020000003</v>
      </c>
      <c r="H1906" s="876"/>
      <c r="I1906" s="876"/>
      <c r="J1906" s="877">
        <f t="shared" si="476"/>
        <v>0</v>
      </c>
      <c r="K1906" s="878"/>
      <c r="L1906" s="1013">
        <f>ROUND(SUM(ORÇAMENTO!L1906),2)</f>
        <v>0</v>
      </c>
      <c r="M1906" s="1013">
        <f t="shared" si="483"/>
        <v>0</v>
      </c>
      <c r="N1906" s="868">
        <f t="shared" si="484"/>
        <v>0</v>
      </c>
      <c r="O1906" s="880"/>
      <c r="P1906" s="36" t="str">
        <f>IF(N1904&gt;0,"xx",IF(N1904&gt;0,"xy",""))</f>
        <v/>
      </c>
      <c r="Q1906" s="317" t="str">
        <f t="shared" si="485"/>
        <v/>
      </c>
      <c r="R1906" s="317" t="str">
        <f t="shared" si="486"/>
        <v/>
      </c>
      <c r="S1906" s="317" t="str">
        <f t="shared" si="487"/>
        <v/>
      </c>
      <c r="V1906" s="314">
        <f>SUM(ORÇAMENTO!N1906)</f>
        <v>0</v>
      </c>
      <c r="W1906" s="315">
        <f t="shared" si="488"/>
        <v>0</v>
      </c>
    </row>
    <row r="1907" spans="1:23" hidden="1">
      <c r="A1907" s="63" t="s">
        <v>147</v>
      </c>
      <c r="B1907" s="870" t="s">
        <v>147</v>
      </c>
      <c r="C1907" s="871"/>
      <c r="D1907" s="881" t="s">
        <v>233</v>
      </c>
      <c r="E1907" s="882">
        <f>DMT!$F$10</f>
        <v>43.1</v>
      </c>
      <c r="F1907" s="883">
        <v>20.002500000000001</v>
      </c>
      <c r="G1907" s="923">
        <f t="shared" si="496"/>
        <v>976.0619925000002</v>
      </c>
      <c r="H1907" s="876"/>
      <c r="I1907" s="876"/>
      <c r="J1907" s="877">
        <f t="shared" si="476"/>
        <v>0</v>
      </c>
      <c r="K1907" s="878"/>
      <c r="L1907" s="1013">
        <f>ROUND(SUM(ORÇAMENTO!L1907),2)</f>
        <v>0</v>
      </c>
      <c r="M1907" s="1013">
        <f t="shared" si="483"/>
        <v>0</v>
      </c>
      <c r="N1907" s="868">
        <f t="shared" si="484"/>
        <v>0</v>
      </c>
      <c r="O1907" s="880"/>
      <c r="P1907" s="36" t="str">
        <f>IF(N1904&gt;0,"xx",IF(N1904&gt;0,"xy",""))</f>
        <v/>
      </c>
      <c r="Q1907" s="317" t="str">
        <f t="shared" si="485"/>
        <v/>
      </c>
      <c r="R1907" s="317" t="str">
        <f t="shared" si="486"/>
        <v/>
      </c>
      <c r="S1907" s="317" t="str">
        <f t="shared" si="487"/>
        <v/>
      </c>
      <c r="V1907" s="314">
        <f>SUM(ORÇAMENTO!N1907)</f>
        <v>0</v>
      </c>
      <c r="W1907" s="315">
        <f t="shared" si="488"/>
        <v>0</v>
      </c>
    </row>
    <row r="1908" spans="1:23" hidden="1">
      <c r="A1908" s="63">
        <v>620100</v>
      </c>
      <c r="B1908" s="870" t="s">
        <v>1803</v>
      </c>
      <c r="C1908" s="871" t="s">
        <v>184</v>
      </c>
      <c r="D1908" s="881" t="s">
        <v>356</v>
      </c>
      <c r="E1908" s="882"/>
      <c r="F1908" s="883"/>
      <c r="G1908" s="887">
        <f>SUM(G1909:G1911)</f>
        <v>668.99825400000009</v>
      </c>
      <c r="H1908" s="876">
        <v>954.15</v>
      </c>
      <c r="I1908" s="876">
        <f>IF(ISBLANK(H1908),"",SUM(G1908:H1908))</f>
        <v>1623.1482540000002</v>
      </c>
      <c r="J1908" s="877">
        <f t="shared" si="476"/>
        <v>1983.81</v>
      </c>
      <c r="K1908" s="878" t="s">
        <v>15</v>
      </c>
      <c r="L1908" s="1013">
        <f>ROUND(SUM(ORÇAMENTO!L1908),2)</f>
        <v>0</v>
      </c>
      <c r="M1908" s="1013">
        <f t="shared" si="483"/>
        <v>0</v>
      </c>
      <c r="N1908" s="868">
        <f t="shared" si="484"/>
        <v>0</v>
      </c>
      <c r="O1908" s="880"/>
      <c r="Q1908" s="317" t="str">
        <f t="shared" si="485"/>
        <v/>
      </c>
      <c r="R1908" s="317" t="str">
        <f t="shared" si="486"/>
        <v/>
      </c>
      <c r="S1908" s="317" t="str">
        <f t="shared" si="487"/>
        <v/>
      </c>
      <c r="V1908" s="314">
        <f>SUM(ORÇAMENTO!N1908)</f>
        <v>0</v>
      </c>
      <c r="W1908" s="315">
        <f t="shared" si="488"/>
        <v>0</v>
      </c>
    </row>
    <row r="1909" spans="1:23" hidden="1">
      <c r="A1909" s="63" t="s">
        <v>147</v>
      </c>
      <c r="B1909" s="870" t="s">
        <v>147</v>
      </c>
      <c r="C1909" s="871"/>
      <c r="D1909" s="881" t="s">
        <v>190</v>
      </c>
      <c r="E1909" s="882">
        <f>DMT!$D$20</f>
        <v>445</v>
      </c>
      <c r="F1909" s="883">
        <v>0.37480000000000002</v>
      </c>
      <c r="G1909" s="884">
        <f>IF(E1909&lt;=30,(0.78*E1909+7.82)*F1909,((0.78*30+7.82)+0.78*(E1909-30))*F1909)</f>
        <v>133.02401600000002</v>
      </c>
      <c r="H1909" s="876"/>
      <c r="I1909" s="876"/>
      <c r="J1909" s="877">
        <f t="shared" si="476"/>
        <v>0</v>
      </c>
      <c r="K1909" s="878"/>
      <c r="L1909" s="1013">
        <f>ROUND(SUM(ORÇAMENTO!L1909),2)</f>
        <v>0</v>
      </c>
      <c r="M1909" s="1013">
        <f t="shared" si="483"/>
        <v>0</v>
      </c>
      <c r="N1909" s="868">
        <f t="shared" si="484"/>
        <v>0</v>
      </c>
      <c r="O1909" s="880"/>
      <c r="P1909" s="36" t="str">
        <f>IF(N1908&gt;0,"xx",IF(N1908&gt;0,"xy",""))</f>
        <v/>
      </c>
      <c r="Q1909" s="317" t="str">
        <f t="shared" si="485"/>
        <v/>
      </c>
      <c r="R1909" s="317" t="str">
        <f t="shared" si="486"/>
        <v/>
      </c>
      <c r="S1909" s="317" t="str">
        <f t="shared" si="487"/>
        <v/>
      </c>
      <c r="V1909" s="314">
        <f>SUM(ORÇAMENTO!N1909)</f>
        <v>0</v>
      </c>
      <c r="W1909" s="315">
        <f t="shared" si="488"/>
        <v>0</v>
      </c>
    </row>
    <row r="1910" spans="1:23" hidden="1">
      <c r="A1910" s="63" t="s">
        <v>147</v>
      </c>
      <c r="B1910" s="870" t="s">
        <v>147</v>
      </c>
      <c r="C1910" s="871"/>
      <c r="D1910" s="881" t="s">
        <v>229</v>
      </c>
      <c r="E1910" s="882">
        <f>DMT!$F$8</f>
        <v>290</v>
      </c>
      <c r="F1910" s="883">
        <v>1.333</v>
      </c>
      <c r="G1910" s="923">
        <f t="shared" ref="G1910:G1911" si="497">IF(E1910&lt;=30,(1.07*E1910+2.68)*F1910,((1.07*30+2.68)+1.07*(E1910-30))*F1910)</f>
        <v>417.20233999999999</v>
      </c>
      <c r="H1910" s="876"/>
      <c r="I1910" s="876"/>
      <c r="J1910" s="877">
        <f t="shared" si="476"/>
        <v>0</v>
      </c>
      <c r="K1910" s="878"/>
      <c r="L1910" s="1013">
        <f>ROUND(SUM(ORÇAMENTO!L1910),2)</f>
        <v>0</v>
      </c>
      <c r="M1910" s="1013">
        <f t="shared" si="483"/>
        <v>0</v>
      </c>
      <c r="N1910" s="868">
        <f t="shared" si="484"/>
        <v>0</v>
      </c>
      <c r="O1910" s="880"/>
      <c r="P1910" s="36" t="str">
        <f>IF(N1908&gt;0,"xx",IF(N1908&gt;0,"xy",""))</f>
        <v/>
      </c>
      <c r="Q1910" s="317" t="str">
        <f t="shared" si="485"/>
        <v/>
      </c>
      <c r="R1910" s="317" t="str">
        <f t="shared" si="486"/>
        <v/>
      </c>
      <c r="S1910" s="317" t="str">
        <f t="shared" si="487"/>
        <v/>
      </c>
      <c r="V1910" s="314">
        <f>SUM(ORÇAMENTO!N1910)</f>
        <v>0</v>
      </c>
      <c r="W1910" s="315">
        <f t="shared" si="488"/>
        <v>0</v>
      </c>
    </row>
    <row r="1911" spans="1:23" hidden="1">
      <c r="A1911" s="63" t="s">
        <v>147</v>
      </c>
      <c r="B1911" s="969" t="s">
        <v>147</v>
      </c>
      <c r="C1911" s="970"/>
      <c r="D1911" s="939" t="s">
        <v>233</v>
      </c>
      <c r="E1911" s="940">
        <f>DMT!$F$10</f>
        <v>43.1</v>
      </c>
      <c r="F1911" s="971">
        <v>2.4340000000000002</v>
      </c>
      <c r="G1911" s="1282">
        <f t="shared" si="497"/>
        <v>118.77189800000002</v>
      </c>
      <c r="H1911" s="914"/>
      <c r="I1911" s="914"/>
      <c r="J1911" s="943">
        <f t="shared" si="476"/>
        <v>0</v>
      </c>
      <c r="K1911" s="944"/>
      <c r="L1911" s="1295">
        <f>ROUND(SUM(ORÇAMENTO!L1911),2)</f>
        <v>0</v>
      </c>
      <c r="M1911" s="1295">
        <f t="shared" si="483"/>
        <v>0</v>
      </c>
      <c r="N1911" s="916">
        <f t="shared" si="484"/>
        <v>0</v>
      </c>
      <c r="O1911" s="880"/>
      <c r="P1911" s="36" t="str">
        <f>IF(N1908&gt;0,"xx",IF(N1908&gt;0,"xy",""))</f>
        <v/>
      </c>
      <c r="Q1911" s="317" t="str">
        <f t="shared" si="485"/>
        <v/>
      </c>
      <c r="R1911" s="317" t="str">
        <f t="shared" si="486"/>
        <v/>
      </c>
      <c r="S1911" s="317" t="str">
        <f t="shared" si="487"/>
        <v/>
      </c>
      <c r="V1911" s="314">
        <f>SUM(ORÇAMENTO!N1911)</f>
        <v>0</v>
      </c>
      <c r="W1911" s="315">
        <f t="shared" si="488"/>
        <v>0</v>
      </c>
    </row>
    <row r="1912" spans="1:23">
      <c r="A1912" s="63">
        <v>620200</v>
      </c>
      <c r="B1912" s="973" t="s">
        <v>1806</v>
      </c>
      <c r="C1912" s="974" t="s">
        <v>184</v>
      </c>
      <c r="D1912" s="947" t="s">
        <v>357</v>
      </c>
      <c r="E1912" s="948"/>
      <c r="F1912" s="949">
        <v>0</v>
      </c>
      <c r="G1912" s="950">
        <f>SUM(G1913:G1915)</f>
        <v>808.04388400000016</v>
      </c>
      <c r="H1912" s="951">
        <v>1321.46</v>
      </c>
      <c r="I1912" s="951">
        <f>IF(ISBLANK(H1912),"",SUM(G1912:H1912))</f>
        <v>2129.5038840000002</v>
      </c>
      <c r="J1912" s="952">
        <f t="shared" si="476"/>
        <v>2602.6799999999998</v>
      </c>
      <c r="K1912" s="953" t="s">
        <v>15</v>
      </c>
      <c r="L1912" s="1384">
        <f>ROUND(SUM(ORÇAMENTO!L1912),2)</f>
        <v>17</v>
      </c>
      <c r="M1912" s="1384">
        <f t="shared" si="483"/>
        <v>2602.6799999999998</v>
      </c>
      <c r="N1912" s="956">
        <f t="shared" si="484"/>
        <v>44245.56</v>
      </c>
      <c r="O1912" s="869"/>
      <c r="Q1912" s="317" t="str">
        <f t="shared" si="485"/>
        <v>x</v>
      </c>
      <c r="R1912" s="317" t="str">
        <f t="shared" si="486"/>
        <v>x</v>
      </c>
      <c r="S1912" s="317" t="str">
        <f t="shared" si="487"/>
        <v>x</v>
      </c>
      <c r="V1912" s="314">
        <f>SUM(ORÇAMENTO!N1912)</f>
        <v>44245.56</v>
      </c>
      <c r="W1912" s="315">
        <f t="shared" si="488"/>
        <v>0</v>
      </c>
    </row>
    <row r="1913" spans="1:23">
      <c r="A1913" s="63" t="s">
        <v>147</v>
      </c>
      <c r="B1913" s="870" t="s">
        <v>147</v>
      </c>
      <c r="C1913" s="871"/>
      <c r="D1913" s="881" t="s">
        <v>190</v>
      </c>
      <c r="E1913" s="882">
        <f>DMT!$D$20</f>
        <v>445</v>
      </c>
      <c r="F1913" s="883">
        <v>0.54359999999999997</v>
      </c>
      <c r="G1913" s="884">
        <f>IF(E1913&lt;=30,(0.78*E1913+7.82)*F1913,((0.78*30+7.82)+0.78*(E1913-30))*F1913)</f>
        <v>192.93451200000001</v>
      </c>
      <c r="H1913" s="876"/>
      <c r="I1913" s="876"/>
      <c r="J1913" s="877">
        <f t="shared" si="476"/>
        <v>0</v>
      </c>
      <c r="K1913" s="878"/>
      <c r="L1913" s="1013">
        <f>ROUND(SUM(ORÇAMENTO!L1913),2)</f>
        <v>0</v>
      </c>
      <c r="M1913" s="1013">
        <f t="shared" si="483"/>
        <v>0</v>
      </c>
      <c r="N1913" s="868">
        <f t="shared" si="484"/>
        <v>0</v>
      </c>
      <c r="O1913" s="880"/>
      <c r="P1913" s="36" t="str">
        <f>IF(N1912&gt;0,"xx",IF(N1912&gt;0,"xy",""))</f>
        <v>xx</v>
      </c>
      <c r="Q1913" s="317" t="str">
        <f t="shared" si="485"/>
        <v>x</v>
      </c>
      <c r="R1913" s="317" t="str">
        <f t="shared" si="486"/>
        <v>x</v>
      </c>
      <c r="S1913" s="317" t="str">
        <f t="shared" si="487"/>
        <v/>
      </c>
      <c r="V1913" s="314">
        <f>SUM(ORÇAMENTO!N1913)</f>
        <v>0</v>
      </c>
      <c r="W1913" s="315">
        <f t="shared" si="488"/>
        <v>0</v>
      </c>
    </row>
    <row r="1914" spans="1:23">
      <c r="A1914" s="63" t="s">
        <v>147</v>
      </c>
      <c r="B1914" s="870" t="s">
        <v>147</v>
      </c>
      <c r="C1914" s="871"/>
      <c r="D1914" s="881" t="s">
        <v>229</v>
      </c>
      <c r="E1914" s="882">
        <v>290</v>
      </c>
      <c r="F1914" s="883">
        <v>1.9327000000000001</v>
      </c>
      <c r="G1914" s="923">
        <f t="shared" ref="G1914:G1915" si="498">IF(E1914&lt;=30,(1.07*E1914+2.68)*F1914,((1.07*30+2.68)+1.07*(E1914-30))*F1914)</f>
        <v>604.89644600000008</v>
      </c>
      <c r="H1914" s="876"/>
      <c r="I1914" s="876"/>
      <c r="J1914" s="877">
        <f t="shared" ref="J1914:J1977" si="499">IF(ISBLANK(H1914),0,ROUND(I1914*(1+$E$10),2))</f>
        <v>0</v>
      </c>
      <c r="K1914" s="878"/>
      <c r="L1914" s="1013">
        <f>ROUND(SUM(ORÇAMENTO!L1914),2)</f>
        <v>0</v>
      </c>
      <c r="M1914" s="1013">
        <f t="shared" si="483"/>
        <v>0</v>
      </c>
      <c r="N1914" s="868">
        <f t="shared" si="484"/>
        <v>0</v>
      </c>
      <c r="O1914" s="880"/>
      <c r="P1914" s="36" t="str">
        <f>IF(N1912&gt;0,"xx",IF(N1912&gt;0,"xy",""))</f>
        <v>xx</v>
      </c>
      <c r="Q1914" s="317" t="str">
        <f t="shared" si="485"/>
        <v>x</v>
      </c>
      <c r="R1914" s="317" t="str">
        <f t="shared" si="486"/>
        <v>x</v>
      </c>
      <c r="S1914" s="317" t="str">
        <f t="shared" si="487"/>
        <v/>
      </c>
      <c r="V1914" s="314">
        <f>SUM(ORÇAMENTO!N1914)</f>
        <v>0</v>
      </c>
      <c r="W1914" s="315">
        <f t="shared" si="488"/>
        <v>0</v>
      </c>
    </row>
    <row r="1915" spans="1:23" ht="13.5" thickBot="1">
      <c r="A1915" s="63" t="s">
        <v>147</v>
      </c>
      <c r="B1915" s="978" t="s">
        <v>147</v>
      </c>
      <c r="C1915" s="958"/>
      <c r="D1915" s="959" t="s">
        <v>233</v>
      </c>
      <c r="E1915" s="979">
        <v>0.2</v>
      </c>
      <c r="F1915" s="980">
        <v>3.5289999999999999</v>
      </c>
      <c r="G1915" s="1382">
        <f t="shared" si="498"/>
        <v>10.212926</v>
      </c>
      <c r="H1915" s="962"/>
      <c r="I1915" s="962"/>
      <c r="J1915" s="963">
        <f t="shared" si="499"/>
        <v>0</v>
      </c>
      <c r="K1915" s="964"/>
      <c r="L1915" s="1385">
        <f>ROUND(SUM(ORÇAMENTO!L1915),2)</f>
        <v>0</v>
      </c>
      <c r="M1915" s="1385">
        <f t="shared" si="483"/>
        <v>0</v>
      </c>
      <c r="N1915" s="967">
        <f t="shared" si="484"/>
        <v>0</v>
      </c>
      <c r="O1915" s="1372"/>
      <c r="P1915" s="36" t="str">
        <f>IF(N1912&gt;0,"xx",IF(N1912&gt;0,"xy",""))</f>
        <v>xx</v>
      </c>
      <c r="Q1915" s="317" t="str">
        <f t="shared" si="485"/>
        <v>x</v>
      </c>
      <c r="R1915" s="317" t="str">
        <f t="shared" si="486"/>
        <v>x</v>
      </c>
      <c r="S1915" s="317" t="str">
        <f t="shared" si="487"/>
        <v/>
      </c>
      <c r="V1915" s="314">
        <f>SUM(ORÇAMENTO!N1915)</f>
        <v>0</v>
      </c>
      <c r="W1915" s="315">
        <f t="shared" si="488"/>
        <v>0</v>
      </c>
    </row>
    <row r="1916" spans="1:23" hidden="1">
      <c r="A1916" s="63">
        <v>621100</v>
      </c>
      <c r="B1916" s="858">
        <v>621100</v>
      </c>
      <c r="C1916" s="859" t="s">
        <v>184</v>
      </c>
      <c r="D1916" s="920" t="s">
        <v>358</v>
      </c>
      <c r="E1916" s="1005"/>
      <c r="F1916" s="921"/>
      <c r="G1916" s="923">
        <f>SUM(G1917:G1919)</f>
        <v>1212.5698938</v>
      </c>
      <c r="H1916" s="864">
        <v>3322.38</v>
      </c>
      <c r="I1916" s="864">
        <f>IF(ISBLANK(H1916),"",SUM(G1916:H1916))</f>
        <v>4534.9498937999997</v>
      </c>
      <c r="J1916" s="865">
        <f t="shared" si="499"/>
        <v>5542.62</v>
      </c>
      <c r="K1916" s="866" t="s">
        <v>15</v>
      </c>
      <c r="L1916" s="1013"/>
      <c r="M1916" s="1013">
        <f t="shared" si="483"/>
        <v>0</v>
      </c>
      <c r="N1916" s="907">
        <f t="shared" si="484"/>
        <v>0</v>
      </c>
      <c r="O1916" s="880"/>
      <c r="Q1916" s="317" t="str">
        <f t="shared" si="485"/>
        <v/>
      </c>
      <c r="R1916" s="317" t="str">
        <f t="shared" si="486"/>
        <v/>
      </c>
      <c r="S1916" s="317" t="str">
        <f t="shared" si="487"/>
        <v/>
      </c>
      <c r="V1916" s="314">
        <f>SUM(ORÇAMENTO!N1916)</f>
        <v>0</v>
      </c>
      <c r="W1916" s="315">
        <f t="shared" si="488"/>
        <v>0</v>
      </c>
    </row>
    <row r="1917" spans="1:23" hidden="1">
      <c r="A1917" s="63" t="s">
        <v>147</v>
      </c>
      <c r="B1917" s="870" t="s">
        <v>147</v>
      </c>
      <c r="C1917" s="871"/>
      <c r="D1917" s="881" t="s">
        <v>190</v>
      </c>
      <c r="E1917" s="882">
        <f>DMT!$D$20</f>
        <v>445</v>
      </c>
      <c r="F1917" s="883">
        <v>0.81569999999999998</v>
      </c>
      <c r="G1917" s="884">
        <f>IF(E1917&lt;=30,(0.78*E1917+7.82)*F1917,((0.78*30+7.82)+0.78*(E1917-30))*F1917)</f>
        <v>289.50824399999999</v>
      </c>
      <c r="H1917" s="876"/>
      <c r="I1917" s="876"/>
      <c r="J1917" s="877">
        <f t="shared" si="499"/>
        <v>0</v>
      </c>
      <c r="K1917" s="878"/>
      <c r="L1917" s="1013">
        <f>ROUND(SUM(ORÇAMENTO!L1917),2)</f>
        <v>0</v>
      </c>
      <c r="M1917" s="1013">
        <f t="shared" si="483"/>
        <v>0</v>
      </c>
      <c r="N1917" s="868">
        <f t="shared" si="484"/>
        <v>0</v>
      </c>
      <c r="O1917" s="880"/>
      <c r="P1917" s="36" t="str">
        <f>IF(N1916&gt;0,"xx",IF(N1916&gt;0,"xy",""))</f>
        <v/>
      </c>
      <c r="Q1917" s="317" t="str">
        <f t="shared" si="485"/>
        <v/>
      </c>
      <c r="R1917" s="317" t="str">
        <f t="shared" si="486"/>
        <v/>
      </c>
      <c r="S1917" s="317" t="str">
        <f t="shared" si="487"/>
        <v/>
      </c>
      <c r="V1917" s="314">
        <f>SUM(ORÇAMENTO!N1917)</f>
        <v>0</v>
      </c>
      <c r="W1917" s="315">
        <f t="shared" si="488"/>
        <v>0</v>
      </c>
    </row>
    <row r="1918" spans="1:23" hidden="1">
      <c r="A1918" s="63" t="s">
        <v>147</v>
      </c>
      <c r="B1918" s="870" t="s">
        <v>147</v>
      </c>
      <c r="C1918" s="871"/>
      <c r="D1918" s="881" t="s">
        <v>229</v>
      </c>
      <c r="E1918" s="882">
        <f>DMT!$F$8</f>
        <v>290</v>
      </c>
      <c r="F1918" s="883">
        <v>2.9003000000000001</v>
      </c>
      <c r="G1918" s="923">
        <f t="shared" ref="G1918:G1919" si="500">IF(E1918&lt;=30,(1.07*E1918+2.68)*F1918,((1.07*30+2.68)+1.07*(E1918-30))*F1918)</f>
        <v>907.73589400000003</v>
      </c>
      <c r="H1918" s="876"/>
      <c r="I1918" s="876"/>
      <c r="J1918" s="877">
        <f t="shared" si="499"/>
        <v>0</v>
      </c>
      <c r="K1918" s="878"/>
      <c r="L1918" s="1013">
        <f>ROUND(SUM(ORÇAMENTO!L1918),2)</f>
        <v>0</v>
      </c>
      <c r="M1918" s="1013">
        <f t="shared" si="483"/>
        <v>0</v>
      </c>
      <c r="N1918" s="868">
        <f t="shared" si="484"/>
        <v>0</v>
      </c>
      <c r="O1918" s="880"/>
      <c r="P1918" s="36" t="str">
        <f>IF(N1916&gt;0,"xx",IF(N1916&gt;0,"xy",""))</f>
        <v/>
      </c>
      <c r="Q1918" s="317" t="str">
        <f t="shared" si="485"/>
        <v/>
      </c>
      <c r="R1918" s="317" t="str">
        <f t="shared" si="486"/>
        <v/>
      </c>
      <c r="S1918" s="317" t="str">
        <f t="shared" si="487"/>
        <v/>
      </c>
      <c r="V1918" s="314">
        <f>SUM(ORÇAMENTO!N1918)</f>
        <v>0</v>
      </c>
      <c r="W1918" s="315">
        <f t="shared" si="488"/>
        <v>0</v>
      </c>
    </row>
    <row r="1919" spans="1:23" hidden="1">
      <c r="A1919" s="63" t="s">
        <v>147</v>
      </c>
      <c r="B1919" s="870" t="s">
        <v>147</v>
      </c>
      <c r="C1919" s="871"/>
      <c r="D1919" s="881" t="s">
        <v>233</v>
      </c>
      <c r="E1919" s="882">
        <v>0.2</v>
      </c>
      <c r="F1919" s="883">
        <v>5.2957000000000001</v>
      </c>
      <c r="G1919" s="923">
        <f t="shared" si="500"/>
        <v>15.325755800000001</v>
      </c>
      <c r="H1919" s="876"/>
      <c r="I1919" s="876"/>
      <c r="J1919" s="877">
        <f t="shared" si="499"/>
        <v>0</v>
      </c>
      <c r="K1919" s="878"/>
      <c r="L1919" s="1013">
        <f>ROUND(SUM(ORÇAMENTO!L1919),2)</f>
        <v>0</v>
      </c>
      <c r="M1919" s="1013">
        <f t="shared" si="483"/>
        <v>0</v>
      </c>
      <c r="N1919" s="868">
        <f t="shared" si="484"/>
        <v>0</v>
      </c>
      <c r="O1919" s="880"/>
      <c r="P1919" s="36" t="str">
        <f>IF(N1916&gt;0,"xx",IF(N1916&gt;0,"xy",""))</f>
        <v/>
      </c>
      <c r="Q1919" s="317" t="str">
        <f t="shared" si="485"/>
        <v/>
      </c>
      <c r="R1919" s="317" t="str">
        <f t="shared" si="486"/>
        <v/>
      </c>
      <c r="S1919" s="317" t="str">
        <f t="shared" si="487"/>
        <v/>
      </c>
      <c r="V1919" s="314">
        <f>SUM(ORÇAMENTO!N1919)</f>
        <v>0</v>
      </c>
      <c r="W1919" s="315">
        <f t="shared" si="488"/>
        <v>0</v>
      </c>
    </row>
    <row r="1920" spans="1:23" hidden="1">
      <c r="A1920" s="63">
        <v>621200</v>
      </c>
      <c r="B1920" s="870">
        <v>621200</v>
      </c>
      <c r="C1920" s="871" t="s">
        <v>184</v>
      </c>
      <c r="D1920" s="881" t="s">
        <v>359</v>
      </c>
      <c r="E1920" s="882"/>
      <c r="F1920" s="883"/>
      <c r="G1920" s="887">
        <f>SUM(G1921:G1923)</f>
        <v>1887.0260169999999</v>
      </c>
      <c r="H1920" s="876">
        <v>4208.43</v>
      </c>
      <c r="I1920" s="876">
        <f>IF(ISBLANK(H1920),"",SUM(G1920:H1920))</f>
        <v>6095.4560170000004</v>
      </c>
      <c r="J1920" s="877">
        <f t="shared" si="499"/>
        <v>7449.87</v>
      </c>
      <c r="K1920" s="878" t="s">
        <v>15</v>
      </c>
      <c r="L1920" s="1013">
        <f>ROUND(SUM(ORÇAMENTO!L1920),2)</f>
        <v>0</v>
      </c>
      <c r="M1920" s="1013">
        <f t="shared" si="483"/>
        <v>0</v>
      </c>
      <c r="N1920" s="868">
        <f t="shared" si="484"/>
        <v>0</v>
      </c>
      <c r="O1920" s="880"/>
      <c r="Q1920" s="317" t="str">
        <f t="shared" si="485"/>
        <v/>
      </c>
      <c r="R1920" s="317" t="str">
        <f t="shared" si="486"/>
        <v/>
      </c>
      <c r="S1920" s="317" t="str">
        <f t="shared" si="487"/>
        <v/>
      </c>
      <c r="V1920" s="314">
        <f>SUM(ORÇAMENTO!N1920)</f>
        <v>0</v>
      </c>
      <c r="W1920" s="315">
        <f t="shared" si="488"/>
        <v>0</v>
      </c>
    </row>
    <row r="1921" spans="1:23" hidden="1">
      <c r="A1921" s="63" t="s">
        <v>147</v>
      </c>
      <c r="B1921" s="870" t="s">
        <v>147</v>
      </c>
      <c r="C1921" s="871"/>
      <c r="D1921" s="881" t="s">
        <v>190</v>
      </c>
      <c r="E1921" s="882">
        <f>DMT!$D$20</f>
        <v>445</v>
      </c>
      <c r="F1921" s="883">
        <v>1.0573999999999999</v>
      </c>
      <c r="G1921" s="884">
        <f>IF(E1921&lt;=30,(0.78*E1921+7.82)*F1921,((0.78*30+7.82)+0.78*(E1921-30))*F1921)</f>
        <v>375.29240799999997</v>
      </c>
      <c r="H1921" s="876"/>
      <c r="I1921" s="876"/>
      <c r="J1921" s="877">
        <f t="shared" si="499"/>
        <v>0</v>
      </c>
      <c r="K1921" s="878"/>
      <c r="L1921" s="1013">
        <f>ROUND(SUM(ORÇAMENTO!L1921),2)</f>
        <v>0</v>
      </c>
      <c r="M1921" s="1013">
        <f t="shared" si="483"/>
        <v>0</v>
      </c>
      <c r="N1921" s="868">
        <f t="shared" si="484"/>
        <v>0</v>
      </c>
      <c r="O1921" s="880"/>
      <c r="P1921" s="36" t="str">
        <f>IF(N1920&gt;0,"xx",IF(N1920&gt;0,"xy",""))</f>
        <v/>
      </c>
      <c r="Q1921" s="317" t="str">
        <f t="shared" si="485"/>
        <v/>
      </c>
      <c r="R1921" s="317" t="str">
        <f t="shared" si="486"/>
        <v/>
      </c>
      <c r="S1921" s="317" t="str">
        <f t="shared" si="487"/>
        <v/>
      </c>
      <c r="V1921" s="314">
        <f>SUM(ORÇAMENTO!N1921)</f>
        <v>0</v>
      </c>
      <c r="W1921" s="315">
        <f t="shared" si="488"/>
        <v>0</v>
      </c>
    </row>
    <row r="1922" spans="1:23" hidden="1">
      <c r="A1922" s="63" t="s">
        <v>147</v>
      </c>
      <c r="B1922" s="870" t="s">
        <v>147</v>
      </c>
      <c r="C1922" s="871"/>
      <c r="D1922" s="881" t="s">
        <v>229</v>
      </c>
      <c r="E1922" s="882">
        <f>DMT!$F$8</f>
        <v>290</v>
      </c>
      <c r="F1922" s="883">
        <v>3.7597999999999998</v>
      </c>
      <c r="G1922" s="923">
        <f t="shared" ref="G1922:G1923" si="501">IF(E1922&lt;=30,(1.07*E1922+2.68)*F1922,((1.07*30+2.68)+1.07*(E1922-30))*F1922)</f>
        <v>1176.7422039999999</v>
      </c>
      <c r="H1922" s="876"/>
      <c r="I1922" s="876"/>
      <c r="J1922" s="877">
        <f t="shared" si="499"/>
        <v>0</v>
      </c>
      <c r="K1922" s="878"/>
      <c r="L1922" s="1013">
        <f>ROUND(SUM(ORÇAMENTO!L1922),2)</f>
        <v>0</v>
      </c>
      <c r="M1922" s="1013">
        <f t="shared" si="483"/>
        <v>0</v>
      </c>
      <c r="N1922" s="868">
        <f t="shared" si="484"/>
        <v>0</v>
      </c>
      <c r="O1922" s="880"/>
      <c r="P1922" s="36" t="str">
        <f>IF(N1920&gt;0,"xx",IF(N1920&gt;0,"xy",""))</f>
        <v/>
      </c>
      <c r="Q1922" s="317" t="str">
        <f t="shared" si="485"/>
        <v/>
      </c>
      <c r="R1922" s="317" t="str">
        <f t="shared" si="486"/>
        <v/>
      </c>
      <c r="S1922" s="317" t="str">
        <f t="shared" si="487"/>
        <v/>
      </c>
      <c r="V1922" s="314">
        <f>SUM(ORÇAMENTO!N1922)</f>
        <v>0</v>
      </c>
      <c r="W1922" s="315">
        <f t="shared" si="488"/>
        <v>0</v>
      </c>
    </row>
    <row r="1923" spans="1:23" hidden="1">
      <c r="A1923" s="63" t="s">
        <v>147</v>
      </c>
      <c r="B1923" s="870" t="s">
        <v>147</v>
      </c>
      <c r="C1923" s="871"/>
      <c r="D1923" s="881" t="s">
        <v>233</v>
      </c>
      <c r="E1923" s="882">
        <f>DMT!$F$10</f>
        <v>43.1</v>
      </c>
      <c r="F1923" s="883">
        <v>6.8650000000000002</v>
      </c>
      <c r="G1923" s="923">
        <f t="shared" si="501"/>
        <v>334.99140500000004</v>
      </c>
      <c r="H1923" s="876"/>
      <c r="I1923" s="876"/>
      <c r="J1923" s="877">
        <f t="shared" si="499"/>
        <v>0</v>
      </c>
      <c r="K1923" s="878"/>
      <c r="L1923" s="1013">
        <f>ROUND(SUM(ORÇAMENTO!L1923),2)</f>
        <v>0</v>
      </c>
      <c r="M1923" s="1013">
        <f t="shared" si="483"/>
        <v>0</v>
      </c>
      <c r="N1923" s="868">
        <f t="shared" si="484"/>
        <v>0</v>
      </c>
      <c r="O1923" s="880"/>
      <c r="P1923" s="36" t="str">
        <f>IF(N1920&gt;0,"xx",IF(N1920&gt;0,"xy",""))</f>
        <v/>
      </c>
      <c r="Q1923" s="317" t="str">
        <f t="shared" si="485"/>
        <v/>
      </c>
      <c r="R1923" s="317" t="str">
        <f t="shared" si="486"/>
        <v/>
      </c>
      <c r="S1923" s="317" t="str">
        <f t="shared" si="487"/>
        <v/>
      </c>
      <c r="V1923" s="314">
        <f>SUM(ORÇAMENTO!N1923)</f>
        <v>0</v>
      </c>
      <c r="W1923" s="315">
        <f t="shared" si="488"/>
        <v>0</v>
      </c>
    </row>
    <row r="1924" spans="1:23" hidden="1">
      <c r="A1924" s="63">
        <v>621300</v>
      </c>
      <c r="B1924" s="870">
        <v>621300</v>
      </c>
      <c r="C1924" s="871" t="s">
        <v>184</v>
      </c>
      <c r="D1924" s="881" t="s">
        <v>360</v>
      </c>
      <c r="E1924" s="882"/>
      <c r="F1924" s="883"/>
      <c r="G1924" s="887">
        <f>SUM(G1925:G1927)</f>
        <v>3666.5150902000005</v>
      </c>
      <c r="H1924" s="876">
        <v>7311.47</v>
      </c>
      <c r="I1924" s="876">
        <f>IF(ISBLANK(H1924),"",SUM(G1924:H1924))</f>
        <v>10977.9850902</v>
      </c>
      <c r="J1924" s="877">
        <f t="shared" si="499"/>
        <v>13417.29</v>
      </c>
      <c r="K1924" s="878" t="s">
        <v>15</v>
      </c>
      <c r="L1924" s="1013">
        <f>ROUND(SUM(ORÇAMENTO!L1924),2)</f>
        <v>0</v>
      </c>
      <c r="M1924" s="1013">
        <f t="shared" si="483"/>
        <v>0</v>
      </c>
      <c r="N1924" s="868">
        <f t="shared" si="484"/>
        <v>0</v>
      </c>
      <c r="O1924" s="880"/>
      <c r="Q1924" s="317" t="str">
        <f t="shared" si="485"/>
        <v/>
      </c>
      <c r="R1924" s="317" t="str">
        <f t="shared" si="486"/>
        <v/>
      </c>
      <c r="S1924" s="317" t="str">
        <f t="shared" si="487"/>
        <v/>
      </c>
      <c r="V1924" s="314">
        <f>SUM(ORÇAMENTO!N1924)</f>
        <v>0</v>
      </c>
      <c r="W1924" s="315">
        <f t="shared" si="488"/>
        <v>0</v>
      </c>
    </row>
    <row r="1925" spans="1:23" hidden="1">
      <c r="A1925" s="63" t="s">
        <v>147</v>
      </c>
      <c r="B1925" s="870" t="s">
        <v>147</v>
      </c>
      <c r="C1925" s="871"/>
      <c r="D1925" s="881" t="s">
        <v>190</v>
      </c>
      <c r="E1925" s="882">
        <f>DMT!$D$20</f>
        <v>445</v>
      </c>
      <c r="F1925" s="883">
        <v>2.0546000000000002</v>
      </c>
      <c r="G1925" s="884">
        <f>IF(E1925&lt;=30,(0.78*E1925+7.82)*F1925,((0.78*30+7.82)+0.78*(E1925-30))*F1925)</f>
        <v>729.21863200000007</v>
      </c>
      <c r="H1925" s="876"/>
      <c r="I1925" s="876"/>
      <c r="J1925" s="877">
        <f t="shared" si="499"/>
        <v>0</v>
      </c>
      <c r="K1925" s="878"/>
      <c r="L1925" s="1013">
        <f>ROUND(SUM(ORÇAMENTO!L1925),2)</f>
        <v>0</v>
      </c>
      <c r="M1925" s="1013">
        <f t="shared" si="483"/>
        <v>0</v>
      </c>
      <c r="N1925" s="868">
        <f t="shared" si="484"/>
        <v>0</v>
      </c>
      <c r="O1925" s="880"/>
      <c r="P1925" s="36" t="str">
        <f>IF(N1924&gt;0,"xx",IF(N1924&gt;0,"xy",""))</f>
        <v/>
      </c>
      <c r="Q1925" s="317" t="str">
        <f t="shared" si="485"/>
        <v/>
      </c>
      <c r="R1925" s="317" t="str">
        <f t="shared" si="486"/>
        <v/>
      </c>
      <c r="S1925" s="317" t="str">
        <f t="shared" si="487"/>
        <v/>
      </c>
      <c r="V1925" s="314">
        <f>SUM(ORÇAMENTO!N1925)</f>
        <v>0</v>
      </c>
      <c r="W1925" s="315">
        <f t="shared" si="488"/>
        <v>0</v>
      </c>
    </row>
    <row r="1926" spans="1:23" hidden="1">
      <c r="A1926" s="63" t="s">
        <v>147</v>
      </c>
      <c r="B1926" s="870" t="s">
        <v>147</v>
      </c>
      <c r="C1926" s="871"/>
      <c r="D1926" s="881" t="s">
        <v>229</v>
      </c>
      <c r="E1926" s="882">
        <f>DMT!$F$8</f>
        <v>290</v>
      </c>
      <c r="F1926" s="883">
        <v>7.3052999999999999</v>
      </c>
      <c r="G1926" s="923">
        <f t="shared" ref="G1926:G1927" si="502">IF(E1926&lt;=30,(1.07*E1926+2.68)*F1926,((1.07*30+2.68)+1.07*(E1926-30))*F1926)</f>
        <v>2286.4127940000003</v>
      </c>
      <c r="H1926" s="876"/>
      <c r="I1926" s="876"/>
      <c r="J1926" s="877">
        <f t="shared" si="499"/>
        <v>0</v>
      </c>
      <c r="K1926" s="878"/>
      <c r="L1926" s="1013">
        <f>ROUND(SUM(ORÇAMENTO!L1926),2)</f>
        <v>0</v>
      </c>
      <c r="M1926" s="1013">
        <f t="shared" si="483"/>
        <v>0</v>
      </c>
      <c r="N1926" s="868">
        <f t="shared" si="484"/>
        <v>0</v>
      </c>
      <c r="O1926" s="880"/>
      <c r="P1926" s="36" t="str">
        <f>IF(N1924&gt;0,"xx",IF(N1924&gt;0,"xy",""))</f>
        <v/>
      </c>
      <c r="Q1926" s="317" t="str">
        <f t="shared" si="485"/>
        <v/>
      </c>
      <c r="R1926" s="317" t="str">
        <f t="shared" si="486"/>
        <v/>
      </c>
      <c r="S1926" s="317" t="str">
        <f t="shared" si="487"/>
        <v/>
      </c>
      <c r="V1926" s="314">
        <f>SUM(ORÇAMENTO!N1926)</f>
        <v>0</v>
      </c>
      <c r="W1926" s="315">
        <f t="shared" si="488"/>
        <v>0</v>
      </c>
    </row>
    <row r="1927" spans="1:23" hidden="1">
      <c r="A1927" s="63" t="s">
        <v>147</v>
      </c>
      <c r="B1927" s="870" t="s">
        <v>147</v>
      </c>
      <c r="C1927" s="871"/>
      <c r="D1927" s="881" t="s">
        <v>233</v>
      </c>
      <c r="E1927" s="882">
        <f>DMT!$F$10</f>
        <v>43.1</v>
      </c>
      <c r="F1927" s="883">
        <v>13.3386</v>
      </c>
      <c r="G1927" s="923">
        <f t="shared" si="502"/>
        <v>650.8836642</v>
      </c>
      <c r="H1927" s="876"/>
      <c r="I1927" s="876"/>
      <c r="J1927" s="877">
        <f t="shared" si="499"/>
        <v>0</v>
      </c>
      <c r="K1927" s="878"/>
      <c r="L1927" s="1013">
        <f>ROUND(SUM(ORÇAMENTO!L1927),2)</f>
        <v>0</v>
      </c>
      <c r="M1927" s="1013">
        <f t="shared" si="483"/>
        <v>0</v>
      </c>
      <c r="N1927" s="868">
        <f t="shared" si="484"/>
        <v>0</v>
      </c>
      <c r="O1927" s="880"/>
      <c r="P1927" s="36" t="str">
        <f>IF(N1924&gt;0,"xx",IF(N1924&gt;0,"xy",""))</f>
        <v/>
      </c>
      <c r="Q1927" s="317" t="str">
        <f t="shared" si="485"/>
        <v/>
      </c>
      <c r="R1927" s="317" t="str">
        <f t="shared" si="486"/>
        <v/>
      </c>
      <c r="S1927" s="317" t="str">
        <f t="shared" si="487"/>
        <v/>
      </c>
      <c r="V1927" s="314">
        <f>SUM(ORÇAMENTO!N1927)</f>
        <v>0</v>
      </c>
      <c r="W1927" s="315">
        <f t="shared" si="488"/>
        <v>0</v>
      </c>
    </row>
    <row r="1928" spans="1:23" hidden="1">
      <c r="A1928" s="63">
        <v>621400</v>
      </c>
      <c r="B1928" s="870">
        <v>621400</v>
      </c>
      <c r="C1928" s="871" t="s">
        <v>184</v>
      </c>
      <c r="D1928" s="881" t="s">
        <v>361</v>
      </c>
      <c r="E1928" s="882"/>
      <c r="F1928" s="883"/>
      <c r="G1928" s="887">
        <f>SUM(G1929:G1931)</f>
        <v>6991.6948109000004</v>
      </c>
      <c r="H1928" s="876">
        <v>12918.12</v>
      </c>
      <c r="I1928" s="876">
        <f>IF(ISBLANK(H1928),"",SUM(G1928:H1928))</f>
        <v>19909.814810900003</v>
      </c>
      <c r="J1928" s="877">
        <f t="shared" si="499"/>
        <v>24333.78</v>
      </c>
      <c r="K1928" s="878" t="s">
        <v>15</v>
      </c>
      <c r="L1928" s="1013">
        <f>ROUND(SUM(ORÇAMENTO!L1928),2)</f>
        <v>0</v>
      </c>
      <c r="M1928" s="1013">
        <f t="shared" si="483"/>
        <v>0</v>
      </c>
      <c r="N1928" s="868">
        <f t="shared" si="484"/>
        <v>0</v>
      </c>
      <c r="O1928" s="880"/>
      <c r="Q1928" s="317" t="str">
        <f t="shared" si="485"/>
        <v/>
      </c>
      <c r="R1928" s="317" t="str">
        <f t="shared" si="486"/>
        <v/>
      </c>
      <c r="S1928" s="317" t="str">
        <f t="shared" si="487"/>
        <v/>
      </c>
      <c r="V1928" s="314">
        <f>SUM(ORÇAMENTO!N1928)</f>
        <v>0</v>
      </c>
      <c r="W1928" s="315">
        <f t="shared" si="488"/>
        <v>0</v>
      </c>
    </row>
    <row r="1929" spans="1:23" hidden="1">
      <c r="A1929" s="63" t="s">
        <v>147</v>
      </c>
      <c r="B1929" s="870" t="s">
        <v>147</v>
      </c>
      <c r="C1929" s="871"/>
      <c r="D1929" s="881" t="s">
        <v>190</v>
      </c>
      <c r="E1929" s="882">
        <f>DMT!$D$20</f>
        <v>445</v>
      </c>
      <c r="F1929" s="883">
        <v>3.9178999999999999</v>
      </c>
      <c r="G1929" s="884">
        <f>IF(E1929&lt;=30,(0.78*E1929+7.82)*F1929,((0.78*30+7.82)+0.78*(E1929-30))*F1929)</f>
        <v>1390.541068</v>
      </c>
      <c r="H1929" s="876"/>
      <c r="I1929" s="876"/>
      <c r="J1929" s="877">
        <f t="shared" si="499"/>
        <v>0</v>
      </c>
      <c r="K1929" s="878"/>
      <c r="L1929" s="1013">
        <f>ROUND(SUM(ORÇAMENTO!L1929),2)</f>
        <v>0</v>
      </c>
      <c r="M1929" s="1013">
        <f t="shared" si="483"/>
        <v>0</v>
      </c>
      <c r="N1929" s="868">
        <f t="shared" si="484"/>
        <v>0</v>
      </c>
      <c r="O1929" s="880"/>
      <c r="P1929" s="36" t="str">
        <f>IF(N1928&gt;0,"xx",IF(N1928&gt;0,"xy",""))</f>
        <v/>
      </c>
      <c r="Q1929" s="317" t="str">
        <f t="shared" si="485"/>
        <v/>
      </c>
      <c r="R1929" s="317" t="str">
        <f t="shared" si="486"/>
        <v/>
      </c>
      <c r="S1929" s="317" t="str">
        <f t="shared" si="487"/>
        <v/>
      </c>
      <c r="V1929" s="314">
        <f>SUM(ORÇAMENTO!N1929)</f>
        <v>0</v>
      </c>
      <c r="W1929" s="315">
        <f t="shared" si="488"/>
        <v>0</v>
      </c>
    </row>
    <row r="1930" spans="1:23" hidden="1">
      <c r="A1930" s="63" t="s">
        <v>147</v>
      </c>
      <c r="B1930" s="870" t="s">
        <v>147</v>
      </c>
      <c r="C1930" s="871"/>
      <c r="D1930" s="881" t="s">
        <v>229</v>
      </c>
      <c r="E1930" s="882">
        <f>DMT!$F$8</f>
        <v>290</v>
      </c>
      <c r="F1930" s="883">
        <v>13.9305</v>
      </c>
      <c r="G1930" s="923">
        <f t="shared" ref="G1930:G1931" si="503">IF(E1930&lt;=30,(1.07*E1930+2.68)*F1930,((1.07*30+2.68)+1.07*(E1930-30))*F1930)</f>
        <v>4359.9678900000008</v>
      </c>
      <c r="H1930" s="876"/>
      <c r="I1930" s="876"/>
      <c r="J1930" s="877">
        <f t="shared" si="499"/>
        <v>0</v>
      </c>
      <c r="K1930" s="878"/>
      <c r="L1930" s="1013">
        <f>ROUND(SUM(ORÇAMENTO!L1930),2)</f>
        <v>0</v>
      </c>
      <c r="M1930" s="1013">
        <f t="shared" si="483"/>
        <v>0</v>
      </c>
      <c r="N1930" s="868">
        <f t="shared" si="484"/>
        <v>0</v>
      </c>
      <c r="O1930" s="880"/>
      <c r="P1930" s="36" t="str">
        <f>IF(N1928&gt;0,"xx",IF(N1928&gt;0,"xy",""))</f>
        <v/>
      </c>
      <c r="Q1930" s="317" t="str">
        <f t="shared" si="485"/>
        <v/>
      </c>
      <c r="R1930" s="317" t="str">
        <f t="shared" si="486"/>
        <v/>
      </c>
      <c r="S1930" s="317" t="str">
        <f t="shared" si="487"/>
        <v/>
      </c>
      <c r="V1930" s="314">
        <f>SUM(ORÇAMENTO!N1930)</f>
        <v>0</v>
      </c>
      <c r="W1930" s="315">
        <f t="shared" si="488"/>
        <v>0</v>
      </c>
    </row>
    <row r="1931" spans="1:23" hidden="1">
      <c r="A1931" s="63" t="s">
        <v>147</v>
      </c>
      <c r="B1931" s="870" t="s">
        <v>147</v>
      </c>
      <c r="C1931" s="871"/>
      <c r="D1931" s="881" t="s">
        <v>233</v>
      </c>
      <c r="E1931" s="882">
        <f>DMT!$F$10</f>
        <v>43.1</v>
      </c>
      <c r="F1931" s="883">
        <v>25.435699999999997</v>
      </c>
      <c r="G1931" s="923">
        <f t="shared" si="503"/>
        <v>1241.1858528999999</v>
      </c>
      <c r="H1931" s="876"/>
      <c r="I1931" s="876"/>
      <c r="J1931" s="877">
        <f t="shared" si="499"/>
        <v>0</v>
      </c>
      <c r="K1931" s="878"/>
      <c r="L1931" s="1013">
        <f>ROUND(SUM(ORÇAMENTO!L1931),2)</f>
        <v>0</v>
      </c>
      <c r="M1931" s="1013">
        <f t="shared" si="483"/>
        <v>0</v>
      </c>
      <c r="N1931" s="868">
        <f t="shared" si="484"/>
        <v>0</v>
      </c>
      <c r="O1931" s="880"/>
      <c r="P1931" s="36" t="str">
        <f>IF(N1928&gt;0,"xx",IF(N1928&gt;0,"xy",""))</f>
        <v/>
      </c>
      <c r="Q1931" s="317" t="str">
        <f t="shared" si="485"/>
        <v/>
      </c>
      <c r="R1931" s="317" t="str">
        <f t="shared" si="486"/>
        <v/>
      </c>
      <c r="S1931" s="317" t="str">
        <f t="shared" si="487"/>
        <v/>
      </c>
      <c r="V1931" s="314">
        <f>SUM(ORÇAMENTO!N1931)</f>
        <v>0</v>
      </c>
      <c r="W1931" s="315">
        <f t="shared" si="488"/>
        <v>0</v>
      </c>
    </row>
    <row r="1932" spans="1:23" hidden="1">
      <c r="A1932" s="63">
        <v>607500</v>
      </c>
      <c r="B1932" s="870">
        <v>607500</v>
      </c>
      <c r="C1932" s="871" t="s">
        <v>184</v>
      </c>
      <c r="D1932" s="881" t="s">
        <v>2030</v>
      </c>
      <c r="E1932" s="882"/>
      <c r="F1932" s="883"/>
      <c r="G1932" s="887">
        <f>SUM(G1933:G1935)</f>
        <v>3.04955</v>
      </c>
      <c r="H1932" s="876">
        <v>40.4</v>
      </c>
      <c r="I1932" s="876">
        <f>IF(ISBLANK(H1932),"",SUM(G1932:H1932))</f>
        <v>43.449550000000002</v>
      </c>
      <c r="J1932" s="877">
        <f t="shared" si="499"/>
        <v>53.1</v>
      </c>
      <c r="K1932" s="878" t="s">
        <v>13</v>
      </c>
      <c r="L1932" s="1013">
        <f>ROUND(SUM(ORÇAMENTO!L1932),2)</f>
        <v>0</v>
      </c>
      <c r="M1932" s="1013">
        <f t="shared" si="483"/>
        <v>0</v>
      </c>
      <c r="N1932" s="868">
        <f t="shared" si="484"/>
        <v>0</v>
      </c>
      <c r="O1932" s="880"/>
      <c r="Q1932" s="317" t="str">
        <f t="shared" si="485"/>
        <v/>
      </c>
      <c r="R1932" s="317" t="str">
        <f t="shared" si="486"/>
        <v/>
      </c>
      <c r="S1932" s="317" t="str">
        <f t="shared" si="487"/>
        <v/>
      </c>
      <c r="V1932" s="314">
        <f>SUM(ORÇAMENTO!N1932)</f>
        <v>0</v>
      </c>
      <c r="W1932" s="315">
        <f t="shared" si="488"/>
        <v>0</v>
      </c>
    </row>
    <row r="1933" spans="1:23" hidden="1">
      <c r="A1933" s="63" t="s">
        <v>147</v>
      </c>
      <c r="B1933" s="870" t="s">
        <v>147</v>
      </c>
      <c r="C1933" s="871"/>
      <c r="D1933" s="881" t="s">
        <v>190</v>
      </c>
      <c r="E1933" s="882">
        <f>DMT!$D$41</f>
        <v>445</v>
      </c>
      <c r="F1933" s="883">
        <v>2.9999999999999997E-4</v>
      </c>
      <c r="G1933" s="884">
        <f>IF(E1933&lt;=30,(0.78*E1933+7.82)*F1933,((0.78*30+7.82)+0.78*(E1933-30))*F1933)</f>
        <v>0.106476</v>
      </c>
      <c r="H1933" s="876"/>
      <c r="I1933" s="876"/>
      <c r="J1933" s="877">
        <f t="shared" si="499"/>
        <v>0</v>
      </c>
      <c r="K1933" s="878"/>
      <c r="L1933" s="1013">
        <f>ROUND(SUM(ORÇAMENTO!L1933),2)</f>
        <v>0</v>
      </c>
      <c r="M1933" s="1013">
        <f t="shared" si="483"/>
        <v>0</v>
      </c>
      <c r="N1933" s="868">
        <f t="shared" si="484"/>
        <v>0</v>
      </c>
      <c r="O1933" s="880"/>
      <c r="P1933" s="36" t="str">
        <f>IF(N1932&gt;0,"xx",IF(N1932&gt;0,"xy",""))</f>
        <v/>
      </c>
      <c r="Q1933" s="317" t="str">
        <f t="shared" si="485"/>
        <v/>
      </c>
      <c r="R1933" s="317" t="str">
        <f t="shared" si="486"/>
        <v/>
      </c>
      <c r="S1933" s="317" t="str">
        <f t="shared" si="487"/>
        <v/>
      </c>
      <c r="V1933" s="314">
        <f>SUM(ORÇAMENTO!N1933)</f>
        <v>0</v>
      </c>
      <c r="W1933" s="315">
        <f t="shared" si="488"/>
        <v>0</v>
      </c>
    </row>
    <row r="1934" spans="1:23" hidden="1">
      <c r="A1934" s="63" t="s">
        <v>147</v>
      </c>
      <c r="B1934" s="870" t="s">
        <v>147</v>
      </c>
      <c r="C1934" s="871"/>
      <c r="D1934" s="881" t="s">
        <v>229</v>
      </c>
      <c r="E1934" s="882">
        <f>DMT!$F$39</f>
        <v>290</v>
      </c>
      <c r="F1934" s="883">
        <v>1.2999999999999999E-3</v>
      </c>
      <c r="G1934" s="923">
        <f t="shared" ref="G1934:G1935" si="504">IF(E1934&lt;=30,(1.07*E1934+2.68)*F1934,((1.07*30+2.68)+1.07*(E1934-30))*F1934)</f>
        <v>0.40687400000000001</v>
      </c>
      <c r="H1934" s="876"/>
      <c r="I1934" s="876"/>
      <c r="J1934" s="877">
        <f t="shared" si="499"/>
        <v>0</v>
      </c>
      <c r="K1934" s="878"/>
      <c r="L1934" s="1013">
        <f>ROUND(SUM(ORÇAMENTO!L1934),2)</f>
        <v>0</v>
      </c>
      <c r="M1934" s="1013">
        <f t="shared" si="483"/>
        <v>0</v>
      </c>
      <c r="N1934" s="868">
        <f t="shared" si="484"/>
        <v>0</v>
      </c>
      <c r="O1934" s="880"/>
      <c r="P1934" s="36" t="str">
        <f>IF(N1932&gt;0,"xx",IF(N1932&gt;0,"xy",""))</f>
        <v/>
      </c>
      <c r="Q1934" s="317" t="str">
        <f t="shared" si="485"/>
        <v/>
      </c>
      <c r="R1934" s="317" t="str">
        <f t="shared" si="486"/>
        <v/>
      </c>
      <c r="S1934" s="317" t="str">
        <f t="shared" si="487"/>
        <v/>
      </c>
      <c r="V1934" s="314">
        <f>SUM(ORÇAMENTO!N1934)</f>
        <v>0</v>
      </c>
      <c r="W1934" s="315">
        <f t="shared" si="488"/>
        <v>0</v>
      </c>
    </row>
    <row r="1935" spans="1:23" hidden="1">
      <c r="A1935" s="63" t="s">
        <v>147</v>
      </c>
      <c r="B1935" s="870" t="s">
        <v>147</v>
      </c>
      <c r="C1935" s="871"/>
      <c r="D1935" s="881" t="s">
        <v>336</v>
      </c>
      <c r="E1935" s="882">
        <f>DMT!$F$38</f>
        <v>37</v>
      </c>
      <c r="F1935" s="883">
        <v>0.06</v>
      </c>
      <c r="G1935" s="923">
        <f t="shared" si="504"/>
        <v>2.5362</v>
      </c>
      <c r="H1935" s="876"/>
      <c r="I1935" s="876"/>
      <c r="J1935" s="877">
        <f t="shared" si="499"/>
        <v>0</v>
      </c>
      <c r="K1935" s="878"/>
      <c r="L1935" s="1013">
        <f>ROUND(SUM(ORÇAMENTO!L1935),2)</f>
        <v>0</v>
      </c>
      <c r="M1935" s="1013">
        <f t="shared" si="483"/>
        <v>0</v>
      </c>
      <c r="N1935" s="868">
        <f t="shared" si="484"/>
        <v>0</v>
      </c>
      <c r="O1935" s="880"/>
      <c r="P1935" s="36" t="str">
        <f>IF(N1932&gt;0,"xx",IF(N1932&gt;0,"xy",""))</f>
        <v/>
      </c>
      <c r="Q1935" s="317" t="str">
        <f t="shared" si="485"/>
        <v/>
      </c>
      <c r="R1935" s="317" t="str">
        <f t="shared" si="486"/>
        <v/>
      </c>
      <c r="S1935" s="317" t="str">
        <f t="shared" si="487"/>
        <v/>
      </c>
      <c r="V1935" s="314">
        <f>SUM(ORÇAMENTO!N1935)</f>
        <v>0</v>
      </c>
      <c r="W1935" s="315">
        <f t="shared" si="488"/>
        <v>0</v>
      </c>
    </row>
    <row r="1936" spans="1:23" hidden="1">
      <c r="A1936" s="63">
        <v>607600</v>
      </c>
      <c r="B1936" s="870">
        <v>607600</v>
      </c>
      <c r="C1936" s="871" t="s">
        <v>184</v>
      </c>
      <c r="D1936" s="881" t="s">
        <v>2029</v>
      </c>
      <c r="E1936" s="882"/>
      <c r="F1936" s="883"/>
      <c r="G1936" s="887">
        <f>SUM(G1937:G1939)</f>
        <v>4.8681180000000008</v>
      </c>
      <c r="H1936" s="876">
        <v>43.12</v>
      </c>
      <c r="I1936" s="876">
        <f>IF(ISBLANK(H1936),"",SUM(G1936:H1936))</f>
        <v>47.988118</v>
      </c>
      <c r="J1936" s="877">
        <f t="shared" si="499"/>
        <v>58.65</v>
      </c>
      <c r="K1936" s="878" t="s">
        <v>13</v>
      </c>
      <c r="L1936" s="1013">
        <f>ROUND(SUM(ORÇAMENTO!L1936),2)</f>
        <v>0</v>
      </c>
      <c r="M1936" s="1013">
        <f t="shared" si="483"/>
        <v>0</v>
      </c>
      <c r="N1936" s="868">
        <f t="shared" si="484"/>
        <v>0</v>
      </c>
      <c r="O1936" s="880"/>
      <c r="Q1936" s="317" t="str">
        <f t="shared" si="485"/>
        <v/>
      </c>
      <c r="R1936" s="317" t="str">
        <f t="shared" si="486"/>
        <v/>
      </c>
      <c r="S1936" s="317" t="str">
        <f t="shared" si="487"/>
        <v/>
      </c>
      <c r="V1936" s="314">
        <f>SUM(ORÇAMENTO!N1936)</f>
        <v>0</v>
      </c>
      <c r="W1936" s="315">
        <f t="shared" si="488"/>
        <v>0</v>
      </c>
    </row>
    <row r="1937" spans="1:23" hidden="1">
      <c r="A1937" s="63" t="s">
        <v>147</v>
      </c>
      <c r="B1937" s="870" t="s">
        <v>147</v>
      </c>
      <c r="C1937" s="871"/>
      <c r="D1937" s="881" t="s">
        <v>190</v>
      </c>
      <c r="E1937" s="882">
        <f>DMT!$D$41</f>
        <v>445</v>
      </c>
      <c r="F1937" s="883">
        <v>4.0000000000000002E-4</v>
      </c>
      <c r="G1937" s="884">
        <f>IF(E1937&lt;=30,(0.78*E1937+7.82)*F1937,((0.78*30+7.82)+0.78*(E1937-30))*F1937)</f>
        <v>0.14196800000000001</v>
      </c>
      <c r="H1937" s="876"/>
      <c r="I1937" s="876"/>
      <c r="J1937" s="877">
        <f t="shared" si="499"/>
        <v>0</v>
      </c>
      <c r="K1937" s="878"/>
      <c r="L1937" s="1013">
        <f>ROUND(SUM(ORÇAMENTO!L1937),2)</f>
        <v>0</v>
      </c>
      <c r="M1937" s="1013">
        <f t="shared" si="483"/>
        <v>0</v>
      </c>
      <c r="N1937" s="868">
        <f t="shared" si="484"/>
        <v>0</v>
      </c>
      <c r="O1937" s="880"/>
      <c r="P1937" s="36" t="str">
        <f>IF(N1936&gt;0,"xx",IF(N1936&gt;0,"xy",""))</f>
        <v/>
      </c>
      <c r="Q1937" s="317" t="str">
        <f t="shared" si="485"/>
        <v/>
      </c>
      <c r="R1937" s="317" t="str">
        <f t="shared" si="486"/>
        <v/>
      </c>
      <c r="S1937" s="317" t="str">
        <f t="shared" si="487"/>
        <v/>
      </c>
      <c r="V1937" s="314">
        <f>SUM(ORÇAMENTO!N1937)</f>
        <v>0</v>
      </c>
      <c r="W1937" s="315">
        <f t="shared" si="488"/>
        <v>0</v>
      </c>
    </row>
    <row r="1938" spans="1:23" hidden="1">
      <c r="A1938" s="63" t="s">
        <v>147</v>
      </c>
      <c r="B1938" s="870" t="s">
        <v>147</v>
      </c>
      <c r="C1938" s="871"/>
      <c r="D1938" s="881" t="s">
        <v>229</v>
      </c>
      <c r="E1938" s="882">
        <f>DMT!$F$39</f>
        <v>290</v>
      </c>
      <c r="F1938" s="883">
        <v>2E-3</v>
      </c>
      <c r="G1938" s="923">
        <f t="shared" ref="G1938:G1939" si="505">IF(E1938&lt;=30,(1.07*E1938+2.68)*F1938,((1.07*30+2.68)+1.07*(E1938-30))*F1938)</f>
        <v>0.62596000000000007</v>
      </c>
      <c r="H1938" s="876"/>
      <c r="I1938" s="876"/>
      <c r="J1938" s="877">
        <f t="shared" si="499"/>
        <v>0</v>
      </c>
      <c r="K1938" s="878"/>
      <c r="L1938" s="1013">
        <f>ROUND(SUM(ORÇAMENTO!L1938),2)</f>
        <v>0</v>
      </c>
      <c r="M1938" s="1013">
        <f t="shared" ref="M1938:M2001" si="506">IF(L1938=0,0,ROUND(J1938,2))</f>
        <v>0</v>
      </c>
      <c r="N1938" s="868">
        <f t="shared" ref="N1938:N2001" si="507">IF(ISBLANK(L1938),0,ROUND(L1938*M1938,2))</f>
        <v>0</v>
      </c>
      <c r="O1938" s="880"/>
      <c r="P1938" s="36" t="str">
        <f>IF(N1936&gt;0,"xx",IF(N1936&gt;0,"xy",""))</f>
        <v/>
      </c>
      <c r="Q1938" s="317" t="str">
        <f t="shared" ref="Q1938:Q2001" si="508">IF(P1938="X","x",IF(P1938="xx","x",IF(P1938="xy","x",IF(P1938="y","x",IF(OR(N1938&gt;0,N1938&gt;0),"x","")))))</f>
        <v/>
      </c>
      <c r="R1938" s="317" t="str">
        <f t="shared" ref="R1938:R2001" si="509">IF(P1938="X","x",IF(P1938="y","x",IF(P1938="xx","x",IF(N1938&gt;0,"x",""))))</f>
        <v/>
      </c>
      <c r="S1938" s="317" t="str">
        <f t="shared" ref="S1938:S2001" si="510">IF(P1938="X","x",IF(N1938&gt;0,"x",""))</f>
        <v/>
      </c>
      <c r="V1938" s="314">
        <f>SUM(ORÇAMENTO!N1938)</f>
        <v>0</v>
      </c>
      <c r="W1938" s="315">
        <f t="shared" si="488"/>
        <v>0</v>
      </c>
    </row>
    <row r="1939" spans="1:23" hidden="1">
      <c r="A1939" s="63" t="s">
        <v>147</v>
      </c>
      <c r="B1939" s="870" t="s">
        <v>147</v>
      </c>
      <c r="C1939" s="871"/>
      <c r="D1939" s="881" t="s">
        <v>336</v>
      </c>
      <c r="E1939" s="882">
        <f>DMT!$F$38</f>
        <v>37</v>
      </c>
      <c r="F1939" s="883">
        <v>9.7000000000000003E-2</v>
      </c>
      <c r="G1939" s="923">
        <f t="shared" si="505"/>
        <v>4.1001900000000004</v>
      </c>
      <c r="H1939" s="876"/>
      <c r="I1939" s="876"/>
      <c r="J1939" s="877">
        <f t="shared" si="499"/>
        <v>0</v>
      </c>
      <c r="K1939" s="878"/>
      <c r="L1939" s="1013">
        <f>ROUND(SUM(ORÇAMENTO!L1939),2)</f>
        <v>0</v>
      </c>
      <c r="M1939" s="1013">
        <f t="shared" si="506"/>
        <v>0</v>
      </c>
      <c r="N1939" s="868">
        <f t="shared" si="507"/>
        <v>0</v>
      </c>
      <c r="O1939" s="880"/>
      <c r="P1939" s="36" t="str">
        <f>IF(N1936&gt;0,"xx",IF(N1936&gt;0,"xy",""))</f>
        <v/>
      </c>
      <c r="Q1939" s="317" t="str">
        <f t="shared" si="508"/>
        <v/>
      </c>
      <c r="R1939" s="317" t="str">
        <f t="shared" si="509"/>
        <v/>
      </c>
      <c r="S1939" s="317" t="str">
        <f t="shared" si="510"/>
        <v/>
      </c>
      <c r="V1939" s="314">
        <f>SUM(ORÇAMENTO!N1939)</f>
        <v>0</v>
      </c>
      <c r="W1939" s="315">
        <f t="shared" si="488"/>
        <v>0</v>
      </c>
    </row>
    <row r="1940" spans="1:23" hidden="1">
      <c r="A1940" s="63">
        <v>610400</v>
      </c>
      <c r="B1940" s="870" t="s">
        <v>1807</v>
      </c>
      <c r="C1940" s="871" t="s">
        <v>184</v>
      </c>
      <c r="D1940" s="881" t="s">
        <v>2028</v>
      </c>
      <c r="E1940" s="882"/>
      <c r="F1940" s="883"/>
      <c r="G1940" s="887">
        <f>SUM(G1941:G1943)</f>
        <v>8.4538480000000007</v>
      </c>
      <c r="H1940" s="876">
        <v>84.95</v>
      </c>
      <c r="I1940" s="876">
        <f>IF(ISBLANK(H1940),"",SUM(G1940:H1940))</f>
        <v>93.403848000000011</v>
      </c>
      <c r="J1940" s="877">
        <f t="shared" si="499"/>
        <v>114.16</v>
      </c>
      <c r="K1940" s="878" t="s">
        <v>13</v>
      </c>
      <c r="L1940" s="1013">
        <f>ROUND(SUM(ORÇAMENTO!L1940),2)</f>
        <v>0</v>
      </c>
      <c r="M1940" s="1013">
        <f t="shared" si="506"/>
        <v>0</v>
      </c>
      <c r="N1940" s="868">
        <f t="shared" si="507"/>
        <v>0</v>
      </c>
      <c r="O1940" s="880"/>
      <c r="Q1940" s="317" t="str">
        <f t="shared" si="508"/>
        <v/>
      </c>
      <c r="R1940" s="317" t="str">
        <f t="shared" si="509"/>
        <v/>
      </c>
      <c r="S1940" s="317" t="str">
        <f t="shared" si="510"/>
        <v/>
      </c>
      <c r="V1940" s="314">
        <f>SUM(ORÇAMENTO!N1940)</f>
        <v>0</v>
      </c>
      <c r="W1940" s="315">
        <f t="shared" si="488"/>
        <v>0</v>
      </c>
    </row>
    <row r="1941" spans="1:23" hidden="1">
      <c r="A1941" s="63" t="s">
        <v>147</v>
      </c>
      <c r="B1941" s="870" t="s">
        <v>147</v>
      </c>
      <c r="C1941" s="871"/>
      <c r="D1941" s="881" t="s">
        <v>190</v>
      </c>
      <c r="E1941" s="882">
        <f>DMT!$D$41</f>
        <v>445</v>
      </c>
      <c r="F1941" s="883">
        <v>1.9E-3</v>
      </c>
      <c r="G1941" s="884">
        <f>IF(E1941&lt;=30,(0.78*E1941+7.82)*F1941,((0.78*30+7.82)+0.78*(E1941-30))*F1941)</f>
        <v>0.67434800000000006</v>
      </c>
      <c r="H1941" s="1265"/>
      <c r="I1941" s="876"/>
      <c r="J1941" s="877">
        <f t="shared" si="499"/>
        <v>0</v>
      </c>
      <c r="K1941" s="878"/>
      <c r="L1941" s="1013">
        <f>ROUND(SUM(ORÇAMENTO!L1941),2)</f>
        <v>0</v>
      </c>
      <c r="M1941" s="1013">
        <f t="shared" si="506"/>
        <v>0</v>
      </c>
      <c r="N1941" s="868">
        <f t="shared" si="507"/>
        <v>0</v>
      </c>
      <c r="O1941" s="880"/>
      <c r="P1941" s="36" t="str">
        <f>IF(N1940&gt;0,"xx",IF(N1940&gt;0,"xy",""))</f>
        <v/>
      </c>
      <c r="Q1941" s="317" t="str">
        <f t="shared" si="508"/>
        <v/>
      </c>
      <c r="R1941" s="317" t="str">
        <f t="shared" si="509"/>
        <v/>
      </c>
      <c r="S1941" s="317" t="str">
        <f t="shared" si="510"/>
        <v/>
      </c>
      <c r="V1941" s="314">
        <f>SUM(ORÇAMENTO!N1941)</f>
        <v>0</v>
      </c>
      <c r="W1941" s="315">
        <f t="shared" ref="W1941:W2004" si="511">N1941-V1941</f>
        <v>0</v>
      </c>
    </row>
    <row r="1942" spans="1:23" hidden="1">
      <c r="A1942" s="63" t="s">
        <v>147</v>
      </c>
      <c r="B1942" s="870" t="s">
        <v>147</v>
      </c>
      <c r="C1942" s="871"/>
      <c r="D1942" s="881" t="s">
        <v>229</v>
      </c>
      <c r="E1942" s="882">
        <f>DMT!$F$39</f>
        <v>290</v>
      </c>
      <c r="F1942" s="883">
        <v>0.01</v>
      </c>
      <c r="G1942" s="923">
        <f t="shared" ref="G1942:G1943" si="512">IF(E1942&lt;=30,(1.07*E1942+2.68)*F1942,((1.07*30+2.68)+1.07*(E1942-30))*F1942)</f>
        <v>3.1298000000000004</v>
      </c>
      <c r="H1942" s="876"/>
      <c r="I1942" s="876"/>
      <c r="J1942" s="877">
        <f t="shared" si="499"/>
        <v>0</v>
      </c>
      <c r="K1942" s="878"/>
      <c r="L1942" s="1013">
        <f>ROUND(SUM(ORÇAMENTO!L1942),2)</f>
        <v>0</v>
      </c>
      <c r="M1942" s="1013">
        <f t="shared" si="506"/>
        <v>0</v>
      </c>
      <c r="N1942" s="868">
        <f t="shared" si="507"/>
        <v>0</v>
      </c>
      <c r="O1942" s="880"/>
      <c r="P1942" s="36" t="str">
        <f>IF(N1940&gt;0,"xx",IF(N1940&gt;0,"xy",""))</f>
        <v/>
      </c>
      <c r="Q1942" s="317" t="str">
        <f t="shared" si="508"/>
        <v/>
      </c>
      <c r="R1942" s="317" t="str">
        <f t="shared" si="509"/>
        <v/>
      </c>
      <c r="S1942" s="317" t="str">
        <f t="shared" si="510"/>
        <v/>
      </c>
      <c r="V1942" s="314">
        <f>SUM(ORÇAMENTO!N1942)</f>
        <v>0</v>
      </c>
      <c r="W1942" s="315">
        <f t="shared" si="511"/>
        <v>0</v>
      </c>
    </row>
    <row r="1943" spans="1:23" hidden="1">
      <c r="A1943" s="63" t="s">
        <v>147</v>
      </c>
      <c r="B1943" s="870" t="s">
        <v>147</v>
      </c>
      <c r="C1943" s="871"/>
      <c r="D1943" s="881" t="s">
        <v>336</v>
      </c>
      <c r="E1943" s="882">
        <f>DMT!$F$38</f>
        <v>37</v>
      </c>
      <c r="F1943" s="883">
        <v>0.11</v>
      </c>
      <c r="G1943" s="923">
        <f t="shared" si="512"/>
        <v>4.6497000000000002</v>
      </c>
      <c r="H1943" s="876"/>
      <c r="I1943" s="876"/>
      <c r="J1943" s="877">
        <f t="shared" si="499"/>
        <v>0</v>
      </c>
      <c r="K1943" s="878"/>
      <c r="L1943" s="1013">
        <f>ROUND(SUM(ORÇAMENTO!L1943),2)</f>
        <v>0</v>
      </c>
      <c r="M1943" s="1013">
        <f t="shared" si="506"/>
        <v>0</v>
      </c>
      <c r="N1943" s="868">
        <f t="shared" si="507"/>
        <v>0</v>
      </c>
      <c r="O1943" s="880"/>
      <c r="P1943" s="36" t="str">
        <f>IF(N1940&gt;0,"xx",IF(N1940&gt;0,"xy",""))</f>
        <v/>
      </c>
      <c r="Q1943" s="317" t="str">
        <f t="shared" si="508"/>
        <v/>
      </c>
      <c r="R1943" s="317" t="str">
        <f t="shared" si="509"/>
        <v/>
      </c>
      <c r="S1943" s="317" t="str">
        <f t="shared" si="510"/>
        <v/>
      </c>
      <c r="V1943" s="314">
        <f>SUM(ORÇAMENTO!N1943)</f>
        <v>0</v>
      </c>
      <c r="W1943" s="315">
        <f t="shared" si="511"/>
        <v>0</v>
      </c>
    </row>
    <row r="1944" spans="1:23" hidden="1">
      <c r="A1944" s="63">
        <v>610400</v>
      </c>
      <c r="B1944" s="870" t="s">
        <v>1808</v>
      </c>
      <c r="C1944" s="871" t="s">
        <v>184</v>
      </c>
      <c r="D1944" s="881" t="s">
        <v>2031</v>
      </c>
      <c r="E1944" s="882"/>
      <c r="F1944" s="883"/>
      <c r="G1944" s="887">
        <f>SUM(G1945:G1947)</f>
        <v>15.045682000000001</v>
      </c>
      <c r="H1944" s="876">
        <v>73.98</v>
      </c>
      <c r="I1944" s="876">
        <f>IF(ISBLANK(H1944),"",SUM(G1944:H1944))</f>
        <v>89.025682000000003</v>
      </c>
      <c r="J1944" s="877">
        <f t="shared" si="499"/>
        <v>108.81</v>
      </c>
      <c r="K1944" s="878" t="s">
        <v>13</v>
      </c>
      <c r="L1944" s="1013">
        <f>ROUND(SUM(ORÇAMENTO!L1944),2)</f>
        <v>0</v>
      </c>
      <c r="M1944" s="1013">
        <f t="shared" si="506"/>
        <v>0</v>
      </c>
      <c r="N1944" s="868">
        <f t="shared" si="507"/>
        <v>0</v>
      </c>
      <c r="O1944" s="880"/>
      <c r="Q1944" s="317" t="str">
        <f t="shared" si="508"/>
        <v/>
      </c>
      <c r="R1944" s="317" t="str">
        <f t="shared" si="509"/>
        <v/>
      </c>
      <c r="S1944" s="317" t="str">
        <f t="shared" si="510"/>
        <v/>
      </c>
      <c r="V1944" s="314">
        <f>SUM(ORÇAMENTO!N1944)</f>
        <v>0</v>
      </c>
      <c r="W1944" s="315">
        <f t="shared" si="511"/>
        <v>0</v>
      </c>
    </row>
    <row r="1945" spans="1:23" hidden="1">
      <c r="A1945" s="63" t="s">
        <v>147</v>
      </c>
      <c r="B1945" s="870" t="s">
        <v>147</v>
      </c>
      <c r="C1945" s="871"/>
      <c r="D1945" s="881" t="s">
        <v>190</v>
      </c>
      <c r="E1945" s="882">
        <f>DMT!$D$41</f>
        <v>445</v>
      </c>
      <c r="F1945" s="883">
        <v>2.3E-3</v>
      </c>
      <c r="G1945" s="884">
        <f>IF(E1945&lt;=30,(0.78*E1945+7.82)*F1945,((0.78*30+7.82)+0.78*(E1945-30))*F1945)</f>
        <v>0.81631600000000004</v>
      </c>
      <c r="H1945" s="876"/>
      <c r="I1945" s="876"/>
      <c r="J1945" s="877">
        <f t="shared" si="499"/>
        <v>0</v>
      </c>
      <c r="K1945" s="878"/>
      <c r="L1945" s="1013">
        <f>ROUND(SUM(ORÇAMENTO!L1945),2)</f>
        <v>0</v>
      </c>
      <c r="M1945" s="1013">
        <f t="shared" si="506"/>
        <v>0</v>
      </c>
      <c r="N1945" s="868">
        <f t="shared" si="507"/>
        <v>0</v>
      </c>
      <c r="O1945" s="880"/>
      <c r="P1945" s="36" t="str">
        <f>IF(N1944&gt;0,"xx",IF(N1944&gt;0,"xy",""))</f>
        <v/>
      </c>
      <c r="Q1945" s="317" t="str">
        <f t="shared" si="508"/>
        <v/>
      </c>
      <c r="R1945" s="317" t="str">
        <f t="shared" si="509"/>
        <v/>
      </c>
      <c r="S1945" s="317" t="str">
        <f t="shared" si="510"/>
        <v/>
      </c>
      <c r="V1945" s="314">
        <f>SUM(ORÇAMENTO!N1945)</f>
        <v>0</v>
      </c>
      <c r="W1945" s="315">
        <f t="shared" si="511"/>
        <v>0</v>
      </c>
    </row>
    <row r="1946" spans="1:23" hidden="1">
      <c r="A1946" s="63" t="s">
        <v>147</v>
      </c>
      <c r="B1946" s="870" t="s">
        <v>147</v>
      </c>
      <c r="C1946" s="871"/>
      <c r="D1946" s="881" t="s">
        <v>229</v>
      </c>
      <c r="E1946" s="882">
        <f>DMT!$F$39</f>
        <v>290</v>
      </c>
      <c r="F1946" s="883">
        <v>1.17E-2</v>
      </c>
      <c r="G1946" s="923">
        <f t="shared" ref="G1946:G1947" si="513">IF(E1946&lt;=30,(1.07*E1946+2.68)*F1946,((1.07*30+2.68)+1.07*(E1946-30))*F1946)</f>
        <v>3.6618660000000003</v>
      </c>
      <c r="H1946" s="876"/>
      <c r="I1946" s="876"/>
      <c r="J1946" s="877">
        <f t="shared" si="499"/>
        <v>0</v>
      </c>
      <c r="K1946" s="878"/>
      <c r="L1946" s="1013">
        <f>ROUND(SUM(ORÇAMENTO!L1946),2)</f>
        <v>0</v>
      </c>
      <c r="M1946" s="1013">
        <f t="shared" si="506"/>
        <v>0</v>
      </c>
      <c r="N1946" s="868">
        <f t="shared" si="507"/>
        <v>0</v>
      </c>
      <c r="O1946" s="880"/>
      <c r="P1946" s="36" t="str">
        <f>IF(N1944&gt;0,"xx",IF(N1944&gt;0,"xy",""))</f>
        <v/>
      </c>
      <c r="Q1946" s="317" t="str">
        <f t="shared" si="508"/>
        <v/>
      </c>
      <c r="R1946" s="317" t="str">
        <f t="shared" si="509"/>
        <v/>
      </c>
      <c r="S1946" s="317" t="str">
        <f t="shared" si="510"/>
        <v/>
      </c>
      <c r="V1946" s="314">
        <f>SUM(ORÇAMENTO!N1946)</f>
        <v>0</v>
      </c>
      <c r="W1946" s="315">
        <f t="shared" si="511"/>
        <v>0</v>
      </c>
    </row>
    <row r="1947" spans="1:23" hidden="1">
      <c r="A1947" s="63" t="s">
        <v>147</v>
      </c>
      <c r="B1947" s="870" t="s">
        <v>147</v>
      </c>
      <c r="C1947" s="871"/>
      <c r="D1947" s="881" t="s">
        <v>336</v>
      </c>
      <c r="E1947" s="882">
        <f>DMT!$F$38</f>
        <v>37</v>
      </c>
      <c r="F1947" s="883">
        <v>0.25</v>
      </c>
      <c r="G1947" s="923">
        <f t="shared" si="513"/>
        <v>10.567500000000001</v>
      </c>
      <c r="H1947" s="876"/>
      <c r="I1947" s="876"/>
      <c r="J1947" s="877">
        <f t="shared" si="499"/>
        <v>0</v>
      </c>
      <c r="K1947" s="878"/>
      <c r="L1947" s="1013">
        <f>ROUND(SUM(ORÇAMENTO!L1947),2)</f>
        <v>0</v>
      </c>
      <c r="M1947" s="1013">
        <f t="shared" si="506"/>
        <v>0</v>
      </c>
      <c r="N1947" s="868">
        <f t="shared" si="507"/>
        <v>0</v>
      </c>
      <c r="O1947" s="880"/>
      <c r="P1947" s="36" t="str">
        <f>IF(N1944&gt;0,"xx",IF(N1944&gt;0,"xy",""))</f>
        <v/>
      </c>
      <c r="Q1947" s="317" t="str">
        <f t="shared" si="508"/>
        <v/>
      </c>
      <c r="R1947" s="317" t="str">
        <f t="shared" si="509"/>
        <v/>
      </c>
      <c r="S1947" s="317" t="str">
        <f t="shared" si="510"/>
        <v/>
      </c>
      <c r="V1947" s="314">
        <f>SUM(ORÇAMENTO!N1947)</f>
        <v>0</v>
      </c>
      <c r="W1947" s="315">
        <f t="shared" si="511"/>
        <v>0</v>
      </c>
    </row>
    <row r="1948" spans="1:23" hidden="1">
      <c r="A1948" s="63">
        <v>610600</v>
      </c>
      <c r="B1948" s="870" t="s">
        <v>1811</v>
      </c>
      <c r="C1948" s="871" t="s">
        <v>184</v>
      </c>
      <c r="D1948" s="881" t="s">
        <v>2032</v>
      </c>
      <c r="E1948" s="882"/>
      <c r="F1948" s="883"/>
      <c r="G1948" s="887">
        <f>SUM(G1949:G1951)</f>
        <v>21.602024000000004</v>
      </c>
      <c r="H1948" s="876">
        <v>156.65</v>
      </c>
      <c r="I1948" s="876">
        <f>IF(ISBLANK(H1948),"",SUM(G1948:H1948))</f>
        <v>178.25202400000001</v>
      </c>
      <c r="J1948" s="877">
        <f t="shared" si="499"/>
        <v>217.86</v>
      </c>
      <c r="K1948" s="878" t="s">
        <v>13</v>
      </c>
      <c r="L1948" s="1013">
        <f>ROUND(SUM(ORÇAMENTO!L1948),2)</f>
        <v>0</v>
      </c>
      <c r="M1948" s="1013">
        <f t="shared" si="506"/>
        <v>0</v>
      </c>
      <c r="N1948" s="868">
        <f t="shared" si="507"/>
        <v>0</v>
      </c>
      <c r="O1948" s="880"/>
      <c r="Q1948" s="317" t="str">
        <f t="shared" si="508"/>
        <v/>
      </c>
      <c r="R1948" s="317" t="str">
        <f t="shared" si="509"/>
        <v/>
      </c>
      <c r="S1948" s="317" t="str">
        <f t="shared" si="510"/>
        <v/>
      </c>
      <c r="V1948" s="314">
        <f>SUM(ORÇAMENTO!N1948)</f>
        <v>0</v>
      </c>
      <c r="W1948" s="315">
        <f t="shared" si="511"/>
        <v>0</v>
      </c>
    </row>
    <row r="1949" spans="1:23" hidden="1">
      <c r="A1949" s="63" t="s">
        <v>147</v>
      </c>
      <c r="B1949" s="870" t="s">
        <v>147</v>
      </c>
      <c r="C1949" s="871"/>
      <c r="D1949" s="881" t="s">
        <v>190</v>
      </c>
      <c r="E1949" s="882">
        <f>DMT!$D$41</f>
        <v>445</v>
      </c>
      <c r="F1949" s="883">
        <v>2.5999999999999999E-3</v>
      </c>
      <c r="G1949" s="884">
        <f>IF(E1949&lt;=30,(0.78*E1949+7.82)*F1949,((0.78*30+7.82)+0.78*(E1949-30))*F1949)</f>
        <v>0.92279199999999995</v>
      </c>
      <c r="H1949" s="876"/>
      <c r="I1949" s="876"/>
      <c r="J1949" s="877">
        <f t="shared" si="499"/>
        <v>0</v>
      </c>
      <c r="K1949" s="878"/>
      <c r="L1949" s="1013">
        <f>ROUND(SUM(ORÇAMENTO!L1949),2)</f>
        <v>0</v>
      </c>
      <c r="M1949" s="1013">
        <f t="shared" si="506"/>
        <v>0</v>
      </c>
      <c r="N1949" s="868">
        <f t="shared" si="507"/>
        <v>0</v>
      </c>
      <c r="O1949" s="880"/>
      <c r="P1949" s="36" t="str">
        <f>IF(N1948&gt;0,"xx",IF(N1948&gt;0,"xy",""))</f>
        <v/>
      </c>
      <c r="Q1949" s="317" t="str">
        <f t="shared" si="508"/>
        <v/>
      </c>
      <c r="R1949" s="317" t="str">
        <f t="shared" si="509"/>
        <v/>
      </c>
      <c r="S1949" s="317" t="str">
        <f t="shared" si="510"/>
        <v/>
      </c>
      <c r="V1949" s="314">
        <f>SUM(ORÇAMENTO!N1949)</f>
        <v>0</v>
      </c>
      <c r="W1949" s="315">
        <f t="shared" si="511"/>
        <v>0</v>
      </c>
    </row>
    <row r="1950" spans="1:23" hidden="1">
      <c r="A1950" s="63" t="s">
        <v>147</v>
      </c>
      <c r="B1950" s="870" t="s">
        <v>147</v>
      </c>
      <c r="C1950" s="871"/>
      <c r="D1950" s="881" t="s">
        <v>229</v>
      </c>
      <c r="E1950" s="882">
        <f>DMT!$F$39</f>
        <v>290</v>
      </c>
      <c r="F1950" s="883">
        <v>1.34E-2</v>
      </c>
      <c r="G1950" s="923">
        <f t="shared" ref="G1950:G1951" si="514">IF(E1950&lt;=30,(1.07*E1950+2.68)*F1950,((1.07*30+2.68)+1.07*(E1950-30))*F1950)</f>
        <v>4.1939320000000002</v>
      </c>
      <c r="H1950" s="876"/>
      <c r="I1950" s="876"/>
      <c r="J1950" s="877">
        <f t="shared" si="499"/>
        <v>0</v>
      </c>
      <c r="K1950" s="878"/>
      <c r="L1950" s="1013">
        <f>ROUND(SUM(ORÇAMENTO!L1950),2)</f>
        <v>0</v>
      </c>
      <c r="M1950" s="1013">
        <f t="shared" si="506"/>
        <v>0</v>
      </c>
      <c r="N1950" s="868">
        <f t="shared" si="507"/>
        <v>0</v>
      </c>
      <c r="O1950" s="880"/>
      <c r="P1950" s="36" t="str">
        <f>IF(N1948&gt;0,"xx",IF(N1948&gt;0,"xy",""))</f>
        <v/>
      </c>
      <c r="Q1950" s="317" t="str">
        <f t="shared" si="508"/>
        <v/>
      </c>
      <c r="R1950" s="317" t="str">
        <f t="shared" si="509"/>
        <v/>
      </c>
      <c r="S1950" s="317" t="str">
        <f t="shared" si="510"/>
        <v/>
      </c>
      <c r="V1950" s="314">
        <f>SUM(ORÇAMENTO!N1950)</f>
        <v>0</v>
      </c>
      <c r="W1950" s="315">
        <f t="shared" si="511"/>
        <v>0</v>
      </c>
    </row>
    <row r="1951" spans="1:23" hidden="1">
      <c r="A1951" s="63" t="s">
        <v>147</v>
      </c>
      <c r="B1951" s="870" t="s">
        <v>147</v>
      </c>
      <c r="C1951" s="871"/>
      <c r="D1951" s="881" t="s">
        <v>336</v>
      </c>
      <c r="E1951" s="882">
        <f>DMT!$F$38</f>
        <v>37</v>
      </c>
      <c r="F1951" s="883">
        <v>0.39</v>
      </c>
      <c r="G1951" s="923">
        <f t="shared" si="514"/>
        <v>16.485300000000002</v>
      </c>
      <c r="H1951" s="876"/>
      <c r="I1951" s="876"/>
      <c r="J1951" s="877">
        <f t="shared" si="499"/>
        <v>0</v>
      </c>
      <c r="K1951" s="878"/>
      <c r="L1951" s="1013">
        <f>ROUND(SUM(ORÇAMENTO!L1951),2)</f>
        <v>0</v>
      </c>
      <c r="M1951" s="1013">
        <f t="shared" si="506"/>
        <v>0</v>
      </c>
      <c r="N1951" s="868">
        <f t="shared" si="507"/>
        <v>0</v>
      </c>
      <c r="O1951" s="880"/>
      <c r="P1951" s="36" t="str">
        <f>IF(N1948&gt;0,"xx",IF(N1948&gt;0,"xy",""))</f>
        <v/>
      </c>
      <c r="Q1951" s="317" t="str">
        <f t="shared" si="508"/>
        <v/>
      </c>
      <c r="R1951" s="317" t="str">
        <f t="shared" si="509"/>
        <v/>
      </c>
      <c r="S1951" s="317" t="str">
        <f t="shared" si="510"/>
        <v/>
      </c>
      <c r="V1951" s="314">
        <f>SUM(ORÇAMENTO!N1951)</f>
        <v>0</v>
      </c>
      <c r="W1951" s="315">
        <f t="shared" si="511"/>
        <v>0</v>
      </c>
    </row>
    <row r="1952" spans="1:23" hidden="1">
      <c r="A1952" s="63">
        <v>610600</v>
      </c>
      <c r="B1952" s="870" t="s">
        <v>1812</v>
      </c>
      <c r="C1952" s="871" t="s">
        <v>184</v>
      </c>
      <c r="D1952" s="881" t="s">
        <v>2033</v>
      </c>
      <c r="E1952" s="882"/>
      <c r="F1952" s="883"/>
      <c r="G1952" s="887">
        <f>SUM(G1953:G1955)</f>
        <v>28.158366000000001</v>
      </c>
      <c r="H1952" s="876">
        <v>173.22</v>
      </c>
      <c r="I1952" s="876">
        <f>IF(ISBLANK(H1952),"",SUM(G1952:H1952))</f>
        <v>201.378366</v>
      </c>
      <c r="J1952" s="877">
        <f t="shared" si="499"/>
        <v>246.12</v>
      </c>
      <c r="K1952" s="878" t="s">
        <v>13</v>
      </c>
      <c r="L1952" s="1013">
        <f>ROUND(SUM(ORÇAMENTO!L1952),2)</f>
        <v>0</v>
      </c>
      <c r="M1952" s="1013">
        <f t="shared" si="506"/>
        <v>0</v>
      </c>
      <c r="N1952" s="868">
        <f t="shared" si="507"/>
        <v>0</v>
      </c>
      <c r="O1952" s="880"/>
      <c r="Q1952" s="317" t="str">
        <f t="shared" si="508"/>
        <v/>
      </c>
      <c r="R1952" s="317" t="str">
        <f t="shared" si="509"/>
        <v/>
      </c>
      <c r="S1952" s="317" t="str">
        <f t="shared" si="510"/>
        <v/>
      </c>
      <c r="V1952" s="314">
        <f>SUM(ORÇAMENTO!N1952)</f>
        <v>0</v>
      </c>
      <c r="W1952" s="315">
        <f t="shared" si="511"/>
        <v>0</v>
      </c>
    </row>
    <row r="1953" spans="1:23" hidden="1">
      <c r="A1953" s="63" t="s">
        <v>147</v>
      </c>
      <c r="B1953" s="870" t="s">
        <v>147</v>
      </c>
      <c r="C1953" s="871"/>
      <c r="D1953" s="881" t="s">
        <v>190</v>
      </c>
      <c r="E1953" s="882">
        <f>DMT!$D$41</f>
        <v>445</v>
      </c>
      <c r="F1953" s="883">
        <v>2.8999999999999998E-3</v>
      </c>
      <c r="G1953" s="884">
        <f>IF(E1953&lt;=30,(0.78*E1953+7.82)*F1953,((0.78*30+7.82)+0.78*(E1953-30))*F1953)</f>
        <v>1.0292680000000001</v>
      </c>
      <c r="H1953" s="876"/>
      <c r="I1953" s="876"/>
      <c r="J1953" s="877">
        <f t="shared" si="499"/>
        <v>0</v>
      </c>
      <c r="K1953" s="878"/>
      <c r="L1953" s="1013">
        <f>ROUND(SUM(ORÇAMENTO!L1953),2)</f>
        <v>0</v>
      </c>
      <c r="M1953" s="1013">
        <f t="shared" si="506"/>
        <v>0</v>
      </c>
      <c r="N1953" s="868">
        <f t="shared" si="507"/>
        <v>0</v>
      </c>
      <c r="O1953" s="880"/>
      <c r="P1953" s="36" t="str">
        <f>IF(N1952&gt;0,"xx",IF(N1952&gt;0,"xy",""))</f>
        <v/>
      </c>
      <c r="Q1953" s="317" t="str">
        <f t="shared" si="508"/>
        <v/>
      </c>
      <c r="R1953" s="317" t="str">
        <f t="shared" si="509"/>
        <v/>
      </c>
      <c r="S1953" s="317" t="str">
        <f t="shared" si="510"/>
        <v/>
      </c>
      <c r="V1953" s="314">
        <f>SUM(ORÇAMENTO!N1953)</f>
        <v>0</v>
      </c>
      <c r="W1953" s="315">
        <f t="shared" si="511"/>
        <v>0</v>
      </c>
    </row>
    <row r="1954" spans="1:23" hidden="1">
      <c r="A1954" s="63" t="s">
        <v>147</v>
      </c>
      <c r="B1954" s="870" t="s">
        <v>147</v>
      </c>
      <c r="C1954" s="871"/>
      <c r="D1954" s="881" t="s">
        <v>229</v>
      </c>
      <c r="E1954" s="882">
        <f>DMT!$F$39</f>
        <v>290</v>
      </c>
      <c r="F1954" s="883">
        <v>1.5100000000000001E-2</v>
      </c>
      <c r="G1954" s="923">
        <f t="shared" ref="G1954:G1955" si="515">IF(E1954&lt;=30,(1.07*E1954+2.68)*F1954,((1.07*30+2.68)+1.07*(E1954-30))*F1954)</f>
        <v>4.7259980000000006</v>
      </c>
      <c r="H1954" s="876"/>
      <c r="I1954" s="876"/>
      <c r="J1954" s="877">
        <f t="shared" si="499"/>
        <v>0</v>
      </c>
      <c r="K1954" s="878"/>
      <c r="L1954" s="1013">
        <f>ROUND(SUM(ORÇAMENTO!L1954),2)</f>
        <v>0</v>
      </c>
      <c r="M1954" s="1013">
        <f t="shared" si="506"/>
        <v>0</v>
      </c>
      <c r="N1954" s="868">
        <f t="shared" si="507"/>
        <v>0</v>
      </c>
      <c r="O1954" s="880"/>
      <c r="P1954" s="36" t="str">
        <f>IF(N1952&gt;0,"xx",IF(N1952&gt;0,"xy",""))</f>
        <v/>
      </c>
      <c r="Q1954" s="317" t="str">
        <f t="shared" si="508"/>
        <v/>
      </c>
      <c r="R1954" s="317" t="str">
        <f t="shared" si="509"/>
        <v/>
      </c>
      <c r="S1954" s="317" t="str">
        <f t="shared" si="510"/>
        <v/>
      </c>
      <c r="V1954" s="314">
        <f>SUM(ORÇAMENTO!N1954)</f>
        <v>0</v>
      </c>
      <c r="W1954" s="315">
        <f t="shared" si="511"/>
        <v>0</v>
      </c>
    </row>
    <row r="1955" spans="1:23" hidden="1">
      <c r="A1955" s="63" t="s">
        <v>147</v>
      </c>
      <c r="B1955" s="870" t="s">
        <v>147</v>
      </c>
      <c r="C1955" s="871"/>
      <c r="D1955" s="881" t="s">
        <v>336</v>
      </c>
      <c r="E1955" s="882">
        <f>DMT!$F$38</f>
        <v>37</v>
      </c>
      <c r="F1955" s="883">
        <v>0.53</v>
      </c>
      <c r="G1955" s="923">
        <f t="shared" si="515"/>
        <v>22.403100000000002</v>
      </c>
      <c r="H1955" s="876"/>
      <c r="I1955" s="876"/>
      <c r="J1955" s="877">
        <f t="shared" si="499"/>
        <v>0</v>
      </c>
      <c r="K1955" s="878"/>
      <c r="L1955" s="1013">
        <f>ROUND(SUM(ORÇAMENTO!L1955),2)</f>
        <v>0</v>
      </c>
      <c r="M1955" s="1013">
        <f t="shared" si="506"/>
        <v>0</v>
      </c>
      <c r="N1955" s="868">
        <f t="shared" si="507"/>
        <v>0</v>
      </c>
      <c r="O1955" s="880"/>
      <c r="P1955" s="36" t="str">
        <f>IF(N1952&gt;0,"xx",IF(N1952&gt;0,"xy",""))</f>
        <v/>
      </c>
      <c r="Q1955" s="317" t="str">
        <f t="shared" si="508"/>
        <v/>
      </c>
      <c r="R1955" s="317" t="str">
        <f t="shared" si="509"/>
        <v/>
      </c>
      <c r="S1955" s="317" t="str">
        <f t="shared" si="510"/>
        <v/>
      </c>
      <c r="V1955" s="314">
        <f>SUM(ORÇAMENTO!N1955)</f>
        <v>0</v>
      </c>
      <c r="W1955" s="315">
        <f t="shared" si="511"/>
        <v>0</v>
      </c>
    </row>
    <row r="1956" spans="1:23" hidden="1">
      <c r="A1956" s="63">
        <v>610800</v>
      </c>
      <c r="B1956" s="870" t="s">
        <v>1817</v>
      </c>
      <c r="C1956" s="871" t="s">
        <v>184</v>
      </c>
      <c r="D1956" s="881" t="s">
        <v>2034</v>
      </c>
      <c r="E1956" s="882"/>
      <c r="F1956" s="883"/>
      <c r="G1956" s="887">
        <f>SUM(G1957:G1959)</f>
        <v>34.714708000000002</v>
      </c>
      <c r="H1956" s="876">
        <v>300.07</v>
      </c>
      <c r="I1956" s="876">
        <f>IF(ISBLANK(H1956),"",SUM(G1956:H1956))</f>
        <v>334.78470800000002</v>
      </c>
      <c r="J1956" s="877">
        <f t="shared" si="499"/>
        <v>409.17</v>
      </c>
      <c r="K1956" s="878" t="s">
        <v>13</v>
      </c>
      <c r="L1956" s="1013">
        <f>ROUND(SUM(ORÇAMENTO!L1956),2)</f>
        <v>0</v>
      </c>
      <c r="M1956" s="1013">
        <f t="shared" si="506"/>
        <v>0</v>
      </c>
      <c r="N1956" s="868">
        <f t="shared" si="507"/>
        <v>0</v>
      </c>
      <c r="O1956" s="880"/>
      <c r="Q1956" s="317" t="str">
        <f t="shared" si="508"/>
        <v/>
      </c>
      <c r="R1956" s="317" t="str">
        <f t="shared" si="509"/>
        <v/>
      </c>
      <c r="S1956" s="317" t="str">
        <f t="shared" si="510"/>
        <v/>
      </c>
      <c r="V1956" s="314">
        <f>SUM(ORÇAMENTO!N1956)</f>
        <v>0</v>
      </c>
      <c r="W1956" s="315">
        <f t="shared" si="511"/>
        <v>0</v>
      </c>
    </row>
    <row r="1957" spans="1:23" hidden="1">
      <c r="A1957" s="63" t="s">
        <v>147</v>
      </c>
      <c r="B1957" s="870" t="s">
        <v>147</v>
      </c>
      <c r="C1957" s="871"/>
      <c r="D1957" s="881" t="s">
        <v>190</v>
      </c>
      <c r="E1957" s="882">
        <f>DMT!$D$41</f>
        <v>445</v>
      </c>
      <c r="F1957" s="883">
        <v>3.2000000000000002E-3</v>
      </c>
      <c r="G1957" s="884">
        <f>IF(E1957&lt;=30,(0.78*E1957+7.82)*F1957,((0.78*30+7.82)+0.78*(E1957-30))*F1957)</f>
        <v>1.1357440000000001</v>
      </c>
      <c r="H1957" s="876"/>
      <c r="I1957" s="876"/>
      <c r="J1957" s="877">
        <f t="shared" si="499"/>
        <v>0</v>
      </c>
      <c r="K1957" s="878"/>
      <c r="L1957" s="1013">
        <f>ROUND(SUM(ORÇAMENTO!L1957),2)</f>
        <v>0</v>
      </c>
      <c r="M1957" s="1013">
        <f t="shared" si="506"/>
        <v>0</v>
      </c>
      <c r="N1957" s="868">
        <f t="shared" si="507"/>
        <v>0</v>
      </c>
      <c r="O1957" s="880"/>
      <c r="P1957" s="36" t="str">
        <f>IF(N1956&gt;0,"xx",IF(N1956&gt;0,"xy",""))</f>
        <v/>
      </c>
      <c r="Q1957" s="317" t="str">
        <f t="shared" si="508"/>
        <v/>
      </c>
      <c r="R1957" s="317" t="str">
        <f t="shared" si="509"/>
        <v/>
      </c>
      <c r="S1957" s="317" t="str">
        <f t="shared" si="510"/>
        <v/>
      </c>
      <c r="V1957" s="314">
        <f>SUM(ORÇAMENTO!N1957)</f>
        <v>0</v>
      </c>
      <c r="W1957" s="315">
        <f t="shared" si="511"/>
        <v>0</v>
      </c>
    </row>
    <row r="1958" spans="1:23" hidden="1">
      <c r="A1958" s="63" t="s">
        <v>147</v>
      </c>
      <c r="B1958" s="870" t="s">
        <v>147</v>
      </c>
      <c r="C1958" s="871"/>
      <c r="D1958" s="881" t="s">
        <v>229</v>
      </c>
      <c r="E1958" s="882">
        <f>DMT!$F$39</f>
        <v>290</v>
      </c>
      <c r="F1958" s="883">
        <v>1.6799999999999999E-2</v>
      </c>
      <c r="G1958" s="923">
        <f t="shared" ref="G1958:G1959" si="516">IF(E1958&lt;=30,(1.07*E1958+2.68)*F1958,((1.07*30+2.68)+1.07*(E1958-30))*F1958)</f>
        <v>5.2580640000000001</v>
      </c>
      <c r="H1958" s="876"/>
      <c r="I1958" s="876"/>
      <c r="J1958" s="877">
        <f t="shared" si="499"/>
        <v>0</v>
      </c>
      <c r="K1958" s="878"/>
      <c r="L1958" s="1013">
        <f>ROUND(SUM(ORÇAMENTO!L1958),2)</f>
        <v>0</v>
      </c>
      <c r="M1958" s="1013">
        <f t="shared" si="506"/>
        <v>0</v>
      </c>
      <c r="N1958" s="868">
        <f t="shared" si="507"/>
        <v>0</v>
      </c>
      <c r="O1958" s="880"/>
      <c r="P1958" s="36" t="str">
        <f>IF(N1956&gt;0,"xx",IF(N1956&gt;0,"xy",""))</f>
        <v/>
      </c>
      <c r="Q1958" s="317" t="str">
        <f t="shared" si="508"/>
        <v/>
      </c>
      <c r="R1958" s="317" t="str">
        <f t="shared" si="509"/>
        <v/>
      </c>
      <c r="S1958" s="317" t="str">
        <f t="shared" si="510"/>
        <v/>
      </c>
      <c r="V1958" s="314">
        <f>SUM(ORÇAMENTO!N1958)</f>
        <v>0</v>
      </c>
      <c r="W1958" s="315">
        <f t="shared" si="511"/>
        <v>0</v>
      </c>
    </row>
    <row r="1959" spans="1:23" hidden="1">
      <c r="A1959" s="63" t="s">
        <v>147</v>
      </c>
      <c r="B1959" s="969" t="s">
        <v>147</v>
      </c>
      <c r="C1959" s="970"/>
      <c r="D1959" s="939" t="s">
        <v>336</v>
      </c>
      <c r="E1959" s="940">
        <f>DMT!$F$38</f>
        <v>37</v>
      </c>
      <c r="F1959" s="971">
        <v>0.67</v>
      </c>
      <c r="G1959" s="1282">
        <f t="shared" si="516"/>
        <v>28.320900000000005</v>
      </c>
      <c r="H1959" s="914"/>
      <c r="I1959" s="914"/>
      <c r="J1959" s="943">
        <f t="shared" si="499"/>
        <v>0</v>
      </c>
      <c r="K1959" s="944"/>
      <c r="L1959" s="1295">
        <f>ROUND(SUM(ORÇAMENTO!L1959),2)</f>
        <v>0</v>
      </c>
      <c r="M1959" s="1295">
        <f t="shared" si="506"/>
        <v>0</v>
      </c>
      <c r="N1959" s="916">
        <f t="shared" si="507"/>
        <v>0</v>
      </c>
      <c r="O1959" s="880"/>
      <c r="P1959" s="36" t="str">
        <f>IF(N1956&gt;0,"xx",IF(N1956&gt;0,"xy",""))</f>
        <v/>
      </c>
      <c r="Q1959" s="317" t="str">
        <f t="shared" si="508"/>
        <v/>
      </c>
      <c r="R1959" s="317" t="str">
        <f t="shared" si="509"/>
        <v/>
      </c>
      <c r="S1959" s="317" t="str">
        <f t="shared" si="510"/>
        <v/>
      </c>
      <c r="V1959" s="314">
        <f>SUM(ORÇAMENTO!N1959)</f>
        <v>0</v>
      </c>
      <c r="W1959" s="315">
        <f t="shared" si="511"/>
        <v>0</v>
      </c>
    </row>
    <row r="1960" spans="1:23">
      <c r="A1960" s="63">
        <v>610400</v>
      </c>
      <c r="B1960" s="973" t="s">
        <v>1809</v>
      </c>
      <c r="C1960" s="974" t="s">
        <v>184</v>
      </c>
      <c r="D1960" s="947" t="s">
        <v>1995</v>
      </c>
      <c r="E1960" s="948"/>
      <c r="F1960" s="949"/>
      <c r="G1960" s="950">
        <f>SUM(G1961:G1963)</f>
        <v>4.1224880000000006</v>
      </c>
      <c r="H1960" s="951">
        <v>137.47</v>
      </c>
      <c r="I1960" s="951">
        <f>IF(ISBLANK(H1960),"",SUM(G1960:H1960))</f>
        <v>141.592488</v>
      </c>
      <c r="J1960" s="952">
        <f t="shared" si="499"/>
        <v>173.05</v>
      </c>
      <c r="K1960" s="953" t="s">
        <v>13</v>
      </c>
      <c r="L1960" s="1384">
        <f>ROUND(SUM(ORÇAMENTO!L1960),2)</f>
        <v>12</v>
      </c>
      <c r="M1960" s="1384">
        <f t="shared" si="506"/>
        <v>173.05</v>
      </c>
      <c r="N1960" s="956">
        <f t="shared" si="507"/>
        <v>2076.6</v>
      </c>
      <c r="O1960" s="869"/>
      <c r="Q1960" s="317" t="str">
        <f t="shared" si="508"/>
        <v>x</v>
      </c>
      <c r="R1960" s="317" t="str">
        <f t="shared" si="509"/>
        <v>x</v>
      </c>
      <c r="S1960" s="317" t="str">
        <f t="shared" si="510"/>
        <v>x</v>
      </c>
      <c r="V1960" s="314">
        <f>SUM(ORÇAMENTO!N1960)</f>
        <v>2076.6</v>
      </c>
      <c r="W1960" s="315">
        <f t="shared" si="511"/>
        <v>0</v>
      </c>
    </row>
    <row r="1961" spans="1:23">
      <c r="A1961" s="63" t="s">
        <v>147</v>
      </c>
      <c r="B1961" s="870" t="s">
        <v>147</v>
      </c>
      <c r="C1961" s="871"/>
      <c r="D1961" s="881" t="s">
        <v>190</v>
      </c>
      <c r="E1961" s="882">
        <v>445</v>
      </c>
      <c r="F1961" s="883">
        <v>1.9E-3</v>
      </c>
      <c r="G1961" s="884">
        <f>IF(E1961&lt;=30,(0.78*E1961+7.82)*F1961,((0.78*30+7.82)+0.78*(E1961-30))*F1961)</f>
        <v>0.67434800000000006</v>
      </c>
      <c r="H1961" s="1265"/>
      <c r="I1961" s="876"/>
      <c r="J1961" s="877">
        <f t="shared" si="499"/>
        <v>0</v>
      </c>
      <c r="K1961" s="878"/>
      <c r="L1961" s="1013">
        <f>ROUND(SUM(ORÇAMENTO!L1961),2)</f>
        <v>0</v>
      </c>
      <c r="M1961" s="1013">
        <f t="shared" si="506"/>
        <v>0</v>
      </c>
      <c r="N1961" s="868">
        <f t="shared" si="507"/>
        <v>0</v>
      </c>
      <c r="O1961" s="880"/>
      <c r="P1961" s="36" t="str">
        <f>IF(N1960&gt;0,"xx",IF(N1960&gt;0,"xy",""))</f>
        <v>xx</v>
      </c>
      <c r="Q1961" s="317" t="str">
        <f t="shared" si="508"/>
        <v>x</v>
      </c>
      <c r="R1961" s="317" t="str">
        <f t="shared" si="509"/>
        <v>x</v>
      </c>
      <c r="S1961" s="317" t="str">
        <f t="shared" si="510"/>
        <v/>
      </c>
      <c r="V1961" s="314">
        <f>SUM(ORÇAMENTO!N1961)</f>
        <v>0</v>
      </c>
      <c r="W1961" s="315">
        <f t="shared" si="511"/>
        <v>0</v>
      </c>
    </row>
    <row r="1962" spans="1:23">
      <c r="A1962" s="63" t="s">
        <v>147</v>
      </c>
      <c r="B1962" s="870" t="s">
        <v>147</v>
      </c>
      <c r="C1962" s="871"/>
      <c r="D1962" s="881" t="s">
        <v>229</v>
      </c>
      <c r="E1962" s="882">
        <v>290</v>
      </c>
      <c r="F1962" s="883">
        <v>0.01</v>
      </c>
      <c r="G1962" s="923">
        <f t="shared" ref="G1962:G1963" si="517">IF(E1962&lt;=30,(1.07*E1962+2.68)*F1962,((1.07*30+2.68)+1.07*(E1962-30))*F1962)</f>
        <v>3.1298000000000004</v>
      </c>
      <c r="H1962" s="876"/>
      <c r="I1962" s="876"/>
      <c r="J1962" s="877">
        <f t="shared" si="499"/>
        <v>0</v>
      </c>
      <c r="K1962" s="878"/>
      <c r="L1962" s="1013">
        <f>ROUND(SUM(ORÇAMENTO!L1962),2)</f>
        <v>0</v>
      </c>
      <c r="M1962" s="1013">
        <f t="shared" si="506"/>
        <v>0</v>
      </c>
      <c r="N1962" s="868">
        <f t="shared" si="507"/>
        <v>0</v>
      </c>
      <c r="O1962" s="880"/>
      <c r="P1962" s="36" t="str">
        <f>IF(N1960&gt;0,"xx",IF(N1960&gt;0,"xy",""))</f>
        <v>xx</v>
      </c>
      <c r="Q1962" s="317" t="str">
        <f t="shared" si="508"/>
        <v>x</v>
      </c>
      <c r="R1962" s="317" t="str">
        <f t="shared" si="509"/>
        <v>x</v>
      </c>
      <c r="S1962" s="317" t="str">
        <f t="shared" si="510"/>
        <v/>
      </c>
      <c r="V1962" s="314">
        <f>SUM(ORÇAMENTO!N1962)</f>
        <v>0</v>
      </c>
      <c r="W1962" s="315">
        <f t="shared" si="511"/>
        <v>0</v>
      </c>
    </row>
    <row r="1963" spans="1:23" ht="13.5" thickBot="1">
      <c r="A1963" s="63" t="s">
        <v>147</v>
      </c>
      <c r="B1963" s="978" t="s">
        <v>147</v>
      </c>
      <c r="C1963" s="958"/>
      <c r="D1963" s="959" t="s">
        <v>336</v>
      </c>
      <c r="E1963" s="979">
        <v>0.2</v>
      </c>
      <c r="F1963" s="980">
        <v>0.11</v>
      </c>
      <c r="G1963" s="1382">
        <f t="shared" si="517"/>
        <v>0.31834000000000001</v>
      </c>
      <c r="H1963" s="962"/>
      <c r="I1963" s="962"/>
      <c r="J1963" s="963">
        <f t="shared" si="499"/>
        <v>0</v>
      </c>
      <c r="K1963" s="964"/>
      <c r="L1963" s="1385">
        <f>ROUND(SUM(ORÇAMENTO!L1963),2)</f>
        <v>0</v>
      </c>
      <c r="M1963" s="1385">
        <f t="shared" si="506"/>
        <v>0</v>
      </c>
      <c r="N1963" s="967">
        <f t="shared" si="507"/>
        <v>0</v>
      </c>
      <c r="O1963" s="1372"/>
      <c r="P1963" s="36" t="str">
        <f>IF(N1960&gt;0,"xx",IF(N1960&gt;0,"xy",""))</f>
        <v>xx</v>
      </c>
      <c r="Q1963" s="317" t="str">
        <f t="shared" si="508"/>
        <v>x</v>
      </c>
      <c r="R1963" s="317" t="str">
        <f t="shared" si="509"/>
        <v>x</v>
      </c>
      <c r="S1963" s="317" t="str">
        <f t="shared" si="510"/>
        <v/>
      </c>
      <c r="V1963" s="314">
        <f>SUM(ORÇAMENTO!N1963)</f>
        <v>0</v>
      </c>
      <c r="W1963" s="315">
        <f t="shared" si="511"/>
        <v>0</v>
      </c>
    </row>
    <row r="1964" spans="1:23" hidden="1">
      <c r="A1964" s="63">
        <v>610600</v>
      </c>
      <c r="B1964" s="858" t="s">
        <v>1813</v>
      </c>
      <c r="C1964" s="859" t="s">
        <v>184</v>
      </c>
      <c r="D1964" s="920" t="s">
        <v>1996</v>
      </c>
      <c r="E1964" s="1005"/>
      <c r="F1964" s="921"/>
      <c r="G1964" s="923">
        <f>SUM(G1965:G1967)</f>
        <v>15.045682000000001</v>
      </c>
      <c r="H1964" s="864">
        <v>231.3</v>
      </c>
      <c r="I1964" s="864">
        <f>IF(ISBLANK(H1964),"",SUM(G1964:H1964))</f>
        <v>246.34568200000001</v>
      </c>
      <c r="J1964" s="865">
        <f t="shared" si="499"/>
        <v>301.08</v>
      </c>
      <c r="K1964" s="866" t="s">
        <v>13</v>
      </c>
      <c r="L1964" s="1013">
        <f>ROUND(SUM(ORÇAMENTO!L1964),2)</f>
        <v>0</v>
      </c>
      <c r="M1964" s="1013">
        <f t="shared" si="506"/>
        <v>0</v>
      </c>
      <c r="N1964" s="907">
        <f t="shared" si="507"/>
        <v>0</v>
      </c>
      <c r="O1964" s="880"/>
      <c r="Q1964" s="317" t="str">
        <f t="shared" si="508"/>
        <v/>
      </c>
      <c r="R1964" s="317" t="str">
        <f t="shared" si="509"/>
        <v/>
      </c>
      <c r="S1964" s="317" t="str">
        <f t="shared" si="510"/>
        <v/>
      </c>
      <c r="V1964" s="314">
        <f>SUM(ORÇAMENTO!N1964)</f>
        <v>0</v>
      </c>
      <c r="W1964" s="315">
        <f t="shared" si="511"/>
        <v>0</v>
      </c>
    </row>
    <row r="1965" spans="1:23" hidden="1">
      <c r="A1965" s="63" t="s">
        <v>147</v>
      </c>
      <c r="B1965" s="870" t="s">
        <v>147</v>
      </c>
      <c r="C1965" s="871"/>
      <c r="D1965" s="881" t="s">
        <v>190</v>
      </c>
      <c r="E1965" s="882">
        <f>DMT!$D$41</f>
        <v>445</v>
      </c>
      <c r="F1965" s="883">
        <v>2.3E-3</v>
      </c>
      <c r="G1965" s="884">
        <f>IF(E1965&lt;=30,(0.78*E1965+7.82)*F1965,((0.78*30+7.82)+0.78*(E1965-30))*F1965)</f>
        <v>0.81631600000000004</v>
      </c>
      <c r="H1965" s="876"/>
      <c r="I1965" s="876"/>
      <c r="J1965" s="877">
        <f t="shared" si="499"/>
        <v>0</v>
      </c>
      <c r="K1965" s="878"/>
      <c r="L1965" s="1013">
        <f>ROUND(SUM(ORÇAMENTO!L1965),2)</f>
        <v>0</v>
      </c>
      <c r="M1965" s="1013">
        <f t="shared" si="506"/>
        <v>0</v>
      </c>
      <c r="N1965" s="868">
        <f t="shared" si="507"/>
        <v>0</v>
      </c>
      <c r="O1965" s="880"/>
      <c r="P1965" s="36" t="str">
        <f>IF(N1964&gt;0,"xx",IF(N1964&gt;0,"xy",""))</f>
        <v/>
      </c>
      <c r="Q1965" s="317" t="str">
        <f t="shared" si="508"/>
        <v/>
      </c>
      <c r="R1965" s="317" t="str">
        <f t="shared" si="509"/>
        <v/>
      </c>
      <c r="S1965" s="317" t="str">
        <f t="shared" si="510"/>
        <v/>
      </c>
      <c r="V1965" s="314">
        <f>SUM(ORÇAMENTO!N1965)</f>
        <v>0</v>
      </c>
      <c r="W1965" s="315">
        <f t="shared" si="511"/>
        <v>0</v>
      </c>
    </row>
    <row r="1966" spans="1:23" hidden="1">
      <c r="A1966" s="63" t="s">
        <v>147</v>
      </c>
      <c r="B1966" s="870" t="s">
        <v>147</v>
      </c>
      <c r="C1966" s="871"/>
      <c r="D1966" s="881" t="s">
        <v>229</v>
      </c>
      <c r="E1966" s="882">
        <f>DMT!$F$39</f>
        <v>290</v>
      </c>
      <c r="F1966" s="883">
        <v>1.17E-2</v>
      </c>
      <c r="G1966" s="923">
        <f t="shared" ref="G1966:G1967" si="518">IF(E1966&lt;=30,(1.07*E1966+2.68)*F1966,((1.07*30+2.68)+1.07*(E1966-30))*F1966)</f>
        <v>3.6618660000000003</v>
      </c>
      <c r="H1966" s="876"/>
      <c r="I1966" s="876"/>
      <c r="J1966" s="877">
        <f t="shared" si="499"/>
        <v>0</v>
      </c>
      <c r="K1966" s="878"/>
      <c r="L1966" s="1013">
        <f>ROUND(SUM(ORÇAMENTO!L1966),2)</f>
        <v>0</v>
      </c>
      <c r="M1966" s="1013">
        <f t="shared" si="506"/>
        <v>0</v>
      </c>
      <c r="N1966" s="868">
        <f t="shared" si="507"/>
        <v>0</v>
      </c>
      <c r="O1966" s="880"/>
      <c r="P1966" s="36" t="str">
        <f>IF(N1964&gt;0,"xx",IF(N1964&gt;0,"xy",""))</f>
        <v/>
      </c>
      <c r="Q1966" s="317" t="str">
        <f t="shared" si="508"/>
        <v/>
      </c>
      <c r="R1966" s="317" t="str">
        <f t="shared" si="509"/>
        <v/>
      </c>
      <c r="S1966" s="317" t="str">
        <f t="shared" si="510"/>
        <v/>
      </c>
      <c r="V1966" s="314">
        <f>SUM(ORÇAMENTO!N1966)</f>
        <v>0</v>
      </c>
      <c r="W1966" s="315">
        <f t="shared" si="511"/>
        <v>0</v>
      </c>
    </row>
    <row r="1967" spans="1:23" hidden="1">
      <c r="A1967" s="63" t="s">
        <v>147</v>
      </c>
      <c r="B1967" s="870" t="s">
        <v>147</v>
      </c>
      <c r="C1967" s="871"/>
      <c r="D1967" s="881" t="s">
        <v>336</v>
      </c>
      <c r="E1967" s="882">
        <f>DMT!$F$38</f>
        <v>37</v>
      </c>
      <c r="F1967" s="883">
        <v>0.25</v>
      </c>
      <c r="G1967" s="923">
        <f t="shared" si="518"/>
        <v>10.567500000000001</v>
      </c>
      <c r="H1967" s="876"/>
      <c r="I1967" s="876"/>
      <c r="J1967" s="877">
        <f t="shared" si="499"/>
        <v>0</v>
      </c>
      <c r="K1967" s="878"/>
      <c r="L1967" s="1013">
        <f>ROUND(SUM(ORÇAMENTO!L1967),2)</f>
        <v>0</v>
      </c>
      <c r="M1967" s="1013">
        <f t="shared" si="506"/>
        <v>0</v>
      </c>
      <c r="N1967" s="868">
        <f t="shared" si="507"/>
        <v>0</v>
      </c>
      <c r="O1967" s="880"/>
      <c r="P1967" s="36" t="str">
        <f>IF(N1964&gt;0,"xx",IF(N1964&gt;0,"xy",""))</f>
        <v/>
      </c>
      <c r="Q1967" s="317" t="str">
        <f t="shared" si="508"/>
        <v/>
      </c>
      <c r="R1967" s="317" t="str">
        <f t="shared" si="509"/>
        <v/>
      </c>
      <c r="S1967" s="317" t="str">
        <f t="shared" si="510"/>
        <v/>
      </c>
      <c r="V1967" s="314">
        <f>SUM(ORÇAMENTO!N1967)</f>
        <v>0</v>
      </c>
      <c r="W1967" s="315">
        <f t="shared" si="511"/>
        <v>0</v>
      </c>
    </row>
    <row r="1968" spans="1:23" hidden="1">
      <c r="A1968" s="63">
        <v>610600</v>
      </c>
      <c r="B1968" s="870" t="s">
        <v>1814</v>
      </c>
      <c r="C1968" s="871" t="s">
        <v>184</v>
      </c>
      <c r="D1968" s="881" t="s">
        <v>1997</v>
      </c>
      <c r="E1968" s="882"/>
      <c r="F1968" s="883"/>
      <c r="G1968" s="887">
        <f>SUM(G1969:G1971)</f>
        <v>21.602024000000004</v>
      </c>
      <c r="H1968" s="876">
        <v>313.26</v>
      </c>
      <c r="I1968" s="876">
        <f>IF(ISBLANK(H1968),"",SUM(G1968:H1968))</f>
        <v>334.86202400000002</v>
      </c>
      <c r="J1968" s="877">
        <f t="shared" si="499"/>
        <v>409.27</v>
      </c>
      <c r="K1968" s="878" t="s">
        <v>13</v>
      </c>
      <c r="L1968" s="1013">
        <f>ROUND(SUM(ORÇAMENTO!L1968),2)</f>
        <v>0</v>
      </c>
      <c r="M1968" s="1013">
        <f t="shared" si="506"/>
        <v>0</v>
      </c>
      <c r="N1968" s="868">
        <f t="shared" si="507"/>
        <v>0</v>
      </c>
      <c r="O1968" s="880"/>
      <c r="Q1968" s="317" t="str">
        <f t="shared" si="508"/>
        <v/>
      </c>
      <c r="R1968" s="317" t="str">
        <f t="shared" si="509"/>
        <v/>
      </c>
      <c r="S1968" s="317" t="str">
        <f t="shared" si="510"/>
        <v/>
      </c>
      <c r="V1968" s="314">
        <f>SUM(ORÇAMENTO!N1968)</f>
        <v>0</v>
      </c>
      <c r="W1968" s="315">
        <f t="shared" si="511"/>
        <v>0</v>
      </c>
    </row>
    <row r="1969" spans="1:23" hidden="1">
      <c r="A1969" s="63" t="s">
        <v>147</v>
      </c>
      <c r="B1969" s="870" t="s">
        <v>147</v>
      </c>
      <c r="C1969" s="871"/>
      <c r="D1969" s="881" t="s">
        <v>190</v>
      </c>
      <c r="E1969" s="882">
        <f>DMT!$D$41</f>
        <v>445</v>
      </c>
      <c r="F1969" s="883">
        <v>2.5999999999999999E-3</v>
      </c>
      <c r="G1969" s="884">
        <f>IF(E1969&lt;=30,(0.78*E1969+7.82)*F1969,((0.78*30+7.82)+0.78*(E1969-30))*F1969)</f>
        <v>0.92279199999999995</v>
      </c>
      <c r="H1969" s="876"/>
      <c r="I1969" s="876"/>
      <c r="J1969" s="877">
        <f t="shared" si="499"/>
        <v>0</v>
      </c>
      <c r="K1969" s="878"/>
      <c r="L1969" s="1013">
        <f>ROUND(SUM(ORÇAMENTO!L1969),2)</f>
        <v>0</v>
      </c>
      <c r="M1969" s="1013">
        <f t="shared" si="506"/>
        <v>0</v>
      </c>
      <c r="N1969" s="868">
        <f t="shared" si="507"/>
        <v>0</v>
      </c>
      <c r="O1969" s="880"/>
      <c r="P1969" s="36" t="str">
        <f>IF(N1968&gt;0,"xx",IF(N1968&gt;0,"xy",""))</f>
        <v/>
      </c>
      <c r="Q1969" s="317" t="str">
        <f t="shared" si="508"/>
        <v/>
      </c>
      <c r="R1969" s="317" t="str">
        <f t="shared" si="509"/>
        <v/>
      </c>
      <c r="S1969" s="317" t="str">
        <f t="shared" si="510"/>
        <v/>
      </c>
      <c r="V1969" s="314">
        <f>SUM(ORÇAMENTO!N1969)</f>
        <v>0</v>
      </c>
      <c r="W1969" s="315">
        <f t="shared" si="511"/>
        <v>0</v>
      </c>
    </row>
    <row r="1970" spans="1:23" hidden="1">
      <c r="A1970" s="63" t="s">
        <v>147</v>
      </c>
      <c r="B1970" s="870" t="s">
        <v>147</v>
      </c>
      <c r="C1970" s="871"/>
      <c r="D1970" s="881" t="s">
        <v>229</v>
      </c>
      <c r="E1970" s="882">
        <f>DMT!$F$39</f>
        <v>290</v>
      </c>
      <c r="F1970" s="883">
        <v>1.34E-2</v>
      </c>
      <c r="G1970" s="923">
        <f t="shared" ref="G1970:G1971" si="519">IF(E1970&lt;=30,(1.07*E1970+2.68)*F1970,((1.07*30+2.68)+1.07*(E1970-30))*F1970)</f>
        <v>4.1939320000000002</v>
      </c>
      <c r="H1970" s="876"/>
      <c r="I1970" s="876"/>
      <c r="J1970" s="877">
        <f t="shared" si="499"/>
        <v>0</v>
      </c>
      <c r="K1970" s="878"/>
      <c r="L1970" s="1013">
        <f>ROUND(SUM(ORÇAMENTO!L1970),2)</f>
        <v>0</v>
      </c>
      <c r="M1970" s="1013">
        <f t="shared" si="506"/>
        <v>0</v>
      </c>
      <c r="N1970" s="868">
        <f t="shared" si="507"/>
        <v>0</v>
      </c>
      <c r="O1970" s="880"/>
      <c r="P1970" s="36" t="str">
        <f>IF(N1968&gt;0,"xx",IF(N1968&gt;0,"xy",""))</f>
        <v/>
      </c>
      <c r="Q1970" s="317" t="str">
        <f t="shared" si="508"/>
        <v/>
      </c>
      <c r="R1970" s="317" t="str">
        <f t="shared" si="509"/>
        <v/>
      </c>
      <c r="S1970" s="317" t="str">
        <f t="shared" si="510"/>
        <v/>
      </c>
      <c r="V1970" s="314">
        <f>SUM(ORÇAMENTO!N1970)</f>
        <v>0</v>
      </c>
      <c r="W1970" s="315">
        <f t="shared" si="511"/>
        <v>0</v>
      </c>
    </row>
    <row r="1971" spans="1:23" hidden="1">
      <c r="A1971" s="63" t="s">
        <v>147</v>
      </c>
      <c r="B1971" s="870" t="s">
        <v>147</v>
      </c>
      <c r="C1971" s="871"/>
      <c r="D1971" s="881" t="s">
        <v>336</v>
      </c>
      <c r="E1971" s="882">
        <f>DMT!$F$38</f>
        <v>37</v>
      </c>
      <c r="F1971" s="883">
        <v>0.39</v>
      </c>
      <c r="G1971" s="923">
        <f t="shared" si="519"/>
        <v>16.485300000000002</v>
      </c>
      <c r="H1971" s="876"/>
      <c r="I1971" s="876"/>
      <c r="J1971" s="877">
        <f t="shared" si="499"/>
        <v>0</v>
      </c>
      <c r="K1971" s="878"/>
      <c r="L1971" s="1013">
        <f>ROUND(SUM(ORÇAMENTO!L1971),2)</f>
        <v>0</v>
      </c>
      <c r="M1971" s="1013">
        <f t="shared" si="506"/>
        <v>0</v>
      </c>
      <c r="N1971" s="868">
        <f t="shared" si="507"/>
        <v>0</v>
      </c>
      <c r="O1971" s="880"/>
      <c r="P1971" s="36" t="str">
        <f>IF(N1968&gt;0,"xx",IF(N1968&gt;0,"xy",""))</f>
        <v/>
      </c>
      <c r="Q1971" s="317" t="str">
        <f t="shared" si="508"/>
        <v/>
      </c>
      <c r="R1971" s="317" t="str">
        <f t="shared" si="509"/>
        <v/>
      </c>
      <c r="S1971" s="317" t="str">
        <f t="shared" si="510"/>
        <v/>
      </c>
      <c r="V1971" s="314">
        <f>SUM(ORÇAMENTO!N1971)</f>
        <v>0</v>
      </c>
      <c r="W1971" s="315">
        <f t="shared" si="511"/>
        <v>0</v>
      </c>
    </row>
    <row r="1972" spans="1:23" hidden="1">
      <c r="A1972" s="63">
        <v>610800</v>
      </c>
      <c r="B1972" s="870" t="s">
        <v>1818</v>
      </c>
      <c r="C1972" s="871" t="s">
        <v>184</v>
      </c>
      <c r="D1972" s="881" t="s">
        <v>1998</v>
      </c>
      <c r="E1972" s="882"/>
      <c r="F1972" s="883"/>
      <c r="G1972" s="887">
        <f>SUM(G1973:G1975)</f>
        <v>28.158366000000001</v>
      </c>
      <c r="H1972" s="876">
        <v>404.97</v>
      </c>
      <c r="I1972" s="876">
        <f>IF(ISBLANK(H1972),"",SUM(G1972:H1972))</f>
        <v>433.12836600000003</v>
      </c>
      <c r="J1972" s="877">
        <f t="shared" si="499"/>
        <v>529.37</v>
      </c>
      <c r="K1972" s="878" t="s">
        <v>13</v>
      </c>
      <c r="L1972" s="1013">
        <f>ROUND(SUM(ORÇAMENTO!L1972),2)</f>
        <v>0</v>
      </c>
      <c r="M1972" s="1013">
        <f t="shared" si="506"/>
        <v>0</v>
      </c>
      <c r="N1972" s="868">
        <f t="shared" si="507"/>
        <v>0</v>
      </c>
      <c r="O1972" s="880"/>
      <c r="Q1972" s="317" t="str">
        <f t="shared" si="508"/>
        <v/>
      </c>
      <c r="R1972" s="317" t="str">
        <f t="shared" si="509"/>
        <v/>
      </c>
      <c r="S1972" s="317" t="str">
        <f t="shared" si="510"/>
        <v/>
      </c>
      <c r="V1972" s="314">
        <f>SUM(ORÇAMENTO!N1972)</f>
        <v>0</v>
      </c>
      <c r="W1972" s="315">
        <f t="shared" si="511"/>
        <v>0</v>
      </c>
    </row>
    <row r="1973" spans="1:23" hidden="1">
      <c r="A1973" s="63" t="s">
        <v>147</v>
      </c>
      <c r="B1973" s="870" t="s">
        <v>147</v>
      </c>
      <c r="C1973" s="871"/>
      <c r="D1973" s="881" t="s">
        <v>190</v>
      </c>
      <c r="E1973" s="882">
        <f>DMT!$D$41</f>
        <v>445</v>
      </c>
      <c r="F1973" s="883">
        <v>2.8999999999999998E-3</v>
      </c>
      <c r="G1973" s="884">
        <f>IF(E1973&lt;=30,(0.78*E1973+7.82)*F1973,((0.78*30+7.82)+0.78*(E1973-30))*F1973)</f>
        <v>1.0292680000000001</v>
      </c>
      <c r="H1973" s="876"/>
      <c r="I1973" s="876"/>
      <c r="J1973" s="877">
        <f t="shared" si="499"/>
        <v>0</v>
      </c>
      <c r="K1973" s="878"/>
      <c r="L1973" s="1013">
        <f>ROUND(SUM(ORÇAMENTO!L1973),2)</f>
        <v>0</v>
      </c>
      <c r="M1973" s="1013">
        <f t="shared" si="506"/>
        <v>0</v>
      </c>
      <c r="N1973" s="868">
        <f t="shared" si="507"/>
        <v>0</v>
      </c>
      <c r="O1973" s="880"/>
      <c r="P1973" s="36" t="str">
        <f>IF(N1972&gt;0,"xx",IF(N1972&gt;0,"xy",""))</f>
        <v/>
      </c>
      <c r="Q1973" s="317" t="str">
        <f t="shared" si="508"/>
        <v/>
      </c>
      <c r="R1973" s="317" t="str">
        <f t="shared" si="509"/>
        <v/>
      </c>
      <c r="S1973" s="317" t="str">
        <f t="shared" si="510"/>
        <v/>
      </c>
      <c r="V1973" s="314">
        <f>SUM(ORÇAMENTO!N1973)</f>
        <v>0</v>
      </c>
      <c r="W1973" s="315">
        <f t="shared" si="511"/>
        <v>0</v>
      </c>
    </row>
    <row r="1974" spans="1:23" hidden="1">
      <c r="A1974" s="63" t="s">
        <v>147</v>
      </c>
      <c r="B1974" s="870" t="s">
        <v>147</v>
      </c>
      <c r="C1974" s="871"/>
      <c r="D1974" s="881" t="s">
        <v>229</v>
      </c>
      <c r="E1974" s="882">
        <f>DMT!$F$39</f>
        <v>290</v>
      </c>
      <c r="F1974" s="883">
        <v>1.5100000000000001E-2</v>
      </c>
      <c r="G1974" s="923">
        <f t="shared" ref="G1974:G1975" si="520">IF(E1974&lt;=30,(1.07*E1974+2.68)*F1974,((1.07*30+2.68)+1.07*(E1974-30))*F1974)</f>
        <v>4.7259980000000006</v>
      </c>
      <c r="H1974" s="876"/>
      <c r="I1974" s="876"/>
      <c r="J1974" s="877">
        <f t="shared" si="499"/>
        <v>0</v>
      </c>
      <c r="K1974" s="878"/>
      <c r="L1974" s="1013">
        <f>ROUND(SUM(ORÇAMENTO!L1974),2)</f>
        <v>0</v>
      </c>
      <c r="M1974" s="1013">
        <f t="shared" si="506"/>
        <v>0</v>
      </c>
      <c r="N1974" s="868">
        <f t="shared" si="507"/>
        <v>0</v>
      </c>
      <c r="O1974" s="880"/>
      <c r="P1974" s="36" t="str">
        <f>IF(N1972&gt;0,"xx",IF(N1972&gt;0,"xy",""))</f>
        <v/>
      </c>
      <c r="Q1974" s="317" t="str">
        <f t="shared" si="508"/>
        <v/>
      </c>
      <c r="R1974" s="317" t="str">
        <f t="shared" si="509"/>
        <v/>
      </c>
      <c r="S1974" s="317" t="str">
        <f t="shared" si="510"/>
        <v/>
      </c>
      <c r="V1974" s="314">
        <f>SUM(ORÇAMENTO!N1974)</f>
        <v>0</v>
      </c>
      <c r="W1974" s="315">
        <f t="shared" si="511"/>
        <v>0</v>
      </c>
    </row>
    <row r="1975" spans="1:23" hidden="1">
      <c r="A1975" s="63" t="s">
        <v>147</v>
      </c>
      <c r="B1975" s="969" t="s">
        <v>147</v>
      </c>
      <c r="C1975" s="970"/>
      <c r="D1975" s="939" t="s">
        <v>336</v>
      </c>
      <c r="E1975" s="940">
        <f>DMT!$F$38</f>
        <v>37</v>
      </c>
      <c r="F1975" s="971">
        <v>0.53</v>
      </c>
      <c r="G1975" s="1282">
        <f t="shared" si="520"/>
        <v>22.403100000000002</v>
      </c>
      <c r="H1975" s="914"/>
      <c r="I1975" s="914"/>
      <c r="J1975" s="943">
        <f t="shared" si="499"/>
        <v>0</v>
      </c>
      <c r="K1975" s="944"/>
      <c r="L1975" s="1295">
        <f>ROUND(SUM(ORÇAMENTO!L1975),2)</f>
        <v>0</v>
      </c>
      <c r="M1975" s="1295">
        <f t="shared" si="506"/>
        <v>0</v>
      </c>
      <c r="N1975" s="916">
        <f t="shared" si="507"/>
        <v>0</v>
      </c>
      <c r="O1975" s="880"/>
      <c r="P1975" s="36" t="str">
        <f>IF(N1972&gt;0,"xx",IF(N1972&gt;0,"xy",""))</f>
        <v/>
      </c>
      <c r="Q1975" s="317" t="str">
        <f t="shared" si="508"/>
        <v/>
      </c>
      <c r="R1975" s="317" t="str">
        <f t="shared" si="509"/>
        <v/>
      </c>
      <c r="S1975" s="317" t="str">
        <f t="shared" si="510"/>
        <v/>
      </c>
      <c r="V1975" s="314">
        <f>SUM(ORÇAMENTO!N1975)</f>
        <v>0</v>
      </c>
      <c r="W1975" s="315">
        <f t="shared" si="511"/>
        <v>0</v>
      </c>
    </row>
    <row r="1976" spans="1:23">
      <c r="A1976" s="63">
        <v>610800</v>
      </c>
      <c r="B1976" s="973" t="s">
        <v>1819</v>
      </c>
      <c r="C1976" s="974" t="s">
        <v>184</v>
      </c>
      <c r="D1976" s="947" t="s">
        <v>1999</v>
      </c>
      <c r="E1976" s="948"/>
      <c r="F1976" s="949"/>
      <c r="G1976" s="950">
        <f>SUM(G1977:G1979)</f>
        <v>8.3327880000000007</v>
      </c>
      <c r="H1976" s="951">
        <v>514.41999999999996</v>
      </c>
      <c r="I1976" s="951">
        <f>IF(ISBLANK(H1976),"",SUM(G1976:H1976))</f>
        <v>522.75278800000001</v>
      </c>
      <c r="J1976" s="952">
        <f t="shared" si="499"/>
        <v>638.91</v>
      </c>
      <c r="K1976" s="953" t="s">
        <v>13</v>
      </c>
      <c r="L1976" s="1384">
        <f>ROUND(SUM(ORÇAMENTO!L1976),2)</f>
        <v>119</v>
      </c>
      <c r="M1976" s="1384">
        <f t="shared" si="506"/>
        <v>638.91</v>
      </c>
      <c r="N1976" s="956">
        <f t="shared" si="507"/>
        <v>76030.289999999994</v>
      </c>
      <c r="O1976" s="869"/>
      <c r="Q1976" s="317" t="str">
        <f t="shared" si="508"/>
        <v>x</v>
      </c>
      <c r="R1976" s="317" t="str">
        <f t="shared" si="509"/>
        <v>x</v>
      </c>
      <c r="S1976" s="317" t="str">
        <f t="shared" si="510"/>
        <v>x</v>
      </c>
      <c r="V1976" s="314">
        <f>SUM(ORÇAMENTO!N1976)</f>
        <v>76030.289999999994</v>
      </c>
      <c r="W1976" s="315">
        <f t="shared" si="511"/>
        <v>0</v>
      </c>
    </row>
    <row r="1977" spans="1:23">
      <c r="A1977" s="63" t="s">
        <v>147</v>
      </c>
      <c r="B1977" s="870" t="s">
        <v>147</v>
      </c>
      <c r="C1977" s="871"/>
      <c r="D1977" s="881" t="s">
        <v>190</v>
      </c>
      <c r="E1977" s="882">
        <v>445</v>
      </c>
      <c r="F1977" s="883">
        <v>3.2000000000000002E-3</v>
      </c>
      <c r="G1977" s="884">
        <f>IF(E1977&lt;=30,(0.78*E1977+7.82)*F1977,((0.78*30+7.82)+0.78*(E1977-30))*F1977)</f>
        <v>1.1357440000000001</v>
      </c>
      <c r="H1977" s="876"/>
      <c r="I1977" s="876"/>
      <c r="J1977" s="877">
        <f t="shared" si="499"/>
        <v>0</v>
      </c>
      <c r="K1977" s="878"/>
      <c r="L1977" s="1013">
        <f>ROUND(SUM(ORÇAMENTO!L1977),2)</f>
        <v>0</v>
      </c>
      <c r="M1977" s="1013">
        <f t="shared" si="506"/>
        <v>0</v>
      </c>
      <c r="N1977" s="868">
        <f t="shared" si="507"/>
        <v>0</v>
      </c>
      <c r="O1977" s="880"/>
      <c r="P1977" s="36" t="str">
        <f>IF(N1976&gt;0,"xx",IF(N1976&gt;0,"xy",""))</f>
        <v>xx</v>
      </c>
      <c r="Q1977" s="317" t="str">
        <f t="shared" si="508"/>
        <v>x</v>
      </c>
      <c r="R1977" s="317" t="str">
        <f t="shared" si="509"/>
        <v>x</v>
      </c>
      <c r="S1977" s="317" t="str">
        <f t="shared" si="510"/>
        <v/>
      </c>
      <c r="V1977" s="314">
        <f>SUM(ORÇAMENTO!N1977)</f>
        <v>0</v>
      </c>
      <c r="W1977" s="315">
        <f t="shared" si="511"/>
        <v>0</v>
      </c>
    </row>
    <row r="1978" spans="1:23">
      <c r="A1978" s="63" t="s">
        <v>147</v>
      </c>
      <c r="B1978" s="870" t="s">
        <v>147</v>
      </c>
      <c r="C1978" s="871"/>
      <c r="D1978" s="881" t="s">
        <v>229</v>
      </c>
      <c r="E1978" s="882">
        <v>290</v>
      </c>
      <c r="F1978" s="883">
        <v>1.6799999999999999E-2</v>
      </c>
      <c r="G1978" s="923">
        <f t="shared" ref="G1978:G1979" si="521">IF(E1978&lt;=30,(1.07*E1978+2.68)*F1978,((1.07*30+2.68)+1.07*(E1978-30))*F1978)</f>
        <v>5.2580640000000001</v>
      </c>
      <c r="H1978" s="876"/>
      <c r="I1978" s="876"/>
      <c r="J1978" s="877">
        <f t="shared" ref="J1978:J2041" si="522">IF(ISBLANK(H1978),0,ROUND(I1978*(1+$E$10),2))</f>
        <v>0</v>
      </c>
      <c r="K1978" s="878"/>
      <c r="L1978" s="1013">
        <f>ROUND(SUM(ORÇAMENTO!L1978),2)</f>
        <v>0</v>
      </c>
      <c r="M1978" s="1013">
        <f t="shared" si="506"/>
        <v>0</v>
      </c>
      <c r="N1978" s="868">
        <f t="shared" si="507"/>
        <v>0</v>
      </c>
      <c r="O1978" s="880"/>
      <c r="P1978" s="36" t="str">
        <f>IF(N1976&gt;0,"xx",IF(N1976&gt;0,"xy",""))</f>
        <v>xx</v>
      </c>
      <c r="Q1978" s="317" t="str">
        <f t="shared" si="508"/>
        <v>x</v>
      </c>
      <c r="R1978" s="317" t="str">
        <f t="shared" si="509"/>
        <v>x</v>
      </c>
      <c r="S1978" s="317" t="str">
        <f t="shared" si="510"/>
        <v/>
      </c>
      <c r="V1978" s="314">
        <f>SUM(ORÇAMENTO!N1978)</f>
        <v>0</v>
      </c>
      <c r="W1978" s="315">
        <f t="shared" si="511"/>
        <v>0</v>
      </c>
    </row>
    <row r="1979" spans="1:23" ht="13.5" thickBot="1">
      <c r="A1979" s="63" t="s">
        <v>147</v>
      </c>
      <c r="B1979" s="978" t="s">
        <v>147</v>
      </c>
      <c r="C1979" s="958"/>
      <c r="D1979" s="959" t="s">
        <v>336</v>
      </c>
      <c r="E1979" s="979">
        <v>0.2</v>
      </c>
      <c r="F1979" s="980">
        <v>0.67</v>
      </c>
      <c r="G1979" s="1382">
        <f t="shared" si="521"/>
        <v>1.9389800000000001</v>
      </c>
      <c r="H1979" s="962"/>
      <c r="I1979" s="962"/>
      <c r="J1979" s="963">
        <f t="shared" si="522"/>
        <v>0</v>
      </c>
      <c r="K1979" s="964"/>
      <c r="L1979" s="1385">
        <f>ROUND(SUM(ORÇAMENTO!L1979),2)</f>
        <v>0</v>
      </c>
      <c r="M1979" s="1385">
        <f t="shared" si="506"/>
        <v>0</v>
      </c>
      <c r="N1979" s="967">
        <f t="shared" si="507"/>
        <v>0</v>
      </c>
      <c r="O1979" s="1372"/>
      <c r="P1979" s="36" t="str">
        <f>IF(N1976&gt;0,"xx",IF(N1976&gt;0,"xy",""))</f>
        <v>xx</v>
      </c>
      <c r="Q1979" s="317" t="str">
        <f t="shared" si="508"/>
        <v>x</v>
      </c>
      <c r="R1979" s="317" t="str">
        <f t="shared" si="509"/>
        <v>x</v>
      </c>
      <c r="S1979" s="317" t="str">
        <f t="shared" si="510"/>
        <v/>
      </c>
      <c r="V1979" s="314">
        <f>SUM(ORÇAMENTO!N1979)</f>
        <v>0</v>
      </c>
      <c r="W1979" s="315">
        <f t="shared" si="511"/>
        <v>0</v>
      </c>
    </row>
    <row r="1980" spans="1:23" hidden="1">
      <c r="A1980" s="63">
        <v>611000</v>
      </c>
      <c r="B1980" s="858" t="s">
        <v>1826</v>
      </c>
      <c r="C1980" s="859" t="s">
        <v>184</v>
      </c>
      <c r="D1980" s="920" t="s">
        <v>2000</v>
      </c>
      <c r="E1980" s="1005"/>
      <c r="F1980" s="921"/>
      <c r="G1980" s="923">
        <f>SUM(G1981:G1983)</f>
        <v>43.287710000000004</v>
      </c>
      <c r="H1980" s="864">
        <v>710.08</v>
      </c>
      <c r="I1980" s="864">
        <f>IF(ISBLANK(H1980),"",SUM(G1980:H1980))</f>
        <v>753.36770999999999</v>
      </c>
      <c r="J1980" s="865">
        <f t="shared" si="522"/>
        <v>920.77</v>
      </c>
      <c r="K1980" s="866" t="s">
        <v>13</v>
      </c>
      <c r="L1980" s="1013">
        <f>ROUND(SUM(ORÇAMENTO!L1980),2)</f>
        <v>0</v>
      </c>
      <c r="M1980" s="1013">
        <f t="shared" si="506"/>
        <v>0</v>
      </c>
      <c r="N1980" s="907">
        <f t="shared" si="507"/>
        <v>0</v>
      </c>
      <c r="O1980" s="880"/>
      <c r="Q1980" s="317" t="str">
        <f t="shared" si="508"/>
        <v/>
      </c>
      <c r="R1980" s="317" t="str">
        <f t="shared" si="509"/>
        <v/>
      </c>
      <c r="S1980" s="317" t="str">
        <f t="shared" si="510"/>
        <v/>
      </c>
      <c r="V1980" s="314">
        <f>SUM(ORÇAMENTO!N1980)</f>
        <v>0</v>
      </c>
      <c r="W1980" s="315">
        <f t="shared" si="511"/>
        <v>0</v>
      </c>
    </row>
    <row r="1981" spans="1:23" hidden="1">
      <c r="A1981" s="63" t="s">
        <v>147</v>
      </c>
      <c r="B1981" s="870" t="s">
        <v>147</v>
      </c>
      <c r="C1981" s="871"/>
      <c r="D1981" s="881" t="s">
        <v>190</v>
      </c>
      <c r="E1981" s="882">
        <f>DMT!$D$41</f>
        <v>445</v>
      </c>
      <c r="F1981" s="883">
        <v>4.0000000000000001E-3</v>
      </c>
      <c r="G1981" s="884">
        <f>IF(E1981&lt;=30,(0.78*E1981+7.82)*F1981,((0.78*30+7.82)+0.78*(E1981-30))*F1981)</f>
        <v>1.4196800000000001</v>
      </c>
      <c r="H1981" s="876"/>
      <c r="I1981" s="876"/>
      <c r="J1981" s="877">
        <f t="shared" si="522"/>
        <v>0</v>
      </c>
      <c r="K1981" s="878"/>
      <c r="L1981" s="1013">
        <f>ROUND(SUM(ORÇAMENTO!L1981),2)</f>
        <v>0</v>
      </c>
      <c r="M1981" s="1013">
        <f t="shared" si="506"/>
        <v>0</v>
      </c>
      <c r="N1981" s="868">
        <f t="shared" si="507"/>
        <v>0</v>
      </c>
      <c r="O1981" s="880"/>
      <c r="P1981" s="36" t="str">
        <f>IF(N1980&gt;0,"xx",IF(N1980&gt;0,"xy",""))</f>
        <v/>
      </c>
      <c r="Q1981" s="317" t="str">
        <f t="shared" si="508"/>
        <v/>
      </c>
      <c r="R1981" s="317" t="str">
        <f t="shared" si="509"/>
        <v/>
      </c>
      <c r="S1981" s="317" t="str">
        <f t="shared" si="510"/>
        <v/>
      </c>
      <c r="V1981" s="314">
        <f>SUM(ORÇAMENTO!N1981)</f>
        <v>0</v>
      </c>
      <c r="W1981" s="315">
        <f t="shared" si="511"/>
        <v>0</v>
      </c>
    </row>
    <row r="1982" spans="1:23" hidden="1">
      <c r="A1982" s="63" t="s">
        <v>147</v>
      </c>
      <c r="B1982" s="870" t="s">
        <v>147</v>
      </c>
      <c r="C1982" s="871"/>
      <c r="D1982" s="881" t="s">
        <v>229</v>
      </c>
      <c r="E1982" s="882">
        <f>DMT!$F$39</f>
        <v>290</v>
      </c>
      <c r="F1982" s="883">
        <v>2.1000000000000001E-2</v>
      </c>
      <c r="G1982" s="923">
        <f t="shared" ref="G1982:G1983" si="523">IF(E1982&lt;=30,(1.07*E1982+2.68)*F1982,((1.07*30+2.68)+1.07*(E1982-30))*F1982)</f>
        <v>6.5725800000000012</v>
      </c>
      <c r="H1982" s="876"/>
      <c r="I1982" s="876"/>
      <c r="J1982" s="877">
        <f t="shared" si="522"/>
        <v>0</v>
      </c>
      <c r="K1982" s="878"/>
      <c r="L1982" s="1013">
        <f>ROUND(SUM(ORÇAMENTO!L1982),2)</f>
        <v>0</v>
      </c>
      <c r="M1982" s="1013">
        <f t="shared" si="506"/>
        <v>0</v>
      </c>
      <c r="N1982" s="868">
        <f t="shared" si="507"/>
        <v>0</v>
      </c>
      <c r="O1982" s="880"/>
      <c r="P1982" s="36" t="str">
        <f>IF(N1980&gt;0,"xx",IF(N1980&gt;0,"xy",""))</f>
        <v/>
      </c>
      <c r="Q1982" s="317" t="str">
        <f t="shared" si="508"/>
        <v/>
      </c>
      <c r="R1982" s="317" t="str">
        <f t="shared" si="509"/>
        <v/>
      </c>
      <c r="S1982" s="317" t="str">
        <f t="shared" si="510"/>
        <v/>
      </c>
      <c r="V1982" s="314">
        <f>SUM(ORÇAMENTO!N1982)</f>
        <v>0</v>
      </c>
      <c r="W1982" s="315">
        <f t="shared" si="511"/>
        <v>0</v>
      </c>
    </row>
    <row r="1983" spans="1:23" hidden="1">
      <c r="A1983" s="63" t="s">
        <v>147</v>
      </c>
      <c r="B1983" s="969" t="s">
        <v>147</v>
      </c>
      <c r="C1983" s="970"/>
      <c r="D1983" s="939" t="s">
        <v>336</v>
      </c>
      <c r="E1983" s="940">
        <f>DMT!$F$38</f>
        <v>37</v>
      </c>
      <c r="F1983" s="971">
        <v>0.83499999999999996</v>
      </c>
      <c r="G1983" s="1282">
        <f t="shared" si="523"/>
        <v>35.295450000000002</v>
      </c>
      <c r="H1983" s="914"/>
      <c r="I1983" s="914"/>
      <c r="J1983" s="943">
        <f t="shared" si="522"/>
        <v>0</v>
      </c>
      <c r="K1983" s="944"/>
      <c r="L1983" s="1295">
        <f>ROUND(SUM(ORÇAMENTO!L1983),2)</f>
        <v>0</v>
      </c>
      <c r="M1983" s="1295">
        <f t="shared" si="506"/>
        <v>0</v>
      </c>
      <c r="N1983" s="916">
        <f t="shared" si="507"/>
        <v>0</v>
      </c>
      <c r="O1983" s="880"/>
      <c r="P1983" s="36" t="str">
        <f>IF(N1980&gt;0,"xx",IF(N1980&gt;0,"xy",""))</f>
        <v/>
      </c>
      <c r="Q1983" s="317" t="str">
        <f t="shared" si="508"/>
        <v/>
      </c>
      <c r="R1983" s="317" t="str">
        <f t="shared" si="509"/>
        <v/>
      </c>
      <c r="S1983" s="317" t="str">
        <f t="shared" si="510"/>
        <v/>
      </c>
      <c r="V1983" s="314">
        <f>SUM(ORÇAMENTO!N1983)</f>
        <v>0</v>
      </c>
      <c r="W1983" s="315">
        <f t="shared" si="511"/>
        <v>0</v>
      </c>
    </row>
    <row r="1984" spans="1:23">
      <c r="A1984" s="63">
        <v>611000</v>
      </c>
      <c r="B1984" s="973" t="s">
        <v>1827</v>
      </c>
      <c r="C1984" s="974" t="s">
        <v>184</v>
      </c>
      <c r="D1984" s="947" t="s">
        <v>2001</v>
      </c>
      <c r="E1984" s="948"/>
      <c r="F1984" s="949"/>
      <c r="G1984" s="950">
        <f>SUM(G1985:G1987)</f>
        <v>12.484712</v>
      </c>
      <c r="H1984" s="951">
        <v>803.98</v>
      </c>
      <c r="I1984" s="951">
        <f>IF(ISBLANK(H1984),"",SUM(G1984:H1984))</f>
        <v>816.46471199999996</v>
      </c>
      <c r="J1984" s="952">
        <f t="shared" si="522"/>
        <v>997.88</v>
      </c>
      <c r="K1984" s="953" t="s">
        <v>13</v>
      </c>
      <c r="L1984" s="1384">
        <f>ROUND(SUM(ORÇAMENTO!L1984),2)</f>
        <v>50</v>
      </c>
      <c r="M1984" s="1384">
        <f t="shared" si="506"/>
        <v>997.88</v>
      </c>
      <c r="N1984" s="956">
        <f t="shared" si="507"/>
        <v>49894</v>
      </c>
      <c r="O1984" s="869"/>
      <c r="Q1984" s="317" t="str">
        <f t="shared" si="508"/>
        <v>x</v>
      </c>
      <c r="R1984" s="317" t="str">
        <f t="shared" si="509"/>
        <v>x</v>
      </c>
      <c r="S1984" s="317" t="str">
        <f t="shared" si="510"/>
        <v>x</v>
      </c>
      <c r="V1984" s="314">
        <f>SUM(ORÇAMENTO!N1984)</f>
        <v>49894</v>
      </c>
      <c r="W1984" s="315">
        <f t="shared" si="511"/>
        <v>0</v>
      </c>
    </row>
    <row r="1985" spans="1:23">
      <c r="A1985" s="63" t="s">
        <v>147</v>
      </c>
      <c r="B1985" s="870" t="s">
        <v>147</v>
      </c>
      <c r="C1985" s="871"/>
      <c r="D1985" s="881" t="s">
        <v>190</v>
      </c>
      <c r="E1985" s="882">
        <v>445</v>
      </c>
      <c r="F1985" s="883">
        <v>4.7999999999999996E-3</v>
      </c>
      <c r="G1985" s="884">
        <f>IF(E1985&lt;=30,(0.78*E1985+7.82)*F1985,((0.78*30+7.82)+0.78*(E1985-30))*F1985)</f>
        <v>1.703616</v>
      </c>
      <c r="H1985" s="876"/>
      <c r="I1985" s="876"/>
      <c r="J1985" s="877">
        <f t="shared" si="522"/>
        <v>0</v>
      </c>
      <c r="K1985" s="878"/>
      <c r="L1985" s="1013">
        <f>ROUND(SUM(ORÇAMENTO!L1985),2)</f>
        <v>0</v>
      </c>
      <c r="M1985" s="1013">
        <f t="shared" si="506"/>
        <v>0</v>
      </c>
      <c r="N1985" s="868">
        <f t="shared" si="507"/>
        <v>0</v>
      </c>
      <c r="O1985" s="880"/>
      <c r="P1985" s="36" t="str">
        <f>IF(N1984&gt;0,"xx",IF(N1984&gt;0,"xy",""))</f>
        <v>xx</v>
      </c>
      <c r="Q1985" s="317" t="str">
        <f t="shared" si="508"/>
        <v>x</v>
      </c>
      <c r="R1985" s="317" t="str">
        <f t="shared" si="509"/>
        <v>x</v>
      </c>
      <c r="S1985" s="317" t="str">
        <f t="shared" si="510"/>
        <v/>
      </c>
      <c r="V1985" s="314">
        <f>SUM(ORÇAMENTO!N1985)</f>
        <v>0</v>
      </c>
      <c r="W1985" s="315">
        <f t="shared" si="511"/>
        <v>0</v>
      </c>
    </row>
    <row r="1986" spans="1:23">
      <c r="A1986" s="63" t="s">
        <v>147</v>
      </c>
      <c r="B1986" s="870" t="s">
        <v>147</v>
      </c>
      <c r="C1986" s="871"/>
      <c r="D1986" s="881" t="s">
        <v>229</v>
      </c>
      <c r="E1986" s="882">
        <v>290</v>
      </c>
      <c r="F1986" s="883">
        <v>2.52E-2</v>
      </c>
      <c r="G1986" s="923">
        <f t="shared" ref="G1986:G1987" si="524">IF(E1986&lt;=30,(1.07*E1986+2.68)*F1986,((1.07*30+2.68)+1.07*(E1986-30))*F1986)</f>
        <v>7.8870960000000006</v>
      </c>
      <c r="H1986" s="876"/>
      <c r="I1986" s="876"/>
      <c r="J1986" s="877">
        <f t="shared" si="522"/>
        <v>0</v>
      </c>
      <c r="K1986" s="878"/>
      <c r="L1986" s="1013">
        <f>ROUND(SUM(ORÇAMENTO!L1986),2)</f>
        <v>0</v>
      </c>
      <c r="M1986" s="1013">
        <f t="shared" si="506"/>
        <v>0</v>
      </c>
      <c r="N1986" s="868">
        <f t="shared" si="507"/>
        <v>0</v>
      </c>
      <c r="O1986" s="880"/>
      <c r="P1986" s="36" t="str">
        <f>IF(N1984&gt;0,"xx",IF(N1984&gt;0,"xy",""))</f>
        <v>xx</v>
      </c>
      <c r="Q1986" s="317" t="str">
        <f t="shared" si="508"/>
        <v>x</v>
      </c>
      <c r="R1986" s="317" t="str">
        <f t="shared" si="509"/>
        <v>x</v>
      </c>
      <c r="S1986" s="317" t="str">
        <f t="shared" si="510"/>
        <v/>
      </c>
      <c r="V1986" s="314">
        <f>SUM(ORÇAMENTO!N1986)</f>
        <v>0</v>
      </c>
      <c r="W1986" s="315">
        <f t="shared" si="511"/>
        <v>0</v>
      </c>
    </row>
    <row r="1987" spans="1:23" ht="13.5" thickBot="1">
      <c r="A1987" s="63" t="s">
        <v>147</v>
      </c>
      <c r="B1987" s="978" t="s">
        <v>147</v>
      </c>
      <c r="C1987" s="958"/>
      <c r="D1987" s="959" t="s">
        <v>336</v>
      </c>
      <c r="E1987" s="979">
        <v>0.2</v>
      </c>
      <c r="F1987" s="980">
        <v>1</v>
      </c>
      <c r="G1987" s="1382">
        <f t="shared" si="524"/>
        <v>2.8940000000000001</v>
      </c>
      <c r="H1987" s="962"/>
      <c r="I1987" s="962"/>
      <c r="J1987" s="963">
        <f t="shared" si="522"/>
        <v>0</v>
      </c>
      <c r="K1987" s="964"/>
      <c r="L1987" s="1385">
        <f>ROUND(SUM(ORÇAMENTO!L1987),2)</f>
        <v>0</v>
      </c>
      <c r="M1987" s="1385">
        <f t="shared" si="506"/>
        <v>0</v>
      </c>
      <c r="N1987" s="967">
        <f t="shared" si="507"/>
        <v>0</v>
      </c>
      <c r="O1987" s="1372"/>
      <c r="P1987" s="36" t="str">
        <f>IF(N1984&gt;0,"xx",IF(N1984&gt;0,"xy",""))</f>
        <v>xx</v>
      </c>
      <c r="Q1987" s="317" t="str">
        <f t="shared" si="508"/>
        <v>x</v>
      </c>
      <c r="R1987" s="317" t="str">
        <f t="shared" si="509"/>
        <v>x</v>
      </c>
      <c r="S1987" s="317" t="str">
        <f t="shared" si="510"/>
        <v/>
      </c>
      <c r="V1987" s="314">
        <f>SUM(ORÇAMENTO!N1987)</f>
        <v>0</v>
      </c>
      <c r="W1987" s="315">
        <f t="shared" si="511"/>
        <v>0</v>
      </c>
    </row>
    <row r="1988" spans="1:23" hidden="1">
      <c r="A1988" s="63">
        <v>611200</v>
      </c>
      <c r="B1988" s="858" t="s">
        <v>1830</v>
      </c>
      <c r="C1988" s="859" t="s">
        <v>184</v>
      </c>
      <c r="D1988" s="920" t="s">
        <v>2002</v>
      </c>
      <c r="E1988" s="1005"/>
      <c r="F1988" s="921"/>
      <c r="G1988" s="923">
        <f>SUM(G1989:G1991)</f>
        <v>73.691907999999998</v>
      </c>
      <c r="H1988" s="864">
        <v>1026.27</v>
      </c>
      <c r="I1988" s="864">
        <f>IF(ISBLANK(H1988),"",SUM(G1988:H1988))</f>
        <v>1099.961908</v>
      </c>
      <c r="J1988" s="865">
        <f t="shared" si="522"/>
        <v>1344.37</v>
      </c>
      <c r="K1988" s="866" t="s">
        <v>13</v>
      </c>
      <c r="L1988" s="1013">
        <f>ROUND(SUM(ORÇAMENTO!L1988),2)</f>
        <v>0</v>
      </c>
      <c r="M1988" s="1013">
        <f t="shared" si="506"/>
        <v>0</v>
      </c>
      <c r="N1988" s="907">
        <f t="shared" si="507"/>
        <v>0</v>
      </c>
      <c r="O1988" s="880"/>
      <c r="Q1988" s="317" t="str">
        <f t="shared" si="508"/>
        <v/>
      </c>
      <c r="R1988" s="317" t="str">
        <f t="shared" si="509"/>
        <v/>
      </c>
      <c r="S1988" s="317" t="str">
        <f t="shared" si="510"/>
        <v/>
      </c>
      <c r="V1988" s="314">
        <f>SUM(ORÇAMENTO!N1988)</f>
        <v>0</v>
      </c>
      <c r="W1988" s="315">
        <f t="shared" si="511"/>
        <v>0</v>
      </c>
    </row>
    <row r="1989" spans="1:23" hidden="1">
      <c r="A1989" s="63" t="s">
        <v>147</v>
      </c>
      <c r="B1989" s="870" t="s">
        <v>147</v>
      </c>
      <c r="C1989" s="871"/>
      <c r="D1989" s="881" t="s">
        <v>190</v>
      </c>
      <c r="E1989" s="882">
        <f>DMT!$D$41</f>
        <v>445</v>
      </c>
      <c r="F1989" s="883">
        <v>6.4999999999999997E-3</v>
      </c>
      <c r="G1989" s="884">
        <f>IF(E1989&lt;=30,(0.78*E1989+7.82)*F1989,((0.78*30+7.82)+0.78*(E1989-30))*F1989)</f>
        <v>2.3069799999999998</v>
      </c>
      <c r="H1989" s="876"/>
      <c r="I1989" s="876"/>
      <c r="J1989" s="877">
        <f t="shared" si="522"/>
        <v>0</v>
      </c>
      <c r="K1989" s="878"/>
      <c r="L1989" s="1013">
        <f>ROUND(SUM(ORÇAMENTO!L1989),2)</f>
        <v>0</v>
      </c>
      <c r="M1989" s="1013">
        <f t="shared" si="506"/>
        <v>0</v>
      </c>
      <c r="N1989" s="868">
        <f t="shared" si="507"/>
        <v>0</v>
      </c>
      <c r="O1989" s="880"/>
      <c r="P1989" s="36" t="str">
        <f>IF(N1988&gt;0,"xx",IF(N1988&gt;0,"xy",""))</f>
        <v/>
      </c>
      <c r="Q1989" s="317" t="str">
        <f t="shared" si="508"/>
        <v/>
      </c>
      <c r="R1989" s="317" t="str">
        <f t="shared" si="509"/>
        <v/>
      </c>
      <c r="S1989" s="317" t="str">
        <f t="shared" si="510"/>
        <v/>
      </c>
      <c r="V1989" s="314">
        <f>SUM(ORÇAMENTO!N1989)</f>
        <v>0</v>
      </c>
      <c r="W1989" s="315">
        <f t="shared" si="511"/>
        <v>0</v>
      </c>
    </row>
    <row r="1990" spans="1:23" hidden="1">
      <c r="A1990" s="63" t="s">
        <v>147</v>
      </c>
      <c r="B1990" s="870" t="s">
        <v>147</v>
      </c>
      <c r="C1990" s="871"/>
      <c r="D1990" s="881" t="s">
        <v>229</v>
      </c>
      <c r="E1990" s="882">
        <f>DMT!$F$39</f>
        <v>290</v>
      </c>
      <c r="F1990" s="883">
        <v>3.3599999999999998E-2</v>
      </c>
      <c r="G1990" s="923">
        <f t="shared" ref="G1990:G1991" si="525">IF(E1990&lt;=30,(1.07*E1990+2.68)*F1990,((1.07*30+2.68)+1.07*(E1990-30))*F1990)</f>
        <v>10.516128</v>
      </c>
      <c r="H1990" s="876"/>
      <c r="I1990" s="876"/>
      <c r="J1990" s="877">
        <f t="shared" si="522"/>
        <v>0</v>
      </c>
      <c r="K1990" s="878"/>
      <c r="L1990" s="1013">
        <f>ROUND(SUM(ORÇAMENTO!L1990),2)</f>
        <v>0</v>
      </c>
      <c r="M1990" s="1013">
        <f t="shared" si="506"/>
        <v>0</v>
      </c>
      <c r="N1990" s="868">
        <f t="shared" si="507"/>
        <v>0</v>
      </c>
      <c r="O1990" s="880"/>
      <c r="P1990" s="36" t="str">
        <f>IF(N1988&gt;0,"xx",IF(N1988&gt;0,"xy",""))</f>
        <v/>
      </c>
      <c r="Q1990" s="317" t="str">
        <f t="shared" si="508"/>
        <v/>
      </c>
      <c r="R1990" s="317" t="str">
        <f t="shared" si="509"/>
        <v/>
      </c>
      <c r="S1990" s="317" t="str">
        <f t="shared" si="510"/>
        <v/>
      </c>
      <c r="V1990" s="314">
        <f>SUM(ORÇAMENTO!N1990)</f>
        <v>0</v>
      </c>
      <c r="W1990" s="315">
        <f t="shared" si="511"/>
        <v>0</v>
      </c>
    </row>
    <row r="1991" spans="1:23" hidden="1">
      <c r="A1991" s="63" t="s">
        <v>147</v>
      </c>
      <c r="B1991" s="870" t="s">
        <v>147</v>
      </c>
      <c r="C1991" s="871"/>
      <c r="D1991" s="881" t="s">
        <v>336</v>
      </c>
      <c r="E1991" s="882">
        <f>DMT!$F$38</f>
        <v>37</v>
      </c>
      <c r="F1991" s="883">
        <v>1.44</v>
      </c>
      <c r="G1991" s="923">
        <f t="shared" si="525"/>
        <v>60.8688</v>
      </c>
      <c r="H1991" s="876"/>
      <c r="I1991" s="876"/>
      <c r="J1991" s="877">
        <f t="shared" si="522"/>
        <v>0</v>
      </c>
      <c r="K1991" s="878"/>
      <c r="L1991" s="1013">
        <f>ROUND(SUM(ORÇAMENTO!L1991),2)</f>
        <v>0</v>
      </c>
      <c r="M1991" s="1013">
        <f t="shared" si="506"/>
        <v>0</v>
      </c>
      <c r="N1991" s="868">
        <f t="shared" si="507"/>
        <v>0</v>
      </c>
      <c r="O1991" s="880"/>
      <c r="P1991" s="36" t="str">
        <f>IF(N1988&gt;0,"xx",IF(N1988&gt;0,"xy",""))</f>
        <v/>
      </c>
      <c r="Q1991" s="317" t="str">
        <f t="shared" si="508"/>
        <v/>
      </c>
      <c r="R1991" s="317" t="str">
        <f t="shared" si="509"/>
        <v/>
      </c>
      <c r="S1991" s="317" t="str">
        <f t="shared" si="510"/>
        <v/>
      </c>
      <c r="V1991" s="314">
        <f>SUM(ORÇAMENTO!N1991)</f>
        <v>0</v>
      </c>
      <c r="W1991" s="315">
        <f t="shared" si="511"/>
        <v>0</v>
      </c>
    </row>
    <row r="1992" spans="1:23" hidden="1">
      <c r="A1992" s="63">
        <v>611400</v>
      </c>
      <c r="B1992" s="870" t="s">
        <v>1832</v>
      </c>
      <c r="C1992" s="871" t="s">
        <v>184</v>
      </c>
      <c r="D1992" s="881" t="s">
        <v>2003</v>
      </c>
      <c r="E1992" s="882"/>
      <c r="F1992" s="883"/>
      <c r="G1992" s="887">
        <f>SUM(G1993:G1995)</f>
        <v>85.765512000000001</v>
      </c>
      <c r="H1992" s="876">
        <v>1267.57</v>
      </c>
      <c r="I1992" s="876">
        <f>IF(ISBLANK(H1992),"",SUM(G1992:H1992))</f>
        <v>1353.3355119999999</v>
      </c>
      <c r="J1992" s="877">
        <f t="shared" si="522"/>
        <v>1654.05</v>
      </c>
      <c r="K1992" s="878" t="s">
        <v>13</v>
      </c>
      <c r="L1992" s="1013">
        <f>ROUND(SUM(ORÇAMENTO!L1992),2)</f>
        <v>0</v>
      </c>
      <c r="M1992" s="1013">
        <f t="shared" si="506"/>
        <v>0</v>
      </c>
      <c r="N1992" s="868">
        <f t="shared" si="507"/>
        <v>0</v>
      </c>
      <c r="O1992" s="880"/>
      <c r="Q1992" s="317" t="str">
        <f t="shared" si="508"/>
        <v/>
      </c>
      <c r="R1992" s="317" t="str">
        <f t="shared" si="509"/>
        <v/>
      </c>
      <c r="S1992" s="317" t="str">
        <f t="shared" si="510"/>
        <v/>
      </c>
      <c r="V1992" s="314">
        <f>SUM(ORÇAMENTO!N1992)</f>
        <v>0</v>
      </c>
      <c r="W1992" s="315">
        <f t="shared" si="511"/>
        <v>0</v>
      </c>
    </row>
    <row r="1993" spans="1:23" hidden="1">
      <c r="A1993" s="63" t="s">
        <v>147</v>
      </c>
      <c r="B1993" s="870" t="s">
        <v>147</v>
      </c>
      <c r="C1993" s="871"/>
      <c r="D1993" s="881" t="s">
        <v>190</v>
      </c>
      <c r="E1993" s="882">
        <f>DMT!$D$41</f>
        <v>445</v>
      </c>
      <c r="F1993" s="883">
        <v>8.0999999999999996E-3</v>
      </c>
      <c r="G1993" s="884">
        <f>IF(E1993&lt;=30,(0.78*E1993+7.82)*F1993,((0.78*30+7.82)+0.78*(E1993-30))*F1993)</f>
        <v>2.8748520000000002</v>
      </c>
      <c r="H1993" s="876"/>
      <c r="I1993" s="876"/>
      <c r="J1993" s="877">
        <f t="shared" si="522"/>
        <v>0</v>
      </c>
      <c r="K1993" s="878"/>
      <c r="L1993" s="1013">
        <f>ROUND(SUM(ORÇAMENTO!L1993),2)</f>
        <v>0</v>
      </c>
      <c r="M1993" s="1013">
        <f t="shared" si="506"/>
        <v>0</v>
      </c>
      <c r="N1993" s="868">
        <f t="shared" si="507"/>
        <v>0</v>
      </c>
      <c r="O1993" s="880"/>
      <c r="P1993" s="36" t="str">
        <f>IF(N1992&gt;0,"xx",IF(N1992&gt;0,"xy",""))</f>
        <v/>
      </c>
      <c r="Q1993" s="317" t="str">
        <f t="shared" si="508"/>
        <v/>
      </c>
      <c r="R1993" s="317" t="str">
        <f t="shared" si="509"/>
        <v/>
      </c>
      <c r="S1993" s="317" t="str">
        <f t="shared" si="510"/>
        <v/>
      </c>
      <c r="V1993" s="314">
        <f>SUM(ORÇAMENTO!N1993)</f>
        <v>0</v>
      </c>
      <c r="W1993" s="315">
        <f t="shared" si="511"/>
        <v>0</v>
      </c>
    </row>
    <row r="1994" spans="1:23" hidden="1">
      <c r="A1994" s="63" t="s">
        <v>147</v>
      </c>
      <c r="B1994" s="870" t="s">
        <v>147</v>
      </c>
      <c r="C1994" s="871"/>
      <c r="D1994" s="881" t="s">
        <v>229</v>
      </c>
      <c r="E1994" s="882">
        <f>DMT!$F$39</f>
        <v>290</v>
      </c>
      <c r="F1994" s="883">
        <v>4.2000000000000003E-2</v>
      </c>
      <c r="G1994" s="923">
        <f t="shared" ref="G1994:G1995" si="526">IF(E1994&lt;=30,(1.07*E1994+2.68)*F1994,((1.07*30+2.68)+1.07*(E1994-30))*F1994)</f>
        <v>13.145160000000002</v>
      </c>
      <c r="H1994" s="876"/>
      <c r="I1994" s="876"/>
      <c r="J1994" s="877">
        <f t="shared" si="522"/>
        <v>0</v>
      </c>
      <c r="K1994" s="878"/>
      <c r="L1994" s="1013">
        <f>ROUND(SUM(ORÇAMENTO!L1994),2)</f>
        <v>0</v>
      </c>
      <c r="M1994" s="1013">
        <f t="shared" si="506"/>
        <v>0</v>
      </c>
      <c r="N1994" s="868">
        <f t="shared" si="507"/>
        <v>0</v>
      </c>
      <c r="O1994" s="880"/>
      <c r="P1994" s="36" t="str">
        <f>IF(N1992&gt;0,"xx",IF(N1992&gt;0,"xy",""))</f>
        <v/>
      </c>
      <c r="Q1994" s="317" t="str">
        <f t="shared" si="508"/>
        <v/>
      </c>
      <c r="R1994" s="317" t="str">
        <f t="shared" si="509"/>
        <v/>
      </c>
      <c r="S1994" s="317" t="str">
        <f t="shared" si="510"/>
        <v/>
      </c>
      <c r="V1994" s="314">
        <f>SUM(ORÇAMENTO!N1994)</f>
        <v>0</v>
      </c>
      <c r="W1994" s="315">
        <f t="shared" si="511"/>
        <v>0</v>
      </c>
    </row>
    <row r="1995" spans="1:23" hidden="1">
      <c r="A1995" s="63" t="s">
        <v>147</v>
      </c>
      <c r="B1995" s="870" t="s">
        <v>147</v>
      </c>
      <c r="C1995" s="871"/>
      <c r="D1995" s="881" t="s">
        <v>336</v>
      </c>
      <c r="E1995" s="882">
        <f>DMT!$F$38</f>
        <v>37</v>
      </c>
      <c r="F1995" s="883">
        <v>1.65</v>
      </c>
      <c r="G1995" s="923">
        <f t="shared" si="526"/>
        <v>69.745500000000007</v>
      </c>
      <c r="H1995" s="876"/>
      <c r="I1995" s="876"/>
      <c r="J1995" s="877">
        <f t="shared" si="522"/>
        <v>0</v>
      </c>
      <c r="K1995" s="878"/>
      <c r="L1995" s="1013">
        <f>ROUND(SUM(ORÇAMENTO!L1995),2)</f>
        <v>0</v>
      </c>
      <c r="M1995" s="1013">
        <f t="shared" si="506"/>
        <v>0</v>
      </c>
      <c r="N1995" s="868">
        <f t="shared" si="507"/>
        <v>0</v>
      </c>
      <c r="O1995" s="880"/>
      <c r="P1995" s="36" t="str">
        <f>IF(N1992&gt;0,"xx",IF(N1992&gt;0,"xy",""))</f>
        <v/>
      </c>
      <c r="Q1995" s="317" t="str">
        <f t="shared" si="508"/>
        <v/>
      </c>
      <c r="R1995" s="317" t="str">
        <f t="shared" si="509"/>
        <v/>
      </c>
      <c r="S1995" s="317" t="str">
        <f t="shared" si="510"/>
        <v/>
      </c>
      <c r="V1995" s="314">
        <f>SUM(ORÇAMENTO!N1995)</f>
        <v>0</v>
      </c>
      <c r="W1995" s="315">
        <f t="shared" si="511"/>
        <v>0</v>
      </c>
    </row>
    <row r="1996" spans="1:23" hidden="1">
      <c r="A1996" s="63">
        <v>611400</v>
      </c>
      <c r="B1996" s="870" t="s">
        <v>1833</v>
      </c>
      <c r="C1996" s="871" t="s">
        <v>184</v>
      </c>
      <c r="D1996" s="881" t="s">
        <v>2004</v>
      </c>
      <c r="E1996" s="882"/>
      <c r="F1996" s="883"/>
      <c r="G1996" s="887">
        <f>SUM(G1997:G1999)</f>
        <v>103.58745500000001</v>
      </c>
      <c r="H1996" s="876">
        <v>1267.57</v>
      </c>
      <c r="I1996" s="876">
        <f>IF(ISBLANK(H1996),"",SUM(G1996:H1996))</f>
        <v>1371.157455</v>
      </c>
      <c r="J1996" s="877">
        <f t="shared" si="522"/>
        <v>1675.83</v>
      </c>
      <c r="K1996" s="878" t="s">
        <v>13</v>
      </c>
      <c r="L1996" s="1013">
        <f>ROUND(SUM(ORÇAMENTO!L1996),2)</f>
        <v>0</v>
      </c>
      <c r="M1996" s="1013">
        <f t="shared" si="506"/>
        <v>0</v>
      </c>
      <c r="N1996" s="868">
        <f t="shared" si="507"/>
        <v>0</v>
      </c>
      <c r="O1996" s="880"/>
      <c r="Q1996" s="317" t="str">
        <f t="shared" si="508"/>
        <v/>
      </c>
      <c r="R1996" s="317" t="str">
        <f t="shared" si="509"/>
        <v/>
      </c>
      <c r="S1996" s="317" t="str">
        <f t="shared" si="510"/>
        <v/>
      </c>
      <c r="V1996" s="314">
        <f>SUM(ORÇAMENTO!N1996)</f>
        <v>0</v>
      </c>
      <c r="W1996" s="315">
        <f t="shared" si="511"/>
        <v>0</v>
      </c>
    </row>
    <row r="1997" spans="1:23" hidden="1">
      <c r="A1997" s="63" t="s">
        <v>147</v>
      </c>
      <c r="B1997" s="870" t="s">
        <v>147</v>
      </c>
      <c r="C1997" s="871"/>
      <c r="D1997" s="881" t="s">
        <v>190</v>
      </c>
      <c r="E1997" s="882">
        <f>DMT!$D$41</f>
        <v>445</v>
      </c>
      <c r="F1997" s="883">
        <v>9.1999999999999998E-3</v>
      </c>
      <c r="G1997" s="884">
        <f>IF(E1997&lt;=30,(0.78*E1997+7.82)*F1997,((0.78*30+7.82)+0.78*(E1997-30))*F1997)</f>
        <v>3.2652640000000002</v>
      </c>
      <c r="H1997" s="876"/>
      <c r="I1997" s="876"/>
      <c r="J1997" s="877">
        <f t="shared" si="522"/>
        <v>0</v>
      </c>
      <c r="K1997" s="878"/>
      <c r="L1997" s="1013">
        <f>ROUND(SUM(ORÇAMENTO!L1997),2)</f>
        <v>0</v>
      </c>
      <c r="M1997" s="1013">
        <f t="shared" si="506"/>
        <v>0</v>
      </c>
      <c r="N1997" s="868">
        <f t="shared" si="507"/>
        <v>0</v>
      </c>
      <c r="O1997" s="880"/>
      <c r="P1997" s="36" t="str">
        <f>IF(N1996&gt;0,"xx",IF(N1996&gt;0,"xy",""))</f>
        <v/>
      </c>
      <c r="Q1997" s="317" t="str">
        <f t="shared" si="508"/>
        <v/>
      </c>
      <c r="R1997" s="317" t="str">
        <f t="shared" si="509"/>
        <v/>
      </c>
      <c r="S1997" s="317" t="str">
        <f t="shared" si="510"/>
        <v/>
      </c>
      <c r="V1997" s="314">
        <f>SUM(ORÇAMENTO!N1997)</f>
        <v>0</v>
      </c>
      <c r="W1997" s="315">
        <f t="shared" si="511"/>
        <v>0</v>
      </c>
    </row>
    <row r="1998" spans="1:23" hidden="1">
      <c r="A1998" s="63" t="s">
        <v>147</v>
      </c>
      <c r="B1998" s="870" t="s">
        <v>147</v>
      </c>
      <c r="C1998" s="871"/>
      <c r="D1998" s="881" t="s">
        <v>229</v>
      </c>
      <c r="E1998" s="882">
        <f>DMT!$F$39</f>
        <v>290</v>
      </c>
      <c r="F1998" s="883">
        <v>4.7899999999999998E-2</v>
      </c>
      <c r="G1998" s="923">
        <f t="shared" ref="G1998:G1999" si="527">IF(E1998&lt;=30,(1.07*E1998+2.68)*F1998,((1.07*30+2.68)+1.07*(E1998-30))*F1998)</f>
        <v>14.991742</v>
      </c>
      <c r="H1998" s="876"/>
      <c r="I1998" s="876"/>
      <c r="J1998" s="877">
        <f t="shared" si="522"/>
        <v>0</v>
      </c>
      <c r="K1998" s="878"/>
      <c r="L1998" s="1013">
        <f>ROUND(SUM(ORÇAMENTO!L1998),2)</f>
        <v>0</v>
      </c>
      <c r="M1998" s="1013">
        <f t="shared" si="506"/>
        <v>0</v>
      </c>
      <c r="N1998" s="868">
        <f t="shared" si="507"/>
        <v>0</v>
      </c>
      <c r="O1998" s="880"/>
      <c r="P1998" s="36" t="str">
        <f>IF(N1996&gt;0,"xx",IF(N1996&gt;0,"xy",""))</f>
        <v/>
      </c>
      <c r="Q1998" s="317" t="str">
        <f t="shared" si="508"/>
        <v/>
      </c>
      <c r="R1998" s="317" t="str">
        <f t="shared" si="509"/>
        <v/>
      </c>
      <c r="S1998" s="317" t="str">
        <f t="shared" si="510"/>
        <v/>
      </c>
      <c r="V1998" s="314">
        <f>SUM(ORÇAMENTO!N1998)</f>
        <v>0</v>
      </c>
      <c r="W1998" s="315">
        <f t="shared" si="511"/>
        <v>0</v>
      </c>
    </row>
    <row r="1999" spans="1:23" hidden="1">
      <c r="A1999" s="63" t="s">
        <v>147</v>
      </c>
      <c r="B1999" s="870" t="s">
        <v>147</v>
      </c>
      <c r="C1999" s="871"/>
      <c r="D1999" s="881" t="s">
        <v>336</v>
      </c>
      <c r="E1999" s="882">
        <f>DMT!$F$38</f>
        <v>37</v>
      </c>
      <c r="F1999" s="883">
        <v>2.0186999999999999</v>
      </c>
      <c r="G1999" s="923">
        <f t="shared" si="527"/>
        <v>85.330449000000002</v>
      </c>
      <c r="H1999" s="876"/>
      <c r="I1999" s="876"/>
      <c r="J1999" s="877">
        <f t="shared" si="522"/>
        <v>0</v>
      </c>
      <c r="K1999" s="878"/>
      <c r="L1999" s="1013">
        <f>ROUND(SUM(ORÇAMENTO!L1999),2)</f>
        <v>0</v>
      </c>
      <c r="M1999" s="1013">
        <f t="shared" si="506"/>
        <v>0</v>
      </c>
      <c r="N1999" s="868">
        <f t="shared" si="507"/>
        <v>0</v>
      </c>
      <c r="O1999" s="880"/>
      <c r="P1999" s="36" t="str">
        <f>IF(N1996&gt;0,"xx",IF(N1996&gt;0,"xy",""))</f>
        <v/>
      </c>
      <c r="Q1999" s="317" t="str">
        <f t="shared" si="508"/>
        <v/>
      </c>
      <c r="R1999" s="317" t="str">
        <f t="shared" si="509"/>
        <v/>
      </c>
      <c r="S1999" s="317" t="str">
        <f t="shared" si="510"/>
        <v/>
      </c>
      <c r="V1999" s="314">
        <f>SUM(ORÇAMENTO!N1999)</f>
        <v>0</v>
      </c>
      <c r="W1999" s="315">
        <f t="shared" si="511"/>
        <v>0</v>
      </c>
    </row>
    <row r="2000" spans="1:23" hidden="1">
      <c r="A2000" s="63">
        <v>611600</v>
      </c>
      <c r="B2000" s="870" t="s">
        <v>1836</v>
      </c>
      <c r="C2000" s="871" t="s">
        <v>184</v>
      </c>
      <c r="D2000" s="881" t="s">
        <v>2005</v>
      </c>
      <c r="E2000" s="882"/>
      <c r="F2000" s="883"/>
      <c r="G2000" s="887">
        <f>SUM(G2001:G2003)</f>
        <v>110.097416</v>
      </c>
      <c r="H2000" s="876">
        <v>3058.31</v>
      </c>
      <c r="I2000" s="876">
        <f>IF(ISBLANK(H2000),"",SUM(G2000:H2000))</f>
        <v>3168.407416</v>
      </c>
      <c r="J2000" s="877">
        <f t="shared" si="522"/>
        <v>3872.43</v>
      </c>
      <c r="K2000" s="878" t="s">
        <v>13</v>
      </c>
      <c r="L2000" s="1013">
        <f>ROUND(SUM(ORÇAMENTO!L2000),2)</f>
        <v>0</v>
      </c>
      <c r="M2000" s="1013">
        <f t="shared" si="506"/>
        <v>0</v>
      </c>
      <c r="N2000" s="868">
        <f t="shared" si="507"/>
        <v>0</v>
      </c>
      <c r="O2000" s="880"/>
      <c r="Q2000" s="317" t="str">
        <f t="shared" si="508"/>
        <v/>
      </c>
      <c r="R2000" s="317" t="str">
        <f t="shared" si="509"/>
        <v/>
      </c>
      <c r="S2000" s="317" t="str">
        <f t="shared" si="510"/>
        <v/>
      </c>
      <c r="V2000" s="314">
        <f>SUM(ORÇAMENTO!N2000)</f>
        <v>0</v>
      </c>
      <c r="W2000" s="315">
        <f t="shared" si="511"/>
        <v>0</v>
      </c>
    </row>
    <row r="2001" spans="1:23" hidden="1">
      <c r="A2001" s="63" t="s">
        <v>147</v>
      </c>
      <c r="B2001" s="870" t="s">
        <v>147</v>
      </c>
      <c r="C2001" s="871"/>
      <c r="D2001" s="881" t="s">
        <v>190</v>
      </c>
      <c r="E2001" s="882">
        <f>DMT!$D$41</f>
        <v>445</v>
      </c>
      <c r="F2001" s="883">
        <v>9.7000000000000003E-3</v>
      </c>
      <c r="G2001" s="884">
        <f>IF(E2001&lt;=30,(0.78*E2001+7.82)*F2001,((0.78*30+7.82)+0.78*(E2001-30))*F2001)</f>
        <v>3.4427240000000001</v>
      </c>
      <c r="H2001" s="876"/>
      <c r="I2001" s="876"/>
      <c r="J2001" s="877">
        <f t="shared" si="522"/>
        <v>0</v>
      </c>
      <c r="K2001" s="878"/>
      <c r="L2001" s="1013">
        <f>ROUND(SUM(ORÇAMENTO!L2001),2)</f>
        <v>0</v>
      </c>
      <c r="M2001" s="1013">
        <f t="shared" si="506"/>
        <v>0</v>
      </c>
      <c r="N2001" s="868">
        <f t="shared" si="507"/>
        <v>0</v>
      </c>
      <c r="O2001" s="880"/>
      <c r="P2001" s="36" t="str">
        <f>IF(N2000&gt;0,"xx",IF(N2000&gt;0,"xy",""))</f>
        <v/>
      </c>
      <c r="Q2001" s="317" t="str">
        <f t="shared" si="508"/>
        <v/>
      </c>
      <c r="R2001" s="317" t="str">
        <f t="shared" si="509"/>
        <v/>
      </c>
      <c r="S2001" s="317" t="str">
        <f t="shared" si="510"/>
        <v/>
      </c>
      <c r="V2001" s="314">
        <f>SUM(ORÇAMENTO!N2001)</f>
        <v>0</v>
      </c>
      <c r="W2001" s="315">
        <f t="shared" si="511"/>
        <v>0</v>
      </c>
    </row>
    <row r="2002" spans="1:23" hidden="1">
      <c r="A2002" s="63" t="s">
        <v>147</v>
      </c>
      <c r="B2002" s="870" t="s">
        <v>147</v>
      </c>
      <c r="C2002" s="871"/>
      <c r="D2002" s="881" t="s">
        <v>229</v>
      </c>
      <c r="E2002" s="882">
        <f>DMT!$F$39</f>
        <v>290</v>
      </c>
      <c r="F2002" s="883">
        <v>5.04E-2</v>
      </c>
      <c r="G2002" s="923">
        <f t="shared" ref="G2002:G2003" si="528">IF(E2002&lt;=30,(1.07*E2002+2.68)*F2002,((1.07*30+2.68)+1.07*(E2002-30))*F2002)</f>
        <v>15.774192000000001</v>
      </c>
      <c r="H2002" s="876"/>
      <c r="I2002" s="876"/>
      <c r="J2002" s="877">
        <f t="shared" si="522"/>
        <v>0</v>
      </c>
      <c r="K2002" s="878"/>
      <c r="L2002" s="1013">
        <f>ROUND(SUM(ORÇAMENTO!L2002),2)</f>
        <v>0</v>
      </c>
      <c r="M2002" s="1013">
        <f t="shared" ref="M2002:M2065" si="529">IF(L2002=0,0,ROUND(J2002,2))</f>
        <v>0</v>
      </c>
      <c r="N2002" s="868">
        <f t="shared" ref="N2002:N2065" si="530">IF(ISBLANK(L2002),0,ROUND(L2002*M2002,2))</f>
        <v>0</v>
      </c>
      <c r="O2002" s="880"/>
      <c r="P2002" s="36" t="str">
        <f>IF(N2000&gt;0,"xx",IF(N2000&gt;0,"xy",""))</f>
        <v/>
      </c>
      <c r="Q2002" s="317" t="str">
        <f t="shared" ref="Q2002:Q2065" si="531">IF(P2002="X","x",IF(P2002="xx","x",IF(P2002="xy","x",IF(P2002="y","x",IF(OR(N2002&gt;0,N2002&gt;0),"x","")))))</f>
        <v/>
      </c>
      <c r="R2002" s="317" t="str">
        <f t="shared" ref="R2002:R2065" si="532">IF(P2002="X","x",IF(P2002="y","x",IF(P2002="xx","x",IF(N2002&gt;0,"x",""))))</f>
        <v/>
      </c>
      <c r="S2002" s="317" t="str">
        <f t="shared" ref="S2002:S2065" si="533">IF(P2002="X","x",IF(N2002&gt;0,"x",""))</f>
        <v/>
      </c>
      <c r="V2002" s="314">
        <f>SUM(ORÇAMENTO!N2002)</f>
        <v>0</v>
      </c>
      <c r="W2002" s="315">
        <f t="shared" si="511"/>
        <v>0</v>
      </c>
    </row>
    <row r="2003" spans="1:23" hidden="1">
      <c r="A2003" s="63" t="s">
        <v>147</v>
      </c>
      <c r="B2003" s="870" t="s">
        <v>147</v>
      </c>
      <c r="C2003" s="871"/>
      <c r="D2003" s="881" t="s">
        <v>336</v>
      </c>
      <c r="E2003" s="882">
        <f>DMT!$F$38</f>
        <v>37</v>
      </c>
      <c r="F2003" s="883">
        <v>2.15</v>
      </c>
      <c r="G2003" s="923">
        <f t="shared" si="528"/>
        <v>90.880499999999998</v>
      </c>
      <c r="H2003" s="876"/>
      <c r="I2003" s="876"/>
      <c r="J2003" s="877">
        <f t="shared" si="522"/>
        <v>0</v>
      </c>
      <c r="K2003" s="878"/>
      <c r="L2003" s="1013">
        <f>ROUND(SUM(ORÇAMENTO!L2003),2)</f>
        <v>0</v>
      </c>
      <c r="M2003" s="1013">
        <f t="shared" si="529"/>
        <v>0</v>
      </c>
      <c r="N2003" s="868">
        <f t="shared" si="530"/>
        <v>0</v>
      </c>
      <c r="O2003" s="880"/>
      <c r="P2003" s="36" t="str">
        <f>IF(N2000&gt;0,"xx",IF(N2000&gt;0,"xy",""))</f>
        <v/>
      </c>
      <c r="Q2003" s="317" t="str">
        <f t="shared" si="531"/>
        <v/>
      </c>
      <c r="R2003" s="317" t="str">
        <f t="shared" si="532"/>
        <v/>
      </c>
      <c r="S2003" s="317" t="str">
        <f t="shared" si="533"/>
        <v/>
      </c>
      <c r="V2003" s="314">
        <f>SUM(ORÇAMENTO!N2003)</f>
        <v>0</v>
      </c>
      <c r="W2003" s="315">
        <f t="shared" si="511"/>
        <v>0</v>
      </c>
    </row>
    <row r="2004" spans="1:23" hidden="1">
      <c r="A2004" s="63">
        <v>610400</v>
      </c>
      <c r="B2004" s="870" t="s">
        <v>1810</v>
      </c>
      <c r="C2004" s="871" t="s">
        <v>184</v>
      </c>
      <c r="D2004" s="881" t="s">
        <v>2006</v>
      </c>
      <c r="E2004" s="882"/>
      <c r="F2004" s="883"/>
      <c r="G2004" s="887">
        <f>SUM(G2005:G2007)</f>
        <v>10.440538</v>
      </c>
      <c r="H2004" s="876">
        <v>149.34</v>
      </c>
      <c r="I2004" s="876">
        <f>IF(ISBLANK(H2004),"",SUM(G2004:H2004))</f>
        <v>159.78053800000001</v>
      </c>
      <c r="J2004" s="877">
        <f t="shared" si="522"/>
        <v>195.28</v>
      </c>
      <c r="K2004" s="878" t="s">
        <v>13</v>
      </c>
      <c r="L2004" s="1013">
        <f>ROUND(SUM(ORÇAMENTO!L2004),2)</f>
        <v>0</v>
      </c>
      <c r="M2004" s="1013">
        <f t="shared" si="529"/>
        <v>0</v>
      </c>
      <c r="N2004" s="868">
        <f t="shared" si="530"/>
        <v>0</v>
      </c>
      <c r="O2004" s="880"/>
      <c r="Q2004" s="317" t="str">
        <f t="shared" si="531"/>
        <v/>
      </c>
      <c r="R2004" s="317" t="str">
        <f t="shared" si="532"/>
        <v/>
      </c>
      <c r="S2004" s="317" t="str">
        <f t="shared" si="533"/>
        <v/>
      </c>
      <c r="V2004" s="314">
        <f>SUM(ORÇAMENTO!N2004)</f>
        <v>0</v>
      </c>
      <c r="W2004" s="315">
        <f t="shared" si="511"/>
        <v>0</v>
      </c>
    </row>
    <row r="2005" spans="1:23" hidden="1">
      <c r="A2005" s="63" t="s">
        <v>147</v>
      </c>
      <c r="B2005" s="870" t="s">
        <v>147</v>
      </c>
      <c r="C2005" s="871"/>
      <c r="D2005" s="881" t="s">
        <v>190</v>
      </c>
      <c r="E2005" s="882">
        <f>DMT!$D$41</f>
        <v>445</v>
      </c>
      <c r="F2005" s="883">
        <v>1.9E-3</v>
      </c>
      <c r="G2005" s="884">
        <f>IF(E2005&lt;=30,(0.78*E2005+7.82)*F2005,((0.78*30+7.82)+0.78*(E2005-30))*F2005)</f>
        <v>0.67434800000000006</v>
      </c>
      <c r="H2005" s="876"/>
      <c r="I2005" s="876"/>
      <c r="J2005" s="877">
        <f t="shared" si="522"/>
        <v>0</v>
      </c>
      <c r="K2005" s="878"/>
      <c r="L2005" s="1013">
        <f>ROUND(SUM(ORÇAMENTO!L2005),2)</f>
        <v>0</v>
      </c>
      <c r="M2005" s="1013">
        <f t="shared" si="529"/>
        <v>0</v>
      </c>
      <c r="N2005" s="868">
        <f t="shared" si="530"/>
        <v>0</v>
      </c>
      <c r="O2005" s="880"/>
      <c r="P2005" s="36" t="str">
        <f>IF(N2004&gt;0,"xx",IF(N2004&gt;0,"xy",""))</f>
        <v/>
      </c>
      <c r="Q2005" s="317" t="str">
        <f t="shared" si="531"/>
        <v/>
      </c>
      <c r="R2005" s="317" t="str">
        <f t="shared" si="532"/>
        <v/>
      </c>
      <c r="S2005" s="317" t="str">
        <f t="shared" si="533"/>
        <v/>
      </c>
      <c r="V2005" s="314">
        <f>SUM(ORÇAMENTO!N2005)</f>
        <v>0</v>
      </c>
      <c r="W2005" s="315">
        <f t="shared" ref="W2005:W2068" si="534">N2005-V2005</f>
        <v>0</v>
      </c>
    </row>
    <row r="2006" spans="1:23" hidden="1">
      <c r="A2006" s="63" t="s">
        <v>147</v>
      </c>
      <c r="B2006" s="870" t="s">
        <v>147</v>
      </c>
      <c r="C2006" s="871"/>
      <c r="D2006" s="881" t="s">
        <v>229</v>
      </c>
      <c r="E2006" s="882">
        <f>DMT!$F$39</f>
        <v>290</v>
      </c>
      <c r="F2006" s="883">
        <v>0.01</v>
      </c>
      <c r="G2006" s="923">
        <f t="shared" ref="G2006:G2007" si="535">IF(E2006&lt;=30,(1.07*E2006+2.68)*F2006,((1.07*30+2.68)+1.07*(E2006-30))*F2006)</f>
        <v>3.1298000000000004</v>
      </c>
      <c r="H2006" s="876"/>
      <c r="I2006" s="876"/>
      <c r="J2006" s="877">
        <f t="shared" si="522"/>
        <v>0</v>
      </c>
      <c r="K2006" s="878"/>
      <c r="L2006" s="1013">
        <f>ROUND(SUM(ORÇAMENTO!L2006),2)</f>
        <v>0</v>
      </c>
      <c r="M2006" s="1013">
        <f t="shared" si="529"/>
        <v>0</v>
      </c>
      <c r="N2006" s="868">
        <f t="shared" si="530"/>
        <v>0</v>
      </c>
      <c r="O2006" s="880"/>
      <c r="P2006" s="36" t="str">
        <f>IF(N2004&gt;0,"xx",IF(N2004&gt;0,"xy",""))</f>
        <v/>
      </c>
      <c r="Q2006" s="317" t="str">
        <f t="shared" si="531"/>
        <v/>
      </c>
      <c r="R2006" s="317" t="str">
        <f t="shared" si="532"/>
        <v/>
      </c>
      <c r="S2006" s="317" t="str">
        <f t="shared" si="533"/>
        <v/>
      </c>
      <c r="V2006" s="314">
        <f>SUM(ORÇAMENTO!N2006)</f>
        <v>0</v>
      </c>
      <c r="W2006" s="315">
        <f t="shared" si="534"/>
        <v>0</v>
      </c>
    </row>
    <row r="2007" spans="1:23" hidden="1">
      <c r="A2007" s="63" t="s">
        <v>147</v>
      </c>
      <c r="B2007" s="870" t="s">
        <v>147</v>
      </c>
      <c r="C2007" s="871"/>
      <c r="D2007" s="881" t="s">
        <v>336</v>
      </c>
      <c r="E2007" s="882">
        <f>DMT!$F$38</f>
        <v>37</v>
      </c>
      <c r="F2007" s="883">
        <v>0.157</v>
      </c>
      <c r="G2007" s="923">
        <f t="shared" si="535"/>
        <v>6.6363900000000005</v>
      </c>
      <c r="H2007" s="876"/>
      <c r="I2007" s="876"/>
      <c r="J2007" s="877">
        <f t="shared" si="522"/>
        <v>0</v>
      </c>
      <c r="K2007" s="878"/>
      <c r="L2007" s="1013">
        <f>ROUND(SUM(ORÇAMENTO!L2007),2)</f>
        <v>0</v>
      </c>
      <c r="M2007" s="1013">
        <f t="shared" si="529"/>
        <v>0</v>
      </c>
      <c r="N2007" s="868">
        <f t="shared" si="530"/>
        <v>0</v>
      </c>
      <c r="O2007" s="880"/>
      <c r="P2007" s="36" t="str">
        <f>IF(N2004&gt;0,"xx",IF(N2004&gt;0,"xy",""))</f>
        <v/>
      </c>
      <c r="Q2007" s="317" t="str">
        <f t="shared" si="531"/>
        <v/>
      </c>
      <c r="R2007" s="317" t="str">
        <f t="shared" si="532"/>
        <v/>
      </c>
      <c r="S2007" s="317" t="str">
        <f t="shared" si="533"/>
        <v/>
      </c>
      <c r="V2007" s="314">
        <f>SUM(ORÇAMENTO!N2007)</f>
        <v>0</v>
      </c>
      <c r="W2007" s="315">
        <f t="shared" si="534"/>
        <v>0</v>
      </c>
    </row>
    <row r="2008" spans="1:23" hidden="1">
      <c r="A2008" s="63">
        <v>610600</v>
      </c>
      <c r="B2008" s="870" t="s">
        <v>1815</v>
      </c>
      <c r="C2008" s="871" t="s">
        <v>184</v>
      </c>
      <c r="D2008" s="881" t="s">
        <v>2007</v>
      </c>
      <c r="E2008" s="882"/>
      <c r="F2008" s="883"/>
      <c r="G2008" s="887">
        <f>SUM(G2009:G2011)</f>
        <v>15.045682000000001</v>
      </c>
      <c r="H2008" s="876">
        <v>349.42</v>
      </c>
      <c r="I2008" s="876">
        <f>IF(ISBLANK(H2008),"",SUM(G2008:H2008))</f>
        <v>364.46568200000002</v>
      </c>
      <c r="J2008" s="877">
        <f t="shared" si="522"/>
        <v>445.45</v>
      </c>
      <c r="K2008" s="878" t="s">
        <v>13</v>
      </c>
      <c r="L2008" s="1013">
        <f>ROUND(SUM(ORÇAMENTO!L2008),2)</f>
        <v>0</v>
      </c>
      <c r="M2008" s="1013">
        <f t="shared" si="529"/>
        <v>0</v>
      </c>
      <c r="N2008" s="868">
        <f t="shared" si="530"/>
        <v>0</v>
      </c>
      <c r="O2008" s="880"/>
      <c r="Q2008" s="317" t="str">
        <f t="shared" si="531"/>
        <v/>
      </c>
      <c r="R2008" s="317" t="str">
        <f t="shared" si="532"/>
        <v/>
      </c>
      <c r="S2008" s="317" t="str">
        <f t="shared" si="533"/>
        <v/>
      </c>
      <c r="V2008" s="314">
        <f>SUM(ORÇAMENTO!N2008)</f>
        <v>0</v>
      </c>
      <c r="W2008" s="315">
        <f t="shared" si="534"/>
        <v>0</v>
      </c>
    </row>
    <row r="2009" spans="1:23" hidden="1">
      <c r="A2009" s="63" t="s">
        <v>147</v>
      </c>
      <c r="B2009" s="870" t="s">
        <v>147</v>
      </c>
      <c r="C2009" s="871"/>
      <c r="D2009" s="881" t="s">
        <v>190</v>
      </c>
      <c r="E2009" s="882">
        <f>DMT!$D$41</f>
        <v>445</v>
      </c>
      <c r="F2009" s="883">
        <v>2.3E-3</v>
      </c>
      <c r="G2009" s="884">
        <f>IF(E2009&lt;=30,(0.78*E2009+7.82)*F2009,((0.78*30+7.82)+0.78*(E2009-30))*F2009)</f>
        <v>0.81631600000000004</v>
      </c>
      <c r="H2009" s="876"/>
      <c r="I2009" s="876"/>
      <c r="J2009" s="877">
        <f t="shared" si="522"/>
        <v>0</v>
      </c>
      <c r="K2009" s="878"/>
      <c r="L2009" s="1013">
        <f>ROUND(SUM(ORÇAMENTO!L2009),2)</f>
        <v>0</v>
      </c>
      <c r="M2009" s="1013">
        <f t="shared" si="529"/>
        <v>0</v>
      </c>
      <c r="N2009" s="868">
        <f t="shared" si="530"/>
        <v>0</v>
      </c>
      <c r="O2009" s="880"/>
      <c r="P2009" s="36" t="str">
        <f>IF(N2008&gt;0,"xx",IF(N2008&gt;0,"xy",""))</f>
        <v/>
      </c>
      <c r="Q2009" s="317" t="str">
        <f t="shared" si="531"/>
        <v/>
      </c>
      <c r="R2009" s="317" t="str">
        <f t="shared" si="532"/>
        <v/>
      </c>
      <c r="S2009" s="317" t="str">
        <f t="shared" si="533"/>
        <v/>
      </c>
      <c r="V2009" s="314">
        <f>SUM(ORÇAMENTO!N2009)</f>
        <v>0</v>
      </c>
      <c r="W2009" s="315">
        <f t="shared" si="534"/>
        <v>0</v>
      </c>
    </row>
    <row r="2010" spans="1:23" hidden="1">
      <c r="A2010" s="63" t="s">
        <v>147</v>
      </c>
      <c r="B2010" s="870" t="s">
        <v>147</v>
      </c>
      <c r="C2010" s="871"/>
      <c r="D2010" s="881" t="s">
        <v>229</v>
      </c>
      <c r="E2010" s="882">
        <f>DMT!$F$39</f>
        <v>290</v>
      </c>
      <c r="F2010" s="883">
        <v>1.17E-2</v>
      </c>
      <c r="G2010" s="923">
        <f t="shared" ref="G2010:G2011" si="536">IF(E2010&lt;=30,(1.07*E2010+2.68)*F2010,((1.07*30+2.68)+1.07*(E2010-30))*F2010)</f>
        <v>3.6618660000000003</v>
      </c>
      <c r="H2010" s="876"/>
      <c r="I2010" s="876"/>
      <c r="J2010" s="877">
        <f t="shared" si="522"/>
        <v>0</v>
      </c>
      <c r="K2010" s="878"/>
      <c r="L2010" s="1013">
        <f>ROUND(SUM(ORÇAMENTO!L2010),2)</f>
        <v>0</v>
      </c>
      <c r="M2010" s="1013">
        <f t="shared" si="529"/>
        <v>0</v>
      </c>
      <c r="N2010" s="868">
        <f t="shared" si="530"/>
        <v>0</v>
      </c>
      <c r="O2010" s="880"/>
      <c r="P2010" s="36" t="str">
        <f>IF(N2008&gt;0,"xx",IF(N2008&gt;0,"xy",""))</f>
        <v/>
      </c>
      <c r="Q2010" s="317" t="str">
        <f t="shared" si="531"/>
        <v/>
      </c>
      <c r="R2010" s="317" t="str">
        <f t="shared" si="532"/>
        <v/>
      </c>
      <c r="S2010" s="317" t="str">
        <f t="shared" si="533"/>
        <v/>
      </c>
      <c r="V2010" s="314">
        <f>SUM(ORÇAMENTO!N2010)</f>
        <v>0</v>
      </c>
      <c r="W2010" s="315">
        <f t="shared" si="534"/>
        <v>0</v>
      </c>
    </row>
    <row r="2011" spans="1:23" hidden="1">
      <c r="A2011" s="63" t="s">
        <v>147</v>
      </c>
      <c r="B2011" s="870" t="s">
        <v>147</v>
      </c>
      <c r="C2011" s="871"/>
      <c r="D2011" s="881" t="s">
        <v>336</v>
      </c>
      <c r="E2011" s="882">
        <f>DMT!$F$38</f>
        <v>37</v>
      </c>
      <c r="F2011" s="883">
        <v>0.25</v>
      </c>
      <c r="G2011" s="923">
        <f t="shared" si="536"/>
        <v>10.567500000000001</v>
      </c>
      <c r="H2011" s="876"/>
      <c r="I2011" s="876"/>
      <c r="J2011" s="877">
        <f t="shared" si="522"/>
        <v>0</v>
      </c>
      <c r="K2011" s="878"/>
      <c r="L2011" s="1013">
        <f>ROUND(SUM(ORÇAMENTO!L2011),2)</f>
        <v>0</v>
      </c>
      <c r="M2011" s="1013">
        <f t="shared" si="529"/>
        <v>0</v>
      </c>
      <c r="N2011" s="868">
        <f t="shared" si="530"/>
        <v>0</v>
      </c>
      <c r="O2011" s="880"/>
      <c r="P2011" s="36" t="str">
        <f>IF(N2008&gt;0,"xx",IF(N2008&gt;0,"xy",""))</f>
        <v/>
      </c>
      <c r="Q2011" s="317" t="str">
        <f t="shared" si="531"/>
        <v/>
      </c>
      <c r="R2011" s="317" t="str">
        <f t="shared" si="532"/>
        <v/>
      </c>
      <c r="S2011" s="317" t="str">
        <f t="shared" si="533"/>
        <v/>
      </c>
      <c r="V2011" s="314">
        <f>SUM(ORÇAMENTO!N2011)</f>
        <v>0</v>
      </c>
      <c r="W2011" s="315">
        <f t="shared" si="534"/>
        <v>0</v>
      </c>
    </row>
    <row r="2012" spans="1:23" hidden="1">
      <c r="A2012" s="63">
        <v>610600</v>
      </c>
      <c r="B2012" s="870" t="s">
        <v>1816</v>
      </c>
      <c r="C2012" s="871" t="s">
        <v>184</v>
      </c>
      <c r="D2012" s="881" t="s">
        <v>2008</v>
      </c>
      <c r="E2012" s="882"/>
      <c r="F2012" s="883"/>
      <c r="G2012" s="887">
        <f>SUM(G2013:G2015)</f>
        <v>21.602024000000004</v>
      </c>
      <c r="H2012" s="876">
        <v>353.75</v>
      </c>
      <c r="I2012" s="876">
        <f>IF(ISBLANK(H2012),"",SUM(G2012:H2012))</f>
        <v>375.35202400000003</v>
      </c>
      <c r="J2012" s="877">
        <f t="shared" si="522"/>
        <v>458.76</v>
      </c>
      <c r="K2012" s="878" t="s">
        <v>13</v>
      </c>
      <c r="L2012" s="1013">
        <f>ROUND(SUM(ORÇAMENTO!L2012),2)</f>
        <v>0</v>
      </c>
      <c r="M2012" s="1013">
        <f t="shared" si="529"/>
        <v>0</v>
      </c>
      <c r="N2012" s="868">
        <f t="shared" si="530"/>
        <v>0</v>
      </c>
      <c r="O2012" s="880"/>
      <c r="Q2012" s="317" t="str">
        <f t="shared" si="531"/>
        <v/>
      </c>
      <c r="R2012" s="317" t="str">
        <f t="shared" si="532"/>
        <v/>
      </c>
      <c r="S2012" s="317" t="str">
        <f t="shared" si="533"/>
        <v/>
      </c>
      <c r="V2012" s="314">
        <f>SUM(ORÇAMENTO!N2012)</f>
        <v>0</v>
      </c>
      <c r="W2012" s="315">
        <f t="shared" si="534"/>
        <v>0</v>
      </c>
    </row>
    <row r="2013" spans="1:23" hidden="1">
      <c r="A2013" s="63" t="s">
        <v>147</v>
      </c>
      <c r="B2013" s="870" t="s">
        <v>147</v>
      </c>
      <c r="C2013" s="871"/>
      <c r="D2013" s="881" t="s">
        <v>190</v>
      </c>
      <c r="E2013" s="882">
        <f>DMT!$D$41</f>
        <v>445</v>
      </c>
      <c r="F2013" s="883">
        <v>2.5999999999999999E-3</v>
      </c>
      <c r="G2013" s="884">
        <f>IF(E2013&lt;=30,(0.78*E2013+7.82)*F2013,((0.78*30+7.82)+0.78*(E2013-30))*F2013)</f>
        <v>0.92279199999999995</v>
      </c>
      <c r="H2013" s="876"/>
      <c r="I2013" s="876"/>
      <c r="J2013" s="877">
        <f t="shared" si="522"/>
        <v>0</v>
      </c>
      <c r="K2013" s="878"/>
      <c r="L2013" s="1013">
        <f>ROUND(SUM(ORÇAMENTO!L2013),2)</f>
        <v>0</v>
      </c>
      <c r="M2013" s="1013">
        <f t="shared" si="529"/>
        <v>0</v>
      </c>
      <c r="N2013" s="868">
        <f t="shared" si="530"/>
        <v>0</v>
      </c>
      <c r="O2013" s="880"/>
      <c r="P2013" s="36" t="str">
        <f>IF(N2012&gt;0,"xx",IF(N2012&gt;0,"xy",""))</f>
        <v/>
      </c>
      <c r="Q2013" s="317" t="str">
        <f t="shared" si="531"/>
        <v/>
      </c>
      <c r="R2013" s="317" t="str">
        <f t="shared" si="532"/>
        <v/>
      </c>
      <c r="S2013" s="317" t="str">
        <f t="shared" si="533"/>
        <v/>
      </c>
      <c r="V2013" s="314">
        <f>SUM(ORÇAMENTO!N2013)</f>
        <v>0</v>
      </c>
      <c r="W2013" s="315">
        <f t="shared" si="534"/>
        <v>0</v>
      </c>
    </row>
    <row r="2014" spans="1:23" hidden="1">
      <c r="A2014" s="63" t="s">
        <v>147</v>
      </c>
      <c r="B2014" s="870" t="s">
        <v>147</v>
      </c>
      <c r="C2014" s="871"/>
      <c r="D2014" s="881" t="s">
        <v>229</v>
      </c>
      <c r="E2014" s="882">
        <f>DMT!$F$39</f>
        <v>290</v>
      </c>
      <c r="F2014" s="883">
        <v>1.34E-2</v>
      </c>
      <c r="G2014" s="923">
        <f t="shared" ref="G2014:G2015" si="537">IF(E2014&lt;=30,(1.07*E2014+2.68)*F2014,((1.07*30+2.68)+1.07*(E2014-30))*F2014)</f>
        <v>4.1939320000000002</v>
      </c>
      <c r="H2014" s="876"/>
      <c r="I2014" s="876"/>
      <c r="J2014" s="877">
        <f t="shared" si="522"/>
        <v>0</v>
      </c>
      <c r="K2014" s="878"/>
      <c r="L2014" s="1013">
        <f>ROUND(SUM(ORÇAMENTO!L2014),2)</f>
        <v>0</v>
      </c>
      <c r="M2014" s="1013">
        <f t="shared" si="529"/>
        <v>0</v>
      </c>
      <c r="N2014" s="868">
        <f t="shared" si="530"/>
        <v>0</v>
      </c>
      <c r="O2014" s="880"/>
      <c r="P2014" s="36" t="str">
        <f>IF(N2012&gt;0,"xx",IF(N2012&gt;0,"xy",""))</f>
        <v/>
      </c>
      <c r="Q2014" s="317" t="str">
        <f t="shared" si="531"/>
        <v/>
      </c>
      <c r="R2014" s="317" t="str">
        <f t="shared" si="532"/>
        <v/>
      </c>
      <c r="S2014" s="317" t="str">
        <f t="shared" si="533"/>
        <v/>
      </c>
      <c r="V2014" s="314">
        <f>SUM(ORÇAMENTO!N2014)</f>
        <v>0</v>
      </c>
      <c r="W2014" s="315">
        <f t="shared" si="534"/>
        <v>0</v>
      </c>
    </row>
    <row r="2015" spans="1:23" hidden="1">
      <c r="A2015" s="63" t="s">
        <v>147</v>
      </c>
      <c r="B2015" s="870" t="s">
        <v>147</v>
      </c>
      <c r="C2015" s="871"/>
      <c r="D2015" s="881" t="s">
        <v>336</v>
      </c>
      <c r="E2015" s="882">
        <f>DMT!$F$38</f>
        <v>37</v>
      </c>
      <c r="F2015" s="883">
        <v>0.39</v>
      </c>
      <c r="G2015" s="923">
        <f t="shared" si="537"/>
        <v>16.485300000000002</v>
      </c>
      <c r="H2015" s="876"/>
      <c r="I2015" s="876"/>
      <c r="J2015" s="877">
        <f t="shared" si="522"/>
        <v>0</v>
      </c>
      <c r="K2015" s="878"/>
      <c r="L2015" s="1013">
        <f>ROUND(SUM(ORÇAMENTO!L2015),2)</f>
        <v>0</v>
      </c>
      <c r="M2015" s="1013">
        <f t="shared" si="529"/>
        <v>0</v>
      </c>
      <c r="N2015" s="868">
        <f t="shared" si="530"/>
        <v>0</v>
      </c>
      <c r="O2015" s="880"/>
      <c r="P2015" s="36" t="str">
        <f>IF(N2012&gt;0,"xx",IF(N2012&gt;0,"xy",""))</f>
        <v/>
      </c>
      <c r="Q2015" s="317" t="str">
        <f t="shared" si="531"/>
        <v/>
      </c>
      <c r="R2015" s="317" t="str">
        <f t="shared" si="532"/>
        <v/>
      </c>
      <c r="S2015" s="317" t="str">
        <f t="shared" si="533"/>
        <v/>
      </c>
      <c r="V2015" s="314">
        <f>SUM(ORÇAMENTO!N2015)</f>
        <v>0</v>
      </c>
      <c r="W2015" s="315">
        <f t="shared" si="534"/>
        <v>0</v>
      </c>
    </row>
    <row r="2016" spans="1:23" hidden="1">
      <c r="A2016" s="63">
        <v>610800</v>
      </c>
      <c r="B2016" s="870" t="s">
        <v>1820</v>
      </c>
      <c r="C2016" s="871" t="s">
        <v>184</v>
      </c>
      <c r="D2016" s="881" t="s">
        <v>2009</v>
      </c>
      <c r="E2016" s="882"/>
      <c r="F2016" s="883"/>
      <c r="G2016" s="887">
        <f>SUM(G2017:G2019)</f>
        <v>28.158366000000001</v>
      </c>
      <c r="H2016" s="876">
        <v>575.75</v>
      </c>
      <c r="I2016" s="876">
        <f>IF(ISBLANK(H2016),"",SUM(G2016:H2016))</f>
        <v>603.908366</v>
      </c>
      <c r="J2016" s="877">
        <f t="shared" si="522"/>
        <v>738.1</v>
      </c>
      <c r="K2016" s="878" t="s">
        <v>13</v>
      </c>
      <c r="L2016" s="1013">
        <f>ROUND(SUM(ORÇAMENTO!L2016),2)</f>
        <v>0</v>
      </c>
      <c r="M2016" s="1013">
        <f t="shared" si="529"/>
        <v>0</v>
      </c>
      <c r="N2016" s="868">
        <f t="shared" si="530"/>
        <v>0</v>
      </c>
      <c r="O2016" s="880"/>
      <c r="Q2016" s="317" t="str">
        <f t="shared" si="531"/>
        <v/>
      </c>
      <c r="R2016" s="317" t="str">
        <f t="shared" si="532"/>
        <v/>
      </c>
      <c r="S2016" s="317" t="str">
        <f t="shared" si="533"/>
        <v/>
      </c>
      <c r="V2016" s="314">
        <f>SUM(ORÇAMENTO!N2016)</f>
        <v>0</v>
      </c>
      <c r="W2016" s="315">
        <f t="shared" si="534"/>
        <v>0</v>
      </c>
    </row>
    <row r="2017" spans="1:23" hidden="1">
      <c r="A2017" s="63" t="s">
        <v>147</v>
      </c>
      <c r="B2017" s="870" t="s">
        <v>147</v>
      </c>
      <c r="C2017" s="871"/>
      <c r="D2017" s="881" t="s">
        <v>190</v>
      </c>
      <c r="E2017" s="882">
        <f>DMT!$D$41</f>
        <v>445</v>
      </c>
      <c r="F2017" s="883">
        <v>2.8999999999999998E-3</v>
      </c>
      <c r="G2017" s="884">
        <f>IF(E2017&lt;=30,(0.78*E2017+7.82)*F2017,((0.78*30+7.82)+0.78*(E2017-30))*F2017)</f>
        <v>1.0292680000000001</v>
      </c>
      <c r="H2017" s="876"/>
      <c r="I2017" s="876"/>
      <c r="J2017" s="877">
        <f t="shared" si="522"/>
        <v>0</v>
      </c>
      <c r="K2017" s="878"/>
      <c r="L2017" s="1013">
        <f>ROUND(SUM(ORÇAMENTO!L2017),2)</f>
        <v>0</v>
      </c>
      <c r="M2017" s="1013">
        <f t="shared" si="529"/>
        <v>0</v>
      </c>
      <c r="N2017" s="868">
        <f t="shared" si="530"/>
        <v>0</v>
      </c>
      <c r="O2017" s="880"/>
      <c r="P2017" s="36" t="str">
        <f>IF(N2016&gt;0,"xx",IF(N2016&gt;0,"xy",""))</f>
        <v/>
      </c>
      <c r="Q2017" s="317" t="str">
        <f t="shared" si="531"/>
        <v/>
      </c>
      <c r="R2017" s="317" t="str">
        <f t="shared" si="532"/>
        <v/>
      </c>
      <c r="S2017" s="317" t="str">
        <f t="shared" si="533"/>
        <v/>
      </c>
      <c r="V2017" s="314">
        <f>SUM(ORÇAMENTO!N2017)</f>
        <v>0</v>
      </c>
      <c r="W2017" s="315">
        <f t="shared" si="534"/>
        <v>0</v>
      </c>
    </row>
    <row r="2018" spans="1:23" hidden="1">
      <c r="A2018" s="63" t="s">
        <v>147</v>
      </c>
      <c r="B2018" s="870" t="s">
        <v>147</v>
      </c>
      <c r="C2018" s="871"/>
      <c r="D2018" s="881" t="s">
        <v>229</v>
      </c>
      <c r="E2018" s="882">
        <f>DMT!$F$39</f>
        <v>290</v>
      </c>
      <c r="F2018" s="883">
        <v>1.5100000000000001E-2</v>
      </c>
      <c r="G2018" s="923">
        <f t="shared" ref="G2018:G2019" si="538">IF(E2018&lt;=30,(1.07*E2018+2.68)*F2018,((1.07*30+2.68)+1.07*(E2018-30))*F2018)</f>
        <v>4.7259980000000006</v>
      </c>
      <c r="H2018" s="876"/>
      <c r="I2018" s="876"/>
      <c r="J2018" s="877">
        <f t="shared" si="522"/>
        <v>0</v>
      </c>
      <c r="K2018" s="878"/>
      <c r="L2018" s="1013">
        <f>ROUND(SUM(ORÇAMENTO!L2018),2)</f>
        <v>0</v>
      </c>
      <c r="M2018" s="1013">
        <f t="shared" si="529"/>
        <v>0</v>
      </c>
      <c r="N2018" s="868">
        <f t="shared" si="530"/>
        <v>0</v>
      </c>
      <c r="O2018" s="880"/>
      <c r="P2018" s="36" t="str">
        <f>IF(N2016&gt;0,"xx",IF(N2016&gt;0,"xy",""))</f>
        <v/>
      </c>
      <c r="Q2018" s="317" t="str">
        <f t="shared" si="531"/>
        <v/>
      </c>
      <c r="R2018" s="317" t="str">
        <f t="shared" si="532"/>
        <v/>
      </c>
      <c r="S2018" s="317" t="str">
        <f t="shared" si="533"/>
        <v/>
      </c>
      <c r="V2018" s="314">
        <f>SUM(ORÇAMENTO!N2018)</f>
        <v>0</v>
      </c>
      <c r="W2018" s="315">
        <f t="shared" si="534"/>
        <v>0</v>
      </c>
    </row>
    <row r="2019" spans="1:23" hidden="1">
      <c r="A2019" s="63" t="s">
        <v>147</v>
      </c>
      <c r="B2019" s="870" t="s">
        <v>147</v>
      </c>
      <c r="C2019" s="871"/>
      <c r="D2019" s="881" t="s">
        <v>336</v>
      </c>
      <c r="E2019" s="882">
        <f>DMT!$F$38</f>
        <v>37</v>
      </c>
      <c r="F2019" s="883">
        <v>0.53</v>
      </c>
      <c r="G2019" s="923">
        <f t="shared" si="538"/>
        <v>22.403100000000002</v>
      </c>
      <c r="H2019" s="876"/>
      <c r="I2019" s="876"/>
      <c r="J2019" s="877">
        <f t="shared" si="522"/>
        <v>0</v>
      </c>
      <c r="K2019" s="878"/>
      <c r="L2019" s="1013">
        <f>ROUND(SUM(ORÇAMENTO!L2019),2)</f>
        <v>0</v>
      </c>
      <c r="M2019" s="1013">
        <f t="shared" si="529"/>
        <v>0</v>
      </c>
      <c r="N2019" s="868">
        <f t="shared" si="530"/>
        <v>0</v>
      </c>
      <c r="O2019" s="880"/>
      <c r="P2019" s="36" t="str">
        <f>IF(N2016&gt;0,"xx",IF(N2016&gt;0,"xy",""))</f>
        <v/>
      </c>
      <c r="Q2019" s="317" t="str">
        <f t="shared" si="531"/>
        <v/>
      </c>
      <c r="R2019" s="317" t="str">
        <f t="shared" si="532"/>
        <v/>
      </c>
      <c r="S2019" s="317" t="str">
        <f t="shared" si="533"/>
        <v/>
      </c>
      <c r="V2019" s="314">
        <f>SUM(ORÇAMENTO!N2019)</f>
        <v>0</v>
      </c>
      <c r="W2019" s="315">
        <f t="shared" si="534"/>
        <v>0</v>
      </c>
    </row>
    <row r="2020" spans="1:23" hidden="1">
      <c r="A2020" s="63">
        <v>610800</v>
      </c>
      <c r="B2020" s="870" t="s">
        <v>1821</v>
      </c>
      <c r="C2020" s="871" t="s">
        <v>184</v>
      </c>
      <c r="D2020" s="881" t="s">
        <v>2010</v>
      </c>
      <c r="E2020" s="882"/>
      <c r="F2020" s="883"/>
      <c r="G2020" s="887">
        <f>SUM(G2021:G2023)</f>
        <v>34.714708000000002</v>
      </c>
      <c r="H2020" s="876">
        <v>572.78</v>
      </c>
      <c r="I2020" s="876">
        <f>IF(ISBLANK(H2020),"",SUM(G2020:H2020))</f>
        <v>607.49470799999995</v>
      </c>
      <c r="J2020" s="877">
        <f t="shared" si="522"/>
        <v>742.48</v>
      </c>
      <c r="K2020" s="878" t="s">
        <v>13</v>
      </c>
      <c r="L2020" s="1013">
        <f>ROUND(SUM(ORÇAMENTO!L2020),2)</f>
        <v>0</v>
      </c>
      <c r="M2020" s="1013">
        <f t="shared" si="529"/>
        <v>0</v>
      </c>
      <c r="N2020" s="868">
        <f t="shared" si="530"/>
        <v>0</v>
      </c>
      <c r="O2020" s="880"/>
      <c r="Q2020" s="317" t="str">
        <f t="shared" si="531"/>
        <v/>
      </c>
      <c r="R2020" s="317" t="str">
        <f t="shared" si="532"/>
        <v/>
      </c>
      <c r="S2020" s="317" t="str">
        <f t="shared" si="533"/>
        <v/>
      </c>
      <c r="V2020" s="314">
        <f>SUM(ORÇAMENTO!N2020)</f>
        <v>0</v>
      </c>
      <c r="W2020" s="315">
        <f t="shared" si="534"/>
        <v>0</v>
      </c>
    </row>
    <row r="2021" spans="1:23" hidden="1">
      <c r="A2021" s="63" t="s">
        <v>147</v>
      </c>
      <c r="B2021" s="870" t="s">
        <v>147</v>
      </c>
      <c r="C2021" s="871"/>
      <c r="D2021" s="881" t="s">
        <v>190</v>
      </c>
      <c r="E2021" s="882">
        <f>DMT!$D$41</f>
        <v>445</v>
      </c>
      <c r="F2021" s="883">
        <v>3.2000000000000002E-3</v>
      </c>
      <c r="G2021" s="884">
        <f>IF(E2021&lt;=30,(0.78*E2021+7.82)*F2021,((0.78*30+7.82)+0.78*(E2021-30))*F2021)</f>
        <v>1.1357440000000001</v>
      </c>
      <c r="H2021" s="876"/>
      <c r="I2021" s="876"/>
      <c r="J2021" s="877">
        <f t="shared" si="522"/>
        <v>0</v>
      </c>
      <c r="K2021" s="878"/>
      <c r="L2021" s="1013">
        <f>ROUND(SUM(ORÇAMENTO!L2021),2)</f>
        <v>0</v>
      </c>
      <c r="M2021" s="1013">
        <f t="shared" si="529"/>
        <v>0</v>
      </c>
      <c r="N2021" s="868">
        <f t="shared" si="530"/>
        <v>0</v>
      </c>
      <c r="O2021" s="880"/>
      <c r="P2021" s="36" t="str">
        <f>IF(N2020&gt;0,"xx",IF(N2020&gt;0,"xy",""))</f>
        <v/>
      </c>
      <c r="Q2021" s="317" t="str">
        <f t="shared" si="531"/>
        <v/>
      </c>
      <c r="R2021" s="317" t="str">
        <f t="shared" si="532"/>
        <v/>
      </c>
      <c r="S2021" s="317" t="str">
        <f t="shared" si="533"/>
        <v/>
      </c>
      <c r="V2021" s="314">
        <f>SUM(ORÇAMENTO!N2021)</f>
        <v>0</v>
      </c>
      <c r="W2021" s="315">
        <f t="shared" si="534"/>
        <v>0</v>
      </c>
    </row>
    <row r="2022" spans="1:23" hidden="1">
      <c r="A2022" s="63" t="s">
        <v>147</v>
      </c>
      <c r="B2022" s="870" t="s">
        <v>147</v>
      </c>
      <c r="C2022" s="871"/>
      <c r="D2022" s="881" t="s">
        <v>229</v>
      </c>
      <c r="E2022" s="882">
        <f>DMT!$F$39</f>
        <v>290</v>
      </c>
      <c r="F2022" s="883">
        <v>1.6799999999999999E-2</v>
      </c>
      <c r="G2022" s="923">
        <f t="shared" ref="G2022:G2023" si="539">IF(E2022&lt;=30,(1.07*E2022+2.68)*F2022,((1.07*30+2.68)+1.07*(E2022-30))*F2022)</f>
        <v>5.2580640000000001</v>
      </c>
      <c r="H2022" s="876"/>
      <c r="I2022" s="876"/>
      <c r="J2022" s="877">
        <f t="shared" si="522"/>
        <v>0</v>
      </c>
      <c r="K2022" s="878"/>
      <c r="L2022" s="1013">
        <f>ROUND(SUM(ORÇAMENTO!L2022),2)</f>
        <v>0</v>
      </c>
      <c r="M2022" s="1013">
        <f t="shared" si="529"/>
        <v>0</v>
      </c>
      <c r="N2022" s="868">
        <f t="shared" si="530"/>
        <v>0</v>
      </c>
      <c r="O2022" s="880"/>
      <c r="P2022" s="36" t="str">
        <f>IF(N2020&gt;0,"xx",IF(N2020&gt;0,"xy",""))</f>
        <v/>
      </c>
      <c r="Q2022" s="317" t="str">
        <f t="shared" si="531"/>
        <v/>
      </c>
      <c r="R2022" s="317" t="str">
        <f t="shared" si="532"/>
        <v/>
      </c>
      <c r="S2022" s="317" t="str">
        <f t="shared" si="533"/>
        <v/>
      </c>
      <c r="V2022" s="314">
        <f>SUM(ORÇAMENTO!N2022)</f>
        <v>0</v>
      </c>
      <c r="W2022" s="315">
        <f t="shared" si="534"/>
        <v>0</v>
      </c>
    </row>
    <row r="2023" spans="1:23" hidden="1">
      <c r="A2023" s="63" t="s">
        <v>147</v>
      </c>
      <c r="B2023" s="870" t="s">
        <v>147</v>
      </c>
      <c r="C2023" s="871"/>
      <c r="D2023" s="881" t="s">
        <v>336</v>
      </c>
      <c r="E2023" s="882">
        <f>DMT!$F$38</f>
        <v>37</v>
      </c>
      <c r="F2023" s="883">
        <v>0.67</v>
      </c>
      <c r="G2023" s="923">
        <f t="shared" si="539"/>
        <v>28.320900000000005</v>
      </c>
      <c r="H2023" s="876"/>
      <c r="I2023" s="876"/>
      <c r="J2023" s="877">
        <f t="shared" si="522"/>
        <v>0</v>
      </c>
      <c r="K2023" s="878"/>
      <c r="L2023" s="1013">
        <f>ROUND(SUM(ORÇAMENTO!L2023),2)</f>
        <v>0</v>
      </c>
      <c r="M2023" s="1013">
        <f t="shared" si="529"/>
        <v>0</v>
      </c>
      <c r="N2023" s="868">
        <f t="shared" si="530"/>
        <v>0</v>
      </c>
      <c r="O2023" s="880"/>
      <c r="P2023" s="36" t="str">
        <f>IF(N2020&gt;0,"xx",IF(N2020&gt;0,"xy",""))</f>
        <v/>
      </c>
      <c r="Q2023" s="317" t="str">
        <f t="shared" si="531"/>
        <v/>
      </c>
      <c r="R2023" s="317" t="str">
        <f t="shared" si="532"/>
        <v/>
      </c>
      <c r="S2023" s="317" t="str">
        <f t="shared" si="533"/>
        <v/>
      </c>
      <c r="V2023" s="314">
        <f>SUM(ORÇAMENTO!N2023)</f>
        <v>0</v>
      </c>
      <c r="W2023" s="315">
        <f t="shared" si="534"/>
        <v>0</v>
      </c>
    </row>
    <row r="2024" spans="1:23" hidden="1">
      <c r="A2024" s="63">
        <v>611000</v>
      </c>
      <c r="B2024" s="870" t="s">
        <v>1828</v>
      </c>
      <c r="C2024" s="871" t="s">
        <v>184</v>
      </c>
      <c r="D2024" s="881" t="s">
        <v>2011</v>
      </c>
      <c r="E2024" s="882"/>
      <c r="F2024" s="883"/>
      <c r="G2024" s="887">
        <f>SUM(G2025:G2027)</f>
        <v>43.287710000000004</v>
      </c>
      <c r="H2024" s="876">
        <v>951.77</v>
      </c>
      <c r="I2024" s="876">
        <f>IF(ISBLANK(H2024),"",SUM(G2024:H2024))</f>
        <v>995.05771000000004</v>
      </c>
      <c r="J2024" s="877">
        <f t="shared" si="522"/>
        <v>1216.1600000000001</v>
      </c>
      <c r="K2024" s="878" t="s">
        <v>13</v>
      </c>
      <c r="L2024" s="1013">
        <f>ROUND(SUM(ORÇAMENTO!L2024),2)</f>
        <v>0</v>
      </c>
      <c r="M2024" s="1013">
        <f t="shared" si="529"/>
        <v>0</v>
      </c>
      <c r="N2024" s="868">
        <f t="shared" si="530"/>
        <v>0</v>
      </c>
      <c r="O2024" s="880"/>
      <c r="Q2024" s="317" t="str">
        <f t="shared" si="531"/>
        <v/>
      </c>
      <c r="R2024" s="317" t="str">
        <f t="shared" si="532"/>
        <v/>
      </c>
      <c r="S2024" s="317" t="str">
        <f t="shared" si="533"/>
        <v/>
      </c>
      <c r="V2024" s="314">
        <f>SUM(ORÇAMENTO!N2024)</f>
        <v>0</v>
      </c>
      <c r="W2024" s="315">
        <f t="shared" si="534"/>
        <v>0</v>
      </c>
    </row>
    <row r="2025" spans="1:23" hidden="1">
      <c r="A2025" s="63" t="s">
        <v>147</v>
      </c>
      <c r="B2025" s="870" t="s">
        <v>147</v>
      </c>
      <c r="C2025" s="871"/>
      <c r="D2025" s="881" t="s">
        <v>190</v>
      </c>
      <c r="E2025" s="882">
        <f>DMT!$D$41</f>
        <v>445</v>
      </c>
      <c r="F2025" s="883">
        <v>4.0000000000000001E-3</v>
      </c>
      <c r="G2025" s="884">
        <f>IF(E2025&lt;=30,(0.78*E2025+7.82)*F2025,((0.78*30+7.82)+0.78*(E2025-30))*F2025)</f>
        <v>1.4196800000000001</v>
      </c>
      <c r="H2025" s="876"/>
      <c r="I2025" s="876"/>
      <c r="J2025" s="877">
        <f t="shared" si="522"/>
        <v>0</v>
      </c>
      <c r="K2025" s="878"/>
      <c r="L2025" s="1013">
        <f>ROUND(SUM(ORÇAMENTO!L2025),2)</f>
        <v>0</v>
      </c>
      <c r="M2025" s="1013">
        <f t="shared" si="529"/>
        <v>0</v>
      </c>
      <c r="N2025" s="868">
        <f t="shared" si="530"/>
        <v>0</v>
      </c>
      <c r="O2025" s="880"/>
      <c r="P2025" s="36" t="str">
        <f>IF(N2024&gt;0,"xx",IF(N2024&gt;0,"xy",""))</f>
        <v/>
      </c>
      <c r="Q2025" s="317" t="str">
        <f t="shared" si="531"/>
        <v/>
      </c>
      <c r="R2025" s="317" t="str">
        <f t="shared" si="532"/>
        <v/>
      </c>
      <c r="S2025" s="317" t="str">
        <f t="shared" si="533"/>
        <v/>
      </c>
      <c r="V2025" s="314">
        <f>SUM(ORÇAMENTO!N2025)</f>
        <v>0</v>
      </c>
      <c r="W2025" s="315">
        <f t="shared" si="534"/>
        <v>0</v>
      </c>
    </row>
    <row r="2026" spans="1:23" hidden="1">
      <c r="A2026" s="63" t="s">
        <v>147</v>
      </c>
      <c r="B2026" s="870" t="s">
        <v>147</v>
      </c>
      <c r="C2026" s="871"/>
      <c r="D2026" s="881" t="s">
        <v>229</v>
      </c>
      <c r="E2026" s="882">
        <f>DMT!$F$39</f>
        <v>290</v>
      </c>
      <c r="F2026" s="883">
        <v>2.1000000000000001E-2</v>
      </c>
      <c r="G2026" s="923">
        <f t="shared" ref="G2026:G2027" si="540">IF(E2026&lt;=30,(1.07*E2026+2.68)*F2026,((1.07*30+2.68)+1.07*(E2026-30))*F2026)</f>
        <v>6.5725800000000012</v>
      </c>
      <c r="H2026" s="876"/>
      <c r="I2026" s="876"/>
      <c r="J2026" s="877">
        <f t="shared" si="522"/>
        <v>0</v>
      </c>
      <c r="K2026" s="878"/>
      <c r="L2026" s="1013">
        <f>ROUND(SUM(ORÇAMENTO!L2026),2)</f>
        <v>0</v>
      </c>
      <c r="M2026" s="1013">
        <f t="shared" si="529"/>
        <v>0</v>
      </c>
      <c r="N2026" s="868">
        <f t="shared" si="530"/>
        <v>0</v>
      </c>
      <c r="O2026" s="880"/>
      <c r="P2026" s="36" t="str">
        <f>IF(N2024&gt;0,"xx",IF(N2024&gt;0,"xy",""))</f>
        <v/>
      </c>
      <c r="Q2026" s="317" t="str">
        <f t="shared" si="531"/>
        <v/>
      </c>
      <c r="R2026" s="317" t="str">
        <f t="shared" si="532"/>
        <v/>
      </c>
      <c r="S2026" s="317" t="str">
        <f t="shared" si="533"/>
        <v/>
      </c>
      <c r="V2026" s="314">
        <f>SUM(ORÇAMENTO!N2026)</f>
        <v>0</v>
      </c>
      <c r="W2026" s="315">
        <f t="shared" si="534"/>
        <v>0</v>
      </c>
    </row>
    <row r="2027" spans="1:23" hidden="1">
      <c r="A2027" s="63" t="s">
        <v>147</v>
      </c>
      <c r="B2027" s="870" t="s">
        <v>147</v>
      </c>
      <c r="C2027" s="871"/>
      <c r="D2027" s="881" t="s">
        <v>336</v>
      </c>
      <c r="E2027" s="882">
        <f>DMT!$F$38</f>
        <v>37</v>
      </c>
      <c r="F2027" s="883">
        <v>0.83499999999999996</v>
      </c>
      <c r="G2027" s="923">
        <f t="shared" si="540"/>
        <v>35.295450000000002</v>
      </c>
      <c r="H2027" s="876"/>
      <c r="I2027" s="876"/>
      <c r="J2027" s="877">
        <f t="shared" si="522"/>
        <v>0</v>
      </c>
      <c r="K2027" s="878"/>
      <c r="L2027" s="1013">
        <f>ROUND(SUM(ORÇAMENTO!L2027),2)</f>
        <v>0</v>
      </c>
      <c r="M2027" s="1013">
        <f t="shared" si="529"/>
        <v>0</v>
      </c>
      <c r="N2027" s="868">
        <f t="shared" si="530"/>
        <v>0</v>
      </c>
      <c r="O2027" s="880"/>
      <c r="P2027" s="36" t="str">
        <f>IF(N2024&gt;0,"xx",IF(N2024&gt;0,"xy",""))</f>
        <v/>
      </c>
      <c r="Q2027" s="317" t="str">
        <f t="shared" si="531"/>
        <v/>
      </c>
      <c r="R2027" s="317" t="str">
        <f t="shared" si="532"/>
        <v/>
      </c>
      <c r="S2027" s="317" t="str">
        <f t="shared" si="533"/>
        <v/>
      </c>
      <c r="V2027" s="314">
        <f>SUM(ORÇAMENTO!N2027)</f>
        <v>0</v>
      </c>
      <c r="W2027" s="315">
        <f t="shared" si="534"/>
        <v>0</v>
      </c>
    </row>
    <row r="2028" spans="1:23" hidden="1">
      <c r="A2028" s="63">
        <v>611000</v>
      </c>
      <c r="B2028" s="870" t="s">
        <v>1829</v>
      </c>
      <c r="C2028" s="871" t="s">
        <v>184</v>
      </c>
      <c r="D2028" s="881" t="s">
        <v>2012</v>
      </c>
      <c r="E2028" s="882"/>
      <c r="F2028" s="883"/>
      <c r="G2028" s="887">
        <f>SUM(G2029:G2031)</f>
        <v>51.860712000000007</v>
      </c>
      <c r="H2028" s="876">
        <v>995.13</v>
      </c>
      <c r="I2028" s="876">
        <f>IF(ISBLANK(H2028),"",SUM(G2028:H2028))</f>
        <v>1046.990712</v>
      </c>
      <c r="J2028" s="877">
        <f t="shared" si="522"/>
        <v>1279.6300000000001</v>
      </c>
      <c r="K2028" s="878" t="s">
        <v>13</v>
      </c>
      <c r="L2028" s="1013">
        <f>ROUND(SUM(ORÇAMENTO!L2028),2)</f>
        <v>0</v>
      </c>
      <c r="M2028" s="1013">
        <f t="shared" si="529"/>
        <v>0</v>
      </c>
      <c r="N2028" s="868">
        <f t="shared" si="530"/>
        <v>0</v>
      </c>
      <c r="O2028" s="880"/>
      <c r="Q2028" s="317" t="str">
        <f t="shared" si="531"/>
        <v/>
      </c>
      <c r="R2028" s="317" t="str">
        <f t="shared" si="532"/>
        <v/>
      </c>
      <c r="S2028" s="317" t="str">
        <f t="shared" si="533"/>
        <v/>
      </c>
      <c r="V2028" s="314">
        <f>SUM(ORÇAMENTO!N2028)</f>
        <v>0</v>
      </c>
      <c r="W2028" s="315">
        <f t="shared" si="534"/>
        <v>0</v>
      </c>
    </row>
    <row r="2029" spans="1:23" hidden="1">
      <c r="A2029" s="63" t="s">
        <v>147</v>
      </c>
      <c r="B2029" s="870" t="s">
        <v>147</v>
      </c>
      <c r="C2029" s="871"/>
      <c r="D2029" s="881" t="s">
        <v>190</v>
      </c>
      <c r="E2029" s="882">
        <f>DMT!$D$41</f>
        <v>445</v>
      </c>
      <c r="F2029" s="883">
        <v>4.7999999999999996E-3</v>
      </c>
      <c r="G2029" s="884">
        <f>IF(E2029&lt;=30,(0.78*E2029+7.82)*F2029,((0.78*30+7.82)+0.78*(E2029-30))*F2029)</f>
        <v>1.703616</v>
      </c>
      <c r="H2029" s="876"/>
      <c r="I2029" s="876"/>
      <c r="J2029" s="877">
        <f t="shared" si="522"/>
        <v>0</v>
      </c>
      <c r="K2029" s="878"/>
      <c r="L2029" s="1013">
        <f>ROUND(SUM(ORÇAMENTO!L2029),2)</f>
        <v>0</v>
      </c>
      <c r="M2029" s="1013">
        <f t="shared" si="529"/>
        <v>0</v>
      </c>
      <c r="N2029" s="868">
        <f t="shared" si="530"/>
        <v>0</v>
      </c>
      <c r="O2029" s="880"/>
      <c r="P2029" s="36" t="str">
        <f>IF(N2028&gt;0,"xx",IF(N2028&gt;0,"xy",""))</f>
        <v/>
      </c>
      <c r="Q2029" s="317" t="str">
        <f t="shared" si="531"/>
        <v/>
      </c>
      <c r="R2029" s="317" t="str">
        <f t="shared" si="532"/>
        <v/>
      </c>
      <c r="S2029" s="317" t="str">
        <f t="shared" si="533"/>
        <v/>
      </c>
      <c r="V2029" s="314">
        <f>SUM(ORÇAMENTO!N2029)</f>
        <v>0</v>
      </c>
      <c r="W2029" s="315">
        <f t="shared" si="534"/>
        <v>0</v>
      </c>
    </row>
    <row r="2030" spans="1:23" hidden="1">
      <c r="A2030" s="63" t="s">
        <v>147</v>
      </c>
      <c r="B2030" s="870" t="s">
        <v>147</v>
      </c>
      <c r="C2030" s="871"/>
      <c r="D2030" s="881" t="s">
        <v>229</v>
      </c>
      <c r="E2030" s="882">
        <f>DMT!$F$39</f>
        <v>290</v>
      </c>
      <c r="F2030" s="883">
        <v>2.52E-2</v>
      </c>
      <c r="G2030" s="923">
        <f t="shared" ref="G2030:G2031" si="541">IF(E2030&lt;=30,(1.07*E2030+2.68)*F2030,((1.07*30+2.68)+1.07*(E2030-30))*F2030)</f>
        <v>7.8870960000000006</v>
      </c>
      <c r="H2030" s="876"/>
      <c r="I2030" s="876"/>
      <c r="J2030" s="877">
        <f t="shared" si="522"/>
        <v>0</v>
      </c>
      <c r="K2030" s="878"/>
      <c r="L2030" s="1013">
        <f>ROUND(SUM(ORÇAMENTO!L2030),2)</f>
        <v>0</v>
      </c>
      <c r="M2030" s="1013">
        <f t="shared" si="529"/>
        <v>0</v>
      </c>
      <c r="N2030" s="868">
        <f t="shared" si="530"/>
        <v>0</v>
      </c>
      <c r="O2030" s="880"/>
      <c r="P2030" s="36" t="str">
        <f>IF(N2028&gt;0,"xx",IF(N2028&gt;0,"xy",""))</f>
        <v/>
      </c>
      <c r="Q2030" s="317" t="str">
        <f t="shared" si="531"/>
        <v/>
      </c>
      <c r="R2030" s="317" t="str">
        <f t="shared" si="532"/>
        <v/>
      </c>
      <c r="S2030" s="317" t="str">
        <f t="shared" si="533"/>
        <v/>
      </c>
      <c r="V2030" s="314">
        <f>SUM(ORÇAMENTO!N2030)</f>
        <v>0</v>
      </c>
      <c r="W2030" s="315">
        <f t="shared" si="534"/>
        <v>0</v>
      </c>
    </row>
    <row r="2031" spans="1:23" hidden="1">
      <c r="A2031" s="63" t="s">
        <v>147</v>
      </c>
      <c r="B2031" s="870" t="s">
        <v>147</v>
      </c>
      <c r="C2031" s="871"/>
      <c r="D2031" s="881" t="s">
        <v>336</v>
      </c>
      <c r="E2031" s="882">
        <f>DMT!$F$38</f>
        <v>37</v>
      </c>
      <c r="F2031" s="883">
        <v>1</v>
      </c>
      <c r="G2031" s="923">
        <f t="shared" si="541"/>
        <v>42.27</v>
      </c>
      <c r="H2031" s="876"/>
      <c r="I2031" s="876"/>
      <c r="J2031" s="877">
        <f t="shared" si="522"/>
        <v>0</v>
      </c>
      <c r="K2031" s="878"/>
      <c r="L2031" s="1013">
        <f>ROUND(SUM(ORÇAMENTO!L2031),2)</f>
        <v>0</v>
      </c>
      <c r="M2031" s="1013">
        <f t="shared" si="529"/>
        <v>0</v>
      </c>
      <c r="N2031" s="868">
        <f t="shared" si="530"/>
        <v>0</v>
      </c>
      <c r="O2031" s="880"/>
      <c r="P2031" s="36" t="str">
        <f>IF(N2028&gt;0,"xx",IF(N2028&gt;0,"xy",""))</f>
        <v/>
      </c>
      <c r="Q2031" s="317" t="str">
        <f t="shared" si="531"/>
        <v/>
      </c>
      <c r="R2031" s="317" t="str">
        <f t="shared" si="532"/>
        <v/>
      </c>
      <c r="S2031" s="317" t="str">
        <f t="shared" si="533"/>
        <v/>
      </c>
      <c r="V2031" s="314">
        <f>SUM(ORÇAMENTO!N2031)</f>
        <v>0</v>
      </c>
      <c r="W2031" s="315">
        <f t="shared" si="534"/>
        <v>0</v>
      </c>
    </row>
    <row r="2032" spans="1:23" hidden="1">
      <c r="A2032" s="63">
        <v>611200</v>
      </c>
      <c r="B2032" s="870" t="s">
        <v>1831</v>
      </c>
      <c r="C2032" s="871" t="s">
        <v>184</v>
      </c>
      <c r="D2032" s="881" t="s">
        <v>2013</v>
      </c>
      <c r="E2032" s="882"/>
      <c r="F2032" s="883"/>
      <c r="G2032" s="887">
        <f>SUM(G2033:G2035)</f>
        <v>73.691907999999998</v>
      </c>
      <c r="H2032" s="876">
        <v>1150.08</v>
      </c>
      <c r="I2032" s="876">
        <f>IF(ISBLANK(H2032),"",SUM(G2032:H2032))</f>
        <v>1223.7719079999999</v>
      </c>
      <c r="J2032" s="877">
        <f t="shared" si="522"/>
        <v>1495.69</v>
      </c>
      <c r="K2032" s="878" t="s">
        <v>13</v>
      </c>
      <c r="L2032" s="1013">
        <f>ROUND(SUM(ORÇAMENTO!L2032),2)</f>
        <v>0</v>
      </c>
      <c r="M2032" s="1013">
        <f t="shared" si="529"/>
        <v>0</v>
      </c>
      <c r="N2032" s="868">
        <f t="shared" si="530"/>
        <v>0</v>
      </c>
      <c r="O2032" s="880"/>
      <c r="Q2032" s="317" t="str">
        <f t="shared" si="531"/>
        <v/>
      </c>
      <c r="R2032" s="317" t="str">
        <f t="shared" si="532"/>
        <v/>
      </c>
      <c r="S2032" s="317" t="str">
        <f t="shared" si="533"/>
        <v/>
      </c>
      <c r="V2032" s="314">
        <f>SUM(ORÇAMENTO!N2032)</f>
        <v>0</v>
      </c>
      <c r="W2032" s="315">
        <f t="shared" si="534"/>
        <v>0</v>
      </c>
    </row>
    <row r="2033" spans="1:23" hidden="1">
      <c r="A2033" s="63" t="s">
        <v>147</v>
      </c>
      <c r="B2033" s="870" t="s">
        <v>147</v>
      </c>
      <c r="C2033" s="871"/>
      <c r="D2033" s="881" t="s">
        <v>190</v>
      </c>
      <c r="E2033" s="882">
        <f>DMT!$D$41</f>
        <v>445</v>
      </c>
      <c r="F2033" s="883">
        <v>6.4999999999999997E-3</v>
      </c>
      <c r="G2033" s="884">
        <f>IF(E2033&lt;=30,(0.78*E2033+7.82)*F2033,((0.78*30+7.82)+0.78*(E2033-30))*F2033)</f>
        <v>2.3069799999999998</v>
      </c>
      <c r="H2033" s="876"/>
      <c r="I2033" s="876"/>
      <c r="J2033" s="877">
        <f t="shared" si="522"/>
        <v>0</v>
      </c>
      <c r="K2033" s="878"/>
      <c r="L2033" s="1013">
        <f>ROUND(SUM(ORÇAMENTO!L2033),2)</f>
        <v>0</v>
      </c>
      <c r="M2033" s="1013">
        <f t="shared" si="529"/>
        <v>0</v>
      </c>
      <c r="N2033" s="868">
        <f t="shared" si="530"/>
        <v>0</v>
      </c>
      <c r="O2033" s="880"/>
      <c r="P2033" s="36" t="str">
        <f>IF(N2032&gt;0,"xx",IF(N2032&gt;0,"xy",""))</f>
        <v/>
      </c>
      <c r="Q2033" s="317" t="str">
        <f t="shared" si="531"/>
        <v/>
      </c>
      <c r="R2033" s="317" t="str">
        <f t="shared" si="532"/>
        <v/>
      </c>
      <c r="S2033" s="317" t="str">
        <f t="shared" si="533"/>
        <v/>
      </c>
      <c r="V2033" s="314">
        <f>SUM(ORÇAMENTO!N2033)</f>
        <v>0</v>
      </c>
      <c r="W2033" s="315">
        <f t="shared" si="534"/>
        <v>0</v>
      </c>
    </row>
    <row r="2034" spans="1:23" hidden="1">
      <c r="A2034" s="63" t="s">
        <v>147</v>
      </c>
      <c r="B2034" s="870" t="s">
        <v>147</v>
      </c>
      <c r="C2034" s="871"/>
      <c r="D2034" s="881" t="s">
        <v>229</v>
      </c>
      <c r="E2034" s="882">
        <f>DMT!$F$39</f>
        <v>290</v>
      </c>
      <c r="F2034" s="883">
        <v>3.3599999999999998E-2</v>
      </c>
      <c r="G2034" s="923">
        <f t="shared" ref="G2034:G2035" si="542">IF(E2034&lt;=30,(1.07*E2034+2.68)*F2034,((1.07*30+2.68)+1.07*(E2034-30))*F2034)</f>
        <v>10.516128</v>
      </c>
      <c r="H2034" s="876"/>
      <c r="I2034" s="876"/>
      <c r="J2034" s="877">
        <f t="shared" si="522"/>
        <v>0</v>
      </c>
      <c r="K2034" s="878"/>
      <c r="L2034" s="1013">
        <f>ROUND(SUM(ORÇAMENTO!L2034),2)</f>
        <v>0</v>
      </c>
      <c r="M2034" s="1013">
        <f t="shared" si="529"/>
        <v>0</v>
      </c>
      <c r="N2034" s="868">
        <f t="shared" si="530"/>
        <v>0</v>
      </c>
      <c r="O2034" s="880"/>
      <c r="P2034" s="36" t="str">
        <f>IF(N2032&gt;0,"xx",IF(N2032&gt;0,"xy",""))</f>
        <v/>
      </c>
      <c r="Q2034" s="317" t="str">
        <f t="shared" si="531"/>
        <v/>
      </c>
      <c r="R2034" s="317" t="str">
        <f t="shared" si="532"/>
        <v/>
      </c>
      <c r="S2034" s="317" t="str">
        <f t="shared" si="533"/>
        <v/>
      </c>
      <c r="V2034" s="314">
        <f>SUM(ORÇAMENTO!N2034)</f>
        <v>0</v>
      </c>
      <c r="W2034" s="315">
        <f t="shared" si="534"/>
        <v>0</v>
      </c>
    </row>
    <row r="2035" spans="1:23" hidden="1">
      <c r="A2035" s="63" t="s">
        <v>147</v>
      </c>
      <c r="B2035" s="870" t="s">
        <v>147</v>
      </c>
      <c r="C2035" s="871"/>
      <c r="D2035" s="881" t="s">
        <v>336</v>
      </c>
      <c r="E2035" s="882">
        <f>DMT!$F$38</f>
        <v>37</v>
      </c>
      <c r="F2035" s="883">
        <v>1.44</v>
      </c>
      <c r="G2035" s="923">
        <f t="shared" si="542"/>
        <v>60.8688</v>
      </c>
      <c r="H2035" s="876"/>
      <c r="I2035" s="876"/>
      <c r="J2035" s="877">
        <f t="shared" si="522"/>
        <v>0</v>
      </c>
      <c r="K2035" s="878"/>
      <c r="L2035" s="1013">
        <f>ROUND(SUM(ORÇAMENTO!L2035),2)</f>
        <v>0</v>
      </c>
      <c r="M2035" s="1013">
        <f t="shared" si="529"/>
        <v>0</v>
      </c>
      <c r="N2035" s="868">
        <f t="shared" si="530"/>
        <v>0</v>
      </c>
      <c r="O2035" s="880"/>
      <c r="P2035" s="36" t="str">
        <f>IF(N2032&gt;0,"xx",IF(N2032&gt;0,"xy",""))</f>
        <v/>
      </c>
      <c r="Q2035" s="317" t="str">
        <f t="shared" si="531"/>
        <v/>
      </c>
      <c r="R2035" s="317" t="str">
        <f t="shared" si="532"/>
        <v/>
      </c>
      <c r="S2035" s="317" t="str">
        <f t="shared" si="533"/>
        <v/>
      </c>
      <c r="V2035" s="314">
        <f>SUM(ORÇAMENTO!N2035)</f>
        <v>0</v>
      </c>
      <c r="W2035" s="315">
        <f t="shared" si="534"/>
        <v>0</v>
      </c>
    </row>
    <row r="2036" spans="1:23" hidden="1">
      <c r="A2036" s="63">
        <v>611400</v>
      </c>
      <c r="B2036" s="870" t="s">
        <v>1834</v>
      </c>
      <c r="C2036" s="871" t="s">
        <v>184</v>
      </c>
      <c r="D2036" s="881" t="s">
        <v>2014</v>
      </c>
      <c r="E2036" s="882"/>
      <c r="F2036" s="883"/>
      <c r="G2036" s="887">
        <f>SUM(G2037:G2039)</f>
        <v>85.765512000000001</v>
      </c>
      <c r="H2036" s="876">
        <v>1451.97</v>
      </c>
      <c r="I2036" s="876">
        <f>IF(ISBLANK(H2036),"",SUM(G2036:H2036))</f>
        <v>1537.735512</v>
      </c>
      <c r="J2036" s="877">
        <f t="shared" si="522"/>
        <v>1879.42</v>
      </c>
      <c r="K2036" s="878" t="s">
        <v>13</v>
      </c>
      <c r="L2036" s="1013">
        <f>ROUND(SUM(ORÇAMENTO!L2036),2)</f>
        <v>0</v>
      </c>
      <c r="M2036" s="1013">
        <f t="shared" si="529"/>
        <v>0</v>
      </c>
      <c r="N2036" s="868">
        <f t="shared" si="530"/>
        <v>0</v>
      </c>
      <c r="O2036" s="880"/>
      <c r="Q2036" s="317" t="str">
        <f t="shared" si="531"/>
        <v/>
      </c>
      <c r="R2036" s="317" t="str">
        <f t="shared" si="532"/>
        <v/>
      </c>
      <c r="S2036" s="317" t="str">
        <f t="shared" si="533"/>
        <v/>
      </c>
      <c r="V2036" s="314">
        <f>SUM(ORÇAMENTO!N2036)</f>
        <v>0</v>
      </c>
      <c r="W2036" s="315">
        <f t="shared" si="534"/>
        <v>0</v>
      </c>
    </row>
    <row r="2037" spans="1:23" hidden="1">
      <c r="A2037" s="63" t="s">
        <v>147</v>
      </c>
      <c r="B2037" s="870" t="s">
        <v>147</v>
      </c>
      <c r="C2037" s="871"/>
      <c r="D2037" s="881" t="s">
        <v>190</v>
      </c>
      <c r="E2037" s="882">
        <f>DMT!$D$41</f>
        <v>445</v>
      </c>
      <c r="F2037" s="883">
        <v>8.0999999999999996E-3</v>
      </c>
      <c r="G2037" s="884">
        <f>IF(E2037&lt;=30,(0.78*E2037+7.82)*F2037,((0.78*30+7.82)+0.78*(E2037-30))*F2037)</f>
        <v>2.8748520000000002</v>
      </c>
      <c r="H2037" s="876"/>
      <c r="I2037" s="876" t="str">
        <f>IF(ISBLANK(H2037),"",SUM(G2037:H2037))</f>
        <v/>
      </c>
      <c r="J2037" s="877">
        <f t="shared" si="522"/>
        <v>0</v>
      </c>
      <c r="K2037" s="878"/>
      <c r="L2037" s="1013">
        <f>ROUND(SUM(ORÇAMENTO!L2037),2)</f>
        <v>0</v>
      </c>
      <c r="M2037" s="1013">
        <f t="shared" si="529"/>
        <v>0</v>
      </c>
      <c r="N2037" s="868">
        <f t="shared" si="530"/>
        <v>0</v>
      </c>
      <c r="O2037" s="880"/>
      <c r="P2037" s="36" t="str">
        <f>IF(N2036&gt;0,"xx",IF(N2036&gt;0,"xy",""))</f>
        <v/>
      </c>
      <c r="Q2037" s="317" t="str">
        <f t="shared" si="531"/>
        <v/>
      </c>
      <c r="R2037" s="317" t="str">
        <f t="shared" si="532"/>
        <v/>
      </c>
      <c r="S2037" s="317" t="str">
        <f t="shared" si="533"/>
        <v/>
      </c>
      <c r="V2037" s="314">
        <f>SUM(ORÇAMENTO!N2037)</f>
        <v>0</v>
      </c>
      <c r="W2037" s="315">
        <f t="shared" si="534"/>
        <v>0</v>
      </c>
    </row>
    <row r="2038" spans="1:23" hidden="1">
      <c r="A2038" s="63" t="s">
        <v>147</v>
      </c>
      <c r="B2038" s="870" t="s">
        <v>147</v>
      </c>
      <c r="C2038" s="871"/>
      <c r="D2038" s="881" t="s">
        <v>229</v>
      </c>
      <c r="E2038" s="882">
        <f>DMT!$F$39</f>
        <v>290</v>
      </c>
      <c r="F2038" s="883">
        <v>4.2000000000000003E-2</v>
      </c>
      <c r="G2038" s="923">
        <f t="shared" ref="G2038:G2039" si="543">IF(E2038&lt;=30,(1.07*E2038+2.68)*F2038,((1.07*30+2.68)+1.07*(E2038-30))*F2038)</f>
        <v>13.145160000000002</v>
      </c>
      <c r="H2038" s="876"/>
      <c r="I2038" s="876" t="str">
        <f>IF(ISBLANK(H2038),"",SUM(G2038:H2038))</f>
        <v/>
      </c>
      <c r="J2038" s="877">
        <f t="shared" si="522"/>
        <v>0</v>
      </c>
      <c r="K2038" s="878"/>
      <c r="L2038" s="1013">
        <f>ROUND(SUM(ORÇAMENTO!L2038),2)</f>
        <v>0</v>
      </c>
      <c r="M2038" s="1013">
        <f t="shared" si="529"/>
        <v>0</v>
      </c>
      <c r="N2038" s="868">
        <f t="shared" si="530"/>
        <v>0</v>
      </c>
      <c r="O2038" s="880"/>
      <c r="P2038" s="36" t="str">
        <f>IF(N2036&gt;0,"xx",IF(N2036&gt;0,"xy",""))</f>
        <v/>
      </c>
      <c r="Q2038" s="317" t="str">
        <f t="shared" si="531"/>
        <v/>
      </c>
      <c r="R2038" s="317" t="str">
        <f t="shared" si="532"/>
        <v/>
      </c>
      <c r="S2038" s="317" t="str">
        <f t="shared" si="533"/>
        <v/>
      </c>
      <c r="V2038" s="314">
        <f>SUM(ORÇAMENTO!N2038)</f>
        <v>0</v>
      </c>
      <c r="W2038" s="315">
        <f t="shared" si="534"/>
        <v>0</v>
      </c>
    </row>
    <row r="2039" spans="1:23" hidden="1">
      <c r="A2039" s="63" t="s">
        <v>147</v>
      </c>
      <c r="B2039" s="870" t="s">
        <v>147</v>
      </c>
      <c r="C2039" s="871"/>
      <c r="D2039" s="881" t="s">
        <v>336</v>
      </c>
      <c r="E2039" s="882">
        <f>DMT!$F$38</f>
        <v>37</v>
      </c>
      <c r="F2039" s="883">
        <v>1.65</v>
      </c>
      <c r="G2039" s="923">
        <f t="shared" si="543"/>
        <v>69.745500000000007</v>
      </c>
      <c r="H2039" s="876"/>
      <c r="I2039" s="876" t="str">
        <f>IF(ISBLANK(H2039),"",SUM(G2039:H2039))</f>
        <v/>
      </c>
      <c r="J2039" s="877">
        <f t="shared" si="522"/>
        <v>0</v>
      </c>
      <c r="K2039" s="878"/>
      <c r="L2039" s="1013">
        <f>ROUND(SUM(ORÇAMENTO!L2039),2)</f>
        <v>0</v>
      </c>
      <c r="M2039" s="1013">
        <f t="shared" si="529"/>
        <v>0</v>
      </c>
      <c r="N2039" s="868">
        <f t="shared" si="530"/>
        <v>0</v>
      </c>
      <c r="O2039" s="880"/>
      <c r="P2039" s="36" t="str">
        <f>IF(N2036&gt;0,"xx",IF(N2036&gt;0,"xy",""))</f>
        <v/>
      </c>
      <c r="Q2039" s="317" t="str">
        <f t="shared" si="531"/>
        <v/>
      </c>
      <c r="R2039" s="317" t="str">
        <f t="shared" si="532"/>
        <v/>
      </c>
      <c r="S2039" s="317" t="str">
        <f t="shared" si="533"/>
        <v/>
      </c>
      <c r="V2039" s="314">
        <f>SUM(ORÇAMENTO!N2039)</f>
        <v>0</v>
      </c>
      <c r="W2039" s="315">
        <f t="shared" si="534"/>
        <v>0</v>
      </c>
    </row>
    <row r="2040" spans="1:23" hidden="1">
      <c r="A2040" s="63">
        <v>611400</v>
      </c>
      <c r="B2040" s="870" t="s">
        <v>1835</v>
      </c>
      <c r="C2040" s="871" t="s">
        <v>184</v>
      </c>
      <c r="D2040" s="881" t="s">
        <v>2015</v>
      </c>
      <c r="E2040" s="882"/>
      <c r="F2040" s="883"/>
      <c r="G2040" s="887">
        <f>SUM(G2041:G2043)</f>
        <v>103.58745500000001</v>
      </c>
      <c r="H2040" s="876">
        <v>1450.81</v>
      </c>
      <c r="I2040" s="876">
        <f>IF(ISBLANK(H2040),"",SUM(G2040:H2040))</f>
        <v>1554.397455</v>
      </c>
      <c r="J2040" s="877">
        <f t="shared" si="522"/>
        <v>1899.78</v>
      </c>
      <c r="K2040" s="878" t="s">
        <v>13</v>
      </c>
      <c r="L2040" s="1013">
        <f>ROUND(SUM(ORÇAMENTO!L2040),2)</f>
        <v>0</v>
      </c>
      <c r="M2040" s="1013">
        <f t="shared" si="529"/>
        <v>0</v>
      </c>
      <c r="N2040" s="868">
        <f t="shared" si="530"/>
        <v>0</v>
      </c>
      <c r="O2040" s="880"/>
      <c r="Q2040" s="317" t="str">
        <f t="shared" si="531"/>
        <v/>
      </c>
      <c r="R2040" s="317" t="str">
        <f t="shared" si="532"/>
        <v/>
      </c>
      <c r="S2040" s="317" t="str">
        <f t="shared" si="533"/>
        <v/>
      </c>
      <c r="V2040" s="314">
        <f>SUM(ORÇAMENTO!N2040)</f>
        <v>0</v>
      </c>
      <c r="W2040" s="315">
        <f t="shared" si="534"/>
        <v>0</v>
      </c>
    </row>
    <row r="2041" spans="1:23" hidden="1">
      <c r="A2041" s="63" t="s">
        <v>147</v>
      </c>
      <c r="B2041" s="870" t="s">
        <v>147</v>
      </c>
      <c r="C2041" s="871"/>
      <c r="D2041" s="881" t="s">
        <v>190</v>
      </c>
      <c r="E2041" s="882">
        <f>DMT!$D$41</f>
        <v>445</v>
      </c>
      <c r="F2041" s="883">
        <v>9.1999999999999998E-3</v>
      </c>
      <c r="G2041" s="884">
        <f>IF(E2041&lt;=30,(0.78*E2041+7.82)*F2041,((0.78*30+7.82)+0.78*(E2041-30))*F2041)</f>
        <v>3.2652640000000002</v>
      </c>
      <c r="H2041" s="876"/>
      <c r="I2041" s="876"/>
      <c r="J2041" s="877">
        <f t="shared" si="522"/>
        <v>0</v>
      </c>
      <c r="K2041" s="878"/>
      <c r="L2041" s="1013">
        <f>ROUND(SUM(ORÇAMENTO!L2041),2)</f>
        <v>0</v>
      </c>
      <c r="M2041" s="1013">
        <f t="shared" si="529"/>
        <v>0</v>
      </c>
      <c r="N2041" s="868">
        <f t="shared" si="530"/>
        <v>0</v>
      </c>
      <c r="O2041" s="880"/>
      <c r="P2041" s="36" t="str">
        <f>IF(N2040&gt;0,"xx",IF(N2040&gt;0,"xy",""))</f>
        <v/>
      </c>
      <c r="Q2041" s="317" t="str">
        <f t="shared" si="531"/>
        <v/>
      </c>
      <c r="R2041" s="317" t="str">
        <f t="shared" si="532"/>
        <v/>
      </c>
      <c r="S2041" s="317" t="str">
        <f t="shared" si="533"/>
        <v/>
      </c>
      <c r="V2041" s="314">
        <f>SUM(ORÇAMENTO!N2041)</f>
        <v>0</v>
      </c>
      <c r="W2041" s="315">
        <f t="shared" si="534"/>
        <v>0</v>
      </c>
    </row>
    <row r="2042" spans="1:23" hidden="1">
      <c r="A2042" s="63" t="s">
        <v>147</v>
      </c>
      <c r="B2042" s="870" t="s">
        <v>147</v>
      </c>
      <c r="C2042" s="871"/>
      <c r="D2042" s="881" t="s">
        <v>229</v>
      </c>
      <c r="E2042" s="882">
        <f>DMT!$F$39</f>
        <v>290</v>
      </c>
      <c r="F2042" s="883">
        <v>4.7899999999999998E-2</v>
      </c>
      <c r="G2042" s="923">
        <f t="shared" ref="G2042:G2043" si="544">IF(E2042&lt;=30,(1.07*E2042+2.68)*F2042,((1.07*30+2.68)+1.07*(E2042-30))*F2042)</f>
        <v>14.991742</v>
      </c>
      <c r="H2042" s="876"/>
      <c r="I2042" s="876"/>
      <c r="J2042" s="877">
        <f t="shared" ref="J2042:J2105" si="545">IF(ISBLANK(H2042),0,ROUND(I2042*(1+$E$10),2))</f>
        <v>0</v>
      </c>
      <c r="K2042" s="878"/>
      <c r="L2042" s="1013">
        <f>ROUND(SUM(ORÇAMENTO!L2042),2)</f>
        <v>0</v>
      </c>
      <c r="M2042" s="1013">
        <f t="shared" si="529"/>
        <v>0</v>
      </c>
      <c r="N2042" s="868">
        <f t="shared" si="530"/>
        <v>0</v>
      </c>
      <c r="O2042" s="880"/>
      <c r="P2042" s="36" t="str">
        <f>IF(N2040&gt;0,"xx",IF(N2040&gt;0,"xy",""))</f>
        <v/>
      </c>
      <c r="Q2042" s="317" t="str">
        <f t="shared" si="531"/>
        <v/>
      </c>
      <c r="R2042" s="317" t="str">
        <f t="shared" si="532"/>
        <v/>
      </c>
      <c r="S2042" s="317" t="str">
        <f t="shared" si="533"/>
        <v/>
      </c>
      <c r="V2042" s="314">
        <f>SUM(ORÇAMENTO!N2042)</f>
        <v>0</v>
      </c>
      <c r="W2042" s="315">
        <f t="shared" si="534"/>
        <v>0</v>
      </c>
    </row>
    <row r="2043" spans="1:23" hidden="1">
      <c r="A2043" s="63" t="s">
        <v>147</v>
      </c>
      <c r="B2043" s="870" t="s">
        <v>147</v>
      </c>
      <c r="C2043" s="871"/>
      <c r="D2043" s="881" t="s">
        <v>336</v>
      </c>
      <c r="E2043" s="882">
        <f>DMT!$F$38</f>
        <v>37</v>
      </c>
      <c r="F2043" s="883">
        <v>2.0186999999999999</v>
      </c>
      <c r="G2043" s="923">
        <f t="shared" si="544"/>
        <v>85.330449000000002</v>
      </c>
      <c r="H2043" s="876"/>
      <c r="I2043" s="876"/>
      <c r="J2043" s="877">
        <f t="shared" si="545"/>
        <v>0</v>
      </c>
      <c r="K2043" s="878"/>
      <c r="L2043" s="1013">
        <f>ROUND(SUM(ORÇAMENTO!L2043),2)</f>
        <v>0</v>
      </c>
      <c r="M2043" s="1013">
        <f t="shared" si="529"/>
        <v>0</v>
      </c>
      <c r="N2043" s="868">
        <f t="shared" si="530"/>
        <v>0</v>
      </c>
      <c r="O2043" s="880"/>
      <c r="P2043" s="36" t="str">
        <f>IF(N2040&gt;0,"xx",IF(N2040&gt;0,"xy",""))</f>
        <v/>
      </c>
      <c r="Q2043" s="317" t="str">
        <f t="shared" si="531"/>
        <v/>
      </c>
      <c r="R2043" s="317" t="str">
        <f t="shared" si="532"/>
        <v/>
      </c>
      <c r="S2043" s="317" t="str">
        <f t="shared" si="533"/>
        <v/>
      </c>
      <c r="V2043" s="314">
        <f>SUM(ORÇAMENTO!N2043)</f>
        <v>0</v>
      </c>
      <c r="W2043" s="315">
        <f t="shared" si="534"/>
        <v>0</v>
      </c>
    </row>
    <row r="2044" spans="1:23" hidden="1">
      <c r="A2044" s="63">
        <v>611600</v>
      </c>
      <c r="B2044" s="870" t="s">
        <v>1837</v>
      </c>
      <c r="C2044" s="871" t="s">
        <v>184</v>
      </c>
      <c r="D2044" s="881" t="s">
        <v>2016</v>
      </c>
      <c r="E2044" s="882"/>
      <c r="F2044" s="883"/>
      <c r="G2044" s="887">
        <f>SUM(G2045:G2047)</f>
        <v>110.097416</v>
      </c>
      <c r="H2044" s="876">
        <v>3497.54</v>
      </c>
      <c r="I2044" s="876">
        <f>IF(ISBLANK(H2044),"",SUM(G2044:H2044))</f>
        <v>3607.637416</v>
      </c>
      <c r="J2044" s="877">
        <f t="shared" si="545"/>
        <v>4409.25</v>
      </c>
      <c r="K2044" s="878" t="s">
        <v>13</v>
      </c>
      <c r="L2044" s="1013">
        <f>ROUND(SUM(ORÇAMENTO!L2044),2)</f>
        <v>0</v>
      </c>
      <c r="M2044" s="1013">
        <f t="shared" si="529"/>
        <v>0</v>
      </c>
      <c r="N2044" s="868">
        <f t="shared" si="530"/>
        <v>0</v>
      </c>
      <c r="O2044" s="880"/>
      <c r="Q2044" s="317" t="str">
        <f t="shared" si="531"/>
        <v/>
      </c>
      <c r="R2044" s="317" t="str">
        <f t="shared" si="532"/>
        <v/>
      </c>
      <c r="S2044" s="317" t="str">
        <f t="shared" si="533"/>
        <v/>
      </c>
      <c r="V2044" s="314">
        <f>SUM(ORÇAMENTO!N2044)</f>
        <v>0</v>
      </c>
      <c r="W2044" s="315">
        <f t="shared" si="534"/>
        <v>0</v>
      </c>
    </row>
    <row r="2045" spans="1:23" hidden="1">
      <c r="A2045" s="63" t="s">
        <v>147</v>
      </c>
      <c r="B2045" s="870" t="s">
        <v>147</v>
      </c>
      <c r="C2045" s="871"/>
      <c r="D2045" s="881" t="s">
        <v>190</v>
      </c>
      <c r="E2045" s="882">
        <f>DMT!$D$41</f>
        <v>445</v>
      </c>
      <c r="F2045" s="883">
        <v>9.7000000000000003E-3</v>
      </c>
      <c r="G2045" s="884">
        <f>IF(E2045&lt;=30,(0.78*E2045+7.82)*F2045,((0.78*30+7.82)+0.78*(E2045-30))*F2045)</f>
        <v>3.4427240000000001</v>
      </c>
      <c r="H2045" s="876"/>
      <c r="I2045" s="876"/>
      <c r="J2045" s="877">
        <f t="shared" si="545"/>
        <v>0</v>
      </c>
      <c r="K2045" s="878"/>
      <c r="L2045" s="1013">
        <f>ROUND(SUM(ORÇAMENTO!L2045),2)</f>
        <v>0</v>
      </c>
      <c r="M2045" s="1013">
        <f t="shared" si="529"/>
        <v>0</v>
      </c>
      <c r="N2045" s="868">
        <f t="shared" si="530"/>
        <v>0</v>
      </c>
      <c r="O2045" s="880"/>
      <c r="P2045" s="36" t="str">
        <f>IF(N2044&gt;0,"xx",IF(N2044&gt;0,"xy",""))</f>
        <v/>
      </c>
      <c r="Q2045" s="317" t="str">
        <f t="shared" si="531"/>
        <v/>
      </c>
      <c r="R2045" s="317" t="str">
        <f t="shared" si="532"/>
        <v/>
      </c>
      <c r="S2045" s="317" t="str">
        <f t="shared" si="533"/>
        <v/>
      </c>
      <c r="V2045" s="314">
        <f>SUM(ORÇAMENTO!N2045)</f>
        <v>0</v>
      </c>
      <c r="W2045" s="315">
        <f t="shared" si="534"/>
        <v>0</v>
      </c>
    </row>
    <row r="2046" spans="1:23" hidden="1">
      <c r="A2046" s="63" t="s">
        <v>147</v>
      </c>
      <c r="B2046" s="870" t="s">
        <v>147</v>
      </c>
      <c r="C2046" s="871"/>
      <c r="D2046" s="881" t="s">
        <v>229</v>
      </c>
      <c r="E2046" s="882">
        <f>DMT!$F$39</f>
        <v>290</v>
      </c>
      <c r="F2046" s="883">
        <v>5.04E-2</v>
      </c>
      <c r="G2046" s="923">
        <f t="shared" ref="G2046:G2047" si="546">IF(E2046&lt;=30,(1.07*E2046+2.68)*F2046,((1.07*30+2.68)+1.07*(E2046-30))*F2046)</f>
        <v>15.774192000000001</v>
      </c>
      <c r="H2046" s="876"/>
      <c r="I2046" s="876"/>
      <c r="J2046" s="877">
        <f t="shared" si="545"/>
        <v>0</v>
      </c>
      <c r="K2046" s="878"/>
      <c r="L2046" s="1013">
        <f>ROUND(SUM(ORÇAMENTO!L2046),2)</f>
        <v>0</v>
      </c>
      <c r="M2046" s="1013">
        <f t="shared" si="529"/>
        <v>0</v>
      </c>
      <c r="N2046" s="868">
        <f t="shared" si="530"/>
        <v>0</v>
      </c>
      <c r="O2046" s="880"/>
      <c r="P2046" s="36" t="str">
        <f>IF(N2044&gt;0,"xx",IF(N2044&gt;0,"xy",""))</f>
        <v/>
      </c>
      <c r="Q2046" s="317" t="str">
        <f t="shared" si="531"/>
        <v/>
      </c>
      <c r="R2046" s="317" t="str">
        <f t="shared" si="532"/>
        <v/>
      </c>
      <c r="S2046" s="317" t="str">
        <f t="shared" si="533"/>
        <v/>
      </c>
      <c r="V2046" s="314">
        <f>SUM(ORÇAMENTO!N2046)</f>
        <v>0</v>
      </c>
      <c r="W2046" s="315">
        <f t="shared" si="534"/>
        <v>0</v>
      </c>
    </row>
    <row r="2047" spans="1:23" hidden="1">
      <c r="A2047" s="63" t="s">
        <v>147</v>
      </c>
      <c r="B2047" s="870" t="s">
        <v>147</v>
      </c>
      <c r="C2047" s="871"/>
      <c r="D2047" s="881" t="s">
        <v>336</v>
      </c>
      <c r="E2047" s="882">
        <f>DMT!$F$38</f>
        <v>37</v>
      </c>
      <c r="F2047" s="883">
        <v>2.15</v>
      </c>
      <c r="G2047" s="923">
        <f t="shared" si="546"/>
        <v>90.880499999999998</v>
      </c>
      <c r="H2047" s="876"/>
      <c r="I2047" s="876"/>
      <c r="J2047" s="877">
        <f t="shared" si="545"/>
        <v>0</v>
      </c>
      <c r="K2047" s="878"/>
      <c r="L2047" s="1013">
        <f>ROUND(SUM(ORÇAMENTO!L2047),2)</f>
        <v>0</v>
      </c>
      <c r="M2047" s="1013">
        <f t="shared" si="529"/>
        <v>0</v>
      </c>
      <c r="N2047" s="868">
        <f t="shared" si="530"/>
        <v>0</v>
      </c>
      <c r="O2047" s="880"/>
      <c r="P2047" s="36" t="str">
        <f>IF(N2044&gt;0,"xx",IF(N2044&gt;0,"xy",""))</f>
        <v/>
      </c>
      <c r="Q2047" s="317" t="str">
        <f t="shared" si="531"/>
        <v/>
      </c>
      <c r="R2047" s="317" t="str">
        <f t="shared" si="532"/>
        <v/>
      </c>
      <c r="S2047" s="317" t="str">
        <f t="shared" si="533"/>
        <v/>
      </c>
      <c r="V2047" s="314">
        <f>SUM(ORÇAMENTO!N2047)</f>
        <v>0</v>
      </c>
      <c r="W2047" s="315">
        <f t="shared" si="534"/>
        <v>0</v>
      </c>
    </row>
    <row r="2048" spans="1:23" hidden="1">
      <c r="A2048" s="63">
        <v>610500</v>
      </c>
      <c r="B2048" s="870">
        <v>610500</v>
      </c>
      <c r="C2048" s="871" t="s">
        <v>184</v>
      </c>
      <c r="D2048" s="881" t="s">
        <v>2017</v>
      </c>
      <c r="E2048" s="882"/>
      <c r="F2048" s="883"/>
      <c r="G2048" s="887">
        <f>SUM(G2049:G2052)</f>
        <v>41.307004599999999</v>
      </c>
      <c r="H2048" s="876">
        <v>206.29</v>
      </c>
      <c r="I2048" s="876">
        <f>IF(ISBLANK(H2048),"",SUM(G2048:H2048))</f>
        <v>247.59700459999999</v>
      </c>
      <c r="J2048" s="877">
        <f t="shared" si="545"/>
        <v>302.61</v>
      </c>
      <c r="K2048" s="878" t="s">
        <v>13</v>
      </c>
      <c r="L2048" s="1013">
        <f>ROUND(SUM(ORÇAMENTO!L2048),2)</f>
        <v>0</v>
      </c>
      <c r="M2048" s="1013">
        <f t="shared" si="529"/>
        <v>0</v>
      </c>
      <c r="N2048" s="868">
        <f t="shared" si="530"/>
        <v>0</v>
      </c>
      <c r="O2048" s="880"/>
      <c r="Q2048" s="317" t="str">
        <f t="shared" si="531"/>
        <v/>
      </c>
      <c r="R2048" s="317" t="str">
        <f t="shared" si="532"/>
        <v/>
      </c>
      <c r="S2048" s="317" t="str">
        <f t="shared" si="533"/>
        <v/>
      </c>
      <c r="V2048" s="314">
        <f>SUM(ORÇAMENTO!N2048)</f>
        <v>0</v>
      </c>
      <c r="W2048" s="315">
        <f t="shared" si="534"/>
        <v>0</v>
      </c>
    </row>
    <row r="2049" spans="1:23" hidden="1">
      <c r="A2049" s="63" t="s">
        <v>147</v>
      </c>
      <c r="B2049" s="870" t="s">
        <v>147</v>
      </c>
      <c r="C2049" s="871"/>
      <c r="D2049" s="881" t="s">
        <v>190</v>
      </c>
      <c r="E2049" s="882">
        <f>DMT!$D$41</f>
        <v>445</v>
      </c>
      <c r="F2049" s="883">
        <v>2.2599999999999999E-2</v>
      </c>
      <c r="G2049" s="884">
        <f>IF(E2049&lt;=30,(0.78*E2049+7.82)*F2049,((0.78*30+7.82)+0.78*(E2049-30))*F2049)</f>
        <v>8.0211919999999992</v>
      </c>
      <c r="H2049" s="876"/>
      <c r="I2049" s="876"/>
      <c r="J2049" s="877">
        <f t="shared" si="545"/>
        <v>0</v>
      </c>
      <c r="K2049" s="878"/>
      <c r="L2049" s="1013">
        <f>ROUND(SUM(ORÇAMENTO!L2049),2)</f>
        <v>0</v>
      </c>
      <c r="M2049" s="1013">
        <f t="shared" si="529"/>
        <v>0</v>
      </c>
      <c r="N2049" s="868">
        <f t="shared" si="530"/>
        <v>0</v>
      </c>
      <c r="O2049" s="880"/>
      <c r="P2049" s="36" t="str">
        <f>IF(N2048&gt;0,"xx",IF(N2048&gt;0,"xy",""))</f>
        <v/>
      </c>
      <c r="Q2049" s="317" t="str">
        <f t="shared" si="531"/>
        <v/>
      </c>
      <c r="R2049" s="317" t="str">
        <f t="shared" si="532"/>
        <v/>
      </c>
      <c r="S2049" s="317" t="str">
        <f t="shared" si="533"/>
        <v/>
      </c>
      <c r="V2049" s="314">
        <f>SUM(ORÇAMENTO!N2049)</f>
        <v>0</v>
      </c>
      <c r="W2049" s="315">
        <f t="shared" si="534"/>
        <v>0</v>
      </c>
    </row>
    <row r="2050" spans="1:23" hidden="1">
      <c r="A2050" s="63" t="s">
        <v>147</v>
      </c>
      <c r="B2050" s="870" t="s">
        <v>147</v>
      </c>
      <c r="C2050" s="871"/>
      <c r="D2050" s="881" t="s">
        <v>229</v>
      </c>
      <c r="E2050" s="882">
        <f>DMT!$F$39</f>
        <v>290</v>
      </c>
      <c r="F2050" s="883">
        <v>8.3900000000000002E-2</v>
      </c>
      <c r="G2050" s="923">
        <f t="shared" ref="G2050:G2052" si="547">IF(E2050&lt;=30,(1.07*E2050+2.68)*F2050,((1.07*30+2.68)+1.07*(E2050-30))*F2050)</f>
        <v>26.259022000000002</v>
      </c>
      <c r="H2050" s="876"/>
      <c r="I2050" s="876"/>
      <c r="J2050" s="877">
        <f t="shared" si="545"/>
        <v>0</v>
      </c>
      <c r="K2050" s="878"/>
      <c r="L2050" s="1013">
        <f>ROUND(SUM(ORÇAMENTO!L2050),2)</f>
        <v>0</v>
      </c>
      <c r="M2050" s="1013">
        <f t="shared" si="529"/>
        <v>0</v>
      </c>
      <c r="N2050" s="868">
        <f t="shared" si="530"/>
        <v>0</v>
      </c>
      <c r="O2050" s="880"/>
      <c r="P2050" s="36" t="str">
        <f>IF(N2048&gt;0,"xx",IF(N2048&gt;0,"xy",""))</f>
        <v/>
      </c>
      <c r="Q2050" s="317" t="str">
        <f t="shared" si="531"/>
        <v/>
      </c>
      <c r="R2050" s="317" t="str">
        <f t="shared" si="532"/>
        <v/>
      </c>
      <c r="S2050" s="317" t="str">
        <f t="shared" si="533"/>
        <v/>
      </c>
      <c r="V2050" s="314">
        <f>SUM(ORÇAMENTO!N2050)</f>
        <v>0</v>
      </c>
      <c r="W2050" s="315">
        <f t="shared" si="534"/>
        <v>0</v>
      </c>
    </row>
    <row r="2051" spans="1:23" hidden="1">
      <c r="A2051" s="63" t="s">
        <v>147</v>
      </c>
      <c r="B2051" s="870" t="s">
        <v>147</v>
      </c>
      <c r="C2051" s="871"/>
      <c r="D2051" s="881" t="s">
        <v>233</v>
      </c>
      <c r="E2051" s="882">
        <f>DMT!$F$40</f>
        <v>0.2</v>
      </c>
      <c r="F2051" s="883">
        <v>0.13490000000000002</v>
      </c>
      <c r="G2051" s="923">
        <f t="shared" si="547"/>
        <v>0.3904006000000001</v>
      </c>
      <c r="H2051" s="876"/>
      <c r="I2051" s="876"/>
      <c r="J2051" s="877">
        <f t="shared" si="545"/>
        <v>0</v>
      </c>
      <c r="K2051" s="878"/>
      <c r="L2051" s="1013">
        <f>ROUND(SUM(ORÇAMENTO!L2051),2)</f>
        <v>0</v>
      </c>
      <c r="M2051" s="1013">
        <f t="shared" si="529"/>
        <v>0</v>
      </c>
      <c r="N2051" s="868">
        <f t="shared" si="530"/>
        <v>0</v>
      </c>
      <c r="O2051" s="880"/>
      <c r="P2051" s="36" t="str">
        <f>IF(N2048&gt;0,"xx",IF(N2048&gt;0,"xy",""))</f>
        <v/>
      </c>
      <c r="Q2051" s="317" t="str">
        <f t="shared" si="531"/>
        <v/>
      </c>
      <c r="R2051" s="317" t="str">
        <f t="shared" si="532"/>
        <v/>
      </c>
      <c r="S2051" s="317" t="str">
        <f t="shared" si="533"/>
        <v/>
      </c>
      <c r="V2051" s="314">
        <f>SUM(ORÇAMENTO!N2051)</f>
        <v>0</v>
      </c>
      <c r="W2051" s="315">
        <f t="shared" si="534"/>
        <v>0</v>
      </c>
    </row>
    <row r="2052" spans="1:23" hidden="1">
      <c r="A2052" s="63" t="s">
        <v>147</v>
      </c>
      <c r="B2052" s="870" t="s">
        <v>147</v>
      </c>
      <c r="C2052" s="871"/>
      <c r="D2052" s="881" t="s">
        <v>336</v>
      </c>
      <c r="E2052" s="882">
        <f>DMT!$F$38</f>
        <v>37</v>
      </c>
      <c r="F2052" s="883">
        <v>0.157</v>
      </c>
      <c r="G2052" s="923">
        <f t="shared" si="547"/>
        <v>6.6363900000000005</v>
      </c>
      <c r="H2052" s="876"/>
      <c r="I2052" s="876"/>
      <c r="J2052" s="877">
        <f t="shared" si="545"/>
        <v>0</v>
      </c>
      <c r="K2052" s="878"/>
      <c r="L2052" s="1013">
        <f>ROUND(SUM(ORÇAMENTO!L2052),2)</f>
        <v>0</v>
      </c>
      <c r="M2052" s="1013">
        <f t="shared" si="529"/>
        <v>0</v>
      </c>
      <c r="N2052" s="868">
        <f t="shared" si="530"/>
        <v>0</v>
      </c>
      <c r="O2052" s="880"/>
      <c r="P2052" s="36" t="str">
        <f>IF(N2048&gt;0,"xx",IF(N2048&gt;0,"xy",""))</f>
        <v/>
      </c>
      <c r="Q2052" s="317" t="str">
        <f t="shared" si="531"/>
        <v/>
      </c>
      <c r="R2052" s="317" t="str">
        <f t="shared" si="532"/>
        <v/>
      </c>
      <c r="S2052" s="317" t="str">
        <f t="shared" si="533"/>
        <v/>
      </c>
      <c r="V2052" s="314">
        <f>SUM(ORÇAMENTO!N2052)</f>
        <v>0</v>
      </c>
      <c r="W2052" s="315">
        <f t="shared" si="534"/>
        <v>0</v>
      </c>
    </row>
    <row r="2053" spans="1:23" hidden="1">
      <c r="A2053" s="63">
        <v>610700</v>
      </c>
      <c r="B2053" s="870" t="s">
        <v>1822</v>
      </c>
      <c r="C2053" s="871" t="s">
        <v>184</v>
      </c>
      <c r="D2053" s="881" t="s">
        <v>2018</v>
      </c>
      <c r="E2053" s="882"/>
      <c r="F2053" s="883"/>
      <c r="G2053" s="887">
        <f>SUM(G2054:G2057)</f>
        <v>54.201467400000006</v>
      </c>
      <c r="H2053" s="876">
        <v>312.2</v>
      </c>
      <c r="I2053" s="876">
        <f>IF(ISBLANK(H2053),"",SUM(G2053:H2053))</f>
        <v>366.4014674</v>
      </c>
      <c r="J2053" s="877">
        <f t="shared" si="545"/>
        <v>447.82</v>
      </c>
      <c r="K2053" s="878" t="s">
        <v>13</v>
      </c>
      <c r="L2053" s="1013">
        <f>ROUND(SUM(ORÇAMENTO!L2053),2)</f>
        <v>0</v>
      </c>
      <c r="M2053" s="1013">
        <f t="shared" si="529"/>
        <v>0</v>
      </c>
      <c r="N2053" s="868">
        <f t="shared" si="530"/>
        <v>0</v>
      </c>
      <c r="O2053" s="880"/>
      <c r="Q2053" s="317" t="str">
        <f t="shared" si="531"/>
        <v/>
      </c>
      <c r="R2053" s="317" t="str">
        <f t="shared" si="532"/>
        <v/>
      </c>
      <c r="S2053" s="317" t="str">
        <f t="shared" si="533"/>
        <v/>
      </c>
      <c r="V2053" s="314">
        <f>SUM(ORÇAMENTO!N2053)</f>
        <v>0</v>
      </c>
      <c r="W2053" s="315">
        <f t="shared" si="534"/>
        <v>0</v>
      </c>
    </row>
    <row r="2054" spans="1:23" hidden="1">
      <c r="A2054" s="63" t="s">
        <v>147</v>
      </c>
      <c r="B2054" s="870" t="s">
        <v>147</v>
      </c>
      <c r="C2054" s="871"/>
      <c r="D2054" s="881" t="s">
        <v>190</v>
      </c>
      <c r="E2054" s="882">
        <f>DMT!$D$41</f>
        <v>445</v>
      </c>
      <c r="F2054" s="883">
        <v>2.86E-2</v>
      </c>
      <c r="G2054" s="884">
        <f>IF(E2054&lt;=30,(0.78*E2054+7.82)*F2054,((0.78*30+7.82)+0.78*(E2054-30))*F2054)</f>
        <v>10.150712</v>
      </c>
      <c r="H2054" s="876"/>
      <c r="I2054" s="876"/>
      <c r="J2054" s="877">
        <f t="shared" si="545"/>
        <v>0</v>
      </c>
      <c r="K2054" s="878"/>
      <c r="L2054" s="1013">
        <f>ROUND(SUM(ORÇAMENTO!L2054),2)</f>
        <v>0</v>
      </c>
      <c r="M2054" s="1013">
        <f t="shared" si="529"/>
        <v>0</v>
      </c>
      <c r="N2054" s="868">
        <f t="shared" si="530"/>
        <v>0</v>
      </c>
      <c r="O2054" s="880"/>
      <c r="P2054" s="36" t="str">
        <f>IF(N2053&gt;0,"xx",IF(N2053&gt;0,"xy",""))</f>
        <v/>
      </c>
      <c r="Q2054" s="317" t="str">
        <f t="shared" si="531"/>
        <v/>
      </c>
      <c r="R2054" s="317" t="str">
        <f t="shared" si="532"/>
        <v/>
      </c>
      <c r="S2054" s="317" t="str">
        <f t="shared" si="533"/>
        <v/>
      </c>
      <c r="V2054" s="314">
        <f>SUM(ORÇAMENTO!N2054)</f>
        <v>0</v>
      </c>
      <c r="W2054" s="315">
        <f t="shared" si="534"/>
        <v>0</v>
      </c>
    </row>
    <row r="2055" spans="1:23" hidden="1">
      <c r="A2055" s="63" t="s">
        <v>147</v>
      </c>
      <c r="B2055" s="870" t="s">
        <v>147</v>
      </c>
      <c r="C2055" s="871"/>
      <c r="D2055" s="881" t="s">
        <v>229</v>
      </c>
      <c r="E2055" s="882">
        <f>DMT!$F$39</f>
        <v>290</v>
      </c>
      <c r="F2055" s="883">
        <v>0.10539999999999999</v>
      </c>
      <c r="G2055" s="923">
        <f t="shared" ref="G2055:G2057" si="548">IF(E2055&lt;=30,(1.07*E2055+2.68)*F2055,((1.07*30+2.68)+1.07*(E2055-30))*F2055)</f>
        <v>32.988092000000002</v>
      </c>
      <c r="H2055" s="876"/>
      <c r="I2055" s="876"/>
      <c r="J2055" s="877">
        <f t="shared" si="545"/>
        <v>0</v>
      </c>
      <c r="K2055" s="878"/>
      <c r="L2055" s="1013">
        <f>ROUND(SUM(ORÇAMENTO!L2055),2)</f>
        <v>0</v>
      </c>
      <c r="M2055" s="1013">
        <f t="shared" si="529"/>
        <v>0</v>
      </c>
      <c r="N2055" s="868">
        <f t="shared" si="530"/>
        <v>0</v>
      </c>
      <c r="O2055" s="880"/>
      <c r="P2055" s="36" t="str">
        <f>IF(N2053&gt;0,"xx",IF(N2053&gt;0,"xy",""))</f>
        <v/>
      </c>
      <c r="Q2055" s="317" t="str">
        <f t="shared" si="531"/>
        <v/>
      </c>
      <c r="R2055" s="317" t="str">
        <f t="shared" si="532"/>
        <v/>
      </c>
      <c r="S2055" s="317" t="str">
        <f t="shared" si="533"/>
        <v/>
      </c>
      <c r="V2055" s="314">
        <f>SUM(ORÇAMENTO!N2055)</f>
        <v>0</v>
      </c>
      <c r="W2055" s="315">
        <f t="shared" si="534"/>
        <v>0</v>
      </c>
    </row>
    <row r="2056" spans="1:23" hidden="1">
      <c r="A2056" s="63" t="s">
        <v>147</v>
      </c>
      <c r="B2056" s="870" t="s">
        <v>147</v>
      </c>
      <c r="C2056" s="871"/>
      <c r="D2056" s="881" t="s">
        <v>233</v>
      </c>
      <c r="E2056" s="882">
        <f>DMT!$F$40</f>
        <v>0.2</v>
      </c>
      <c r="F2056" s="883">
        <v>0.1711</v>
      </c>
      <c r="G2056" s="923">
        <f t="shared" si="548"/>
        <v>0.49516340000000003</v>
      </c>
      <c r="H2056" s="876"/>
      <c r="I2056" s="876"/>
      <c r="J2056" s="877">
        <f t="shared" si="545"/>
        <v>0</v>
      </c>
      <c r="K2056" s="878"/>
      <c r="L2056" s="1013">
        <f>ROUND(SUM(ORÇAMENTO!L2056),2)</f>
        <v>0</v>
      </c>
      <c r="M2056" s="1013">
        <f t="shared" si="529"/>
        <v>0</v>
      </c>
      <c r="N2056" s="868">
        <f t="shared" si="530"/>
        <v>0</v>
      </c>
      <c r="O2056" s="880"/>
      <c r="P2056" s="36" t="str">
        <f>IF(N2053&gt;0,"xx",IF(N2053&gt;0,"xy",""))</f>
        <v/>
      </c>
      <c r="Q2056" s="317" t="str">
        <f t="shared" si="531"/>
        <v/>
      </c>
      <c r="R2056" s="317" t="str">
        <f t="shared" si="532"/>
        <v/>
      </c>
      <c r="S2056" s="317" t="str">
        <f t="shared" si="533"/>
        <v/>
      </c>
      <c r="V2056" s="314">
        <f>SUM(ORÇAMENTO!N2056)</f>
        <v>0</v>
      </c>
      <c r="W2056" s="315">
        <f t="shared" si="534"/>
        <v>0</v>
      </c>
    </row>
    <row r="2057" spans="1:23" hidden="1">
      <c r="A2057" s="63" t="s">
        <v>147</v>
      </c>
      <c r="B2057" s="870" t="s">
        <v>147</v>
      </c>
      <c r="C2057" s="871"/>
      <c r="D2057" s="881" t="s">
        <v>336</v>
      </c>
      <c r="E2057" s="882">
        <f>DMT!$F$38</f>
        <v>37</v>
      </c>
      <c r="F2057" s="883">
        <v>0.25</v>
      </c>
      <c r="G2057" s="923">
        <f t="shared" si="548"/>
        <v>10.567500000000001</v>
      </c>
      <c r="H2057" s="876"/>
      <c r="I2057" s="876"/>
      <c r="J2057" s="877">
        <f t="shared" si="545"/>
        <v>0</v>
      </c>
      <c r="K2057" s="878"/>
      <c r="L2057" s="1013">
        <f>ROUND(SUM(ORÇAMENTO!L2057),2)</f>
        <v>0</v>
      </c>
      <c r="M2057" s="1013">
        <f t="shared" si="529"/>
        <v>0</v>
      </c>
      <c r="N2057" s="868">
        <f t="shared" si="530"/>
        <v>0</v>
      </c>
      <c r="O2057" s="880"/>
      <c r="P2057" s="36" t="str">
        <f>IF(N2053&gt;0,"xx",IF(N2053&gt;0,"xy",""))</f>
        <v/>
      </c>
      <c r="Q2057" s="317" t="str">
        <f t="shared" si="531"/>
        <v/>
      </c>
      <c r="R2057" s="317" t="str">
        <f t="shared" si="532"/>
        <v/>
      </c>
      <c r="S2057" s="317" t="str">
        <f t="shared" si="533"/>
        <v/>
      </c>
      <c r="V2057" s="314">
        <f>SUM(ORÇAMENTO!N2057)</f>
        <v>0</v>
      </c>
      <c r="W2057" s="315">
        <f t="shared" si="534"/>
        <v>0</v>
      </c>
    </row>
    <row r="2058" spans="1:23" hidden="1">
      <c r="A2058" s="63">
        <v>610700</v>
      </c>
      <c r="B2058" s="870" t="s">
        <v>1823</v>
      </c>
      <c r="C2058" s="871" t="s">
        <v>184</v>
      </c>
      <c r="D2058" s="881" t="s">
        <v>2019</v>
      </c>
      <c r="E2058" s="882"/>
      <c r="F2058" s="883"/>
      <c r="G2058" s="887">
        <f>SUM(G2059:G2062)</f>
        <v>64.481968200000011</v>
      </c>
      <c r="H2058" s="876">
        <v>412.12</v>
      </c>
      <c r="I2058" s="876">
        <f>IF(ISBLANK(H2058),"",SUM(G2058:H2058))</f>
        <v>476.60196819999999</v>
      </c>
      <c r="J2058" s="877">
        <f t="shared" si="545"/>
        <v>582.5</v>
      </c>
      <c r="K2058" s="878" t="s">
        <v>13</v>
      </c>
      <c r="L2058" s="1013">
        <f>ROUND(SUM(ORÇAMENTO!L2058),2)</f>
        <v>0</v>
      </c>
      <c r="M2058" s="1013">
        <f t="shared" si="529"/>
        <v>0</v>
      </c>
      <c r="N2058" s="868">
        <f t="shared" si="530"/>
        <v>0</v>
      </c>
      <c r="O2058" s="880"/>
      <c r="Q2058" s="317" t="str">
        <f t="shared" si="531"/>
        <v/>
      </c>
      <c r="R2058" s="317" t="str">
        <f t="shared" si="532"/>
        <v/>
      </c>
      <c r="S2058" s="317" t="str">
        <f t="shared" si="533"/>
        <v/>
      </c>
      <c r="V2058" s="314">
        <f>SUM(ORÇAMENTO!N2058)</f>
        <v>0</v>
      </c>
      <c r="W2058" s="315">
        <f t="shared" si="534"/>
        <v>0</v>
      </c>
    </row>
    <row r="2059" spans="1:23" hidden="1">
      <c r="A2059" s="63" t="s">
        <v>147</v>
      </c>
      <c r="B2059" s="870" t="s">
        <v>147</v>
      </c>
      <c r="C2059" s="871"/>
      <c r="D2059" s="881" t="s">
        <v>190</v>
      </c>
      <c r="E2059" s="882">
        <f>DMT!$D$41</f>
        <v>445</v>
      </c>
      <c r="F2059" s="883">
        <v>3.4500000000000003E-2</v>
      </c>
      <c r="G2059" s="884">
        <f>IF(E2059&lt;=30,(0.78*E2059+7.82)*F2059,((0.78*30+7.82)+0.78*(E2059-30))*F2059)</f>
        <v>12.244740000000002</v>
      </c>
      <c r="H2059" s="876"/>
      <c r="I2059" s="876"/>
      <c r="J2059" s="877">
        <f t="shared" si="545"/>
        <v>0</v>
      </c>
      <c r="K2059" s="878"/>
      <c r="L2059" s="1013">
        <f>ROUND(SUM(ORÇAMENTO!L2059),2)</f>
        <v>0</v>
      </c>
      <c r="M2059" s="1013">
        <f t="shared" si="529"/>
        <v>0</v>
      </c>
      <c r="N2059" s="868">
        <f t="shared" si="530"/>
        <v>0</v>
      </c>
      <c r="O2059" s="880"/>
      <c r="P2059" s="36" t="str">
        <f>IF(N2058&gt;0,"xx",IF(N2058&gt;0,"xy",""))</f>
        <v/>
      </c>
      <c r="Q2059" s="317" t="str">
        <f t="shared" si="531"/>
        <v/>
      </c>
      <c r="R2059" s="317" t="str">
        <f t="shared" si="532"/>
        <v/>
      </c>
      <c r="S2059" s="317" t="str">
        <f t="shared" si="533"/>
        <v/>
      </c>
      <c r="V2059" s="314">
        <f>SUM(ORÇAMENTO!N2059)</f>
        <v>0</v>
      </c>
      <c r="W2059" s="315">
        <f t="shared" si="534"/>
        <v>0</v>
      </c>
    </row>
    <row r="2060" spans="1:23" hidden="1">
      <c r="A2060" s="63" t="s">
        <v>147</v>
      </c>
      <c r="B2060" s="870" t="s">
        <v>147</v>
      </c>
      <c r="C2060" s="871"/>
      <c r="D2060" s="881" t="s">
        <v>229</v>
      </c>
      <c r="E2060" s="882">
        <f>DMT!$F$39</f>
        <v>290</v>
      </c>
      <c r="F2060" s="883">
        <v>0.12690000000000001</v>
      </c>
      <c r="G2060" s="923">
        <f t="shared" ref="G2060:G2062" si="549">IF(E2060&lt;=30,(1.07*E2060+2.68)*F2060,((1.07*30+2.68)+1.07*(E2060-30))*F2060)</f>
        <v>39.717162000000009</v>
      </c>
      <c r="H2060" s="876"/>
      <c r="I2060" s="876"/>
      <c r="J2060" s="877">
        <f t="shared" si="545"/>
        <v>0</v>
      </c>
      <c r="K2060" s="878"/>
      <c r="L2060" s="1013">
        <f>ROUND(SUM(ORÇAMENTO!L2060),2)</f>
        <v>0</v>
      </c>
      <c r="M2060" s="1013">
        <f t="shared" si="529"/>
        <v>0</v>
      </c>
      <c r="N2060" s="868">
        <f t="shared" si="530"/>
        <v>0</v>
      </c>
      <c r="O2060" s="880"/>
      <c r="P2060" s="36" t="str">
        <f>IF(N2058&gt;0,"xx",IF(N2058&gt;0,"xy",""))</f>
        <v/>
      </c>
      <c r="Q2060" s="317" t="str">
        <f t="shared" si="531"/>
        <v/>
      </c>
      <c r="R2060" s="317" t="str">
        <f t="shared" si="532"/>
        <v/>
      </c>
      <c r="S2060" s="317" t="str">
        <f t="shared" si="533"/>
        <v/>
      </c>
      <c r="V2060" s="314">
        <f>SUM(ORÇAMENTO!N2060)</f>
        <v>0</v>
      </c>
      <c r="W2060" s="315">
        <f t="shared" si="534"/>
        <v>0</v>
      </c>
    </row>
    <row r="2061" spans="1:23" hidden="1">
      <c r="A2061" s="63" t="s">
        <v>147</v>
      </c>
      <c r="B2061" s="870" t="s">
        <v>147</v>
      </c>
      <c r="C2061" s="871"/>
      <c r="D2061" s="881" t="s">
        <v>233</v>
      </c>
      <c r="E2061" s="882">
        <f>DMT!$F$40</f>
        <v>0.2</v>
      </c>
      <c r="F2061" s="883">
        <v>0.20729999999999998</v>
      </c>
      <c r="G2061" s="923">
        <f t="shared" si="549"/>
        <v>0.59992619999999997</v>
      </c>
      <c r="H2061" s="876"/>
      <c r="I2061" s="876"/>
      <c r="J2061" s="877">
        <f t="shared" si="545"/>
        <v>0</v>
      </c>
      <c r="K2061" s="878"/>
      <c r="L2061" s="1013">
        <f>ROUND(SUM(ORÇAMENTO!L2061),2)</f>
        <v>0</v>
      </c>
      <c r="M2061" s="1013">
        <f t="shared" si="529"/>
        <v>0</v>
      </c>
      <c r="N2061" s="868">
        <f t="shared" si="530"/>
        <v>0</v>
      </c>
      <c r="O2061" s="880"/>
      <c r="P2061" s="36" t="str">
        <f>IF(N2058&gt;0,"xx",IF(N2058&gt;0,"xy",""))</f>
        <v/>
      </c>
      <c r="Q2061" s="317" t="str">
        <f t="shared" si="531"/>
        <v/>
      </c>
      <c r="R2061" s="317" t="str">
        <f t="shared" si="532"/>
        <v/>
      </c>
      <c r="S2061" s="317" t="str">
        <f t="shared" si="533"/>
        <v/>
      </c>
      <c r="V2061" s="314">
        <f>SUM(ORÇAMENTO!N2061)</f>
        <v>0</v>
      </c>
      <c r="W2061" s="315">
        <f t="shared" si="534"/>
        <v>0</v>
      </c>
    </row>
    <row r="2062" spans="1:23" hidden="1">
      <c r="A2062" s="63" t="s">
        <v>147</v>
      </c>
      <c r="B2062" s="870" t="s">
        <v>147</v>
      </c>
      <c r="C2062" s="871"/>
      <c r="D2062" s="881" t="s">
        <v>336</v>
      </c>
      <c r="E2062" s="882">
        <f>DMT!$F$38</f>
        <v>37</v>
      </c>
      <c r="F2062" s="883">
        <v>0.28199999999999997</v>
      </c>
      <c r="G2062" s="923">
        <f t="shared" si="549"/>
        <v>11.92014</v>
      </c>
      <c r="H2062" s="876"/>
      <c r="I2062" s="876"/>
      <c r="J2062" s="877">
        <f t="shared" si="545"/>
        <v>0</v>
      </c>
      <c r="K2062" s="878"/>
      <c r="L2062" s="1013">
        <f>ROUND(SUM(ORÇAMENTO!L2062),2)</f>
        <v>0</v>
      </c>
      <c r="M2062" s="1013">
        <f t="shared" si="529"/>
        <v>0</v>
      </c>
      <c r="N2062" s="868">
        <f t="shared" si="530"/>
        <v>0</v>
      </c>
      <c r="O2062" s="880"/>
      <c r="P2062" s="36" t="str">
        <f>IF(N2058&gt;0,"xx",IF(N2058&gt;0,"xy",""))</f>
        <v/>
      </c>
      <c r="Q2062" s="317" t="str">
        <f t="shared" si="531"/>
        <v/>
      </c>
      <c r="R2062" s="317" t="str">
        <f t="shared" si="532"/>
        <v/>
      </c>
      <c r="S2062" s="317" t="str">
        <f t="shared" si="533"/>
        <v/>
      </c>
      <c r="V2062" s="314">
        <f>SUM(ORÇAMENTO!N2062)</f>
        <v>0</v>
      </c>
      <c r="W2062" s="315">
        <f t="shared" si="534"/>
        <v>0</v>
      </c>
    </row>
    <row r="2063" spans="1:23" hidden="1">
      <c r="A2063" s="63">
        <v>610900</v>
      </c>
      <c r="B2063" s="870" t="s">
        <v>1824</v>
      </c>
      <c r="C2063" s="871" t="s">
        <v>184</v>
      </c>
      <c r="D2063" s="881" t="s">
        <v>2020</v>
      </c>
      <c r="E2063" s="882"/>
      <c r="F2063" s="883"/>
      <c r="G2063" s="887">
        <f>SUM(G2064:G2067)</f>
        <v>94.039573799999999</v>
      </c>
      <c r="H2063" s="876">
        <v>537.76</v>
      </c>
      <c r="I2063" s="876">
        <f>IF(ISBLANK(H2063),"",SUM(G2063:H2063))</f>
        <v>631.79957379999996</v>
      </c>
      <c r="J2063" s="877">
        <f t="shared" si="545"/>
        <v>772.19</v>
      </c>
      <c r="K2063" s="878" t="s">
        <v>13</v>
      </c>
      <c r="L2063" s="1013">
        <f>ROUND(SUM(ORÇAMENTO!L2063),2)</f>
        <v>0</v>
      </c>
      <c r="M2063" s="1013">
        <f t="shared" si="529"/>
        <v>0</v>
      </c>
      <c r="N2063" s="868">
        <f t="shared" si="530"/>
        <v>0</v>
      </c>
      <c r="O2063" s="880"/>
      <c r="Q2063" s="317" t="str">
        <f t="shared" si="531"/>
        <v/>
      </c>
      <c r="R2063" s="317" t="str">
        <f t="shared" si="532"/>
        <v/>
      </c>
      <c r="S2063" s="317" t="str">
        <f t="shared" si="533"/>
        <v/>
      </c>
      <c r="V2063" s="314">
        <f>SUM(ORÇAMENTO!N2063)</f>
        <v>0</v>
      </c>
      <c r="W2063" s="315">
        <f t="shared" si="534"/>
        <v>0</v>
      </c>
    </row>
    <row r="2064" spans="1:23" hidden="1">
      <c r="A2064" s="63" t="s">
        <v>147</v>
      </c>
      <c r="B2064" s="870" t="s">
        <v>147</v>
      </c>
      <c r="C2064" s="871"/>
      <c r="D2064" s="881" t="s">
        <v>190</v>
      </c>
      <c r="E2064" s="882">
        <f>DMT!$D$41</f>
        <v>445</v>
      </c>
      <c r="F2064" s="883">
        <v>4.7199999999999999E-2</v>
      </c>
      <c r="G2064" s="884">
        <f>IF(E2064&lt;=30,(0.78*E2064+7.82)*F2064,((0.78*30+7.82)+0.78*(E2064-30))*F2064)</f>
        <v>16.752224000000002</v>
      </c>
      <c r="H2064" s="876"/>
      <c r="I2064" s="876"/>
      <c r="J2064" s="877">
        <f t="shared" si="545"/>
        <v>0</v>
      </c>
      <c r="K2064" s="878"/>
      <c r="L2064" s="1013">
        <f>ROUND(SUM(ORÇAMENTO!L2064),2)</f>
        <v>0</v>
      </c>
      <c r="M2064" s="1013">
        <f t="shared" si="529"/>
        <v>0</v>
      </c>
      <c r="N2064" s="868">
        <f t="shared" si="530"/>
        <v>0</v>
      </c>
      <c r="O2064" s="880"/>
      <c r="P2064" s="36" t="str">
        <f>IF(N2063&gt;0,"xx",IF(N2063&gt;0,"xy",""))</f>
        <v/>
      </c>
      <c r="Q2064" s="317" t="str">
        <f t="shared" si="531"/>
        <v/>
      </c>
      <c r="R2064" s="317" t="str">
        <f t="shared" si="532"/>
        <v/>
      </c>
      <c r="S2064" s="317" t="str">
        <f t="shared" si="533"/>
        <v/>
      </c>
      <c r="V2064" s="314">
        <f>SUM(ORÇAMENTO!N2064)</f>
        <v>0</v>
      </c>
      <c r="W2064" s="315">
        <f t="shared" si="534"/>
        <v>0</v>
      </c>
    </row>
    <row r="2065" spans="1:23" hidden="1">
      <c r="A2065" s="63" t="s">
        <v>147</v>
      </c>
      <c r="B2065" s="870" t="s">
        <v>147</v>
      </c>
      <c r="C2065" s="871"/>
      <c r="D2065" s="881" t="s">
        <v>229</v>
      </c>
      <c r="E2065" s="882">
        <f>DMT!$F$39</f>
        <v>290</v>
      </c>
      <c r="F2065" s="883">
        <v>0.17269999999999999</v>
      </c>
      <c r="G2065" s="923">
        <f t="shared" ref="G2065:G2067" si="550">IF(E2065&lt;=30,(1.07*E2065+2.68)*F2065,((1.07*30+2.68)+1.07*(E2065-30))*F2065)</f>
        <v>54.051645999999998</v>
      </c>
      <c r="H2065" s="876"/>
      <c r="I2065" s="876"/>
      <c r="J2065" s="877">
        <f t="shared" si="545"/>
        <v>0</v>
      </c>
      <c r="K2065" s="878"/>
      <c r="L2065" s="1013">
        <f>ROUND(SUM(ORÇAMENTO!L2065),2)</f>
        <v>0</v>
      </c>
      <c r="M2065" s="1013">
        <f t="shared" si="529"/>
        <v>0</v>
      </c>
      <c r="N2065" s="868">
        <f t="shared" si="530"/>
        <v>0</v>
      </c>
      <c r="O2065" s="880"/>
      <c r="P2065" s="36" t="str">
        <f>IF(N2063&gt;0,"xx",IF(N2063&gt;0,"xy",""))</f>
        <v/>
      </c>
      <c r="Q2065" s="317" t="str">
        <f t="shared" si="531"/>
        <v/>
      </c>
      <c r="R2065" s="317" t="str">
        <f t="shared" si="532"/>
        <v/>
      </c>
      <c r="S2065" s="317" t="str">
        <f t="shared" si="533"/>
        <v/>
      </c>
      <c r="V2065" s="314">
        <f>SUM(ORÇAMENTO!N2065)</f>
        <v>0</v>
      </c>
      <c r="W2065" s="315">
        <f t="shared" si="534"/>
        <v>0</v>
      </c>
    </row>
    <row r="2066" spans="1:23" hidden="1">
      <c r="A2066" s="63" t="s">
        <v>147</v>
      </c>
      <c r="B2066" s="870" t="s">
        <v>147</v>
      </c>
      <c r="C2066" s="871"/>
      <c r="D2066" s="881" t="s">
        <v>233</v>
      </c>
      <c r="E2066" s="882">
        <f>DMT!$F$40</f>
        <v>0.2</v>
      </c>
      <c r="F2066" s="883">
        <v>0.28770000000000001</v>
      </c>
      <c r="G2066" s="923">
        <f t="shared" si="550"/>
        <v>0.83260380000000012</v>
      </c>
      <c r="H2066" s="876"/>
      <c r="I2066" s="876"/>
      <c r="J2066" s="877">
        <f t="shared" si="545"/>
        <v>0</v>
      </c>
      <c r="K2066" s="878"/>
      <c r="L2066" s="1013">
        <f>ROUND(SUM(ORÇAMENTO!L2066),2)</f>
        <v>0</v>
      </c>
      <c r="M2066" s="1013">
        <f t="shared" ref="M2066:M2129" si="551">IF(L2066=0,0,ROUND(J2066,2))</f>
        <v>0</v>
      </c>
      <c r="N2066" s="868">
        <f t="shared" ref="N2066:N2129" si="552">IF(ISBLANK(L2066),0,ROUND(L2066*M2066,2))</f>
        <v>0</v>
      </c>
      <c r="O2066" s="880"/>
      <c r="P2066" s="36" t="str">
        <f>IF(N2063&gt;0,"xx",IF(N2063&gt;0,"xy",""))</f>
        <v/>
      </c>
      <c r="Q2066" s="317" t="str">
        <f t="shared" ref="Q2066:Q2129" si="553">IF(P2066="X","x",IF(P2066="xx","x",IF(P2066="xy","x",IF(P2066="y","x",IF(OR(N2066&gt;0,N2066&gt;0),"x","")))))</f>
        <v/>
      </c>
      <c r="R2066" s="317" t="str">
        <f t="shared" ref="R2066:R2129" si="554">IF(P2066="X","x",IF(P2066="y","x",IF(P2066="xx","x",IF(N2066&gt;0,"x",""))))</f>
        <v/>
      </c>
      <c r="S2066" s="317" t="str">
        <f t="shared" ref="S2066:S2129" si="555">IF(P2066="X","x",IF(N2066&gt;0,"x",""))</f>
        <v/>
      </c>
      <c r="V2066" s="314">
        <f>SUM(ORÇAMENTO!N2066)</f>
        <v>0</v>
      </c>
      <c r="W2066" s="315">
        <f t="shared" si="534"/>
        <v>0</v>
      </c>
    </row>
    <row r="2067" spans="1:23" hidden="1">
      <c r="A2067" s="63" t="s">
        <v>147</v>
      </c>
      <c r="B2067" s="870" t="s">
        <v>147</v>
      </c>
      <c r="C2067" s="871"/>
      <c r="D2067" s="881" t="s">
        <v>336</v>
      </c>
      <c r="E2067" s="882">
        <f>DMT!$F$38</f>
        <v>37</v>
      </c>
      <c r="F2067" s="883">
        <v>0.53</v>
      </c>
      <c r="G2067" s="923">
        <f t="shared" si="550"/>
        <v>22.403100000000002</v>
      </c>
      <c r="H2067" s="876"/>
      <c r="I2067" s="876"/>
      <c r="J2067" s="877">
        <f t="shared" si="545"/>
        <v>0</v>
      </c>
      <c r="K2067" s="878"/>
      <c r="L2067" s="1013">
        <f>ROUND(SUM(ORÇAMENTO!L2067),2)</f>
        <v>0</v>
      </c>
      <c r="M2067" s="1013">
        <f t="shared" si="551"/>
        <v>0</v>
      </c>
      <c r="N2067" s="868">
        <f t="shared" si="552"/>
        <v>0</v>
      </c>
      <c r="O2067" s="880"/>
      <c r="P2067" s="36" t="str">
        <f>IF(N2063&gt;0,"xx",IF(N2063&gt;0,"xy",""))</f>
        <v/>
      </c>
      <c r="Q2067" s="317" t="str">
        <f t="shared" si="553"/>
        <v/>
      </c>
      <c r="R2067" s="317" t="str">
        <f t="shared" si="554"/>
        <v/>
      </c>
      <c r="S2067" s="317" t="str">
        <f t="shared" si="555"/>
        <v/>
      </c>
      <c r="V2067" s="314">
        <f>SUM(ORÇAMENTO!N2067)</f>
        <v>0</v>
      </c>
      <c r="W2067" s="315">
        <f t="shared" si="534"/>
        <v>0</v>
      </c>
    </row>
    <row r="2068" spans="1:23" hidden="1">
      <c r="A2068" s="63">
        <v>610900</v>
      </c>
      <c r="B2068" s="870" t="s">
        <v>1825</v>
      </c>
      <c r="C2068" s="871" t="s">
        <v>184</v>
      </c>
      <c r="D2068" s="881" t="s">
        <v>2021</v>
      </c>
      <c r="E2068" s="882"/>
      <c r="F2068" s="883"/>
      <c r="G2068" s="887">
        <f>SUM(G2069:G2072)</f>
        <v>119.84612140000002</v>
      </c>
      <c r="H2068" s="876">
        <v>677.21</v>
      </c>
      <c r="I2068" s="876">
        <f>IF(ISBLANK(H2068),"",SUM(G2068:H2068))</f>
        <v>797.05612140000005</v>
      </c>
      <c r="J2068" s="877">
        <f t="shared" si="545"/>
        <v>974.16</v>
      </c>
      <c r="K2068" s="878" t="s">
        <v>13</v>
      </c>
      <c r="L2068" s="1013">
        <f>ROUND(SUM(ORÇAMENTO!L2068),2)</f>
        <v>0</v>
      </c>
      <c r="M2068" s="1013">
        <f t="shared" si="551"/>
        <v>0</v>
      </c>
      <c r="N2068" s="868">
        <f t="shared" si="552"/>
        <v>0</v>
      </c>
      <c r="O2068" s="880"/>
      <c r="Q2068" s="317" t="str">
        <f t="shared" si="553"/>
        <v/>
      </c>
      <c r="R2068" s="317" t="str">
        <f t="shared" si="554"/>
        <v/>
      </c>
      <c r="S2068" s="317" t="str">
        <f t="shared" si="555"/>
        <v/>
      </c>
      <c r="V2068" s="314">
        <f>SUM(ORÇAMENTO!N2068)</f>
        <v>0</v>
      </c>
      <c r="W2068" s="315">
        <f t="shared" si="534"/>
        <v>0</v>
      </c>
    </row>
    <row r="2069" spans="1:23" hidden="1">
      <c r="A2069" s="63" t="s">
        <v>147</v>
      </c>
      <c r="B2069" s="870" t="s">
        <v>147</v>
      </c>
      <c r="C2069" s="871"/>
      <c r="D2069" s="881" t="s">
        <v>190</v>
      </c>
      <c r="E2069" s="882">
        <f>DMT!$D$41</f>
        <v>445</v>
      </c>
      <c r="F2069" s="883">
        <v>5.9900000000000002E-2</v>
      </c>
      <c r="G2069" s="884">
        <f>IF(E2069&lt;=30,(0.78*E2069+7.82)*F2069,((0.78*30+7.82)+0.78*(E2069-30))*F2069)</f>
        <v>21.259708000000003</v>
      </c>
      <c r="H2069" s="876"/>
      <c r="I2069" s="876"/>
      <c r="J2069" s="877">
        <f t="shared" si="545"/>
        <v>0</v>
      </c>
      <c r="K2069" s="878"/>
      <c r="L2069" s="1013">
        <f>ROUND(SUM(ORÇAMENTO!L2069),2)</f>
        <v>0</v>
      </c>
      <c r="M2069" s="1013">
        <f t="shared" si="551"/>
        <v>0</v>
      </c>
      <c r="N2069" s="868">
        <f t="shared" si="552"/>
        <v>0</v>
      </c>
      <c r="O2069" s="880"/>
      <c r="P2069" s="36" t="str">
        <f>IF(N2068&gt;0,"xx",IF(N2068&gt;0,"xy",""))</f>
        <v/>
      </c>
      <c r="Q2069" s="317" t="str">
        <f t="shared" si="553"/>
        <v/>
      </c>
      <c r="R2069" s="317" t="str">
        <f t="shared" si="554"/>
        <v/>
      </c>
      <c r="S2069" s="317" t="str">
        <f t="shared" si="555"/>
        <v/>
      </c>
      <c r="V2069" s="314">
        <f>SUM(ORÇAMENTO!N2069)</f>
        <v>0</v>
      </c>
      <c r="W2069" s="315">
        <f t="shared" ref="W2069:W2132" si="556">N2069-V2069</f>
        <v>0</v>
      </c>
    </row>
    <row r="2070" spans="1:23" hidden="1">
      <c r="A2070" s="63" t="s">
        <v>147</v>
      </c>
      <c r="B2070" s="870" t="s">
        <v>147</v>
      </c>
      <c r="C2070" s="871"/>
      <c r="D2070" s="881" t="s">
        <v>229</v>
      </c>
      <c r="E2070" s="882">
        <f>DMT!$F$39</f>
        <v>290</v>
      </c>
      <c r="F2070" s="883">
        <v>0.21840000000000001</v>
      </c>
      <c r="G2070" s="923">
        <f t="shared" ref="G2070:G2072" si="557">IF(E2070&lt;=30,(1.07*E2070+2.68)*F2070,((1.07*30+2.68)+1.07*(E2070-30))*F2070)</f>
        <v>68.354832000000002</v>
      </c>
      <c r="H2070" s="876"/>
      <c r="I2070" s="876"/>
      <c r="J2070" s="877">
        <f t="shared" si="545"/>
        <v>0</v>
      </c>
      <c r="K2070" s="878"/>
      <c r="L2070" s="1013">
        <f>ROUND(SUM(ORÇAMENTO!L2070),2)</f>
        <v>0</v>
      </c>
      <c r="M2070" s="1013">
        <f t="shared" si="551"/>
        <v>0</v>
      </c>
      <c r="N2070" s="868">
        <f t="shared" si="552"/>
        <v>0</v>
      </c>
      <c r="O2070" s="880"/>
      <c r="P2070" s="36" t="str">
        <f>IF(N2068&gt;0,"xx",IF(N2068&gt;0,"xy",""))</f>
        <v/>
      </c>
      <c r="Q2070" s="317" t="str">
        <f t="shared" si="553"/>
        <v/>
      </c>
      <c r="R2070" s="317" t="str">
        <f t="shared" si="554"/>
        <v/>
      </c>
      <c r="S2070" s="317" t="str">
        <f t="shared" si="555"/>
        <v/>
      </c>
      <c r="V2070" s="314">
        <f>SUM(ORÇAMENTO!N2070)</f>
        <v>0</v>
      </c>
      <c r="W2070" s="315">
        <f t="shared" si="556"/>
        <v>0</v>
      </c>
    </row>
    <row r="2071" spans="1:23" hidden="1">
      <c r="A2071" s="63" t="s">
        <v>147</v>
      </c>
      <c r="B2071" s="870" t="s">
        <v>147</v>
      </c>
      <c r="C2071" s="871"/>
      <c r="D2071" s="881" t="s">
        <v>233</v>
      </c>
      <c r="E2071" s="882">
        <f>DMT!$F$40</f>
        <v>0.2</v>
      </c>
      <c r="F2071" s="883">
        <v>0.36809999999999998</v>
      </c>
      <c r="G2071" s="923">
        <f t="shared" si="557"/>
        <v>1.0652813999999999</v>
      </c>
      <c r="H2071" s="876"/>
      <c r="I2071" s="876"/>
      <c r="J2071" s="877">
        <f t="shared" si="545"/>
        <v>0</v>
      </c>
      <c r="K2071" s="878"/>
      <c r="L2071" s="1013">
        <f>ROUND(SUM(ORÇAMENTO!L2071),2)</f>
        <v>0</v>
      </c>
      <c r="M2071" s="1013">
        <f t="shared" si="551"/>
        <v>0</v>
      </c>
      <c r="N2071" s="868">
        <f t="shared" si="552"/>
        <v>0</v>
      </c>
      <c r="O2071" s="880"/>
      <c r="P2071" s="36" t="str">
        <f>IF(N2068&gt;0,"xx",IF(N2068&gt;0,"xy",""))</f>
        <v/>
      </c>
      <c r="Q2071" s="317" t="str">
        <f t="shared" si="553"/>
        <v/>
      </c>
      <c r="R2071" s="317" t="str">
        <f t="shared" si="554"/>
        <v/>
      </c>
      <c r="S2071" s="317" t="str">
        <f t="shared" si="555"/>
        <v/>
      </c>
      <c r="V2071" s="314">
        <f>SUM(ORÇAMENTO!N2071)</f>
        <v>0</v>
      </c>
      <c r="W2071" s="315">
        <f t="shared" si="556"/>
        <v>0</v>
      </c>
    </row>
    <row r="2072" spans="1:23" hidden="1">
      <c r="A2072" s="63" t="s">
        <v>147</v>
      </c>
      <c r="B2072" s="870" t="s">
        <v>147</v>
      </c>
      <c r="C2072" s="871"/>
      <c r="D2072" s="881" t="s">
        <v>336</v>
      </c>
      <c r="E2072" s="882">
        <f>DMT!$F$38</f>
        <v>37</v>
      </c>
      <c r="F2072" s="883">
        <v>0.69</v>
      </c>
      <c r="G2072" s="923">
        <f t="shared" si="557"/>
        <v>29.1663</v>
      </c>
      <c r="H2072" s="876"/>
      <c r="I2072" s="876"/>
      <c r="J2072" s="877">
        <f t="shared" si="545"/>
        <v>0</v>
      </c>
      <c r="K2072" s="878"/>
      <c r="L2072" s="1013">
        <f>ROUND(SUM(ORÇAMENTO!L2072),2)</f>
        <v>0</v>
      </c>
      <c r="M2072" s="1013">
        <f t="shared" si="551"/>
        <v>0</v>
      </c>
      <c r="N2072" s="868">
        <f t="shared" si="552"/>
        <v>0</v>
      </c>
      <c r="O2072" s="880"/>
      <c r="P2072" s="36" t="str">
        <f>IF(N2068&gt;0,"xx",IF(N2068&gt;0,"xy",""))</f>
        <v/>
      </c>
      <c r="Q2072" s="317" t="str">
        <f t="shared" si="553"/>
        <v/>
      </c>
      <c r="R2072" s="317" t="str">
        <f t="shared" si="554"/>
        <v/>
      </c>
      <c r="S2072" s="317" t="str">
        <f t="shared" si="555"/>
        <v/>
      </c>
      <c r="V2072" s="314">
        <f>SUM(ORÇAMENTO!N2072)</f>
        <v>0</v>
      </c>
      <c r="W2072" s="315">
        <f t="shared" si="556"/>
        <v>0</v>
      </c>
    </row>
    <row r="2073" spans="1:23" hidden="1">
      <c r="A2073" s="63">
        <v>611100</v>
      </c>
      <c r="B2073" s="870" t="s">
        <v>1838</v>
      </c>
      <c r="C2073" s="871" t="s">
        <v>184</v>
      </c>
      <c r="D2073" s="881" t="s">
        <v>2022</v>
      </c>
      <c r="E2073" s="882"/>
      <c r="F2073" s="883"/>
      <c r="G2073" s="887">
        <f>SUM(G2074:G2077)</f>
        <v>150.05553019999999</v>
      </c>
      <c r="H2073" s="876">
        <v>885.23</v>
      </c>
      <c r="I2073" s="876">
        <f>IF(ISBLANK(H2073),"",SUM(G2073:H2073))</f>
        <v>1035.2855302</v>
      </c>
      <c r="J2073" s="877">
        <f t="shared" si="545"/>
        <v>1265.33</v>
      </c>
      <c r="K2073" s="878" t="s">
        <v>13</v>
      </c>
      <c r="L2073" s="1013">
        <f>ROUND(SUM(ORÇAMENTO!L2073),2)</f>
        <v>0</v>
      </c>
      <c r="M2073" s="1013">
        <f t="shared" si="551"/>
        <v>0</v>
      </c>
      <c r="N2073" s="868">
        <f t="shared" si="552"/>
        <v>0</v>
      </c>
      <c r="O2073" s="880"/>
      <c r="Q2073" s="317" t="str">
        <f t="shared" si="553"/>
        <v/>
      </c>
      <c r="R2073" s="317" t="str">
        <f t="shared" si="554"/>
        <v/>
      </c>
      <c r="S2073" s="317" t="str">
        <f t="shared" si="555"/>
        <v/>
      </c>
      <c r="V2073" s="314">
        <f>SUM(ORÇAMENTO!N2073)</f>
        <v>0</v>
      </c>
      <c r="W2073" s="315">
        <f t="shared" si="556"/>
        <v>0</v>
      </c>
    </row>
    <row r="2074" spans="1:23" hidden="1">
      <c r="A2074" s="63" t="s">
        <v>147</v>
      </c>
      <c r="B2074" s="870" t="s">
        <v>147</v>
      </c>
      <c r="C2074" s="871"/>
      <c r="D2074" s="881" t="s">
        <v>190</v>
      </c>
      <c r="E2074" s="882">
        <f>DMT!$D$41</f>
        <v>445</v>
      </c>
      <c r="F2074" s="883">
        <v>7.5800000000000006E-2</v>
      </c>
      <c r="G2074" s="884">
        <f>IF(E2074&lt;=30,(0.78*E2074+7.82)*F2074,((0.78*30+7.82)+0.78*(E2074-30))*F2074)</f>
        <v>26.902936000000004</v>
      </c>
      <c r="H2074" s="876"/>
      <c r="I2074" s="876"/>
      <c r="J2074" s="877">
        <f t="shared" si="545"/>
        <v>0</v>
      </c>
      <c r="K2074" s="878"/>
      <c r="L2074" s="1013">
        <f>ROUND(SUM(ORÇAMENTO!L2074),2)</f>
        <v>0</v>
      </c>
      <c r="M2074" s="1013">
        <f t="shared" si="551"/>
        <v>0</v>
      </c>
      <c r="N2074" s="868">
        <f t="shared" si="552"/>
        <v>0</v>
      </c>
      <c r="O2074" s="880"/>
      <c r="P2074" s="36" t="str">
        <f>IF(N2073&gt;0,"xx",IF(N2073&gt;0,"xy",""))</f>
        <v/>
      </c>
      <c r="Q2074" s="317" t="str">
        <f t="shared" si="553"/>
        <v/>
      </c>
      <c r="R2074" s="317" t="str">
        <f t="shared" si="554"/>
        <v/>
      </c>
      <c r="S2074" s="317" t="str">
        <f t="shared" si="555"/>
        <v/>
      </c>
      <c r="V2074" s="314">
        <f>SUM(ORÇAMENTO!N2074)</f>
        <v>0</v>
      </c>
      <c r="W2074" s="315">
        <f t="shared" si="556"/>
        <v>0</v>
      </c>
    </row>
    <row r="2075" spans="1:23" hidden="1">
      <c r="A2075" s="63" t="s">
        <v>147</v>
      </c>
      <c r="B2075" s="870" t="s">
        <v>147</v>
      </c>
      <c r="C2075" s="871"/>
      <c r="D2075" s="881" t="s">
        <v>229</v>
      </c>
      <c r="E2075" s="882">
        <f>DMT!$F$39</f>
        <v>290</v>
      </c>
      <c r="F2075" s="883">
        <v>0.27639999999999998</v>
      </c>
      <c r="G2075" s="923">
        <f t="shared" ref="G2075:G2077" si="558">IF(E2075&lt;=30,(1.07*E2075+2.68)*F2075,((1.07*30+2.68)+1.07*(E2075-30))*F2075)</f>
        <v>86.507671999999999</v>
      </c>
      <c r="H2075" s="876"/>
      <c r="I2075" s="876"/>
      <c r="J2075" s="877">
        <f t="shared" si="545"/>
        <v>0</v>
      </c>
      <c r="K2075" s="878"/>
      <c r="L2075" s="1013">
        <f>ROUND(SUM(ORÇAMENTO!L2075),2)</f>
        <v>0</v>
      </c>
      <c r="M2075" s="1013">
        <f t="shared" si="551"/>
        <v>0</v>
      </c>
      <c r="N2075" s="868">
        <f t="shared" si="552"/>
        <v>0</v>
      </c>
      <c r="O2075" s="880"/>
      <c r="P2075" s="36" t="str">
        <f>IF(N2073&gt;0,"xx",IF(N2073&gt;0,"xy",""))</f>
        <v/>
      </c>
      <c r="Q2075" s="317" t="str">
        <f t="shared" si="553"/>
        <v/>
      </c>
      <c r="R2075" s="317" t="str">
        <f t="shared" si="554"/>
        <v/>
      </c>
      <c r="S2075" s="317" t="str">
        <f t="shared" si="555"/>
        <v/>
      </c>
      <c r="V2075" s="314">
        <f>SUM(ORÇAMENTO!N2075)</f>
        <v>0</v>
      </c>
      <c r="W2075" s="315">
        <f t="shared" si="556"/>
        <v>0</v>
      </c>
    </row>
    <row r="2076" spans="1:23" hidden="1">
      <c r="A2076" s="63" t="s">
        <v>147</v>
      </c>
      <c r="B2076" s="870" t="s">
        <v>147</v>
      </c>
      <c r="C2076" s="871"/>
      <c r="D2076" s="881" t="s">
        <v>233</v>
      </c>
      <c r="E2076" s="882">
        <f>DMT!$F$40</f>
        <v>0.2</v>
      </c>
      <c r="F2076" s="883">
        <v>0.46629999999999999</v>
      </c>
      <c r="G2076" s="923">
        <f t="shared" si="558"/>
        <v>1.3494722000000001</v>
      </c>
      <c r="H2076" s="876"/>
      <c r="I2076" s="876"/>
      <c r="J2076" s="877">
        <f t="shared" si="545"/>
        <v>0</v>
      </c>
      <c r="K2076" s="878"/>
      <c r="L2076" s="1013">
        <f>ROUND(SUM(ORÇAMENTO!L2076),2)</f>
        <v>0</v>
      </c>
      <c r="M2076" s="1013">
        <f t="shared" si="551"/>
        <v>0</v>
      </c>
      <c r="N2076" s="868">
        <f t="shared" si="552"/>
        <v>0</v>
      </c>
      <c r="O2076" s="880"/>
      <c r="P2076" s="36" t="str">
        <f>IF(N2073&gt;0,"xx",IF(N2073&gt;0,"xy",""))</f>
        <v/>
      </c>
      <c r="Q2076" s="317" t="str">
        <f t="shared" si="553"/>
        <v/>
      </c>
      <c r="R2076" s="317" t="str">
        <f t="shared" si="554"/>
        <v/>
      </c>
      <c r="S2076" s="317" t="str">
        <f t="shared" si="555"/>
        <v/>
      </c>
      <c r="V2076" s="314">
        <f>SUM(ORÇAMENTO!N2076)</f>
        <v>0</v>
      </c>
      <c r="W2076" s="315">
        <f t="shared" si="556"/>
        <v>0</v>
      </c>
    </row>
    <row r="2077" spans="1:23" hidden="1">
      <c r="A2077" s="63" t="s">
        <v>147</v>
      </c>
      <c r="B2077" s="870" t="s">
        <v>147</v>
      </c>
      <c r="C2077" s="871"/>
      <c r="D2077" s="881" t="s">
        <v>336</v>
      </c>
      <c r="E2077" s="882">
        <f>DMT!$F$38</f>
        <v>37</v>
      </c>
      <c r="F2077" s="883">
        <v>0.83499999999999996</v>
      </c>
      <c r="G2077" s="923">
        <f t="shared" si="558"/>
        <v>35.295450000000002</v>
      </c>
      <c r="H2077" s="876"/>
      <c r="I2077" s="876"/>
      <c r="J2077" s="877">
        <f t="shared" si="545"/>
        <v>0</v>
      </c>
      <c r="K2077" s="878"/>
      <c r="L2077" s="1013">
        <f>ROUND(SUM(ORÇAMENTO!L2077),2)</f>
        <v>0</v>
      </c>
      <c r="M2077" s="1013">
        <f t="shared" si="551"/>
        <v>0</v>
      </c>
      <c r="N2077" s="868">
        <f t="shared" si="552"/>
        <v>0</v>
      </c>
      <c r="O2077" s="880"/>
      <c r="P2077" s="36" t="str">
        <f>IF(N2073&gt;0,"xx",IF(N2073&gt;0,"xy",""))</f>
        <v/>
      </c>
      <c r="Q2077" s="317" t="str">
        <f t="shared" si="553"/>
        <v/>
      </c>
      <c r="R2077" s="317" t="str">
        <f t="shared" si="554"/>
        <v/>
      </c>
      <c r="S2077" s="317" t="str">
        <f t="shared" si="555"/>
        <v/>
      </c>
      <c r="V2077" s="314">
        <f>SUM(ORÇAMENTO!N2077)</f>
        <v>0</v>
      </c>
      <c r="W2077" s="315">
        <f t="shared" si="556"/>
        <v>0</v>
      </c>
    </row>
    <row r="2078" spans="1:23" hidden="1">
      <c r="A2078" s="63">
        <v>611100</v>
      </c>
      <c r="B2078" s="870" t="s">
        <v>1839</v>
      </c>
      <c r="C2078" s="871" t="s">
        <v>184</v>
      </c>
      <c r="D2078" s="881" t="s">
        <v>2023</v>
      </c>
      <c r="E2078" s="882"/>
      <c r="F2078" s="883"/>
      <c r="G2078" s="887">
        <f>SUM(G2079:G2082)</f>
        <v>181.07875160000003</v>
      </c>
      <c r="H2078" s="876">
        <v>1053.49</v>
      </c>
      <c r="I2078" s="876">
        <f>IF(ISBLANK(H2078),"",SUM(G2078:H2078))</f>
        <v>1234.5687516</v>
      </c>
      <c r="J2078" s="877">
        <f t="shared" si="545"/>
        <v>1508.89</v>
      </c>
      <c r="K2078" s="878" t="s">
        <v>13</v>
      </c>
      <c r="L2078" s="1013">
        <f>ROUND(SUM(ORÇAMENTO!L2078),2)</f>
        <v>0</v>
      </c>
      <c r="M2078" s="1013">
        <f t="shared" si="551"/>
        <v>0</v>
      </c>
      <c r="N2078" s="868">
        <f t="shared" si="552"/>
        <v>0</v>
      </c>
      <c r="O2078" s="880"/>
      <c r="Q2078" s="317" t="str">
        <f t="shared" si="553"/>
        <v/>
      </c>
      <c r="R2078" s="317" t="str">
        <f t="shared" si="554"/>
        <v/>
      </c>
      <c r="S2078" s="317" t="str">
        <f t="shared" si="555"/>
        <v/>
      </c>
      <c r="V2078" s="314">
        <f>SUM(ORÇAMENTO!N2078)</f>
        <v>0</v>
      </c>
      <c r="W2078" s="315">
        <f t="shared" si="556"/>
        <v>0</v>
      </c>
    </row>
    <row r="2079" spans="1:23" hidden="1">
      <c r="A2079" s="63" t="s">
        <v>147</v>
      </c>
      <c r="B2079" s="870" t="s">
        <v>147</v>
      </c>
      <c r="C2079" s="871"/>
      <c r="D2079" s="881" t="s">
        <v>190</v>
      </c>
      <c r="E2079" s="882">
        <f>DMT!$D$41</f>
        <v>445</v>
      </c>
      <c r="F2079" s="883">
        <v>9.1700000000000004E-2</v>
      </c>
      <c r="G2079" s="884">
        <f>IF(E2079&lt;=30,(0.78*E2079+7.82)*F2079,((0.78*30+7.82)+0.78*(E2079-30))*F2079)</f>
        <v>32.546164000000005</v>
      </c>
      <c r="H2079" s="876"/>
      <c r="I2079" s="876"/>
      <c r="J2079" s="877">
        <f t="shared" si="545"/>
        <v>0</v>
      </c>
      <c r="K2079" s="878"/>
      <c r="L2079" s="1013">
        <f>ROUND(SUM(ORÇAMENTO!L2079),2)</f>
        <v>0</v>
      </c>
      <c r="M2079" s="1013">
        <f t="shared" si="551"/>
        <v>0</v>
      </c>
      <c r="N2079" s="868">
        <f t="shared" si="552"/>
        <v>0</v>
      </c>
      <c r="O2079" s="880"/>
      <c r="P2079" s="36" t="str">
        <f>IF(N2078&gt;0,"xx",IF(N2078&gt;0,"xy",""))</f>
        <v/>
      </c>
      <c r="Q2079" s="317" t="str">
        <f t="shared" si="553"/>
        <v/>
      </c>
      <c r="R2079" s="317" t="str">
        <f t="shared" si="554"/>
        <v/>
      </c>
      <c r="S2079" s="317" t="str">
        <f t="shared" si="555"/>
        <v/>
      </c>
      <c r="V2079" s="314">
        <f>SUM(ORÇAMENTO!N2079)</f>
        <v>0</v>
      </c>
      <c r="W2079" s="315">
        <f t="shared" si="556"/>
        <v>0</v>
      </c>
    </row>
    <row r="2080" spans="1:23" hidden="1">
      <c r="A2080" s="63" t="s">
        <v>147</v>
      </c>
      <c r="B2080" s="870" t="s">
        <v>147</v>
      </c>
      <c r="C2080" s="871"/>
      <c r="D2080" s="881" t="s">
        <v>229</v>
      </c>
      <c r="E2080" s="882">
        <f>DMT!$F$39</f>
        <v>290</v>
      </c>
      <c r="F2080" s="883">
        <v>0.33429999999999999</v>
      </c>
      <c r="G2080" s="923">
        <f t="shared" ref="G2080:G2082" si="559">IF(E2080&lt;=30,(1.07*E2080+2.68)*F2080,((1.07*30+2.68)+1.07*(E2080-30))*F2080)</f>
        <v>104.629214</v>
      </c>
      <c r="H2080" s="876"/>
      <c r="I2080" s="876"/>
      <c r="J2080" s="877">
        <f t="shared" si="545"/>
        <v>0</v>
      </c>
      <c r="K2080" s="878"/>
      <c r="L2080" s="1013">
        <f>ROUND(SUM(ORÇAMENTO!L2080),2)</f>
        <v>0</v>
      </c>
      <c r="M2080" s="1013">
        <f t="shared" si="551"/>
        <v>0</v>
      </c>
      <c r="N2080" s="868">
        <f t="shared" si="552"/>
        <v>0</v>
      </c>
      <c r="O2080" s="880"/>
      <c r="P2080" s="36" t="str">
        <f>IF(N2078&gt;0,"xx",IF(N2078&gt;0,"xy",""))</f>
        <v/>
      </c>
      <c r="Q2080" s="317" t="str">
        <f t="shared" si="553"/>
        <v/>
      </c>
      <c r="R2080" s="317" t="str">
        <f t="shared" si="554"/>
        <v/>
      </c>
      <c r="S2080" s="317" t="str">
        <f t="shared" si="555"/>
        <v/>
      </c>
      <c r="V2080" s="314">
        <f>SUM(ORÇAMENTO!N2080)</f>
        <v>0</v>
      </c>
      <c r="W2080" s="315">
        <f t="shared" si="556"/>
        <v>0</v>
      </c>
    </row>
    <row r="2081" spans="1:23" hidden="1">
      <c r="A2081" s="63" t="s">
        <v>147</v>
      </c>
      <c r="B2081" s="870" t="s">
        <v>147</v>
      </c>
      <c r="C2081" s="871"/>
      <c r="D2081" s="881" t="s">
        <v>233</v>
      </c>
      <c r="E2081" s="882">
        <f>DMT!$F$40</f>
        <v>0.2</v>
      </c>
      <c r="F2081" s="883">
        <v>0.56440000000000001</v>
      </c>
      <c r="G2081" s="923">
        <f t="shared" si="559"/>
        <v>1.6333736000000001</v>
      </c>
      <c r="H2081" s="876"/>
      <c r="I2081" s="876"/>
      <c r="J2081" s="877">
        <f t="shared" si="545"/>
        <v>0</v>
      </c>
      <c r="K2081" s="878"/>
      <c r="L2081" s="1013">
        <f>ROUND(SUM(ORÇAMENTO!L2081),2)</f>
        <v>0</v>
      </c>
      <c r="M2081" s="1013">
        <f t="shared" si="551"/>
        <v>0</v>
      </c>
      <c r="N2081" s="868">
        <f t="shared" si="552"/>
        <v>0</v>
      </c>
      <c r="O2081" s="880"/>
      <c r="P2081" s="36" t="str">
        <f>IF(N2078&gt;0,"xx",IF(N2078&gt;0,"xy",""))</f>
        <v/>
      </c>
      <c r="Q2081" s="317" t="str">
        <f t="shared" si="553"/>
        <v/>
      </c>
      <c r="R2081" s="317" t="str">
        <f t="shared" si="554"/>
        <v/>
      </c>
      <c r="S2081" s="317" t="str">
        <f t="shared" si="555"/>
        <v/>
      </c>
      <c r="V2081" s="314">
        <f>SUM(ORÇAMENTO!N2081)</f>
        <v>0</v>
      </c>
      <c r="W2081" s="315">
        <f t="shared" si="556"/>
        <v>0</v>
      </c>
    </row>
    <row r="2082" spans="1:23" hidden="1">
      <c r="A2082" s="63" t="s">
        <v>147</v>
      </c>
      <c r="B2082" s="870" t="s">
        <v>147</v>
      </c>
      <c r="C2082" s="871"/>
      <c r="D2082" s="881" t="s">
        <v>336</v>
      </c>
      <c r="E2082" s="882">
        <f>DMT!$F$38</f>
        <v>37</v>
      </c>
      <c r="F2082" s="883">
        <v>1</v>
      </c>
      <c r="G2082" s="923">
        <f t="shared" si="559"/>
        <v>42.27</v>
      </c>
      <c r="H2082" s="876"/>
      <c r="I2082" s="876"/>
      <c r="J2082" s="877">
        <f t="shared" si="545"/>
        <v>0</v>
      </c>
      <c r="K2082" s="878"/>
      <c r="L2082" s="1013">
        <f>ROUND(SUM(ORÇAMENTO!L2082),2)</f>
        <v>0</v>
      </c>
      <c r="M2082" s="1013">
        <f t="shared" si="551"/>
        <v>0</v>
      </c>
      <c r="N2082" s="868">
        <f t="shared" si="552"/>
        <v>0</v>
      </c>
      <c r="O2082" s="880"/>
      <c r="P2082" s="36" t="str">
        <f>IF(N2078&gt;0,"xx",IF(N2078&gt;0,"xy",""))</f>
        <v/>
      </c>
      <c r="Q2082" s="317" t="str">
        <f t="shared" si="553"/>
        <v/>
      </c>
      <c r="R2082" s="317" t="str">
        <f t="shared" si="554"/>
        <v/>
      </c>
      <c r="S2082" s="317" t="str">
        <f t="shared" si="555"/>
        <v/>
      </c>
      <c r="V2082" s="314">
        <f>SUM(ORÇAMENTO!N2082)</f>
        <v>0</v>
      </c>
      <c r="W2082" s="315">
        <f t="shared" si="556"/>
        <v>0</v>
      </c>
    </row>
    <row r="2083" spans="1:23" hidden="1">
      <c r="A2083" s="63">
        <v>611300</v>
      </c>
      <c r="B2083" s="870">
        <v>611300</v>
      </c>
      <c r="C2083" s="871" t="s">
        <v>184</v>
      </c>
      <c r="D2083" s="881" t="s">
        <v>2024</v>
      </c>
      <c r="E2083" s="882"/>
      <c r="F2083" s="883"/>
      <c r="G2083" s="887">
        <f>SUM(G2084:G2087)</f>
        <v>253.19326000000004</v>
      </c>
      <c r="H2083" s="876">
        <v>1362.43</v>
      </c>
      <c r="I2083" s="876">
        <f>IF(ISBLANK(H2083),"",SUM(G2083:H2083))</f>
        <v>1615.6232600000001</v>
      </c>
      <c r="J2083" s="877">
        <f t="shared" si="545"/>
        <v>1974.61</v>
      </c>
      <c r="K2083" s="878" t="s">
        <v>13</v>
      </c>
      <c r="L2083" s="1013">
        <f>ROUND(SUM(ORÇAMENTO!L2083),2)</f>
        <v>0</v>
      </c>
      <c r="M2083" s="1013">
        <f t="shared" si="551"/>
        <v>0</v>
      </c>
      <c r="N2083" s="868">
        <f t="shared" si="552"/>
        <v>0</v>
      </c>
      <c r="O2083" s="880"/>
      <c r="Q2083" s="317" t="str">
        <f t="shared" si="553"/>
        <v/>
      </c>
      <c r="R2083" s="317" t="str">
        <f t="shared" si="554"/>
        <v/>
      </c>
      <c r="S2083" s="317" t="str">
        <f t="shared" si="555"/>
        <v/>
      </c>
      <c r="V2083" s="314">
        <f>SUM(ORÇAMENTO!N2083)</f>
        <v>0</v>
      </c>
      <c r="W2083" s="315">
        <f t="shared" si="556"/>
        <v>0</v>
      </c>
    </row>
    <row r="2084" spans="1:23" hidden="1">
      <c r="A2084" s="63" t="s">
        <v>147</v>
      </c>
      <c r="B2084" s="870" t="s">
        <v>147</v>
      </c>
      <c r="C2084" s="871"/>
      <c r="D2084" s="881" t="s">
        <v>190</v>
      </c>
      <c r="E2084" s="882">
        <f>DMT!$D$41</f>
        <v>445</v>
      </c>
      <c r="F2084" s="883">
        <v>0.12720000000000001</v>
      </c>
      <c r="G2084" s="884">
        <f>IF(E2084&lt;=30,(0.78*E2084+7.82)*F2084,((0.78*30+7.82)+0.78*(E2084-30))*F2084)</f>
        <v>45.145824000000005</v>
      </c>
      <c r="H2084" s="876"/>
      <c r="I2084" s="876"/>
      <c r="J2084" s="877">
        <f t="shared" si="545"/>
        <v>0</v>
      </c>
      <c r="K2084" s="878"/>
      <c r="L2084" s="1013">
        <f>ROUND(SUM(ORÇAMENTO!L2084),2)</f>
        <v>0</v>
      </c>
      <c r="M2084" s="1013">
        <f t="shared" si="551"/>
        <v>0</v>
      </c>
      <c r="N2084" s="868">
        <f t="shared" si="552"/>
        <v>0</v>
      </c>
      <c r="O2084" s="880"/>
      <c r="P2084" s="36" t="str">
        <f>IF(N2083&gt;0,"xx",IF(N2083&gt;0,"xy",""))</f>
        <v/>
      </c>
      <c r="Q2084" s="317" t="str">
        <f t="shared" si="553"/>
        <v/>
      </c>
      <c r="R2084" s="317" t="str">
        <f t="shared" si="554"/>
        <v/>
      </c>
      <c r="S2084" s="317" t="str">
        <f t="shared" si="555"/>
        <v/>
      </c>
      <c r="V2084" s="314">
        <f>SUM(ORÇAMENTO!N2084)</f>
        <v>0</v>
      </c>
      <c r="W2084" s="315">
        <f t="shared" si="556"/>
        <v>0</v>
      </c>
    </row>
    <row r="2085" spans="1:23" hidden="1">
      <c r="A2085" s="63" t="s">
        <v>147</v>
      </c>
      <c r="B2085" s="870" t="s">
        <v>147</v>
      </c>
      <c r="C2085" s="871"/>
      <c r="D2085" s="881" t="s">
        <v>229</v>
      </c>
      <c r="E2085" s="882">
        <f>DMT!$F$39</f>
        <v>290</v>
      </c>
      <c r="F2085" s="883">
        <v>0.46300000000000002</v>
      </c>
      <c r="G2085" s="923">
        <f t="shared" ref="G2085:G2087" si="560">IF(E2085&lt;=30,(1.07*E2085+2.68)*F2085,((1.07*30+2.68)+1.07*(E2085-30))*F2085)</f>
        <v>144.90974000000003</v>
      </c>
      <c r="H2085" s="876"/>
      <c r="I2085" s="876"/>
      <c r="J2085" s="877">
        <f t="shared" si="545"/>
        <v>0</v>
      </c>
      <c r="K2085" s="878"/>
      <c r="L2085" s="1013">
        <f>ROUND(SUM(ORÇAMENTO!L2085),2)</f>
        <v>0</v>
      </c>
      <c r="M2085" s="1013">
        <f t="shared" si="551"/>
        <v>0</v>
      </c>
      <c r="N2085" s="868">
        <f t="shared" si="552"/>
        <v>0</v>
      </c>
      <c r="O2085" s="880"/>
      <c r="P2085" s="36" t="str">
        <f>IF(N2083&gt;0,"xx",IF(N2083&gt;0,"xy",""))</f>
        <v/>
      </c>
      <c r="Q2085" s="317" t="str">
        <f t="shared" si="553"/>
        <v/>
      </c>
      <c r="R2085" s="317" t="str">
        <f t="shared" si="554"/>
        <v/>
      </c>
      <c r="S2085" s="317" t="str">
        <f t="shared" si="555"/>
        <v/>
      </c>
      <c r="V2085" s="314">
        <f>SUM(ORÇAMENTO!N2085)</f>
        <v>0</v>
      </c>
      <c r="W2085" s="315">
        <f t="shared" si="556"/>
        <v>0</v>
      </c>
    </row>
    <row r="2086" spans="1:23" hidden="1">
      <c r="A2086" s="63" t="s">
        <v>147</v>
      </c>
      <c r="B2086" s="870" t="s">
        <v>147</v>
      </c>
      <c r="C2086" s="871"/>
      <c r="D2086" s="881" t="s">
        <v>233</v>
      </c>
      <c r="E2086" s="882">
        <f>DMT!$F$40</f>
        <v>0.2</v>
      </c>
      <c r="F2086" s="883">
        <v>0.78400000000000003</v>
      </c>
      <c r="G2086" s="923">
        <f t="shared" si="560"/>
        <v>2.2688960000000002</v>
      </c>
      <c r="H2086" s="876"/>
      <c r="I2086" s="876"/>
      <c r="J2086" s="877">
        <f t="shared" si="545"/>
        <v>0</v>
      </c>
      <c r="K2086" s="878"/>
      <c r="L2086" s="1013">
        <f>ROUND(SUM(ORÇAMENTO!L2086),2)</f>
        <v>0</v>
      </c>
      <c r="M2086" s="1013">
        <f t="shared" si="551"/>
        <v>0</v>
      </c>
      <c r="N2086" s="868">
        <f t="shared" si="552"/>
        <v>0</v>
      </c>
      <c r="O2086" s="880"/>
      <c r="P2086" s="36" t="str">
        <f>IF(N2083&gt;0,"xx",IF(N2083&gt;0,"xy",""))</f>
        <v/>
      </c>
      <c r="Q2086" s="317" t="str">
        <f t="shared" si="553"/>
        <v/>
      </c>
      <c r="R2086" s="317" t="str">
        <f t="shared" si="554"/>
        <v/>
      </c>
      <c r="S2086" s="317" t="str">
        <f t="shared" si="555"/>
        <v/>
      </c>
      <c r="V2086" s="314">
        <f>SUM(ORÇAMENTO!N2086)</f>
        <v>0</v>
      </c>
      <c r="W2086" s="315">
        <f t="shared" si="556"/>
        <v>0</v>
      </c>
    </row>
    <row r="2087" spans="1:23" hidden="1">
      <c r="A2087" s="63" t="s">
        <v>147</v>
      </c>
      <c r="B2087" s="870" t="s">
        <v>147</v>
      </c>
      <c r="C2087" s="871"/>
      <c r="D2087" s="881" t="s">
        <v>336</v>
      </c>
      <c r="E2087" s="882">
        <f>DMT!$F$38</f>
        <v>37</v>
      </c>
      <c r="F2087" s="883">
        <v>1.44</v>
      </c>
      <c r="G2087" s="923">
        <f t="shared" si="560"/>
        <v>60.8688</v>
      </c>
      <c r="H2087" s="876"/>
      <c r="I2087" s="876"/>
      <c r="J2087" s="877">
        <f t="shared" si="545"/>
        <v>0</v>
      </c>
      <c r="K2087" s="878"/>
      <c r="L2087" s="1013">
        <f>ROUND(SUM(ORÇAMENTO!L2087),2)</f>
        <v>0</v>
      </c>
      <c r="M2087" s="1013">
        <f t="shared" si="551"/>
        <v>0</v>
      </c>
      <c r="N2087" s="868">
        <f t="shared" si="552"/>
        <v>0</v>
      </c>
      <c r="O2087" s="880"/>
      <c r="P2087" s="36" t="str">
        <f>IF(N2083&gt;0,"xx",IF(N2083&gt;0,"xy",""))</f>
        <v/>
      </c>
      <c r="Q2087" s="317" t="str">
        <f t="shared" si="553"/>
        <v/>
      </c>
      <c r="R2087" s="317" t="str">
        <f t="shared" si="554"/>
        <v/>
      </c>
      <c r="S2087" s="317" t="str">
        <f t="shared" si="555"/>
        <v/>
      </c>
      <c r="V2087" s="314">
        <f>SUM(ORÇAMENTO!N2087)</f>
        <v>0</v>
      </c>
      <c r="W2087" s="315">
        <f t="shared" si="556"/>
        <v>0</v>
      </c>
    </row>
    <row r="2088" spans="1:23" hidden="1">
      <c r="A2088" s="63">
        <v>611500</v>
      </c>
      <c r="B2088" s="870" t="s">
        <v>1840</v>
      </c>
      <c r="C2088" s="871" t="s">
        <v>184</v>
      </c>
      <c r="D2088" s="881" t="s">
        <v>2025</v>
      </c>
      <c r="E2088" s="882"/>
      <c r="F2088" s="883"/>
      <c r="G2088" s="887">
        <f>SUM(G2089:G2092)</f>
        <v>351.7724126</v>
      </c>
      <c r="H2088" s="876">
        <v>1749.33</v>
      </c>
      <c r="I2088" s="876">
        <f>IF(ISBLANK(H2088),"",SUM(G2088:H2088))</f>
        <v>2101.1024125999998</v>
      </c>
      <c r="J2088" s="877">
        <f t="shared" si="545"/>
        <v>2567.9699999999998</v>
      </c>
      <c r="K2088" s="878" t="s">
        <v>13</v>
      </c>
      <c r="L2088" s="1013">
        <f>ROUND(SUM(ORÇAMENTO!L2088),2)</f>
        <v>0</v>
      </c>
      <c r="M2088" s="1013">
        <f t="shared" si="551"/>
        <v>0</v>
      </c>
      <c r="N2088" s="868">
        <f t="shared" si="552"/>
        <v>0</v>
      </c>
      <c r="O2088" s="880"/>
      <c r="Q2088" s="317" t="str">
        <f t="shared" si="553"/>
        <v/>
      </c>
      <c r="R2088" s="317" t="str">
        <f t="shared" si="554"/>
        <v/>
      </c>
      <c r="S2088" s="317" t="str">
        <f t="shared" si="555"/>
        <v/>
      </c>
      <c r="V2088" s="314">
        <f>SUM(ORÇAMENTO!N2088)</f>
        <v>0</v>
      </c>
      <c r="W2088" s="315">
        <f t="shared" si="556"/>
        <v>0</v>
      </c>
    </row>
    <row r="2089" spans="1:23" hidden="1">
      <c r="A2089" s="63" t="s">
        <v>147</v>
      </c>
      <c r="B2089" s="870" t="s">
        <v>147</v>
      </c>
      <c r="C2089" s="871"/>
      <c r="D2089" s="881" t="s">
        <v>190</v>
      </c>
      <c r="E2089" s="882">
        <f>DMT!$D$41</f>
        <v>445</v>
      </c>
      <c r="F2089" s="883">
        <v>0.187</v>
      </c>
      <c r="G2089" s="884">
        <f>IF(E2089&lt;=30,(0.78*E2089+7.82)*F2089,((0.78*30+7.82)+0.78*(E2089-30))*F2089)</f>
        <v>66.370040000000003</v>
      </c>
      <c r="H2089" s="876"/>
      <c r="I2089" s="876"/>
      <c r="J2089" s="877">
        <f t="shared" si="545"/>
        <v>0</v>
      </c>
      <c r="K2089" s="878"/>
      <c r="L2089" s="1013">
        <f>ROUND(SUM(ORÇAMENTO!L2089),2)</f>
        <v>0</v>
      </c>
      <c r="M2089" s="1013">
        <f t="shared" si="551"/>
        <v>0</v>
      </c>
      <c r="N2089" s="868">
        <f t="shared" si="552"/>
        <v>0</v>
      </c>
      <c r="O2089" s="880"/>
      <c r="P2089" s="36" t="str">
        <f>IF(N2088&gt;0,"xx",IF(N2088&gt;0,"xy",""))</f>
        <v/>
      </c>
      <c r="Q2089" s="317" t="str">
        <f t="shared" si="553"/>
        <v/>
      </c>
      <c r="R2089" s="317" t="str">
        <f t="shared" si="554"/>
        <v/>
      </c>
      <c r="S2089" s="317" t="str">
        <f t="shared" si="555"/>
        <v/>
      </c>
      <c r="V2089" s="314">
        <f>SUM(ORÇAMENTO!N2089)</f>
        <v>0</v>
      </c>
      <c r="W2089" s="315">
        <f t="shared" si="556"/>
        <v>0</v>
      </c>
    </row>
    <row r="2090" spans="1:23" hidden="1">
      <c r="A2090" s="63" t="s">
        <v>147</v>
      </c>
      <c r="B2090" s="870" t="s">
        <v>147</v>
      </c>
      <c r="C2090" s="871"/>
      <c r="D2090" s="881" t="s">
        <v>229</v>
      </c>
      <c r="E2090" s="882">
        <f>DMT!$F$39</f>
        <v>290</v>
      </c>
      <c r="F2090" s="883">
        <v>0.67830000000000001</v>
      </c>
      <c r="G2090" s="923">
        <f t="shared" ref="G2090:G2092" si="561">IF(E2090&lt;=30,(1.07*E2090+2.68)*F2090,((1.07*30+2.68)+1.07*(E2090-30))*F2090)</f>
        <v>212.29433400000002</v>
      </c>
      <c r="H2090" s="876"/>
      <c r="I2090" s="876"/>
      <c r="J2090" s="877">
        <f t="shared" si="545"/>
        <v>0</v>
      </c>
      <c r="K2090" s="878"/>
      <c r="L2090" s="1013">
        <f>ROUND(SUM(ORÇAMENTO!L2090),2)</f>
        <v>0</v>
      </c>
      <c r="M2090" s="1013">
        <f t="shared" si="551"/>
        <v>0</v>
      </c>
      <c r="N2090" s="868">
        <f t="shared" si="552"/>
        <v>0</v>
      </c>
      <c r="O2090" s="880"/>
      <c r="P2090" s="36" t="str">
        <f>IF(N2088&gt;0,"xx",IF(N2088&gt;0,"xy",""))</f>
        <v/>
      </c>
      <c r="Q2090" s="317" t="str">
        <f t="shared" si="553"/>
        <v/>
      </c>
      <c r="R2090" s="317" t="str">
        <f t="shared" si="554"/>
        <v/>
      </c>
      <c r="S2090" s="317" t="str">
        <f t="shared" si="555"/>
        <v/>
      </c>
      <c r="V2090" s="314">
        <f>SUM(ORÇAMENTO!N2090)</f>
        <v>0</v>
      </c>
      <c r="W2090" s="315">
        <f t="shared" si="556"/>
        <v>0</v>
      </c>
    </row>
    <row r="2091" spans="1:23" hidden="1">
      <c r="A2091" s="63" t="s">
        <v>147</v>
      </c>
      <c r="B2091" s="870" t="s">
        <v>147</v>
      </c>
      <c r="C2091" s="871"/>
      <c r="D2091" s="881" t="s">
        <v>233</v>
      </c>
      <c r="E2091" s="882">
        <f>DMT!$F$40</f>
        <v>0.2</v>
      </c>
      <c r="F2091" s="883">
        <v>1.1618999999999999</v>
      </c>
      <c r="G2091" s="923">
        <f t="shared" si="561"/>
        <v>3.3625386000000002</v>
      </c>
      <c r="H2091" s="876"/>
      <c r="I2091" s="876"/>
      <c r="J2091" s="877">
        <f t="shared" si="545"/>
        <v>0</v>
      </c>
      <c r="K2091" s="878"/>
      <c r="L2091" s="1013">
        <f>ROUND(SUM(ORÇAMENTO!L2091),2)</f>
        <v>0</v>
      </c>
      <c r="M2091" s="1013">
        <f t="shared" si="551"/>
        <v>0</v>
      </c>
      <c r="N2091" s="868">
        <f t="shared" si="552"/>
        <v>0</v>
      </c>
      <c r="O2091" s="880"/>
      <c r="P2091" s="36" t="str">
        <f>IF(N2088&gt;0,"xx",IF(N2088&gt;0,"xy",""))</f>
        <v/>
      </c>
      <c r="Q2091" s="317" t="str">
        <f t="shared" si="553"/>
        <v/>
      </c>
      <c r="R2091" s="317" t="str">
        <f t="shared" si="554"/>
        <v/>
      </c>
      <c r="S2091" s="317" t="str">
        <f t="shared" si="555"/>
        <v/>
      </c>
      <c r="V2091" s="314">
        <f>SUM(ORÇAMENTO!N2091)</f>
        <v>0</v>
      </c>
      <c r="W2091" s="315">
        <f t="shared" si="556"/>
        <v>0</v>
      </c>
    </row>
    <row r="2092" spans="1:23" hidden="1">
      <c r="A2092" s="63" t="s">
        <v>147</v>
      </c>
      <c r="B2092" s="870" t="s">
        <v>147</v>
      </c>
      <c r="C2092" s="871"/>
      <c r="D2092" s="881" t="s">
        <v>336</v>
      </c>
      <c r="E2092" s="882">
        <f>DMT!$F$38</f>
        <v>37</v>
      </c>
      <c r="F2092" s="883">
        <v>1.65</v>
      </c>
      <c r="G2092" s="923">
        <f t="shared" si="561"/>
        <v>69.745500000000007</v>
      </c>
      <c r="H2092" s="876"/>
      <c r="I2092" s="876"/>
      <c r="J2092" s="877">
        <f t="shared" si="545"/>
        <v>0</v>
      </c>
      <c r="K2092" s="878"/>
      <c r="L2092" s="1013">
        <f>ROUND(SUM(ORÇAMENTO!L2092),2)</f>
        <v>0</v>
      </c>
      <c r="M2092" s="1013">
        <f t="shared" si="551"/>
        <v>0</v>
      </c>
      <c r="N2092" s="868">
        <f t="shared" si="552"/>
        <v>0</v>
      </c>
      <c r="O2092" s="880"/>
      <c r="P2092" s="36" t="str">
        <f>IF(N2088&gt;0,"xx",IF(N2088&gt;0,"xy",""))</f>
        <v/>
      </c>
      <c r="Q2092" s="317" t="str">
        <f t="shared" si="553"/>
        <v/>
      </c>
      <c r="R2092" s="317" t="str">
        <f t="shared" si="554"/>
        <v/>
      </c>
      <c r="S2092" s="317" t="str">
        <f t="shared" si="555"/>
        <v/>
      </c>
      <c r="V2092" s="314">
        <f>SUM(ORÇAMENTO!N2092)</f>
        <v>0</v>
      </c>
      <c r="W2092" s="315">
        <f t="shared" si="556"/>
        <v>0</v>
      </c>
    </row>
    <row r="2093" spans="1:23" hidden="1">
      <c r="A2093" s="63">
        <v>611500</v>
      </c>
      <c r="B2093" s="870" t="s">
        <v>1841</v>
      </c>
      <c r="C2093" s="871" t="s">
        <v>184</v>
      </c>
      <c r="D2093" s="881" t="s">
        <v>2026</v>
      </c>
      <c r="E2093" s="882"/>
      <c r="F2093" s="883"/>
      <c r="G2093" s="887">
        <f>SUM(G2094:G2097)</f>
        <v>451.16897319999998</v>
      </c>
      <c r="H2093" s="876">
        <v>1749.33</v>
      </c>
      <c r="I2093" s="876">
        <f>IF(ISBLANK(H2093),"",SUM(G2093:H2093))</f>
        <v>2200.4989731999999</v>
      </c>
      <c r="J2093" s="877">
        <f t="shared" si="545"/>
        <v>2689.45</v>
      </c>
      <c r="K2093" s="878" t="s">
        <v>13</v>
      </c>
      <c r="L2093" s="1013">
        <f>ROUND(SUM(ORÇAMENTO!L2093),2)</f>
        <v>0</v>
      </c>
      <c r="M2093" s="1013">
        <f t="shared" si="551"/>
        <v>0</v>
      </c>
      <c r="N2093" s="868">
        <f t="shared" si="552"/>
        <v>0</v>
      </c>
      <c r="O2093" s="880"/>
      <c r="Q2093" s="317" t="str">
        <f t="shared" si="553"/>
        <v/>
      </c>
      <c r="R2093" s="317" t="str">
        <f t="shared" si="554"/>
        <v/>
      </c>
      <c r="S2093" s="317" t="str">
        <f t="shared" si="555"/>
        <v/>
      </c>
      <c r="V2093" s="314">
        <f>SUM(ORÇAMENTO!N2093)</f>
        <v>0</v>
      </c>
      <c r="W2093" s="315">
        <f t="shared" si="556"/>
        <v>0</v>
      </c>
    </row>
    <row r="2094" spans="1:23" hidden="1">
      <c r="A2094" s="63" t="s">
        <v>147</v>
      </c>
      <c r="B2094" s="870" t="s">
        <v>147</v>
      </c>
      <c r="C2094" s="871"/>
      <c r="D2094" s="881" t="s">
        <v>190</v>
      </c>
      <c r="E2094" s="882">
        <f>DMT!$D$41</f>
        <v>445</v>
      </c>
      <c r="F2094" s="883">
        <v>0.27410000000000001</v>
      </c>
      <c r="G2094" s="884">
        <f>IF(E2094&lt;=30,(0.78*E2094+7.82)*F2094,((0.78*30+7.82)+0.78*(E2094-30))*F2094)</f>
        <v>97.283572000000007</v>
      </c>
      <c r="H2094" s="876"/>
      <c r="I2094" s="876"/>
      <c r="J2094" s="877">
        <f t="shared" si="545"/>
        <v>0</v>
      </c>
      <c r="K2094" s="878"/>
      <c r="L2094" s="1013">
        <f>ROUND(SUM(ORÇAMENTO!L2094),2)</f>
        <v>0</v>
      </c>
      <c r="M2094" s="1013">
        <f t="shared" si="551"/>
        <v>0</v>
      </c>
      <c r="N2094" s="868">
        <f t="shared" si="552"/>
        <v>0</v>
      </c>
      <c r="O2094" s="880"/>
      <c r="P2094" s="36" t="str">
        <f>IF(N2093&gt;0,"xx",IF(N2093&gt;0,"xy",""))</f>
        <v/>
      </c>
      <c r="Q2094" s="317" t="str">
        <f t="shared" si="553"/>
        <v/>
      </c>
      <c r="R2094" s="317" t="str">
        <f t="shared" si="554"/>
        <v/>
      </c>
      <c r="S2094" s="317" t="str">
        <f t="shared" si="555"/>
        <v/>
      </c>
      <c r="V2094" s="314">
        <f>SUM(ORÇAMENTO!N2094)</f>
        <v>0</v>
      </c>
      <c r="W2094" s="315">
        <f t="shared" si="556"/>
        <v>0</v>
      </c>
    </row>
    <row r="2095" spans="1:23" hidden="1">
      <c r="A2095" s="63" t="s">
        <v>147</v>
      </c>
      <c r="B2095" s="870" t="s">
        <v>147</v>
      </c>
      <c r="C2095" s="871"/>
      <c r="D2095" s="881" t="s">
        <v>229</v>
      </c>
      <c r="E2095" s="882">
        <f>DMT!$F$39</f>
        <v>290</v>
      </c>
      <c r="F2095" s="883">
        <v>0.9748</v>
      </c>
      <c r="G2095" s="923">
        <f t="shared" ref="G2095:G2097" si="562">IF(E2095&lt;=30,(1.07*E2095+2.68)*F2095,((1.07*30+2.68)+1.07*(E2095-30))*F2095)</f>
        <v>305.09290400000003</v>
      </c>
      <c r="H2095" s="876"/>
      <c r="I2095" s="876"/>
      <c r="J2095" s="877">
        <f t="shared" si="545"/>
        <v>0</v>
      </c>
      <c r="K2095" s="878"/>
      <c r="L2095" s="1013">
        <f>ROUND(SUM(ORÇAMENTO!L2095),2)</f>
        <v>0</v>
      </c>
      <c r="M2095" s="1013">
        <f t="shared" si="551"/>
        <v>0</v>
      </c>
      <c r="N2095" s="868">
        <f t="shared" si="552"/>
        <v>0</v>
      </c>
      <c r="O2095" s="880"/>
      <c r="P2095" s="36" t="str">
        <f>IF(N2093&gt;0,"xx",IF(N2093&gt;0,"xy",""))</f>
        <v/>
      </c>
      <c r="Q2095" s="317" t="str">
        <f t="shared" si="553"/>
        <v/>
      </c>
      <c r="R2095" s="317" t="str">
        <f t="shared" si="554"/>
        <v/>
      </c>
      <c r="S2095" s="317" t="str">
        <f t="shared" si="555"/>
        <v/>
      </c>
      <c r="V2095" s="314">
        <f>SUM(ORÇAMENTO!N2095)</f>
        <v>0</v>
      </c>
      <c r="W2095" s="315">
        <f t="shared" si="556"/>
        <v>0</v>
      </c>
    </row>
    <row r="2096" spans="1:23" hidden="1">
      <c r="A2096" s="63" t="s">
        <v>147</v>
      </c>
      <c r="B2096" s="870" t="s">
        <v>147</v>
      </c>
      <c r="C2096" s="871"/>
      <c r="D2096" s="881" t="s">
        <v>233</v>
      </c>
      <c r="E2096" s="882">
        <f>DMT!$F$40</f>
        <v>0.2</v>
      </c>
      <c r="F2096" s="883">
        <v>2.2538</v>
      </c>
      <c r="G2096" s="923">
        <f t="shared" si="562"/>
        <v>6.5224972000000001</v>
      </c>
      <c r="H2096" s="876"/>
      <c r="I2096" s="876"/>
      <c r="J2096" s="877">
        <f t="shared" si="545"/>
        <v>0</v>
      </c>
      <c r="K2096" s="878"/>
      <c r="L2096" s="1013">
        <f>ROUND(SUM(ORÇAMENTO!L2096),2)</f>
        <v>0</v>
      </c>
      <c r="M2096" s="1013">
        <f t="shared" si="551"/>
        <v>0</v>
      </c>
      <c r="N2096" s="868">
        <f t="shared" si="552"/>
        <v>0</v>
      </c>
      <c r="O2096" s="880"/>
      <c r="P2096" s="36" t="str">
        <f>IF(N2093&gt;0,"xx",IF(N2093&gt;0,"xy",""))</f>
        <v/>
      </c>
      <c r="Q2096" s="317" t="str">
        <f t="shared" si="553"/>
        <v/>
      </c>
      <c r="R2096" s="317" t="str">
        <f t="shared" si="554"/>
        <v/>
      </c>
      <c r="S2096" s="317" t="str">
        <f t="shared" si="555"/>
        <v/>
      </c>
      <c r="V2096" s="314">
        <f>SUM(ORÇAMENTO!N2096)</f>
        <v>0</v>
      </c>
      <c r="W2096" s="315">
        <f t="shared" si="556"/>
        <v>0</v>
      </c>
    </row>
    <row r="2097" spans="1:23" hidden="1">
      <c r="A2097" s="63" t="s">
        <v>147</v>
      </c>
      <c r="B2097" s="870" t="s">
        <v>147</v>
      </c>
      <c r="C2097" s="871"/>
      <c r="D2097" s="881" t="s">
        <v>336</v>
      </c>
      <c r="E2097" s="882">
        <f>DMT!$F$38</f>
        <v>37</v>
      </c>
      <c r="F2097" s="883">
        <v>1</v>
      </c>
      <c r="G2097" s="923">
        <f t="shared" si="562"/>
        <v>42.27</v>
      </c>
      <c r="H2097" s="876"/>
      <c r="I2097" s="876"/>
      <c r="J2097" s="877">
        <f t="shared" si="545"/>
        <v>0</v>
      </c>
      <c r="K2097" s="878"/>
      <c r="L2097" s="1013">
        <f>ROUND(SUM(ORÇAMENTO!L2097),2)</f>
        <v>0</v>
      </c>
      <c r="M2097" s="1013">
        <f t="shared" si="551"/>
        <v>0</v>
      </c>
      <c r="N2097" s="868">
        <f t="shared" si="552"/>
        <v>0</v>
      </c>
      <c r="O2097" s="880"/>
      <c r="P2097" s="36" t="str">
        <f>IF(N2093&gt;0,"xx",IF(N2093&gt;0,"xy",""))</f>
        <v/>
      </c>
      <c r="Q2097" s="317" t="str">
        <f t="shared" si="553"/>
        <v/>
      </c>
      <c r="R2097" s="317" t="str">
        <f t="shared" si="554"/>
        <v/>
      </c>
      <c r="S2097" s="317" t="str">
        <f t="shared" si="555"/>
        <v/>
      </c>
      <c r="V2097" s="314">
        <f>SUM(ORÇAMENTO!N2097)</f>
        <v>0</v>
      </c>
      <c r="W2097" s="315">
        <f t="shared" si="556"/>
        <v>0</v>
      </c>
    </row>
    <row r="2098" spans="1:23" hidden="1">
      <c r="A2098" s="63">
        <v>611700</v>
      </c>
      <c r="B2098" s="870">
        <v>611700</v>
      </c>
      <c r="C2098" s="871" t="s">
        <v>184</v>
      </c>
      <c r="D2098" s="881" t="s">
        <v>2027</v>
      </c>
      <c r="E2098" s="882"/>
      <c r="F2098" s="883"/>
      <c r="G2098" s="887">
        <f>SUM(G2099:G2102)</f>
        <v>550.8772494000001</v>
      </c>
      <c r="H2098" s="876">
        <v>3874.21</v>
      </c>
      <c r="I2098" s="876">
        <f>IF(ISBLANK(H2098),"",SUM(G2098:H2098))</f>
        <v>4425.0872494000005</v>
      </c>
      <c r="J2098" s="877">
        <f t="shared" si="545"/>
        <v>5408.34</v>
      </c>
      <c r="K2098" s="878" t="s">
        <v>13</v>
      </c>
      <c r="L2098" s="1013">
        <f>ROUND(SUM(ORÇAMENTO!L2098),2)</f>
        <v>0</v>
      </c>
      <c r="M2098" s="1013">
        <f t="shared" si="551"/>
        <v>0</v>
      </c>
      <c r="N2098" s="868">
        <f t="shared" si="552"/>
        <v>0</v>
      </c>
      <c r="O2098" s="880"/>
      <c r="Q2098" s="317" t="str">
        <f t="shared" si="553"/>
        <v/>
      </c>
      <c r="R2098" s="317" t="str">
        <f t="shared" si="554"/>
        <v/>
      </c>
      <c r="S2098" s="317" t="str">
        <f t="shared" si="555"/>
        <v/>
      </c>
      <c r="V2098" s="314">
        <f>SUM(ORÇAMENTO!N2098)</f>
        <v>0</v>
      </c>
      <c r="W2098" s="315">
        <f t="shared" si="556"/>
        <v>0</v>
      </c>
    </row>
    <row r="2099" spans="1:23" hidden="1">
      <c r="A2099" s="63" t="s">
        <v>147</v>
      </c>
      <c r="B2099" s="870" t="s">
        <v>147</v>
      </c>
      <c r="C2099" s="871"/>
      <c r="D2099" s="881" t="s">
        <v>190</v>
      </c>
      <c r="E2099" s="882">
        <f>DMT!$D$41</f>
        <v>445</v>
      </c>
      <c r="F2099" s="883">
        <v>0.30620000000000003</v>
      </c>
      <c r="G2099" s="884">
        <f>IF(E2099&lt;=30,(0.78*E2099+7.82)*F2099,((0.78*30+7.82)+0.78*(E2099-30))*F2099)</f>
        <v>108.67650400000001</v>
      </c>
      <c r="H2099" s="876"/>
      <c r="I2099" s="876"/>
      <c r="J2099" s="877">
        <f t="shared" si="545"/>
        <v>0</v>
      </c>
      <c r="K2099" s="878"/>
      <c r="L2099" s="1013">
        <f>ROUND(SUM(ORÇAMENTO!L2099),2)</f>
        <v>0</v>
      </c>
      <c r="M2099" s="1013">
        <f t="shared" si="551"/>
        <v>0</v>
      </c>
      <c r="N2099" s="868">
        <f t="shared" si="552"/>
        <v>0</v>
      </c>
      <c r="O2099" s="880"/>
      <c r="P2099" s="36" t="str">
        <f>IF(N2098&gt;0,"xx",IF(N2098&gt;0,"xy",""))</f>
        <v/>
      </c>
      <c r="Q2099" s="317" t="str">
        <f t="shared" si="553"/>
        <v/>
      </c>
      <c r="R2099" s="317" t="str">
        <f t="shared" si="554"/>
        <v/>
      </c>
      <c r="S2099" s="317" t="str">
        <f t="shared" si="555"/>
        <v/>
      </c>
      <c r="V2099" s="314">
        <f>SUM(ORÇAMENTO!N2099)</f>
        <v>0</v>
      </c>
      <c r="W2099" s="315">
        <f t="shared" si="556"/>
        <v>0</v>
      </c>
    </row>
    <row r="2100" spans="1:23" hidden="1">
      <c r="A2100" s="63" t="s">
        <v>147</v>
      </c>
      <c r="B2100" s="870" t="s">
        <v>147</v>
      </c>
      <c r="C2100" s="871"/>
      <c r="D2100" s="881" t="s">
        <v>229</v>
      </c>
      <c r="E2100" s="882">
        <f>DMT!$F$39</f>
        <v>290</v>
      </c>
      <c r="F2100" s="883">
        <v>1.1047</v>
      </c>
      <c r="G2100" s="923">
        <f t="shared" ref="G2100:G2102" si="563">IF(E2100&lt;=30,(1.07*E2100+2.68)*F2100,((1.07*30+2.68)+1.07*(E2100-30))*F2100)</f>
        <v>345.74900600000001</v>
      </c>
      <c r="H2100" s="876"/>
      <c r="I2100" s="876"/>
      <c r="J2100" s="877">
        <f t="shared" si="545"/>
        <v>0</v>
      </c>
      <c r="K2100" s="878"/>
      <c r="L2100" s="1013">
        <f>ROUND(SUM(ORÇAMENTO!L2100),2)</f>
        <v>0</v>
      </c>
      <c r="M2100" s="1013">
        <f t="shared" si="551"/>
        <v>0</v>
      </c>
      <c r="N2100" s="868">
        <f t="shared" si="552"/>
        <v>0</v>
      </c>
      <c r="O2100" s="880"/>
      <c r="P2100" s="36" t="str">
        <f>IF(N2098&gt;0,"xx",IF(N2098&gt;0,"xy",""))</f>
        <v/>
      </c>
      <c r="Q2100" s="317" t="str">
        <f t="shared" si="553"/>
        <v/>
      </c>
      <c r="R2100" s="317" t="str">
        <f t="shared" si="554"/>
        <v/>
      </c>
      <c r="S2100" s="317" t="str">
        <f t="shared" si="555"/>
        <v/>
      </c>
      <c r="V2100" s="314">
        <f>SUM(ORÇAMENTO!N2100)</f>
        <v>0</v>
      </c>
      <c r="W2100" s="315">
        <f t="shared" si="556"/>
        <v>0</v>
      </c>
    </row>
    <row r="2101" spans="1:23" hidden="1">
      <c r="A2101" s="63" t="s">
        <v>147</v>
      </c>
      <c r="B2101" s="870" t="s">
        <v>147</v>
      </c>
      <c r="C2101" s="871"/>
      <c r="D2101" s="881" t="s">
        <v>233</v>
      </c>
      <c r="E2101" s="882">
        <f>DMT!$F$40</f>
        <v>0.2</v>
      </c>
      <c r="F2101" s="883">
        <v>1.9251</v>
      </c>
      <c r="G2101" s="923">
        <f t="shared" si="563"/>
        <v>5.5712394000000005</v>
      </c>
      <c r="H2101" s="876"/>
      <c r="I2101" s="876"/>
      <c r="J2101" s="877">
        <f t="shared" si="545"/>
        <v>0</v>
      </c>
      <c r="K2101" s="878"/>
      <c r="L2101" s="1013">
        <f>ROUND(SUM(ORÇAMENTO!L2101),2)</f>
        <v>0</v>
      </c>
      <c r="M2101" s="1013">
        <f t="shared" si="551"/>
        <v>0</v>
      </c>
      <c r="N2101" s="868">
        <f t="shared" si="552"/>
        <v>0</v>
      </c>
      <c r="O2101" s="880"/>
      <c r="P2101" s="36" t="str">
        <f>IF(N2098&gt;0,"xx",IF(N2098&gt;0,"xy",""))</f>
        <v/>
      </c>
      <c r="Q2101" s="317" t="str">
        <f t="shared" si="553"/>
        <v/>
      </c>
      <c r="R2101" s="317" t="str">
        <f t="shared" si="554"/>
        <v/>
      </c>
      <c r="S2101" s="317" t="str">
        <f t="shared" si="555"/>
        <v/>
      </c>
      <c r="V2101" s="314">
        <f>SUM(ORÇAMENTO!N2101)</f>
        <v>0</v>
      </c>
      <c r="W2101" s="315">
        <f t="shared" si="556"/>
        <v>0</v>
      </c>
    </row>
    <row r="2102" spans="1:23" hidden="1">
      <c r="A2102" s="63" t="s">
        <v>147</v>
      </c>
      <c r="B2102" s="969" t="s">
        <v>147</v>
      </c>
      <c r="C2102" s="970"/>
      <c r="D2102" s="939" t="s">
        <v>336</v>
      </c>
      <c r="E2102" s="940">
        <f>DMT!$F$38</f>
        <v>37</v>
      </c>
      <c r="F2102" s="971">
        <v>2.15</v>
      </c>
      <c r="G2102" s="1282">
        <f t="shared" si="563"/>
        <v>90.880499999999998</v>
      </c>
      <c r="H2102" s="914"/>
      <c r="I2102" s="914"/>
      <c r="J2102" s="943">
        <f t="shared" si="545"/>
        <v>0</v>
      </c>
      <c r="K2102" s="944"/>
      <c r="L2102" s="1295">
        <f>ROUND(SUM(ORÇAMENTO!L2102),2)</f>
        <v>0</v>
      </c>
      <c r="M2102" s="1295">
        <f t="shared" si="551"/>
        <v>0</v>
      </c>
      <c r="N2102" s="916">
        <f t="shared" si="552"/>
        <v>0</v>
      </c>
      <c r="O2102" s="880"/>
      <c r="P2102" s="36" t="str">
        <f>IF(N2098&gt;0,"xx",IF(N2098&gt;0,"xy",""))</f>
        <v/>
      </c>
      <c r="Q2102" s="317" t="str">
        <f t="shared" si="553"/>
        <v/>
      </c>
      <c r="R2102" s="317" t="str">
        <f t="shared" si="554"/>
        <v/>
      </c>
      <c r="S2102" s="317" t="str">
        <f t="shared" si="555"/>
        <v/>
      </c>
      <c r="V2102" s="314">
        <f>SUM(ORÇAMENTO!N2102)</f>
        <v>0</v>
      </c>
      <c r="W2102" s="315">
        <f t="shared" si="556"/>
        <v>0</v>
      </c>
    </row>
    <row r="2103" spans="1:23">
      <c r="A2103" s="63" t="s">
        <v>17</v>
      </c>
      <c r="B2103" s="973" t="s">
        <v>17</v>
      </c>
      <c r="C2103" s="974" t="s">
        <v>184</v>
      </c>
      <c r="D2103" s="947" t="s">
        <v>54</v>
      </c>
      <c r="E2103" s="948"/>
      <c r="F2103" s="949"/>
      <c r="G2103" s="950">
        <f>SUM(G2104:G2108)</f>
        <v>275.90747360799998</v>
      </c>
      <c r="H2103" s="951">
        <v>1441.24</v>
      </c>
      <c r="I2103" s="951">
        <f>IF(ISBLANK(H2103),"",SUM(G2103:H2103))</f>
        <v>1717.1474736079999</v>
      </c>
      <c r="J2103" s="952">
        <f t="shared" si="545"/>
        <v>2098.6999999999998</v>
      </c>
      <c r="K2103" s="953" t="s">
        <v>15</v>
      </c>
      <c r="L2103" s="1384">
        <f>ROUND(SUM(ORÇAMENTO!L2103),2)</f>
        <v>6</v>
      </c>
      <c r="M2103" s="1384">
        <f t="shared" si="551"/>
        <v>2098.6999999999998</v>
      </c>
      <c r="N2103" s="956">
        <f t="shared" si="552"/>
        <v>12592.2</v>
      </c>
      <c r="O2103" s="869"/>
      <c r="Q2103" s="317" t="str">
        <f t="shared" si="553"/>
        <v>x</v>
      </c>
      <c r="R2103" s="317" t="str">
        <f t="shared" si="554"/>
        <v>x</v>
      </c>
      <c r="S2103" s="317" t="str">
        <f t="shared" si="555"/>
        <v>x</v>
      </c>
      <c r="V2103" s="314">
        <f>SUM(ORÇAMENTO!N2103)</f>
        <v>12592.2</v>
      </c>
      <c r="W2103" s="315">
        <f t="shared" si="556"/>
        <v>0</v>
      </c>
    </row>
    <row r="2104" spans="1:23">
      <c r="A2104" s="63" t="s">
        <v>147</v>
      </c>
      <c r="B2104" s="870" t="s">
        <v>147</v>
      </c>
      <c r="C2104" s="871"/>
      <c r="D2104" s="881" t="s">
        <v>190</v>
      </c>
      <c r="E2104" s="882">
        <f>DMT!$D$20</f>
        <v>445</v>
      </c>
      <c r="F2104" s="883">
        <f>VLOOKUP(D2103,'ENSAIOS DE ORÇAMENTO'!$C$5:$L$81,4,FALSE)</f>
        <v>0.11541040000000001</v>
      </c>
      <c r="G2104" s="884">
        <f>IF(E2104&lt;=30,(0.78*E2104+7.82)*F2104,((0.78*30+7.82)+0.78*(E2104-30))*F2104)</f>
        <v>40.961459168000005</v>
      </c>
      <c r="H2104" s="876"/>
      <c r="I2104" s="876"/>
      <c r="J2104" s="877">
        <f t="shared" si="545"/>
        <v>0</v>
      </c>
      <c r="K2104" s="878"/>
      <c r="L2104" s="1013">
        <f>ROUND(SUM(ORÇAMENTO!L2104),2)</f>
        <v>0</v>
      </c>
      <c r="M2104" s="1013">
        <f t="shared" si="551"/>
        <v>0</v>
      </c>
      <c r="N2104" s="868">
        <f t="shared" si="552"/>
        <v>0</v>
      </c>
      <c r="O2104" s="880"/>
      <c r="P2104" s="36" t="str">
        <f>IF(N2103&gt;0,"xx",IF(N2103&gt;0,"xy",""))</f>
        <v>xx</v>
      </c>
      <c r="Q2104" s="317" t="str">
        <f t="shared" si="553"/>
        <v>x</v>
      </c>
      <c r="R2104" s="317" t="str">
        <f t="shared" si="554"/>
        <v>x</v>
      </c>
      <c r="S2104" s="317" t="str">
        <f t="shared" si="555"/>
        <v/>
      </c>
      <c r="V2104" s="314">
        <f>SUM(ORÇAMENTO!N2104)</f>
        <v>0</v>
      </c>
      <c r="W2104" s="315">
        <f t="shared" si="556"/>
        <v>0</v>
      </c>
    </row>
    <row r="2105" spans="1:23">
      <c r="A2105" s="63" t="s">
        <v>147</v>
      </c>
      <c r="B2105" s="870" t="s">
        <v>147</v>
      </c>
      <c r="C2105" s="871"/>
      <c r="D2105" s="881" t="s">
        <v>229</v>
      </c>
      <c r="E2105" s="882">
        <v>290</v>
      </c>
      <c r="F2105" s="883">
        <f>VLOOKUP(D2103,'ENSAIOS DE ORÇAMENTO'!$C$5:$L$81,5,FALSE)</f>
        <v>0.62209000000000003</v>
      </c>
      <c r="G2105" s="923">
        <f t="shared" ref="G2105:G2107" si="564">IF(E2105&lt;=30,(1.07*E2105+2.68)*F2105,((1.07*30+2.68)+1.07*(E2105-30))*F2105)</f>
        <v>194.70172820000002</v>
      </c>
      <c r="H2105" s="876"/>
      <c r="I2105" s="876"/>
      <c r="J2105" s="877">
        <f t="shared" si="545"/>
        <v>0</v>
      </c>
      <c r="K2105" s="878"/>
      <c r="L2105" s="1013">
        <f>ROUND(SUM(ORÇAMENTO!L2105),2)</f>
        <v>0</v>
      </c>
      <c r="M2105" s="1013">
        <f t="shared" si="551"/>
        <v>0</v>
      </c>
      <c r="N2105" s="868">
        <f t="shared" si="552"/>
        <v>0</v>
      </c>
      <c r="O2105" s="880"/>
      <c r="P2105" s="36" t="str">
        <f>IF(N2103&gt;0,"xx",IF(N2103&gt;0,"xy",""))</f>
        <v>xx</v>
      </c>
      <c r="Q2105" s="317" t="str">
        <f t="shared" si="553"/>
        <v>x</v>
      </c>
      <c r="R2105" s="317" t="str">
        <f t="shared" si="554"/>
        <v>x</v>
      </c>
      <c r="S2105" s="317" t="str">
        <f t="shared" si="555"/>
        <v/>
      </c>
      <c r="V2105" s="314">
        <f>SUM(ORÇAMENTO!N2105)</f>
        <v>0</v>
      </c>
      <c r="W2105" s="315">
        <f t="shared" si="556"/>
        <v>0</v>
      </c>
    </row>
    <row r="2106" spans="1:23">
      <c r="A2106" s="63" t="s">
        <v>147</v>
      </c>
      <c r="B2106" s="870" t="s">
        <v>147</v>
      </c>
      <c r="C2106" s="871"/>
      <c r="D2106" s="881" t="s">
        <v>233</v>
      </c>
      <c r="E2106" s="882">
        <v>0.2</v>
      </c>
      <c r="F2106" s="883">
        <f>VLOOKUP(D2103,'ENSAIOS DE ORÇAMENTO'!$C$5:$L$81,6,FALSE)</f>
        <v>0.20424000000000003</v>
      </c>
      <c r="G2106" s="923">
        <f t="shared" si="564"/>
        <v>0.59107056000000013</v>
      </c>
      <c r="H2106" s="876"/>
      <c r="I2106" s="876"/>
      <c r="J2106" s="877">
        <f t="shared" ref="J2106:J2155" si="565">IF(ISBLANK(H2106),0,ROUND(I2106*(1+$E$10),2))</f>
        <v>0</v>
      </c>
      <c r="K2106" s="878"/>
      <c r="L2106" s="1013">
        <f>ROUND(SUM(ORÇAMENTO!L2106),2)</f>
        <v>0</v>
      </c>
      <c r="M2106" s="1013">
        <f t="shared" si="551"/>
        <v>0</v>
      </c>
      <c r="N2106" s="868">
        <f t="shared" si="552"/>
        <v>0</v>
      </c>
      <c r="O2106" s="880"/>
      <c r="P2106" s="36" t="str">
        <f>IF(N2103&gt;0,"xx",IF(N2103&gt;0,"xy",""))</f>
        <v>xx</v>
      </c>
      <c r="Q2106" s="317" t="str">
        <f t="shared" si="553"/>
        <v>x</v>
      </c>
      <c r="R2106" s="317" t="str">
        <f t="shared" si="554"/>
        <v>x</v>
      </c>
      <c r="S2106" s="317" t="str">
        <f t="shared" si="555"/>
        <v/>
      </c>
      <c r="V2106" s="314">
        <f>SUM(ORÇAMENTO!N2106)</f>
        <v>0</v>
      </c>
      <c r="W2106" s="315">
        <f t="shared" si="556"/>
        <v>0</v>
      </c>
    </row>
    <row r="2107" spans="1:23">
      <c r="A2107" s="63" t="s">
        <v>147</v>
      </c>
      <c r="B2107" s="870" t="s">
        <v>147</v>
      </c>
      <c r="C2107" s="871"/>
      <c r="D2107" s="881" t="s">
        <v>365</v>
      </c>
      <c r="E2107" s="882">
        <f>DMT!$F$32</f>
        <v>28</v>
      </c>
      <c r="F2107" s="883">
        <f>VLOOKUP(D2103,'ENSAIOS DE ORÇAMENTO'!$C$5:$L$81,3,FALSE)</f>
        <v>0.87983999999999996</v>
      </c>
      <c r="G2107" s="923">
        <f t="shared" si="564"/>
        <v>28.717977599999998</v>
      </c>
      <c r="H2107" s="876"/>
      <c r="I2107" s="876"/>
      <c r="J2107" s="877">
        <f t="shared" si="565"/>
        <v>0</v>
      </c>
      <c r="K2107" s="878"/>
      <c r="L2107" s="1013">
        <f>ROUND(SUM(ORÇAMENTO!L2107),2)</f>
        <v>0</v>
      </c>
      <c r="M2107" s="1013">
        <f t="shared" si="551"/>
        <v>0</v>
      </c>
      <c r="N2107" s="868">
        <f t="shared" si="552"/>
        <v>0</v>
      </c>
      <c r="O2107" s="880"/>
      <c r="P2107" s="36" t="str">
        <f>IF(N2103&gt;0,"xx",IF(N2103&gt;0,"xy",""))</f>
        <v>xx</v>
      </c>
      <c r="Q2107" s="317" t="str">
        <f t="shared" si="553"/>
        <v>x</v>
      </c>
      <c r="R2107" s="317" t="str">
        <f t="shared" si="554"/>
        <v>x</v>
      </c>
      <c r="S2107" s="317" t="str">
        <f t="shared" si="555"/>
        <v/>
      </c>
      <c r="V2107" s="314">
        <f>SUM(ORÇAMENTO!N2107)</f>
        <v>0</v>
      </c>
      <c r="W2107" s="315">
        <f t="shared" si="556"/>
        <v>0</v>
      </c>
    </row>
    <row r="2108" spans="1:23" ht="13.5" thickBot="1">
      <c r="A2108" s="63" t="s">
        <v>147</v>
      </c>
      <c r="B2108" s="978" t="s">
        <v>147</v>
      </c>
      <c r="C2108" s="958"/>
      <c r="D2108" s="959" t="s">
        <v>366</v>
      </c>
      <c r="E2108" s="979">
        <v>468</v>
      </c>
      <c r="F2108" s="980">
        <f>VLOOKUP(D2103,'ENSAIOS DE ORÇAMENTO'!$C$5:$L$81,10,FALSE)</f>
        <v>2.9328E-2</v>
      </c>
      <c r="G2108" s="1370">
        <f>IF(E2108&lt;=30,(0.78*E2108+7.82)*F2108,((0.78*30+7.82)+0.78*(E2108-30))*F2108)</f>
        <v>10.93523808</v>
      </c>
      <c r="H2108" s="962"/>
      <c r="I2108" s="962"/>
      <c r="J2108" s="963">
        <f t="shared" si="565"/>
        <v>0</v>
      </c>
      <c r="K2108" s="964"/>
      <c r="L2108" s="1385">
        <f>ROUND(SUM(ORÇAMENTO!L2108),2)</f>
        <v>0</v>
      </c>
      <c r="M2108" s="1385">
        <f t="shared" si="551"/>
        <v>0</v>
      </c>
      <c r="N2108" s="967">
        <f t="shared" si="552"/>
        <v>0</v>
      </c>
      <c r="O2108" s="1372"/>
      <c r="P2108" s="36" t="str">
        <f>IF(N2103&gt;0,"xx",IF(N2103&gt;0,"xy",""))</f>
        <v>xx</v>
      </c>
      <c r="Q2108" s="317" t="str">
        <f t="shared" si="553"/>
        <v>x</v>
      </c>
      <c r="R2108" s="317" t="str">
        <f t="shared" si="554"/>
        <v>x</v>
      </c>
      <c r="S2108" s="317" t="str">
        <f t="shared" si="555"/>
        <v/>
      </c>
      <c r="V2108" s="314">
        <f>SUM(ORÇAMENTO!N2108)</f>
        <v>0</v>
      </c>
      <c r="W2108" s="315">
        <f t="shared" si="556"/>
        <v>0</v>
      </c>
    </row>
    <row r="2109" spans="1:23" hidden="1">
      <c r="A2109" s="63" t="s">
        <v>18</v>
      </c>
      <c r="B2109" s="858" t="s">
        <v>18</v>
      </c>
      <c r="C2109" s="859" t="s">
        <v>184</v>
      </c>
      <c r="D2109" s="920" t="s">
        <v>55</v>
      </c>
      <c r="E2109" s="1005"/>
      <c r="F2109" s="921"/>
      <c r="G2109" s="923">
        <f>SUM(G2110:G2114)</f>
        <v>334.89249624000001</v>
      </c>
      <c r="H2109" s="864">
        <v>1595.65</v>
      </c>
      <c r="I2109" s="864">
        <f>IF(ISBLANK(H2109),"",SUM(G2109:H2109))</f>
        <v>1930.5424962400002</v>
      </c>
      <c r="J2109" s="865">
        <f t="shared" si="565"/>
        <v>2359.5100000000002</v>
      </c>
      <c r="K2109" s="866" t="s">
        <v>15</v>
      </c>
      <c r="L2109" s="1013">
        <f>ROUND(SUM(ORÇAMENTO!L2109),2)</f>
        <v>0</v>
      </c>
      <c r="M2109" s="1013">
        <f t="shared" si="551"/>
        <v>0</v>
      </c>
      <c r="N2109" s="907">
        <f t="shared" si="552"/>
        <v>0</v>
      </c>
      <c r="O2109" s="880"/>
      <c r="Q2109" s="317" t="str">
        <f t="shared" si="553"/>
        <v/>
      </c>
      <c r="R2109" s="317" t="str">
        <f t="shared" si="554"/>
        <v/>
      </c>
      <c r="S2109" s="317" t="str">
        <f t="shared" si="555"/>
        <v/>
      </c>
      <c r="V2109" s="314">
        <f>SUM(ORÇAMENTO!N2109)</f>
        <v>0</v>
      </c>
      <c r="W2109" s="315">
        <f t="shared" si="556"/>
        <v>0</v>
      </c>
    </row>
    <row r="2110" spans="1:23" hidden="1">
      <c r="A2110" s="63" t="s">
        <v>147</v>
      </c>
      <c r="B2110" s="870" t="s">
        <v>147</v>
      </c>
      <c r="C2110" s="871"/>
      <c r="D2110" s="881" t="s">
        <v>190</v>
      </c>
      <c r="E2110" s="882">
        <f>DMT!$D$20</f>
        <v>445</v>
      </c>
      <c r="F2110" s="883">
        <f>VLOOKUP(D2109,'ENSAIOS DE ORÇAMENTO'!$C$5:$L$81,4,FALSE)</f>
        <v>0.132608</v>
      </c>
      <c r="G2110" s="884">
        <f>IF(E2110&lt;=30,(0.78*E2110+7.82)*F2110,((0.78*30+7.82)+0.78*(E2110-30))*F2110)</f>
        <v>47.065231360000006</v>
      </c>
      <c r="H2110" s="876"/>
      <c r="I2110" s="876"/>
      <c r="J2110" s="877">
        <f t="shared" si="565"/>
        <v>0</v>
      </c>
      <c r="K2110" s="878"/>
      <c r="L2110" s="1013">
        <f>ROUND(SUM(ORÇAMENTO!L2110),2)</f>
        <v>0</v>
      </c>
      <c r="M2110" s="1013">
        <f t="shared" si="551"/>
        <v>0</v>
      </c>
      <c r="N2110" s="868">
        <f t="shared" si="552"/>
        <v>0</v>
      </c>
      <c r="O2110" s="880"/>
      <c r="P2110" s="36" t="str">
        <f>IF(N2109&gt;0,"xx",IF(N2109&gt;0,"xy",""))</f>
        <v/>
      </c>
      <c r="Q2110" s="317" t="str">
        <f t="shared" si="553"/>
        <v/>
      </c>
      <c r="R2110" s="317" t="str">
        <f t="shared" si="554"/>
        <v/>
      </c>
      <c r="S2110" s="317" t="str">
        <f t="shared" si="555"/>
        <v/>
      </c>
      <c r="V2110" s="314">
        <f>SUM(ORÇAMENTO!N2110)</f>
        <v>0</v>
      </c>
      <c r="W2110" s="315">
        <f t="shared" si="556"/>
        <v>0</v>
      </c>
    </row>
    <row r="2111" spans="1:23" hidden="1">
      <c r="A2111" s="63" t="s">
        <v>147</v>
      </c>
      <c r="B2111" s="870" t="s">
        <v>147</v>
      </c>
      <c r="C2111" s="871"/>
      <c r="D2111" s="881" t="s">
        <v>229</v>
      </c>
      <c r="E2111" s="882">
        <f>DMT!$F$8</f>
        <v>290</v>
      </c>
      <c r="F2111" s="883">
        <f>VLOOKUP(D2109,'ENSAIOS DE ORÇAMENTO'!$C$5:$L$81,5,FALSE)</f>
        <v>0.73198000000000008</v>
      </c>
      <c r="G2111" s="923">
        <f t="shared" ref="G2111:G2113" si="566">IF(E2111&lt;=30,(1.07*E2111+2.68)*F2111,((1.07*30+2.68)+1.07*(E2111-30))*F2111)</f>
        <v>229.09510040000004</v>
      </c>
      <c r="H2111" s="876"/>
      <c r="I2111" s="876"/>
      <c r="J2111" s="877">
        <f t="shared" si="565"/>
        <v>0</v>
      </c>
      <c r="K2111" s="878"/>
      <c r="L2111" s="1013">
        <f>ROUND(SUM(ORÇAMENTO!L2111),2)</f>
        <v>0</v>
      </c>
      <c r="M2111" s="1013">
        <f t="shared" si="551"/>
        <v>0</v>
      </c>
      <c r="N2111" s="868">
        <f t="shared" si="552"/>
        <v>0</v>
      </c>
      <c r="O2111" s="880"/>
      <c r="P2111" s="36" t="str">
        <f>IF(N2109&gt;0,"xx",IF(N2109&gt;0,"xy",""))</f>
        <v/>
      </c>
      <c r="Q2111" s="317" t="str">
        <f t="shared" si="553"/>
        <v/>
      </c>
      <c r="R2111" s="317" t="str">
        <f t="shared" si="554"/>
        <v/>
      </c>
      <c r="S2111" s="317" t="str">
        <f t="shared" si="555"/>
        <v/>
      </c>
      <c r="V2111" s="314">
        <f>SUM(ORÇAMENTO!N2111)</f>
        <v>0</v>
      </c>
      <c r="W2111" s="315">
        <f t="shared" si="556"/>
        <v>0</v>
      </c>
    </row>
    <row r="2112" spans="1:23" hidden="1">
      <c r="A2112" s="63" t="s">
        <v>147</v>
      </c>
      <c r="B2112" s="870" t="s">
        <v>147</v>
      </c>
      <c r="C2112" s="871"/>
      <c r="D2112" s="881" t="s">
        <v>233</v>
      </c>
      <c r="E2112" s="882">
        <f>DMT!$F$10</f>
        <v>43.1</v>
      </c>
      <c r="F2112" s="883">
        <f>VLOOKUP(D2109,'ENSAIOS DE ORÇAMENTO'!$C$5:$L$81,6,FALSE)</f>
        <v>0.20424000000000003</v>
      </c>
      <c r="G2112" s="923">
        <f t="shared" si="566"/>
        <v>9.966299280000003</v>
      </c>
      <c r="H2112" s="876"/>
      <c r="I2112" s="876"/>
      <c r="J2112" s="877">
        <f t="shared" si="565"/>
        <v>0</v>
      </c>
      <c r="K2112" s="878"/>
      <c r="L2112" s="1013">
        <f>ROUND(SUM(ORÇAMENTO!L2112),2)</f>
        <v>0</v>
      </c>
      <c r="M2112" s="1013">
        <f t="shared" si="551"/>
        <v>0</v>
      </c>
      <c r="N2112" s="868">
        <f t="shared" si="552"/>
        <v>0</v>
      </c>
      <c r="O2112" s="880"/>
      <c r="P2112" s="36" t="str">
        <f>IF(N2109&gt;0,"xx",IF(N2109&gt;0,"xy",""))</f>
        <v/>
      </c>
      <c r="Q2112" s="317" t="str">
        <f t="shared" si="553"/>
        <v/>
      </c>
      <c r="R2112" s="317" t="str">
        <f t="shared" si="554"/>
        <v/>
      </c>
      <c r="S2112" s="317" t="str">
        <f t="shared" si="555"/>
        <v/>
      </c>
      <c r="V2112" s="314">
        <f>SUM(ORÇAMENTO!N2112)</f>
        <v>0</v>
      </c>
      <c r="W2112" s="315">
        <f t="shared" si="556"/>
        <v>0</v>
      </c>
    </row>
    <row r="2113" spans="1:23" hidden="1">
      <c r="A2113" s="63" t="s">
        <v>147</v>
      </c>
      <c r="B2113" s="870" t="s">
        <v>147</v>
      </c>
      <c r="C2113" s="871"/>
      <c r="D2113" s="881" t="s">
        <v>365</v>
      </c>
      <c r="E2113" s="882">
        <f>DMT!$F$32</f>
        <v>28</v>
      </c>
      <c r="F2113" s="883">
        <f>VLOOKUP(D2109,'ENSAIOS DE ORÇAMENTO'!$C$5:$L$81,3,FALSE)</f>
        <v>1.0998000000000001</v>
      </c>
      <c r="G2113" s="923">
        <f t="shared" si="566"/>
        <v>35.897472000000008</v>
      </c>
      <c r="H2113" s="876"/>
      <c r="I2113" s="876"/>
      <c r="J2113" s="877">
        <f t="shared" si="565"/>
        <v>0</v>
      </c>
      <c r="K2113" s="878"/>
      <c r="L2113" s="1013">
        <f>ROUND(SUM(ORÇAMENTO!L2113),2)</f>
        <v>0</v>
      </c>
      <c r="M2113" s="1013">
        <f t="shared" si="551"/>
        <v>0</v>
      </c>
      <c r="N2113" s="868">
        <f t="shared" si="552"/>
        <v>0</v>
      </c>
      <c r="O2113" s="880"/>
      <c r="P2113" s="36" t="str">
        <f>IF(N2109&gt;0,"xx",IF(N2109&gt;0,"xy",""))</f>
        <v/>
      </c>
      <c r="Q2113" s="317" t="str">
        <f t="shared" si="553"/>
        <v/>
      </c>
      <c r="R2113" s="317" t="str">
        <f t="shared" si="554"/>
        <v/>
      </c>
      <c r="S2113" s="317" t="str">
        <f t="shared" si="555"/>
        <v/>
      </c>
      <c r="V2113" s="314">
        <f>SUM(ORÇAMENTO!N2113)</f>
        <v>0</v>
      </c>
      <c r="W2113" s="315">
        <f t="shared" si="556"/>
        <v>0</v>
      </c>
    </row>
    <row r="2114" spans="1:23" hidden="1">
      <c r="A2114" s="63" t="s">
        <v>147</v>
      </c>
      <c r="B2114" s="870" t="s">
        <v>147</v>
      </c>
      <c r="C2114" s="871"/>
      <c r="D2114" s="881" t="s">
        <v>366</v>
      </c>
      <c r="E2114" s="882">
        <f>DMT!$D$18</f>
        <v>440</v>
      </c>
      <c r="F2114" s="883">
        <f>VLOOKUP(D2109,'ENSAIOS DE ORÇAMENTO'!$C$5:$L$81,10,FALSE)</f>
        <v>3.6659999999999998E-2</v>
      </c>
      <c r="G2114" s="884">
        <f>IF(E2114&lt;=30,(0.78*E2114+7.82)*F2114,((0.78*30+7.82)+0.78*(E2114-30))*F2114)</f>
        <v>12.868393200000002</v>
      </c>
      <c r="H2114" s="876"/>
      <c r="I2114" s="876"/>
      <c r="J2114" s="877">
        <f t="shared" si="565"/>
        <v>0</v>
      </c>
      <c r="K2114" s="878"/>
      <c r="L2114" s="1013">
        <f>ROUND(SUM(ORÇAMENTO!L2114),2)</f>
        <v>0</v>
      </c>
      <c r="M2114" s="1013">
        <f t="shared" si="551"/>
        <v>0</v>
      </c>
      <c r="N2114" s="868">
        <f t="shared" si="552"/>
        <v>0</v>
      </c>
      <c r="O2114" s="880"/>
      <c r="P2114" s="36" t="str">
        <f>IF(N2109&gt;0,"xx",IF(N2109&gt;0,"xy",""))</f>
        <v/>
      </c>
      <c r="Q2114" s="317" t="str">
        <f t="shared" si="553"/>
        <v/>
      </c>
      <c r="R2114" s="317" t="str">
        <f t="shared" si="554"/>
        <v/>
      </c>
      <c r="S2114" s="317" t="str">
        <f t="shared" si="555"/>
        <v/>
      </c>
      <c r="V2114" s="314">
        <f>SUM(ORÇAMENTO!N2114)</f>
        <v>0</v>
      </c>
      <c r="W2114" s="315">
        <f t="shared" si="556"/>
        <v>0</v>
      </c>
    </row>
    <row r="2115" spans="1:23" hidden="1">
      <c r="A2115" s="63" t="s">
        <v>19</v>
      </c>
      <c r="B2115" s="870" t="s">
        <v>19</v>
      </c>
      <c r="C2115" s="871" t="s">
        <v>184</v>
      </c>
      <c r="D2115" s="881" t="s">
        <v>56</v>
      </c>
      <c r="E2115" s="882"/>
      <c r="F2115" s="883"/>
      <c r="G2115" s="887">
        <f>SUM(G2116:G2120)</f>
        <v>418.04606967300003</v>
      </c>
      <c r="H2115" s="876">
        <v>1851.05</v>
      </c>
      <c r="I2115" s="876">
        <f>IF(ISBLANK(H2115),"",SUM(G2115:H2115))</f>
        <v>2269.0960696729999</v>
      </c>
      <c r="J2115" s="877">
        <f t="shared" si="565"/>
        <v>2773.29</v>
      </c>
      <c r="K2115" s="878" t="s">
        <v>15</v>
      </c>
      <c r="L2115" s="1013">
        <f>ROUND(SUM(ORÇAMENTO!L2115),2)</f>
        <v>0</v>
      </c>
      <c r="M2115" s="1013">
        <f t="shared" si="551"/>
        <v>0</v>
      </c>
      <c r="N2115" s="868">
        <f t="shared" si="552"/>
        <v>0</v>
      </c>
      <c r="O2115" s="880"/>
      <c r="Q2115" s="317" t="str">
        <f t="shared" si="553"/>
        <v/>
      </c>
      <c r="R2115" s="317" t="str">
        <f t="shared" si="554"/>
        <v/>
      </c>
      <c r="S2115" s="317" t="str">
        <f t="shared" si="555"/>
        <v/>
      </c>
      <c r="V2115" s="314">
        <f>SUM(ORÇAMENTO!N2115)</f>
        <v>0</v>
      </c>
      <c r="W2115" s="315">
        <f t="shared" si="556"/>
        <v>0</v>
      </c>
    </row>
    <row r="2116" spans="1:23" hidden="1">
      <c r="A2116" s="63" t="s">
        <v>147</v>
      </c>
      <c r="B2116" s="870" t="s">
        <v>147</v>
      </c>
      <c r="C2116" s="871"/>
      <c r="D2116" s="881" t="s">
        <v>190</v>
      </c>
      <c r="E2116" s="882">
        <f>DMT!$D$20</f>
        <v>445</v>
      </c>
      <c r="F2116" s="883">
        <f>VLOOKUP(D2115,'ENSAIOS DE ORÇAMENTO'!$C$5:$L$81,4,FALSE)</f>
        <v>0.1610819</v>
      </c>
      <c r="G2116" s="884">
        <f>IF(E2116&lt;=30,(0.78*E2116+7.82)*F2116,((0.78*30+7.82)+0.78*(E2116-30))*F2116)</f>
        <v>57.171187948000004</v>
      </c>
      <c r="H2116" s="876"/>
      <c r="I2116" s="876"/>
      <c r="J2116" s="877">
        <f t="shared" si="565"/>
        <v>0</v>
      </c>
      <c r="K2116" s="878"/>
      <c r="L2116" s="1013">
        <f>ROUND(SUM(ORÇAMENTO!L2116),2)</f>
        <v>0</v>
      </c>
      <c r="M2116" s="1013">
        <f t="shared" si="551"/>
        <v>0</v>
      </c>
      <c r="N2116" s="868">
        <f t="shared" si="552"/>
        <v>0</v>
      </c>
      <c r="O2116" s="880"/>
      <c r="P2116" s="36" t="str">
        <f>IF(N2115&gt;0,"xx",IF(N2115&gt;0,"xy",""))</f>
        <v/>
      </c>
      <c r="Q2116" s="317" t="str">
        <f t="shared" si="553"/>
        <v/>
      </c>
      <c r="R2116" s="317" t="str">
        <f t="shared" si="554"/>
        <v/>
      </c>
      <c r="S2116" s="317" t="str">
        <f t="shared" si="555"/>
        <v/>
      </c>
      <c r="V2116" s="314">
        <f>SUM(ORÇAMENTO!N2116)</f>
        <v>0</v>
      </c>
      <c r="W2116" s="315">
        <f t="shared" si="556"/>
        <v>0</v>
      </c>
    </row>
    <row r="2117" spans="1:23" hidden="1">
      <c r="A2117" s="63" t="s">
        <v>147</v>
      </c>
      <c r="B2117" s="870" t="s">
        <v>147</v>
      </c>
      <c r="C2117" s="871"/>
      <c r="D2117" s="881" t="s">
        <v>229</v>
      </c>
      <c r="E2117" s="882">
        <f>DMT!$F$8</f>
        <v>290</v>
      </c>
      <c r="F2117" s="883">
        <f>VLOOKUP(D2115,'ENSAIOS DE ORÇAMENTO'!$C$5:$L$81,5,FALSE)</f>
        <v>0.91383625000000013</v>
      </c>
      <c r="G2117" s="923">
        <f t="shared" ref="G2117:G2119" si="567">IF(E2117&lt;=30,(1.07*E2117+2.68)*F2117,((1.07*30+2.68)+1.07*(E2117-30))*F2117)</f>
        <v>286.01246952500003</v>
      </c>
      <c r="H2117" s="876"/>
      <c r="I2117" s="876"/>
      <c r="J2117" s="877">
        <f t="shared" si="565"/>
        <v>0</v>
      </c>
      <c r="K2117" s="878"/>
      <c r="L2117" s="1013">
        <f>ROUND(SUM(ORÇAMENTO!L2117),2)</f>
        <v>0</v>
      </c>
      <c r="M2117" s="1013">
        <f t="shared" si="551"/>
        <v>0</v>
      </c>
      <c r="N2117" s="868">
        <f t="shared" si="552"/>
        <v>0</v>
      </c>
      <c r="O2117" s="880"/>
      <c r="P2117" s="36" t="str">
        <f>IF(N2115&gt;0,"xx",IF(N2115&gt;0,"xy",""))</f>
        <v/>
      </c>
      <c r="Q2117" s="317" t="str">
        <f t="shared" si="553"/>
        <v/>
      </c>
      <c r="R2117" s="317" t="str">
        <f t="shared" si="554"/>
        <v/>
      </c>
      <c r="S2117" s="317" t="str">
        <f t="shared" si="555"/>
        <v/>
      </c>
      <c r="V2117" s="314">
        <f>SUM(ORÇAMENTO!N2117)</f>
        <v>0</v>
      </c>
      <c r="W2117" s="315">
        <f t="shared" si="556"/>
        <v>0</v>
      </c>
    </row>
    <row r="2118" spans="1:23" hidden="1">
      <c r="A2118" s="63" t="s">
        <v>147</v>
      </c>
      <c r="B2118" s="870" t="s">
        <v>147</v>
      </c>
      <c r="C2118" s="871"/>
      <c r="D2118" s="881" t="s">
        <v>233</v>
      </c>
      <c r="E2118" s="882">
        <f>DMT!$F$10</f>
        <v>43.1</v>
      </c>
      <c r="F2118" s="883">
        <f>VLOOKUP(D2115,'ENSAIOS DE ORÇAMENTO'!$C$5:$L$81,6,FALSE)</f>
        <v>0.20424000000000003</v>
      </c>
      <c r="G2118" s="923">
        <f t="shared" si="567"/>
        <v>9.966299280000003</v>
      </c>
      <c r="H2118" s="876"/>
      <c r="I2118" s="876"/>
      <c r="J2118" s="877">
        <f t="shared" si="565"/>
        <v>0</v>
      </c>
      <c r="K2118" s="878"/>
      <c r="L2118" s="1013">
        <f>ROUND(SUM(ORÇAMENTO!L2118),2)</f>
        <v>0</v>
      </c>
      <c r="M2118" s="1013">
        <f t="shared" si="551"/>
        <v>0</v>
      </c>
      <c r="N2118" s="868">
        <f t="shared" si="552"/>
        <v>0</v>
      </c>
      <c r="O2118" s="880"/>
      <c r="P2118" s="36" t="str">
        <f>IF(N2115&gt;0,"xx",IF(N2115&gt;0,"xy",""))</f>
        <v/>
      </c>
      <c r="Q2118" s="317" t="str">
        <f t="shared" si="553"/>
        <v/>
      </c>
      <c r="R2118" s="317" t="str">
        <f t="shared" si="554"/>
        <v/>
      </c>
      <c r="S2118" s="317" t="str">
        <f t="shared" si="555"/>
        <v/>
      </c>
      <c r="V2118" s="314">
        <f>SUM(ORÇAMENTO!N2118)</f>
        <v>0</v>
      </c>
      <c r="W2118" s="315">
        <f t="shared" si="556"/>
        <v>0</v>
      </c>
    </row>
    <row r="2119" spans="1:23" hidden="1">
      <c r="A2119" s="63" t="s">
        <v>147</v>
      </c>
      <c r="B2119" s="870" t="s">
        <v>147</v>
      </c>
      <c r="C2119" s="871"/>
      <c r="D2119" s="881" t="s">
        <v>365</v>
      </c>
      <c r="E2119" s="882">
        <f>DMT!$F$32</f>
        <v>28</v>
      </c>
      <c r="F2119" s="883">
        <f>VLOOKUP(D2115,'ENSAIOS DE ORÇAMENTO'!$C$5:$L$81,3,FALSE)</f>
        <v>1.4635799999999999</v>
      </c>
      <c r="G2119" s="923">
        <f t="shared" si="567"/>
        <v>47.771251199999995</v>
      </c>
      <c r="H2119" s="876"/>
      <c r="I2119" s="876"/>
      <c r="J2119" s="877">
        <f t="shared" si="565"/>
        <v>0</v>
      </c>
      <c r="K2119" s="878"/>
      <c r="L2119" s="1013">
        <f>ROUND(SUM(ORÇAMENTO!L2119),2)</f>
        <v>0</v>
      </c>
      <c r="M2119" s="1013">
        <f t="shared" si="551"/>
        <v>0</v>
      </c>
      <c r="N2119" s="868">
        <f t="shared" si="552"/>
        <v>0</v>
      </c>
      <c r="O2119" s="880"/>
      <c r="P2119" s="36" t="str">
        <f>IF(N2115&gt;0,"xx",IF(N2115&gt;0,"xy",""))</f>
        <v/>
      </c>
      <c r="Q2119" s="317" t="str">
        <f t="shared" si="553"/>
        <v/>
      </c>
      <c r="R2119" s="317" t="str">
        <f t="shared" si="554"/>
        <v/>
      </c>
      <c r="S2119" s="317" t="str">
        <f t="shared" si="555"/>
        <v/>
      </c>
      <c r="V2119" s="314">
        <f>SUM(ORÇAMENTO!N2119)</f>
        <v>0</v>
      </c>
      <c r="W2119" s="315">
        <f t="shared" si="556"/>
        <v>0</v>
      </c>
    </row>
    <row r="2120" spans="1:23" hidden="1">
      <c r="A2120" s="63" t="s">
        <v>147</v>
      </c>
      <c r="B2120" s="870" t="s">
        <v>147</v>
      </c>
      <c r="C2120" s="871"/>
      <c r="D2120" s="881" t="s">
        <v>366</v>
      </c>
      <c r="E2120" s="882">
        <f>DMT!$D$18</f>
        <v>440</v>
      </c>
      <c r="F2120" s="883">
        <f>VLOOKUP(D2115,'ENSAIOS DE ORÇAMENTO'!$C$5:$L$81,10,FALSE)</f>
        <v>4.8785999999999996E-2</v>
      </c>
      <c r="G2120" s="884">
        <f>IF(E2120&lt;=30,(0.78*E2120+7.82)*F2120,((0.78*30+7.82)+0.78*(E2120-30))*F2120)</f>
        <v>17.124861720000002</v>
      </c>
      <c r="H2120" s="876"/>
      <c r="I2120" s="876"/>
      <c r="J2120" s="877">
        <f t="shared" si="565"/>
        <v>0</v>
      </c>
      <c r="K2120" s="878"/>
      <c r="L2120" s="1013">
        <f>ROUND(SUM(ORÇAMENTO!L2120),2)</f>
        <v>0</v>
      </c>
      <c r="M2120" s="1013">
        <f t="shared" si="551"/>
        <v>0</v>
      </c>
      <c r="N2120" s="868">
        <f t="shared" si="552"/>
        <v>0</v>
      </c>
      <c r="O2120" s="880"/>
      <c r="P2120" s="36" t="str">
        <f>IF(N2115&gt;0,"xx",IF(N2115&gt;0,"xy",""))</f>
        <v/>
      </c>
      <c r="Q2120" s="317" t="str">
        <f t="shared" si="553"/>
        <v/>
      </c>
      <c r="R2120" s="317" t="str">
        <f t="shared" si="554"/>
        <v/>
      </c>
      <c r="S2120" s="317" t="str">
        <f t="shared" si="555"/>
        <v/>
      </c>
      <c r="V2120" s="314">
        <f>SUM(ORÇAMENTO!N2120)</f>
        <v>0</v>
      </c>
      <c r="W2120" s="315">
        <f t="shared" si="556"/>
        <v>0</v>
      </c>
    </row>
    <row r="2121" spans="1:23" hidden="1">
      <c r="A2121" s="63" t="s">
        <v>20</v>
      </c>
      <c r="B2121" s="870" t="s">
        <v>20</v>
      </c>
      <c r="C2121" s="871" t="s">
        <v>184</v>
      </c>
      <c r="D2121" s="881" t="s">
        <v>57</v>
      </c>
      <c r="E2121" s="882"/>
      <c r="F2121" s="883"/>
      <c r="G2121" s="887">
        <f>SUM(G2122:G2126)</f>
        <v>502.99050996699998</v>
      </c>
      <c r="H2121" s="876">
        <v>2112.3000000000002</v>
      </c>
      <c r="I2121" s="876">
        <f>IF(ISBLANK(H2121),"",SUM(G2121:H2121))</f>
        <v>2615.2905099670002</v>
      </c>
      <c r="J2121" s="877">
        <f t="shared" si="565"/>
        <v>3196.41</v>
      </c>
      <c r="K2121" s="878" t="s">
        <v>15</v>
      </c>
      <c r="L2121" s="1013">
        <f>ROUND(SUM(ORÇAMENTO!L2121),2)</f>
        <v>0</v>
      </c>
      <c r="M2121" s="1013">
        <f t="shared" si="551"/>
        <v>0</v>
      </c>
      <c r="N2121" s="868">
        <f t="shared" si="552"/>
        <v>0</v>
      </c>
      <c r="O2121" s="880"/>
      <c r="Q2121" s="317" t="str">
        <f t="shared" si="553"/>
        <v/>
      </c>
      <c r="R2121" s="317" t="str">
        <f t="shared" si="554"/>
        <v/>
      </c>
      <c r="S2121" s="317" t="str">
        <f t="shared" si="555"/>
        <v/>
      </c>
      <c r="V2121" s="314">
        <f>SUM(ORÇAMENTO!N2121)</f>
        <v>0</v>
      </c>
      <c r="W2121" s="315">
        <f t="shared" si="556"/>
        <v>0</v>
      </c>
    </row>
    <row r="2122" spans="1:23" hidden="1">
      <c r="A2122" s="63" t="s">
        <v>147</v>
      </c>
      <c r="B2122" s="870" t="s">
        <v>147</v>
      </c>
      <c r="C2122" s="871"/>
      <c r="D2122" s="881" t="s">
        <v>190</v>
      </c>
      <c r="E2122" s="882">
        <f>DMT!$D$20</f>
        <v>445</v>
      </c>
      <c r="F2122" s="883">
        <f>VLOOKUP(D2121,'ENSAIOS DE ORÇAMENTO'!$C$5:$L$81,4,FALSE)</f>
        <v>0.19012209999999999</v>
      </c>
      <c r="G2122" s="884">
        <f>IF(E2122&lt;=30,(0.78*E2122+7.82)*F2122,((0.78*30+7.82)+0.78*(E2122-30))*F2122)</f>
        <v>67.478135731999998</v>
      </c>
      <c r="H2122" s="876"/>
      <c r="I2122" s="876"/>
      <c r="J2122" s="877">
        <f t="shared" si="565"/>
        <v>0</v>
      </c>
      <c r="K2122" s="878"/>
      <c r="L2122" s="1013">
        <f>ROUND(SUM(ORÇAMENTO!L2122),2)</f>
        <v>0</v>
      </c>
      <c r="M2122" s="1013">
        <f t="shared" si="551"/>
        <v>0</v>
      </c>
      <c r="N2122" s="868">
        <f t="shared" si="552"/>
        <v>0</v>
      </c>
      <c r="O2122" s="880"/>
      <c r="P2122" s="36" t="str">
        <f>IF(N2121&gt;0,"xx",IF(N2121&gt;0,"xy",""))</f>
        <v/>
      </c>
      <c r="Q2122" s="317" t="str">
        <f t="shared" si="553"/>
        <v/>
      </c>
      <c r="R2122" s="317" t="str">
        <f t="shared" si="554"/>
        <v/>
      </c>
      <c r="S2122" s="317" t="str">
        <f t="shared" si="555"/>
        <v/>
      </c>
      <c r="V2122" s="314">
        <f>SUM(ORÇAMENTO!N2122)</f>
        <v>0</v>
      </c>
      <c r="W2122" s="315">
        <f t="shared" si="556"/>
        <v>0</v>
      </c>
    </row>
    <row r="2123" spans="1:23" hidden="1">
      <c r="A2123" s="63" t="s">
        <v>147</v>
      </c>
      <c r="B2123" s="870" t="s">
        <v>147</v>
      </c>
      <c r="C2123" s="871"/>
      <c r="D2123" s="881" t="s">
        <v>229</v>
      </c>
      <c r="E2123" s="882">
        <f>DMT!$F$8</f>
        <v>290</v>
      </c>
      <c r="F2123" s="883">
        <f>VLOOKUP(D2121,'ENSAIOS DE ORÇAMENTO'!$C$5:$L$81,5,FALSE)</f>
        <v>1.09957375</v>
      </c>
      <c r="G2123" s="923">
        <f t="shared" ref="G2123:G2125" si="568">IF(E2123&lt;=30,(1.07*E2123+2.68)*F2123,((1.07*30+2.68)+1.07*(E2123-30))*F2123)</f>
        <v>344.14459227500004</v>
      </c>
      <c r="H2123" s="876"/>
      <c r="I2123" s="876"/>
      <c r="J2123" s="877">
        <f t="shared" si="565"/>
        <v>0</v>
      </c>
      <c r="K2123" s="878"/>
      <c r="L2123" s="1013">
        <f>ROUND(SUM(ORÇAMENTO!L2123),2)</f>
        <v>0</v>
      </c>
      <c r="M2123" s="1013">
        <f t="shared" si="551"/>
        <v>0</v>
      </c>
      <c r="N2123" s="868">
        <f t="shared" si="552"/>
        <v>0</v>
      </c>
      <c r="O2123" s="880"/>
      <c r="P2123" s="36" t="str">
        <f>IF(N2121&gt;0,"xx",IF(N2121&gt;0,"xy",""))</f>
        <v/>
      </c>
      <c r="Q2123" s="317" t="str">
        <f t="shared" si="553"/>
        <v/>
      </c>
      <c r="R2123" s="317" t="str">
        <f t="shared" si="554"/>
        <v/>
      </c>
      <c r="S2123" s="317" t="str">
        <f t="shared" si="555"/>
        <v/>
      </c>
      <c r="V2123" s="314">
        <f>SUM(ORÇAMENTO!N2123)</f>
        <v>0</v>
      </c>
      <c r="W2123" s="315">
        <f t="shared" si="556"/>
        <v>0</v>
      </c>
    </row>
    <row r="2124" spans="1:23" hidden="1">
      <c r="A2124" s="63" t="s">
        <v>147</v>
      </c>
      <c r="B2124" s="870" t="s">
        <v>147</v>
      </c>
      <c r="C2124" s="871"/>
      <c r="D2124" s="881" t="s">
        <v>233</v>
      </c>
      <c r="E2124" s="882">
        <f>DMT!$F$10</f>
        <v>43.1</v>
      </c>
      <c r="F2124" s="883">
        <f>VLOOKUP(D2121,'ENSAIOS DE ORÇAMENTO'!$C$5:$L$81,6,FALSE)</f>
        <v>0.20424000000000003</v>
      </c>
      <c r="G2124" s="923">
        <f t="shared" si="568"/>
        <v>9.966299280000003</v>
      </c>
      <c r="H2124" s="876"/>
      <c r="I2124" s="876"/>
      <c r="J2124" s="877">
        <f t="shared" si="565"/>
        <v>0</v>
      </c>
      <c r="K2124" s="878"/>
      <c r="L2124" s="1013">
        <f>ROUND(SUM(ORÇAMENTO!L2124),2)</f>
        <v>0</v>
      </c>
      <c r="M2124" s="1013">
        <f t="shared" si="551"/>
        <v>0</v>
      </c>
      <c r="N2124" s="868">
        <f t="shared" si="552"/>
        <v>0</v>
      </c>
      <c r="O2124" s="880"/>
      <c r="P2124" s="36" t="str">
        <f>IF(N2121&gt;0,"xx",IF(N2121&gt;0,"xy",""))</f>
        <v/>
      </c>
      <c r="Q2124" s="317" t="str">
        <f t="shared" si="553"/>
        <v/>
      </c>
      <c r="R2124" s="317" t="str">
        <f t="shared" si="554"/>
        <v/>
      </c>
      <c r="S2124" s="317" t="str">
        <f t="shared" si="555"/>
        <v/>
      </c>
      <c r="V2124" s="314">
        <f>SUM(ORÇAMENTO!N2124)</f>
        <v>0</v>
      </c>
      <c r="W2124" s="315">
        <f t="shared" si="556"/>
        <v>0</v>
      </c>
    </row>
    <row r="2125" spans="1:23" hidden="1">
      <c r="A2125" s="63" t="s">
        <v>147</v>
      </c>
      <c r="B2125" s="870" t="s">
        <v>147</v>
      </c>
      <c r="C2125" s="871"/>
      <c r="D2125" s="881" t="s">
        <v>365</v>
      </c>
      <c r="E2125" s="882">
        <f>DMT!$F$32</f>
        <v>28</v>
      </c>
      <c r="F2125" s="883">
        <f>VLOOKUP(D2121,'ENSAIOS DE ORÇAMENTO'!$C$5:$L$81,3,FALSE)</f>
        <v>1.8358199999999998</v>
      </c>
      <c r="G2125" s="923">
        <f t="shared" si="568"/>
        <v>59.921164799999993</v>
      </c>
      <c r="H2125" s="876"/>
      <c r="I2125" s="876"/>
      <c r="J2125" s="877">
        <f t="shared" si="565"/>
        <v>0</v>
      </c>
      <c r="K2125" s="878"/>
      <c r="L2125" s="1013">
        <f>ROUND(SUM(ORÇAMENTO!L2125),2)</f>
        <v>0</v>
      </c>
      <c r="M2125" s="1013">
        <f t="shared" si="551"/>
        <v>0</v>
      </c>
      <c r="N2125" s="868">
        <f t="shared" si="552"/>
        <v>0</v>
      </c>
      <c r="O2125" s="880"/>
      <c r="P2125" s="36" t="str">
        <f>IF(N2121&gt;0,"xx",IF(N2121&gt;0,"xy",""))</f>
        <v/>
      </c>
      <c r="Q2125" s="317" t="str">
        <f t="shared" si="553"/>
        <v/>
      </c>
      <c r="R2125" s="317" t="str">
        <f t="shared" si="554"/>
        <v/>
      </c>
      <c r="S2125" s="317" t="str">
        <f t="shared" si="555"/>
        <v/>
      </c>
      <c r="V2125" s="314">
        <f>SUM(ORÇAMENTO!N2125)</f>
        <v>0</v>
      </c>
      <c r="W2125" s="315">
        <f t="shared" si="556"/>
        <v>0</v>
      </c>
    </row>
    <row r="2126" spans="1:23" hidden="1">
      <c r="A2126" s="63" t="s">
        <v>147</v>
      </c>
      <c r="B2126" s="870" t="s">
        <v>147</v>
      </c>
      <c r="C2126" s="871"/>
      <c r="D2126" s="881" t="s">
        <v>366</v>
      </c>
      <c r="E2126" s="882">
        <f>DMT!$D$18</f>
        <v>440</v>
      </c>
      <c r="F2126" s="883">
        <f>VLOOKUP(D2121,'ENSAIOS DE ORÇAMENTO'!$C$5:$L$81,10,FALSE)</f>
        <v>6.1193999999999998E-2</v>
      </c>
      <c r="G2126" s="884">
        <f>IF(E2126&lt;=30,(0.78*E2126+7.82)*F2126,((0.78*30+7.82)+0.78*(E2126-30))*F2126)</f>
        <v>21.480317880000001</v>
      </c>
      <c r="H2126" s="876"/>
      <c r="I2126" s="876"/>
      <c r="J2126" s="877">
        <f t="shared" si="565"/>
        <v>0</v>
      </c>
      <c r="K2126" s="878"/>
      <c r="L2126" s="1013">
        <f>ROUND(SUM(ORÇAMENTO!L2126),2)</f>
        <v>0</v>
      </c>
      <c r="M2126" s="1013">
        <f t="shared" si="551"/>
        <v>0</v>
      </c>
      <c r="N2126" s="868">
        <f t="shared" si="552"/>
        <v>0</v>
      </c>
      <c r="O2126" s="880"/>
      <c r="P2126" s="36" t="str">
        <f>IF(N2121&gt;0,"xx",IF(N2121&gt;0,"xy",""))</f>
        <v/>
      </c>
      <c r="Q2126" s="317" t="str">
        <f t="shared" si="553"/>
        <v/>
      </c>
      <c r="R2126" s="317" t="str">
        <f t="shared" si="554"/>
        <v/>
      </c>
      <c r="S2126" s="317" t="str">
        <f t="shared" si="555"/>
        <v/>
      </c>
      <c r="V2126" s="314">
        <f>SUM(ORÇAMENTO!N2126)</f>
        <v>0</v>
      </c>
      <c r="W2126" s="315">
        <f t="shared" si="556"/>
        <v>0</v>
      </c>
    </row>
    <row r="2127" spans="1:23" hidden="1">
      <c r="A2127" s="63" t="s">
        <v>95</v>
      </c>
      <c r="B2127" s="870" t="s">
        <v>95</v>
      </c>
      <c r="C2127" s="871" t="s">
        <v>184</v>
      </c>
      <c r="D2127" s="881" t="s">
        <v>367</v>
      </c>
      <c r="E2127" s="882"/>
      <c r="F2127" s="883"/>
      <c r="G2127" s="887">
        <f>SUM(G2128:G2130)</f>
        <v>624.80717834000006</v>
      </c>
      <c r="H2127" s="876">
        <v>1144.18</v>
      </c>
      <c r="I2127" s="876">
        <f>IF(ISBLANK(H2127),"",SUM(G2127:H2127))</f>
        <v>1768.9871783400001</v>
      </c>
      <c r="J2127" s="877">
        <f t="shared" si="565"/>
        <v>2162.06</v>
      </c>
      <c r="K2127" s="878" t="s">
        <v>15</v>
      </c>
      <c r="L2127" s="1013">
        <f>ROUND(SUM(ORÇAMENTO!L2127),2)</f>
        <v>0</v>
      </c>
      <c r="M2127" s="1013">
        <f t="shared" si="551"/>
        <v>0</v>
      </c>
      <c r="N2127" s="868">
        <f t="shared" si="552"/>
        <v>0</v>
      </c>
      <c r="O2127" s="880"/>
      <c r="Q2127" s="317" t="str">
        <f t="shared" si="553"/>
        <v/>
      </c>
      <c r="R2127" s="317" t="str">
        <f t="shared" si="554"/>
        <v/>
      </c>
      <c r="S2127" s="317" t="str">
        <f t="shared" si="555"/>
        <v/>
      </c>
      <c r="V2127" s="314">
        <f>SUM(ORÇAMENTO!N2127)</f>
        <v>0</v>
      </c>
      <c r="W2127" s="315">
        <f t="shared" si="556"/>
        <v>0</v>
      </c>
    </row>
    <row r="2128" spans="1:23" hidden="1">
      <c r="A2128" s="63" t="s">
        <v>147</v>
      </c>
      <c r="B2128" s="870" t="s">
        <v>147</v>
      </c>
      <c r="C2128" s="871"/>
      <c r="D2128" s="881" t="s">
        <v>190</v>
      </c>
      <c r="E2128" s="882">
        <f>DMT!$D$20</f>
        <v>445</v>
      </c>
      <c r="F2128" s="883">
        <f>VLOOKUP(D2127,'ENSAIOS DE ORÇAMENTO'!$C$5:$L$81,4,FALSE)</f>
        <v>0.43266000000000004</v>
      </c>
      <c r="G2128" s="884">
        <f>IF(E2128&lt;=30,(0.78*E2128+7.82)*F2128,((0.78*30+7.82)+0.78*(E2128-30))*F2128)</f>
        <v>153.55968720000001</v>
      </c>
      <c r="H2128" s="876"/>
      <c r="I2128" s="876"/>
      <c r="J2128" s="877">
        <f t="shared" si="565"/>
        <v>0</v>
      </c>
      <c r="K2128" s="878"/>
      <c r="L2128" s="1013">
        <f>ROUND(SUM(ORÇAMENTO!L2128),2)</f>
        <v>0</v>
      </c>
      <c r="M2128" s="1013">
        <f t="shared" si="551"/>
        <v>0</v>
      </c>
      <c r="N2128" s="868">
        <f t="shared" si="552"/>
        <v>0</v>
      </c>
      <c r="O2128" s="880"/>
      <c r="P2128" s="36" t="str">
        <f>IF(N2127&gt;0,"xx",IF(N2127&gt;0,"xy",""))</f>
        <v/>
      </c>
      <c r="Q2128" s="317" t="str">
        <f t="shared" si="553"/>
        <v/>
      </c>
      <c r="R2128" s="317" t="str">
        <f t="shared" si="554"/>
        <v/>
      </c>
      <c r="S2128" s="317" t="str">
        <f t="shared" si="555"/>
        <v/>
      </c>
      <c r="V2128" s="314">
        <f>SUM(ORÇAMENTO!N2128)</f>
        <v>0</v>
      </c>
      <c r="W2128" s="315">
        <f t="shared" si="556"/>
        <v>0</v>
      </c>
    </row>
    <row r="2129" spans="1:23" hidden="1">
      <c r="A2129" s="63" t="s">
        <v>147</v>
      </c>
      <c r="B2129" s="870" t="s">
        <v>147</v>
      </c>
      <c r="C2129" s="871"/>
      <c r="D2129" s="881" t="s">
        <v>229</v>
      </c>
      <c r="E2129" s="882">
        <f>DMT!$F$8</f>
        <v>290</v>
      </c>
      <c r="F2129" s="883">
        <f>VLOOKUP(D2127,'ENSAIOS DE ORÇAMENTO'!$C$5:$L$81,5,FALSE)</f>
        <v>1.26997</v>
      </c>
      <c r="G2129" s="923">
        <f t="shared" ref="G2129:G2130" si="569">IF(E2129&lt;=30,(1.07*E2129+2.68)*F2129,((1.07*30+2.68)+1.07*(E2129-30))*F2129)</f>
        <v>397.47521060000003</v>
      </c>
      <c r="H2129" s="876"/>
      <c r="I2129" s="876"/>
      <c r="J2129" s="877">
        <f t="shared" si="565"/>
        <v>0</v>
      </c>
      <c r="K2129" s="878"/>
      <c r="L2129" s="1013">
        <f>ROUND(SUM(ORÇAMENTO!L2129),2)</f>
        <v>0</v>
      </c>
      <c r="M2129" s="1013">
        <f t="shared" si="551"/>
        <v>0</v>
      </c>
      <c r="N2129" s="868">
        <f t="shared" si="552"/>
        <v>0</v>
      </c>
      <c r="O2129" s="880"/>
      <c r="P2129" s="36" t="str">
        <f>IF(N2127&gt;0,"xx",IF(N2127&gt;0,"xy",""))</f>
        <v/>
      </c>
      <c r="Q2129" s="317" t="str">
        <f t="shared" si="553"/>
        <v/>
      </c>
      <c r="R2129" s="317" t="str">
        <f t="shared" si="554"/>
        <v/>
      </c>
      <c r="S2129" s="317" t="str">
        <f t="shared" si="555"/>
        <v/>
      </c>
      <c r="V2129" s="314">
        <f>SUM(ORÇAMENTO!N2129)</f>
        <v>0</v>
      </c>
      <c r="W2129" s="315">
        <f t="shared" si="556"/>
        <v>0</v>
      </c>
    </row>
    <row r="2130" spans="1:23" hidden="1">
      <c r="A2130" s="63" t="s">
        <v>147</v>
      </c>
      <c r="B2130" s="870" t="s">
        <v>147</v>
      </c>
      <c r="C2130" s="871"/>
      <c r="D2130" s="881" t="s">
        <v>233</v>
      </c>
      <c r="E2130" s="882">
        <f>DMT!$F$10</f>
        <v>43.1</v>
      </c>
      <c r="F2130" s="883">
        <f>VLOOKUP(D2127,'ENSAIOS DE ORÇAMENTO'!$C$5:$L$81,6,FALSE)</f>
        <v>1.5118200000000002</v>
      </c>
      <c r="G2130" s="923">
        <f t="shared" si="569"/>
        <v>73.772280540000011</v>
      </c>
      <c r="H2130" s="876"/>
      <c r="I2130" s="876"/>
      <c r="J2130" s="877">
        <f t="shared" si="565"/>
        <v>0</v>
      </c>
      <c r="K2130" s="878"/>
      <c r="L2130" s="1013">
        <f>ROUND(SUM(ORÇAMENTO!L2130),2)</f>
        <v>0</v>
      </c>
      <c r="M2130" s="1013">
        <f t="shared" ref="M2130:M2193" si="570">IF(L2130=0,0,ROUND(J2130,2))</f>
        <v>0</v>
      </c>
      <c r="N2130" s="868">
        <f t="shared" ref="N2130:N2193" si="571">IF(ISBLANK(L2130),0,ROUND(L2130*M2130,2))</f>
        <v>0</v>
      </c>
      <c r="O2130" s="880"/>
      <c r="P2130" s="36" t="str">
        <f>IF(N2127&gt;0,"xx",IF(N2127&gt;0,"xy",""))</f>
        <v/>
      </c>
      <c r="Q2130" s="317" t="str">
        <f t="shared" ref="Q2130:Q2177" si="572">IF(P2130="X","x",IF(P2130="xx","x",IF(P2130="xy","x",IF(P2130="y","x",IF(OR(N2130&gt;0,N2130&gt;0),"x","")))))</f>
        <v/>
      </c>
      <c r="R2130" s="317" t="str">
        <f t="shared" ref="R2130:R2177" si="573">IF(P2130="X","x",IF(P2130="y","x",IF(P2130="xx","x",IF(N2130&gt;0,"x",""))))</f>
        <v/>
      </c>
      <c r="S2130" s="317" t="str">
        <f t="shared" ref="S2130:S2177" si="574">IF(P2130="X","x",IF(N2130&gt;0,"x",""))</f>
        <v/>
      </c>
      <c r="V2130" s="314">
        <f>SUM(ORÇAMENTO!N2130)</f>
        <v>0</v>
      </c>
      <c r="W2130" s="315">
        <f t="shared" si="556"/>
        <v>0</v>
      </c>
    </row>
    <row r="2131" spans="1:23" hidden="1">
      <c r="A2131" s="63" t="s">
        <v>96</v>
      </c>
      <c r="B2131" s="870" t="s">
        <v>96</v>
      </c>
      <c r="C2131" s="871" t="s">
        <v>184</v>
      </c>
      <c r="D2131" s="881" t="s">
        <v>368</v>
      </c>
      <c r="E2131" s="882"/>
      <c r="F2131" s="883"/>
      <c r="G2131" s="887">
        <f>SUM(G2132:G2134)</f>
        <v>776.45631884000011</v>
      </c>
      <c r="H2131" s="876">
        <v>1331.51</v>
      </c>
      <c r="I2131" s="876">
        <f>IF(ISBLANK(H2131),"",SUM(G2131:H2131))</f>
        <v>2107.96631884</v>
      </c>
      <c r="J2131" s="877">
        <f t="shared" si="565"/>
        <v>2576.36</v>
      </c>
      <c r="K2131" s="878" t="s">
        <v>15</v>
      </c>
      <c r="L2131" s="1013">
        <f>ROUND(SUM(ORÇAMENTO!L2131),2)</f>
        <v>0</v>
      </c>
      <c r="M2131" s="1013">
        <f t="shared" si="570"/>
        <v>0</v>
      </c>
      <c r="N2131" s="868">
        <f t="shared" si="571"/>
        <v>0</v>
      </c>
      <c r="O2131" s="880"/>
      <c r="Q2131" s="317" t="str">
        <f t="shared" si="572"/>
        <v/>
      </c>
      <c r="R2131" s="317" t="str">
        <f t="shared" si="573"/>
        <v/>
      </c>
      <c r="S2131" s="317" t="str">
        <f t="shared" si="574"/>
        <v/>
      </c>
      <c r="V2131" s="314">
        <f>SUM(ORÇAMENTO!N2131)</f>
        <v>0</v>
      </c>
      <c r="W2131" s="315">
        <f t="shared" si="556"/>
        <v>0</v>
      </c>
    </row>
    <row r="2132" spans="1:23" hidden="1">
      <c r="A2132" s="63" t="s">
        <v>147</v>
      </c>
      <c r="B2132" s="870" t="s">
        <v>147</v>
      </c>
      <c r="C2132" s="871"/>
      <c r="D2132" s="881" t="s">
        <v>190</v>
      </c>
      <c r="E2132" s="882">
        <f>DMT!$D$20</f>
        <v>445</v>
      </c>
      <c r="F2132" s="883">
        <f>VLOOKUP(D2131,'ENSAIOS DE ORÇAMENTO'!$C$5:$L$81,4,FALSE)</f>
        <v>0.54156000000000004</v>
      </c>
      <c r="G2132" s="884">
        <f>IF(E2132&lt;=30,(0.78*E2132+7.82)*F2132,((0.78*30+7.82)+0.78*(E2132-30))*F2132)</f>
        <v>192.21047520000002</v>
      </c>
      <c r="H2132" s="876"/>
      <c r="I2132" s="876"/>
      <c r="J2132" s="877">
        <f t="shared" si="565"/>
        <v>0</v>
      </c>
      <c r="K2132" s="878"/>
      <c r="L2132" s="1013">
        <f>ROUND(SUM(ORÇAMENTO!L2132),2)</f>
        <v>0</v>
      </c>
      <c r="M2132" s="1013">
        <f t="shared" si="570"/>
        <v>0</v>
      </c>
      <c r="N2132" s="868">
        <f t="shared" si="571"/>
        <v>0</v>
      </c>
      <c r="O2132" s="880"/>
      <c r="P2132" s="36" t="str">
        <f>IF(N2131&gt;0,"xx",IF(N2131&gt;0,"xy",""))</f>
        <v/>
      </c>
      <c r="Q2132" s="317" t="str">
        <f t="shared" si="572"/>
        <v/>
      </c>
      <c r="R2132" s="317" t="str">
        <f t="shared" si="573"/>
        <v/>
      </c>
      <c r="S2132" s="317" t="str">
        <f t="shared" si="574"/>
        <v/>
      </c>
      <c r="V2132" s="314">
        <f>SUM(ORÇAMENTO!N2132)</f>
        <v>0</v>
      </c>
      <c r="W2132" s="315">
        <f t="shared" si="556"/>
        <v>0</v>
      </c>
    </row>
    <row r="2133" spans="1:23" hidden="1">
      <c r="A2133" s="63" t="s">
        <v>147</v>
      </c>
      <c r="B2133" s="870" t="s">
        <v>147</v>
      </c>
      <c r="C2133" s="871"/>
      <c r="D2133" s="881" t="s">
        <v>229</v>
      </c>
      <c r="E2133" s="882">
        <f>DMT!$F$8</f>
        <v>290</v>
      </c>
      <c r="F2133" s="883">
        <f>VLOOKUP(D2131,'ENSAIOS DE ORÇAMENTO'!$C$5:$L$81,5,FALSE)</f>
        <v>1.5739000000000001</v>
      </c>
      <c r="G2133" s="923">
        <f t="shared" ref="G2133:G2134" si="575">IF(E2133&lt;=30,(1.07*E2133+2.68)*F2133,((1.07*30+2.68)+1.07*(E2133-30))*F2133)</f>
        <v>492.59922200000005</v>
      </c>
      <c r="H2133" s="876"/>
      <c r="I2133" s="876"/>
      <c r="J2133" s="877">
        <f t="shared" si="565"/>
        <v>0</v>
      </c>
      <c r="K2133" s="878"/>
      <c r="L2133" s="1013">
        <f>ROUND(SUM(ORÇAMENTO!L2133),2)</f>
        <v>0</v>
      </c>
      <c r="M2133" s="1013">
        <f t="shared" si="570"/>
        <v>0</v>
      </c>
      <c r="N2133" s="868">
        <f t="shared" si="571"/>
        <v>0</v>
      </c>
      <c r="O2133" s="880"/>
      <c r="P2133" s="36" t="str">
        <f>IF(N2131&gt;0,"xx",IF(N2131&gt;0,"xy",""))</f>
        <v/>
      </c>
      <c r="Q2133" s="317" t="str">
        <f t="shared" si="572"/>
        <v/>
      </c>
      <c r="R2133" s="317" t="str">
        <f t="shared" si="573"/>
        <v/>
      </c>
      <c r="S2133" s="317" t="str">
        <f t="shared" si="574"/>
        <v/>
      </c>
      <c r="V2133" s="314">
        <f>SUM(ORÇAMENTO!N2133)</f>
        <v>0</v>
      </c>
      <c r="W2133" s="315">
        <f t="shared" ref="W2133:W2196" si="576">N2133-V2133</f>
        <v>0</v>
      </c>
    </row>
    <row r="2134" spans="1:23" hidden="1">
      <c r="A2134" s="63" t="s">
        <v>147</v>
      </c>
      <c r="B2134" s="870" t="s">
        <v>147</v>
      </c>
      <c r="C2134" s="871"/>
      <c r="D2134" s="881" t="s">
        <v>233</v>
      </c>
      <c r="E2134" s="882">
        <f>DMT!$F$10</f>
        <v>43.1</v>
      </c>
      <c r="F2134" s="883">
        <f>VLOOKUP(D2131,'ENSAIOS DE ORÇAMENTO'!$C$5:$L$81,6,FALSE)</f>
        <v>1.8781200000000002</v>
      </c>
      <c r="G2134" s="923">
        <f t="shared" si="575"/>
        <v>91.646621640000021</v>
      </c>
      <c r="H2134" s="876"/>
      <c r="I2134" s="876"/>
      <c r="J2134" s="877">
        <f t="shared" si="565"/>
        <v>0</v>
      </c>
      <c r="K2134" s="878"/>
      <c r="L2134" s="1013">
        <f>ROUND(SUM(ORÇAMENTO!L2134),2)</f>
        <v>0</v>
      </c>
      <c r="M2134" s="1013">
        <f t="shared" si="570"/>
        <v>0</v>
      </c>
      <c r="N2134" s="868">
        <f t="shared" si="571"/>
        <v>0</v>
      </c>
      <c r="O2134" s="880"/>
      <c r="P2134" s="36" t="str">
        <f>IF(N2131&gt;0,"xx",IF(N2131&gt;0,"xy",""))</f>
        <v/>
      </c>
      <c r="Q2134" s="317" t="str">
        <f t="shared" si="572"/>
        <v/>
      </c>
      <c r="R2134" s="317" t="str">
        <f t="shared" si="573"/>
        <v/>
      </c>
      <c r="S2134" s="317" t="str">
        <f t="shared" si="574"/>
        <v/>
      </c>
      <c r="V2134" s="314">
        <f>SUM(ORÇAMENTO!N2134)</f>
        <v>0</v>
      </c>
      <c r="W2134" s="315">
        <f t="shared" si="576"/>
        <v>0</v>
      </c>
    </row>
    <row r="2135" spans="1:23" hidden="1">
      <c r="A2135" s="63" t="s">
        <v>97</v>
      </c>
      <c r="B2135" s="870" t="s">
        <v>97</v>
      </c>
      <c r="C2135" s="871" t="s">
        <v>184</v>
      </c>
      <c r="D2135" s="881" t="s">
        <v>369</v>
      </c>
      <c r="E2135" s="882"/>
      <c r="F2135" s="883"/>
      <c r="G2135" s="887">
        <f>SUM(G2136:G2138)</f>
        <v>1024.6094578400002</v>
      </c>
      <c r="H2135" s="876">
        <v>1638.59</v>
      </c>
      <c r="I2135" s="876">
        <f>IF(ISBLANK(H2135),"",SUM(G2135:H2135))</f>
        <v>2663.1994578399999</v>
      </c>
      <c r="J2135" s="877">
        <f t="shared" si="565"/>
        <v>3254.96</v>
      </c>
      <c r="K2135" s="878" t="s">
        <v>15</v>
      </c>
      <c r="L2135" s="1013">
        <f>ROUND(SUM(ORÇAMENTO!L2135),2)</f>
        <v>0</v>
      </c>
      <c r="M2135" s="1013">
        <f t="shared" si="570"/>
        <v>0</v>
      </c>
      <c r="N2135" s="868">
        <f t="shared" si="571"/>
        <v>0</v>
      </c>
      <c r="O2135" s="880"/>
      <c r="Q2135" s="317" t="str">
        <f t="shared" si="572"/>
        <v/>
      </c>
      <c r="R2135" s="317" t="str">
        <f t="shared" si="573"/>
        <v/>
      </c>
      <c r="S2135" s="317" t="str">
        <f t="shared" si="574"/>
        <v/>
      </c>
      <c r="V2135" s="314">
        <f>SUM(ORÇAMENTO!N2135)</f>
        <v>0</v>
      </c>
      <c r="W2135" s="315">
        <f t="shared" si="576"/>
        <v>0</v>
      </c>
    </row>
    <row r="2136" spans="1:23" hidden="1">
      <c r="A2136" s="63" t="s">
        <v>147</v>
      </c>
      <c r="B2136" s="870" t="s">
        <v>147</v>
      </c>
      <c r="C2136" s="871"/>
      <c r="D2136" s="881" t="s">
        <v>190</v>
      </c>
      <c r="E2136" s="882">
        <f>DMT!$D$20</f>
        <v>445</v>
      </c>
      <c r="F2136" s="883">
        <f>VLOOKUP(D2135,'ENSAIOS DE ORÇAMENTO'!$C$5:$L$81,4,FALSE)</f>
        <v>0.71976000000000007</v>
      </c>
      <c r="G2136" s="884">
        <f>IF(E2136&lt;=30,(0.78*E2136+7.82)*F2136,((0.78*30+7.82)+0.78*(E2136-30))*F2136)</f>
        <v>255.45721920000003</v>
      </c>
      <c r="H2136" s="876"/>
      <c r="I2136" s="876"/>
      <c r="J2136" s="877">
        <f t="shared" si="565"/>
        <v>0</v>
      </c>
      <c r="K2136" s="878"/>
      <c r="L2136" s="1013">
        <f>ROUND(SUM(ORÇAMENTO!L2136),2)</f>
        <v>0</v>
      </c>
      <c r="M2136" s="1013">
        <f t="shared" si="570"/>
        <v>0</v>
      </c>
      <c r="N2136" s="868">
        <f t="shared" si="571"/>
        <v>0</v>
      </c>
      <c r="O2136" s="880"/>
      <c r="P2136" s="36" t="str">
        <f>IF(N2135&gt;0,"xx",IF(N2135&gt;0,"xy",""))</f>
        <v/>
      </c>
      <c r="Q2136" s="317" t="str">
        <f t="shared" si="572"/>
        <v/>
      </c>
      <c r="R2136" s="317" t="str">
        <f t="shared" si="573"/>
        <v/>
      </c>
      <c r="S2136" s="317" t="str">
        <f t="shared" si="574"/>
        <v/>
      </c>
      <c r="V2136" s="314">
        <f>SUM(ORÇAMENTO!N2136)</f>
        <v>0</v>
      </c>
      <c r="W2136" s="315">
        <f t="shared" si="576"/>
        <v>0</v>
      </c>
    </row>
    <row r="2137" spans="1:23" hidden="1">
      <c r="A2137" s="63" t="s">
        <v>147</v>
      </c>
      <c r="B2137" s="870" t="s">
        <v>147</v>
      </c>
      <c r="C2137" s="871"/>
      <c r="D2137" s="881" t="s">
        <v>229</v>
      </c>
      <c r="E2137" s="882">
        <f>DMT!$F$8</f>
        <v>290</v>
      </c>
      <c r="F2137" s="883">
        <f>VLOOKUP(D2135,'ENSAIOS DE ORÇAMENTO'!$C$5:$L$81,5,FALSE)</f>
        <v>2.0712400000000004</v>
      </c>
      <c r="G2137" s="923">
        <f t="shared" ref="G2137:G2138" si="577">IF(E2137&lt;=30,(1.07*E2137+2.68)*F2137,((1.07*30+2.68)+1.07*(E2137-30))*F2137)</f>
        <v>648.25669520000019</v>
      </c>
      <c r="H2137" s="876"/>
      <c r="I2137" s="876"/>
      <c r="J2137" s="877">
        <f t="shared" si="565"/>
        <v>0</v>
      </c>
      <c r="K2137" s="878"/>
      <c r="L2137" s="1013">
        <f>ROUND(SUM(ORÇAMENTO!L2137),2)</f>
        <v>0</v>
      </c>
      <c r="M2137" s="1013">
        <f t="shared" si="570"/>
        <v>0</v>
      </c>
      <c r="N2137" s="868">
        <f t="shared" si="571"/>
        <v>0</v>
      </c>
      <c r="O2137" s="880"/>
      <c r="P2137" s="36" t="str">
        <f>IF(N2135&gt;0,"xx",IF(N2135&gt;0,"xy",""))</f>
        <v/>
      </c>
      <c r="Q2137" s="317" t="str">
        <f t="shared" si="572"/>
        <v/>
      </c>
      <c r="R2137" s="317" t="str">
        <f t="shared" si="573"/>
        <v/>
      </c>
      <c r="S2137" s="317" t="str">
        <f t="shared" si="574"/>
        <v/>
      </c>
      <c r="V2137" s="314">
        <f>SUM(ORÇAMENTO!N2137)</f>
        <v>0</v>
      </c>
      <c r="W2137" s="315">
        <f t="shared" si="576"/>
        <v>0</v>
      </c>
    </row>
    <row r="2138" spans="1:23" hidden="1">
      <c r="A2138" s="63" t="s">
        <v>147</v>
      </c>
      <c r="B2138" s="870" t="s">
        <v>147</v>
      </c>
      <c r="C2138" s="871"/>
      <c r="D2138" s="881" t="s">
        <v>233</v>
      </c>
      <c r="E2138" s="882">
        <f>DMT!$F$10</f>
        <v>43.1</v>
      </c>
      <c r="F2138" s="883">
        <f>VLOOKUP(D2135,'ENSAIOS DE ORÇAMENTO'!$C$5:$L$81,6,FALSE)</f>
        <v>2.4775200000000002</v>
      </c>
      <c r="G2138" s="923">
        <f t="shared" si="577"/>
        <v>120.89554344000001</v>
      </c>
      <c r="H2138" s="876"/>
      <c r="I2138" s="876"/>
      <c r="J2138" s="877">
        <f t="shared" si="565"/>
        <v>0</v>
      </c>
      <c r="K2138" s="878"/>
      <c r="L2138" s="1013">
        <f>ROUND(SUM(ORÇAMENTO!L2138),2)</f>
        <v>0</v>
      </c>
      <c r="M2138" s="1013">
        <f t="shared" si="570"/>
        <v>0</v>
      </c>
      <c r="N2138" s="868">
        <f t="shared" si="571"/>
        <v>0</v>
      </c>
      <c r="O2138" s="880"/>
      <c r="P2138" s="36" t="str">
        <f>IF(N2135&gt;0,"xx",IF(N2135&gt;0,"xy",""))</f>
        <v/>
      </c>
      <c r="Q2138" s="317" t="str">
        <f t="shared" si="572"/>
        <v/>
      </c>
      <c r="R2138" s="317" t="str">
        <f t="shared" si="573"/>
        <v/>
      </c>
      <c r="S2138" s="317" t="str">
        <f t="shared" si="574"/>
        <v/>
      </c>
      <c r="V2138" s="314">
        <f>SUM(ORÇAMENTO!N2138)</f>
        <v>0</v>
      </c>
      <c r="W2138" s="315">
        <f t="shared" si="576"/>
        <v>0</v>
      </c>
    </row>
    <row r="2139" spans="1:23" hidden="1">
      <c r="A2139" s="63" t="s">
        <v>98</v>
      </c>
      <c r="B2139" s="870" t="s">
        <v>98</v>
      </c>
      <c r="C2139" s="871" t="s">
        <v>184</v>
      </c>
      <c r="D2139" s="881" t="s">
        <v>370</v>
      </c>
      <c r="E2139" s="882"/>
      <c r="F2139" s="883"/>
      <c r="G2139" s="887">
        <f>IF(E2139&lt;=30,(0.62*E2139+6.29)*F2139,((0.62*30+6.29)+0.62*(E2139-30))*F2139)</f>
        <v>0</v>
      </c>
      <c r="H2139" s="876">
        <v>1950.71</v>
      </c>
      <c r="I2139" s="876">
        <f>IF(ISBLANK(H2139),"",SUM(G2139:H2139))</f>
        <v>1950.71</v>
      </c>
      <c r="J2139" s="877">
        <f t="shared" si="565"/>
        <v>2384.16</v>
      </c>
      <c r="K2139" s="878" t="s">
        <v>15</v>
      </c>
      <c r="L2139" s="1013">
        <f>ROUND(SUM(ORÇAMENTO!L2139),2)</f>
        <v>0</v>
      </c>
      <c r="M2139" s="1013">
        <f t="shared" si="570"/>
        <v>0</v>
      </c>
      <c r="N2139" s="868">
        <f t="shared" si="571"/>
        <v>0</v>
      </c>
      <c r="O2139" s="880"/>
      <c r="Q2139" s="317" t="str">
        <f t="shared" si="572"/>
        <v/>
      </c>
      <c r="R2139" s="317" t="str">
        <f t="shared" si="573"/>
        <v/>
      </c>
      <c r="S2139" s="317" t="str">
        <f t="shared" si="574"/>
        <v/>
      </c>
      <c r="V2139" s="314">
        <f>SUM(ORÇAMENTO!N2139)</f>
        <v>0</v>
      </c>
      <c r="W2139" s="315">
        <f t="shared" si="576"/>
        <v>0</v>
      </c>
    </row>
    <row r="2140" spans="1:23" hidden="1">
      <c r="A2140" s="63" t="s">
        <v>147</v>
      </c>
      <c r="B2140" s="870" t="s">
        <v>147</v>
      </c>
      <c r="C2140" s="871"/>
      <c r="D2140" s="881" t="s">
        <v>190</v>
      </c>
      <c r="E2140" s="882">
        <f>DMT!$D$20</f>
        <v>445</v>
      </c>
      <c r="F2140" s="883">
        <f>VLOOKUP(D2139,'ENSAIOS DE ORÇAMENTO'!$C$5:$L$81,4,FALSE)</f>
        <v>0.90125999999999995</v>
      </c>
      <c r="G2140" s="884">
        <f>IF(E2140&lt;=30,(0.78*E2140+7.82)*F2140,((0.78*30+7.82)+0.78*(E2140-30))*F2140)</f>
        <v>319.8751992</v>
      </c>
      <c r="H2140" s="876"/>
      <c r="I2140" s="876"/>
      <c r="J2140" s="877">
        <f t="shared" si="565"/>
        <v>0</v>
      </c>
      <c r="K2140" s="878"/>
      <c r="L2140" s="1013">
        <f>ROUND(SUM(ORÇAMENTO!L2140),2)</f>
        <v>0</v>
      </c>
      <c r="M2140" s="1013">
        <f t="shared" si="570"/>
        <v>0</v>
      </c>
      <c r="N2140" s="868">
        <f t="shared" si="571"/>
        <v>0</v>
      </c>
      <c r="O2140" s="880"/>
      <c r="P2140" s="36" t="str">
        <f>IF(N2139&gt;0,"xx",IF(N2139&gt;0,"xy",""))</f>
        <v/>
      </c>
      <c r="Q2140" s="317" t="str">
        <f t="shared" si="572"/>
        <v/>
      </c>
      <c r="R2140" s="317" t="str">
        <f t="shared" si="573"/>
        <v/>
      </c>
      <c r="S2140" s="317" t="str">
        <f t="shared" si="574"/>
        <v/>
      </c>
      <c r="V2140" s="314">
        <f>SUM(ORÇAMENTO!N2140)</f>
        <v>0</v>
      </c>
      <c r="W2140" s="315">
        <f t="shared" si="576"/>
        <v>0</v>
      </c>
    </row>
    <row r="2141" spans="1:23" hidden="1">
      <c r="A2141" s="63" t="s">
        <v>147</v>
      </c>
      <c r="B2141" s="870" t="s">
        <v>147</v>
      </c>
      <c r="C2141" s="871"/>
      <c r="D2141" s="881" t="s">
        <v>229</v>
      </c>
      <c r="E2141" s="882">
        <f>DMT!$F$8</f>
        <v>290</v>
      </c>
      <c r="F2141" s="883">
        <f>VLOOKUP(D2139,'ENSAIOS DE ORÇAMENTO'!$C$5:$L$81,5,FALSE)</f>
        <v>2.5777900000000002</v>
      </c>
      <c r="G2141" s="923">
        <f t="shared" ref="G2141:G2142" si="578">IF(E2141&lt;=30,(1.07*E2141+2.68)*F2141,((1.07*30+2.68)+1.07*(E2141-30))*F2141)</f>
        <v>806.79671420000011</v>
      </c>
      <c r="H2141" s="876"/>
      <c r="I2141" s="876"/>
      <c r="J2141" s="877">
        <f t="shared" si="565"/>
        <v>0</v>
      </c>
      <c r="K2141" s="878"/>
      <c r="L2141" s="1013">
        <f>ROUND(SUM(ORÇAMENTO!L2141),2)</f>
        <v>0</v>
      </c>
      <c r="M2141" s="1013">
        <f t="shared" si="570"/>
        <v>0</v>
      </c>
      <c r="N2141" s="868">
        <f t="shared" si="571"/>
        <v>0</v>
      </c>
      <c r="O2141" s="880"/>
      <c r="P2141" s="36" t="str">
        <f>IF(N2139&gt;0,"xx",IF(N2139&gt;0,"xy",""))</f>
        <v/>
      </c>
      <c r="Q2141" s="317" t="str">
        <f t="shared" si="572"/>
        <v/>
      </c>
      <c r="R2141" s="317" t="str">
        <f t="shared" si="573"/>
        <v/>
      </c>
      <c r="S2141" s="317" t="str">
        <f t="shared" si="574"/>
        <v/>
      </c>
      <c r="V2141" s="314">
        <f>SUM(ORÇAMENTO!N2141)</f>
        <v>0</v>
      </c>
      <c r="W2141" s="315">
        <f t="shared" si="576"/>
        <v>0</v>
      </c>
    </row>
    <row r="2142" spans="1:23" hidden="1">
      <c r="A2142" s="63" t="s">
        <v>147</v>
      </c>
      <c r="B2142" s="870" t="s">
        <v>147</v>
      </c>
      <c r="C2142" s="871"/>
      <c r="D2142" s="881" t="s">
        <v>233</v>
      </c>
      <c r="E2142" s="882">
        <f>DMT!$F$10</f>
        <v>43.1</v>
      </c>
      <c r="F2142" s="883">
        <f>VLOOKUP(D2139,'ENSAIOS DE ORÇAMENTO'!$C$5:$L$81,6,FALSE)</f>
        <v>3.0880200000000002</v>
      </c>
      <c r="G2142" s="923">
        <f t="shared" si="578"/>
        <v>150.68611194000002</v>
      </c>
      <c r="H2142" s="876"/>
      <c r="I2142" s="876"/>
      <c r="J2142" s="877">
        <f t="shared" si="565"/>
        <v>0</v>
      </c>
      <c r="K2142" s="878"/>
      <c r="L2142" s="1013">
        <f>ROUND(SUM(ORÇAMENTO!L2142),2)</f>
        <v>0</v>
      </c>
      <c r="M2142" s="1013">
        <f t="shared" si="570"/>
        <v>0</v>
      </c>
      <c r="N2142" s="868">
        <f t="shared" si="571"/>
        <v>0</v>
      </c>
      <c r="O2142" s="880"/>
      <c r="P2142" s="36" t="str">
        <f>IF(N2139&gt;0,"xx",IF(N2139&gt;0,"xy",""))</f>
        <v/>
      </c>
      <c r="Q2142" s="317" t="str">
        <f t="shared" si="572"/>
        <v/>
      </c>
      <c r="R2142" s="317" t="str">
        <f t="shared" si="573"/>
        <v/>
      </c>
      <c r="S2142" s="317" t="str">
        <f t="shared" si="574"/>
        <v/>
      </c>
      <c r="V2142" s="314">
        <f>SUM(ORÇAMENTO!N2142)</f>
        <v>0</v>
      </c>
      <c r="W2142" s="315">
        <f t="shared" si="576"/>
        <v>0</v>
      </c>
    </row>
    <row r="2143" spans="1:23" hidden="1">
      <c r="A2143" s="63" t="s">
        <v>21</v>
      </c>
      <c r="B2143" s="870" t="s">
        <v>21</v>
      </c>
      <c r="C2143" s="871" t="s">
        <v>184</v>
      </c>
      <c r="D2143" s="881" t="s">
        <v>90</v>
      </c>
      <c r="E2143" s="882"/>
      <c r="F2143" s="883"/>
      <c r="G2143" s="887">
        <f>SUM(G2144:G2146)</f>
        <v>296.31958942</v>
      </c>
      <c r="H2143" s="876">
        <v>1946.06</v>
      </c>
      <c r="I2143" s="876">
        <f>IF(ISBLANK(H2143),"",SUM(G2143:H2143))</f>
        <v>2242.3795894199998</v>
      </c>
      <c r="J2143" s="877">
        <f t="shared" si="565"/>
        <v>2740.64</v>
      </c>
      <c r="K2143" s="878" t="s">
        <v>15</v>
      </c>
      <c r="L2143" s="1013">
        <f>ROUND(SUM(ORÇAMENTO!L2143),2)</f>
        <v>0</v>
      </c>
      <c r="M2143" s="1013">
        <f t="shared" si="570"/>
        <v>0</v>
      </c>
      <c r="N2143" s="868">
        <f t="shared" si="571"/>
        <v>0</v>
      </c>
      <c r="O2143" s="880"/>
      <c r="Q2143" s="317" t="str">
        <f t="shared" si="572"/>
        <v/>
      </c>
      <c r="R2143" s="317" t="str">
        <f t="shared" si="573"/>
        <v/>
      </c>
      <c r="S2143" s="317" t="str">
        <f t="shared" si="574"/>
        <v/>
      </c>
      <c r="V2143" s="314">
        <f>SUM(ORÇAMENTO!N2143)</f>
        <v>0</v>
      </c>
      <c r="W2143" s="315">
        <f t="shared" si="576"/>
        <v>0</v>
      </c>
    </row>
    <row r="2144" spans="1:23" hidden="1">
      <c r="A2144" s="63" t="s">
        <v>147</v>
      </c>
      <c r="B2144" s="870" t="s">
        <v>147</v>
      </c>
      <c r="C2144" s="871"/>
      <c r="D2144" s="881" t="s">
        <v>190</v>
      </c>
      <c r="E2144" s="882">
        <f>DMT!$D$20</f>
        <v>445</v>
      </c>
      <c r="F2144" s="883">
        <f>VLOOKUP(D2143,'ENSAIOS DE ORÇAMENTO'!$C$5:$L$81,4,FALSE)</f>
        <v>0.20478000000000002</v>
      </c>
      <c r="G2144" s="884">
        <f>IF(E2144&lt;=30,(0.78*E2144+7.82)*F2144,((0.78*30+7.82)+0.78*(E2144-30))*F2144)</f>
        <v>72.680517600000016</v>
      </c>
      <c r="H2144" s="876"/>
      <c r="I2144" s="876"/>
      <c r="J2144" s="877">
        <f t="shared" si="565"/>
        <v>0</v>
      </c>
      <c r="K2144" s="878"/>
      <c r="L2144" s="1013">
        <f>ROUND(SUM(ORÇAMENTO!L2144),2)</f>
        <v>0</v>
      </c>
      <c r="M2144" s="1013">
        <f t="shared" si="570"/>
        <v>0</v>
      </c>
      <c r="N2144" s="868">
        <f t="shared" si="571"/>
        <v>0</v>
      </c>
      <c r="O2144" s="880"/>
      <c r="P2144" s="36" t="str">
        <f>IF(N2143&gt;0,"xx",IF(N2143&gt;0,"xy",""))</f>
        <v/>
      </c>
      <c r="Q2144" s="317" t="str">
        <f t="shared" si="572"/>
        <v/>
      </c>
      <c r="R2144" s="317" t="str">
        <f t="shared" si="573"/>
        <v/>
      </c>
      <c r="S2144" s="317" t="str">
        <f t="shared" si="574"/>
        <v/>
      </c>
      <c r="V2144" s="314">
        <f>SUM(ORÇAMENTO!N2144)</f>
        <v>0</v>
      </c>
      <c r="W2144" s="315">
        <f t="shared" si="576"/>
        <v>0</v>
      </c>
    </row>
    <row r="2145" spans="1:23" hidden="1">
      <c r="A2145" s="63" t="s">
        <v>147</v>
      </c>
      <c r="B2145" s="870" t="s">
        <v>147</v>
      </c>
      <c r="C2145" s="871"/>
      <c r="D2145" s="881" t="s">
        <v>229</v>
      </c>
      <c r="E2145" s="882">
        <f>DMT!$F$8</f>
        <v>290</v>
      </c>
      <c r="F2145" s="883">
        <f>VLOOKUP(D2143,'ENSAIOS DE ORÇAMENTO'!$C$5:$L$81,5,FALSE)</f>
        <v>0.60275000000000001</v>
      </c>
      <c r="G2145" s="923">
        <f t="shared" ref="G2145:G2146" si="579">IF(E2145&lt;=30,(1.07*E2145+2.68)*F2145,((1.07*30+2.68)+1.07*(E2145-30))*F2145)</f>
        <v>188.648695</v>
      </c>
      <c r="H2145" s="876"/>
      <c r="I2145" s="876"/>
      <c r="J2145" s="877">
        <f t="shared" si="565"/>
        <v>0</v>
      </c>
      <c r="K2145" s="878"/>
      <c r="L2145" s="1013">
        <f>ROUND(SUM(ORÇAMENTO!L2145),2)</f>
        <v>0</v>
      </c>
      <c r="M2145" s="1013">
        <f t="shared" si="570"/>
        <v>0</v>
      </c>
      <c r="N2145" s="868">
        <f t="shared" si="571"/>
        <v>0</v>
      </c>
      <c r="O2145" s="880"/>
      <c r="P2145" s="36" t="str">
        <f>IF(N2143&gt;0,"xx",IF(N2143&gt;0,"xy",""))</f>
        <v/>
      </c>
      <c r="Q2145" s="317" t="str">
        <f t="shared" si="572"/>
        <v/>
      </c>
      <c r="R2145" s="317" t="str">
        <f t="shared" si="573"/>
        <v/>
      </c>
      <c r="S2145" s="317" t="str">
        <f t="shared" si="574"/>
        <v/>
      </c>
      <c r="V2145" s="314">
        <f>SUM(ORÇAMENTO!N2145)</f>
        <v>0</v>
      </c>
      <c r="W2145" s="315">
        <f t="shared" si="576"/>
        <v>0</v>
      </c>
    </row>
    <row r="2146" spans="1:23" hidden="1">
      <c r="A2146" s="63" t="s">
        <v>147</v>
      </c>
      <c r="B2146" s="870" t="s">
        <v>147</v>
      </c>
      <c r="C2146" s="871"/>
      <c r="D2146" s="881" t="s">
        <v>233</v>
      </c>
      <c r="E2146" s="882">
        <f>DMT!$F$10</f>
        <v>43.1</v>
      </c>
      <c r="F2146" s="883">
        <f>VLOOKUP(D2143,'ENSAIOS DE ORÇAMENTO'!$C$5:$L$81,6,FALSE)</f>
        <v>0.71706000000000003</v>
      </c>
      <c r="G2146" s="923">
        <f t="shared" si="579"/>
        <v>34.990376820000002</v>
      </c>
      <c r="H2146" s="876"/>
      <c r="I2146" s="876"/>
      <c r="J2146" s="877">
        <f t="shared" si="565"/>
        <v>0</v>
      </c>
      <c r="K2146" s="878"/>
      <c r="L2146" s="1013">
        <f>ROUND(SUM(ORÇAMENTO!L2146),2)</f>
        <v>0</v>
      </c>
      <c r="M2146" s="1013">
        <f t="shared" si="570"/>
        <v>0</v>
      </c>
      <c r="N2146" s="868">
        <f t="shared" si="571"/>
        <v>0</v>
      </c>
      <c r="O2146" s="880"/>
      <c r="P2146" s="36" t="str">
        <f>IF(N2143&gt;0,"xx",IF(N2143&gt;0,"xy",""))</f>
        <v/>
      </c>
      <c r="Q2146" s="317" t="str">
        <f t="shared" si="572"/>
        <v/>
      </c>
      <c r="R2146" s="317" t="str">
        <f t="shared" si="573"/>
        <v/>
      </c>
      <c r="S2146" s="317" t="str">
        <f t="shared" si="574"/>
        <v/>
      </c>
      <c r="V2146" s="314">
        <f>SUM(ORÇAMENTO!N2146)</f>
        <v>0</v>
      </c>
      <c r="W2146" s="315">
        <f t="shared" si="576"/>
        <v>0</v>
      </c>
    </row>
    <row r="2147" spans="1:23" hidden="1">
      <c r="A2147" s="63" t="s">
        <v>22</v>
      </c>
      <c r="B2147" s="870" t="s">
        <v>22</v>
      </c>
      <c r="C2147" s="871" t="s">
        <v>184</v>
      </c>
      <c r="D2147" s="881" t="s">
        <v>87</v>
      </c>
      <c r="E2147" s="882"/>
      <c r="F2147" s="883"/>
      <c r="G2147" s="887">
        <f>SUM(G2148:G2150)</f>
        <v>369.84644542000001</v>
      </c>
      <c r="H2147" s="876">
        <v>2350.13</v>
      </c>
      <c r="I2147" s="876">
        <f>IF(ISBLANK(H2147),"",SUM(G2147:H2147))</f>
        <v>2719.9764454200003</v>
      </c>
      <c r="J2147" s="877">
        <f t="shared" si="565"/>
        <v>3324.36</v>
      </c>
      <c r="K2147" s="878" t="s">
        <v>15</v>
      </c>
      <c r="L2147" s="1013">
        <f>ROUND(SUM(ORÇAMENTO!L2147),2)</f>
        <v>0</v>
      </c>
      <c r="M2147" s="1013">
        <f t="shared" si="570"/>
        <v>0</v>
      </c>
      <c r="N2147" s="868">
        <f t="shared" si="571"/>
        <v>0</v>
      </c>
      <c r="O2147" s="880"/>
      <c r="Q2147" s="317" t="str">
        <f t="shared" si="572"/>
        <v/>
      </c>
      <c r="R2147" s="317" t="str">
        <f t="shared" si="573"/>
        <v/>
      </c>
      <c r="S2147" s="317" t="str">
        <f t="shared" si="574"/>
        <v/>
      </c>
      <c r="V2147" s="314">
        <f>SUM(ORÇAMENTO!N2147)</f>
        <v>0</v>
      </c>
      <c r="W2147" s="315">
        <f t="shared" si="576"/>
        <v>0</v>
      </c>
    </row>
    <row r="2148" spans="1:23" hidden="1">
      <c r="A2148" s="63" t="s">
        <v>147</v>
      </c>
      <c r="B2148" s="870" t="s">
        <v>147</v>
      </c>
      <c r="C2148" s="871"/>
      <c r="D2148" s="881" t="s">
        <v>190</v>
      </c>
      <c r="E2148" s="882">
        <f>DMT!$D$20</f>
        <v>445</v>
      </c>
      <c r="F2148" s="883">
        <f>VLOOKUP(D2147,'ENSAIOS DE ORÇAMENTO'!$C$5:$L$81,4,FALSE)</f>
        <v>0.25757999999999998</v>
      </c>
      <c r="G2148" s="884">
        <f>IF(E2148&lt;=30,(0.78*E2148+7.82)*F2148,((0.78*30+7.82)+0.78*(E2148-30))*F2148)</f>
        <v>91.420293599999994</v>
      </c>
      <c r="H2148" s="876"/>
      <c r="I2148" s="876"/>
      <c r="J2148" s="877">
        <f t="shared" si="565"/>
        <v>0</v>
      </c>
      <c r="K2148" s="878"/>
      <c r="L2148" s="1013">
        <f>ROUND(SUM(ORÇAMENTO!L2148),2)</f>
        <v>0</v>
      </c>
      <c r="M2148" s="1013">
        <f t="shared" si="570"/>
        <v>0</v>
      </c>
      <c r="N2148" s="868">
        <f t="shared" si="571"/>
        <v>0</v>
      </c>
      <c r="O2148" s="880"/>
      <c r="P2148" s="36" t="str">
        <f>IF(N2147&gt;0,"xx",IF(N2147&gt;0,"xy",""))</f>
        <v/>
      </c>
      <c r="Q2148" s="317" t="str">
        <f t="shared" si="572"/>
        <v/>
      </c>
      <c r="R2148" s="317" t="str">
        <f t="shared" si="573"/>
        <v/>
      </c>
      <c r="S2148" s="317" t="str">
        <f t="shared" si="574"/>
        <v/>
      </c>
      <c r="V2148" s="314">
        <f>SUM(ORÇAMENTO!N2148)</f>
        <v>0</v>
      </c>
      <c r="W2148" s="315">
        <f t="shared" si="576"/>
        <v>0</v>
      </c>
    </row>
    <row r="2149" spans="1:23" hidden="1">
      <c r="A2149" s="63" t="s">
        <v>147</v>
      </c>
      <c r="B2149" s="870" t="s">
        <v>147</v>
      </c>
      <c r="C2149" s="871"/>
      <c r="D2149" s="881" t="s">
        <v>229</v>
      </c>
      <c r="E2149" s="882">
        <f>DMT!$F$8</f>
        <v>290</v>
      </c>
      <c r="F2149" s="883">
        <f>VLOOKUP(D2147,'ENSAIOS DE ORÇAMENTO'!$C$5:$L$81,5,FALSE)</f>
        <v>0.75010999999999994</v>
      </c>
      <c r="G2149" s="923">
        <f t="shared" ref="G2149:G2150" si="580">IF(E2149&lt;=30,(1.07*E2149+2.68)*F2149,((1.07*30+2.68)+1.07*(E2149-30))*F2149)</f>
        <v>234.76942779999999</v>
      </c>
      <c r="H2149" s="876"/>
      <c r="I2149" s="876"/>
      <c r="J2149" s="877">
        <f t="shared" si="565"/>
        <v>0</v>
      </c>
      <c r="K2149" s="878"/>
      <c r="L2149" s="1013">
        <f>ROUND(SUM(ORÇAMENTO!L2149),2)</f>
        <v>0</v>
      </c>
      <c r="M2149" s="1013">
        <f t="shared" si="570"/>
        <v>0</v>
      </c>
      <c r="N2149" s="868">
        <f t="shared" si="571"/>
        <v>0</v>
      </c>
      <c r="O2149" s="880"/>
      <c r="P2149" s="36" t="str">
        <f>IF(N2147&gt;0,"xx",IF(N2147&gt;0,"xy",""))</f>
        <v/>
      </c>
      <c r="Q2149" s="317" t="str">
        <f t="shared" si="572"/>
        <v/>
      </c>
      <c r="R2149" s="317" t="str">
        <f t="shared" si="573"/>
        <v/>
      </c>
      <c r="S2149" s="317" t="str">
        <f t="shared" si="574"/>
        <v/>
      </c>
      <c r="V2149" s="314">
        <f>SUM(ORÇAMENTO!N2149)</f>
        <v>0</v>
      </c>
      <c r="W2149" s="315">
        <f t="shared" si="576"/>
        <v>0</v>
      </c>
    </row>
    <row r="2150" spans="1:23" hidden="1">
      <c r="A2150" s="63" t="s">
        <v>147</v>
      </c>
      <c r="B2150" s="870" t="s">
        <v>147</v>
      </c>
      <c r="C2150" s="871"/>
      <c r="D2150" s="881" t="s">
        <v>233</v>
      </c>
      <c r="E2150" s="882">
        <f>DMT!$F$10</f>
        <v>43.1</v>
      </c>
      <c r="F2150" s="883">
        <f>VLOOKUP(D2147,'ENSAIOS DE ORÇAMENTO'!$C$5:$L$81,6,FALSE)</f>
        <v>0.89466000000000001</v>
      </c>
      <c r="G2150" s="923">
        <f t="shared" si="580"/>
        <v>43.656724020000006</v>
      </c>
      <c r="H2150" s="876"/>
      <c r="I2150" s="876"/>
      <c r="J2150" s="877">
        <f t="shared" si="565"/>
        <v>0</v>
      </c>
      <c r="K2150" s="878"/>
      <c r="L2150" s="1013">
        <f>ROUND(SUM(ORÇAMENTO!L2150),2)</f>
        <v>0</v>
      </c>
      <c r="M2150" s="1013">
        <f t="shared" si="570"/>
        <v>0</v>
      </c>
      <c r="N2150" s="868">
        <f t="shared" si="571"/>
        <v>0</v>
      </c>
      <c r="O2150" s="880"/>
      <c r="P2150" s="36" t="str">
        <f>IF(N2147&gt;0,"xx",IF(N2147&gt;0,"xy",""))</f>
        <v/>
      </c>
      <c r="Q2150" s="317" t="str">
        <f t="shared" si="572"/>
        <v/>
      </c>
      <c r="R2150" s="317" t="str">
        <f t="shared" si="573"/>
        <v/>
      </c>
      <c r="S2150" s="317" t="str">
        <f t="shared" si="574"/>
        <v/>
      </c>
      <c r="V2150" s="314">
        <f>SUM(ORÇAMENTO!N2150)</f>
        <v>0</v>
      </c>
      <c r="W2150" s="315">
        <f t="shared" si="576"/>
        <v>0</v>
      </c>
    </row>
    <row r="2151" spans="1:23" hidden="1">
      <c r="A2151" s="63" t="s">
        <v>23</v>
      </c>
      <c r="B2151" s="870" t="s">
        <v>23</v>
      </c>
      <c r="C2151" s="871" t="s">
        <v>184</v>
      </c>
      <c r="D2151" s="881" t="s">
        <v>88</v>
      </c>
      <c r="E2151" s="882"/>
      <c r="F2151" s="883"/>
      <c r="G2151" s="887">
        <f>SUM(G2152:G2154)</f>
        <v>489.3275864200001</v>
      </c>
      <c r="H2151" s="876">
        <v>2551.63</v>
      </c>
      <c r="I2151" s="876">
        <f>IF(ISBLANK(H2151),"",SUM(G2151:H2151))</f>
        <v>3040.9575864200001</v>
      </c>
      <c r="J2151" s="877">
        <f t="shared" si="565"/>
        <v>3716.66</v>
      </c>
      <c r="K2151" s="878" t="s">
        <v>15</v>
      </c>
      <c r="L2151" s="1013">
        <f>ROUND(SUM(ORÇAMENTO!L2151),2)</f>
        <v>0</v>
      </c>
      <c r="M2151" s="1013">
        <f t="shared" si="570"/>
        <v>0</v>
      </c>
      <c r="N2151" s="868">
        <f t="shared" si="571"/>
        <v>0</v>
      </c>
      <c r="O2151" s="880"/>
      <c r="Q2151" s="317" t="str">
        <f t="shared" si="572"/>
        <v/>
      </c>
      <c r="R2151" s="317" t="str">
        <f t="shared" si="573"/>
        <v/>
      </c>
      <c r="S2151" s="317" t="str">
        <f t="shared" si="574"/>
        <v/>
      </c>
      <c r="V2151" s="314">
        <f>SUM(ORÇAMENTO!N2151)</f>
        <v>0</v>
      </c>
      <c r="W2151" s="315">
        <f t="shared" si="576"/>
        <v>0</v>
      </c>
    </row>
    <row r="2152" spans="1:23" hidden="1">
      <c r="A2152" s="63" t="s">
        <v>147</v>
      </c>
      <c r="B2152" s="870" t="s">
        <v>147</v>
      </c>
      <c r="C2152" s="871"/>
      <c r="D2152" s="881" t="s">
        <v>190</v>
      </c>
      <c r="E2152" s="882">
        <f>DMT!$D$20</f>
        <v>445</v>
      </c>
      <c r="F2152" s="883">
        <f>VLOOKUP(D2151,'ENSAIOS DE ORÇAMENTO'!$C$5:$L$81,4,FALSE)</f>
        <v>0.34338000000000002</v>
      </c>
      <c r="G2152" s="884">
        <f>IF(E2152&lt;=30,(0.78*E2152+7.82)*F2152,((0.78*30+7.82)+0.78*(E2152-30))*F2152)</f>
        <v>121.87242960000002</v>
      </c>
      <c r="H2152" s="876"/>
      <c r="I2152" s="876"/>
      <c r="J2152" s="877">
        <f t="shared" si="565"/>
        <v>0</v>
      </c>
      <c r="K2152" s="878"/>
      <c r="L2152" s="1013">
        <f>ROUND(SUM(ORÇAMENTO!L2152),2)</f>
        <v>0</v>
      </c>
      <c r="M2152" s="1013">
        <f t="shared" si="570"/>
        <v>0</v>
      </c>
      <c r="N2152" s="868">
        <f t="shared" si="571"/>
        <v>0</v>
      </c>
      <c r="O2152" s="880"/>
      <c r="P2152" s="36" t="str">
        <f>IF(N2151&gt;0,"xx",IF(N2151&gt;0,"xy",""))</f>
        <v/>
      </c>
      <c r="Q2152" s="317" t="str">
        <f t="shared" si="572"/>
        <v/>
      </c>
      <c r="R2152" s="317" t="str">
        <f t="shared" si="573"/>
        <v/>
      </c>
      <c r="S2152" s="317" t="str">
        <f t="shared" si="574"/>
        <v/>
      </c>
      <c r="V2152" s="314">
        <f>SUM(ORÇAMENTO!N2152)</f>
        <v>0</v>
      </c>
      <c r="W2152" s="315">
        <f t="shared" si="576"/>
        <v>0</v>
      </c>
    </row>
    <row r="2153" spans="1:23" hidden="1">
      <c r="A2153" s="63" t="s">
        <v>147</v>
      </c>
      <c r="B2153" s="870" t="s">
        <v>147</v>
      </c>
      <c r="C2153" s="871"/>
      <c r="D2153" s="881" t="s">
        <v>229</v>
      </c>
      <c r="E2153" s="882">
        <f>DMT!$F$8</f>
        <v>290</v>
      </c>
      <c r="F2153" s="883">
        <f>VLOOKUP(D2151,'ENSAIOS DE ORÇAMENTO'!$C$5:$L$81,5,FALSE)</f>
        <v>0.98957000000000006</v>
      </c>
      <c r="G2153" s="923">
        <f t="shared" ref="G2153:G2154" si="581">IF(E2153&lt;=30,(1.07*E2153+2.68)*F2153,((1.07*30+2.68)+1.07*(E2153-30))*F2153)</f>
        <v>309.71561860000003</v>
      </c>
      <c r="H2153" s="876"/>
      <c r="I2153" s="876"/>
      <c r="J2153" s="877">
        <f t="shared" si="565"/>
        <v>0</v>
      </c>
      <c r="K2153" s="878"/>
      <c r="L2153" s="1013">
        <f>ROUND(SUM(ORÇAMENTO!L2153),2)</f>
        <v>0</v>
      </c>
      <c r="M2153" s="1013">
        <f t="shared" si="570"/>
        <v>0</v>
      </c>
      <c r="N2153" s="868">
        <f t="shared" si="571"/>
        <v>0</v>
      </c>
      <c r="O2153" s="880"/>
      <c r="P2153" s="36" t="str">
        <f>IF(N2151&gt;0,"xx",IF(N2151&gt;0,"xy",""))</f>
        <v/>
      </c>
      <c r="Q2153" s="317" t="str">
        <f t="shared" si="572"/>
        <v/>
      </c>
      <c r="R2153" s="317" t="str">
        <f t="shared" si="573"/>
        <v/>
      </c>
      <c r="S2153" s="317" t="str">
        <f t="shared" si="574"/>
        <v/>
      </c>
      <c r="V2153" s="314">
        <f>SUM(ORÇAMENTO!N2153)</f>
        <v>0</v>
      </c>
      <c r="W2153" s="315">
        <f t="shared" si="576"/>
        <v>0</v>
      </c>
    </row>
    <row r="2154" spans="1:23" hidden="1">
      <c r="A2154" s="63" t="s">
        <v>147</v>
      </c>
      <c r="B2154" s="870" t="s">
        <v>147</v>
      </c>
      <c r="C2154" s="871"/>
      <c r="D2154" s="881" t="s">
        <v>233</v>
      </c>
      <c r="E2154" s="882">
        <f>DMT!$F$10</f>
        <v>43.1</v>
      </c>
      <c r="F2154" s="883">
        <f>VLOOKUP(D2151,'ENSAIOS DE ORÇAMENTO'!$C$5:$L$81,6,FALSE)</f>
        <v>1.1832600000000002</v>
      </c>
      <c r="G2154" s="923">
        <f t="shared" si="581"/>
        <v>57.739538220000014</v>
      </c>
      <c r="H2154" s="876"/>
      <c r="I2154" s="876"/>
      <c r="J2154" s="877">
        <f t="shared" si="565"/>
        <v>0</v>
      </c>
      <c r="K2154" s="878"/>
      <c r="L2154" s="1013">
        <f>ROUND(SUM(ORÇAMENTO!L2154),2)</f>
        <v>0</v>
      </c>
      <c r="M2154" s="1013">
        <f t="shared" si="570"/>
        <v>0</v>
      </c>
      <c r="N2154" s="868">
        <f t="shared" si="571"/>
        <v>0</v>
      </c>
      <c r="O2154" s="880"/>
      <c r="P2154" s="36" t="str">
        <f>IF(N2151&gt;0,"xx",IF(N2151&gt;0,"xy",""))</f>
        <v/>
      </c>
      <c r="Q2154" s="317" t="str">
        <f t="shared" si="572"/>
        <v/>
      </c>
      <c r="R2154" s="317" t="str">
        <f t="shared" si="573"/>
        <v/>
      </c>
      <c r="S2154" s="317" t="str">
        <f t="shared" si="574"/>
        <v/>
      </c>
      <c r="V2154" s="314">
        <f>SUM(ORÇAMENTO!N2154)</f>
        <v>0</v>
      </c>
      <c r="W2154" s="315">
        <f t="shared" si="576"/>
        <v>0</v>
      </c>
    </row>
    <row r="2155" spans="1:23" hidden="1">
      <c r="A2155" s="63" t="s">
        <v>24</v>
      </c>
      <c r="B2155" s="870" t="s">
        <v>24</v>
      </c>
      <c r="C2155" s="871" t="s">
        <v>184</v>
      </c>
      <c r="D2155" s="881" t="s">
        <v>89</v>
      </c>
      <c r="E2155" s="882"/>
      <c r="F2155" s="883"/>
      <c r="G2155" s="887">
        <f>SUM(G2156:G2158)</f>
        <v>608.80872742000008</v>
      </c>
      <c r="H2155" s="876">
        <v>3101.29</v>
      </c>
      <c r="I2155" s="876">
        <f>IF(ISBLANK(H2155),"",SUM(G2155:H2155))</f>
        <v>3710.0987274200002</v>
      </c>
      <c r="J2155" s="877">
        <f t="shared" si="565"/>
        <v>4534.4799999999996</v>
      </c>
      <c r="K2155" s="878" t="s">
        <v>15</v>
      </c>
      <c r="L2155" s="1013">
        <f>ROUND(SUM(ORÇAMENTO!L2155),2)</f>
        <v>0</v>
      </c>
      <c r="M2155" s="1013">
        <f t="shared" si="570"/>
        <v>0</v>
      </c>
      <c r="N2155" s="868">
        <f t="shared" si="571"/>
        <v>0</v>
      </c>
      <c r="O2155" s="880"/>
      <c r="Q2155" s="317" t="str">
        <f t="shared" si="572"/>
        <v/>
      </c>
      <c r="R2155" s="317" t="str">
        <f t="shared" si="573"/>
        <v/>
      </c>
      <c r="S2155" s="317" t="str">
        <f t="shared" si="574"/>
        <v/>
      </c>
      <c r="V2155" s="314">
        <f>SUM(ORÇAMENTO!N2155)</f>
        <v>0</v>
      </c>
      <c r="W2155" s="315">
        <f t="shared" si="576"/>
        <v>0</v>
      </c>
    </row>
    <row r="2156" spans="1:23" hidden="1">
      <c r="A2156" s="63" t="s">
        <v>147</v>
      </c>
      <c r="B2156" s="870" t="s">
        <v>147</v>
      </c>
      <c r="C2156" s="871"/>
      <c r="D2156" s="881" t="s">
        <v>190</v>
      </c>
      <c r="E2156" s="882">
        <f>DMT!$D$20</f>
        <v>445</v>
      </c>
      <c r="F2156" s="883">
        <f>VLOOKUP(D2155,'ENSAIOS DE ORÇAMENTO'!$C$5:$L$81,4,FALSE)</f>
        <v>0.42918000000000001</v>
      </c>
      <c r="G2156" s="884">
        <f>IF(E2156&lt;=30,(0.78*E2156+7.82)*F2156,((0.78*30+7.82)+0.78*(E2156-30))*F2156)</f>
        <v>152.3245656</v>
      </c>
      <c r="H2156" s="876"/>
      <c r="I2156" s="876"/>
      <c r="J2156" s="877">
        <f t="shared" ref="J2156:J2206" si="582">IF(ISBLANK(H2156),0,ROUND(I2156*(1+$E$10),2))</f>
        <v>0</v>
      </c>
      <c r="K2156" s="878"/>
      <c r="L2156" s="1013">
        <f>ROUND(SUM(ORÇAMENTO!L2156),2)</f>
        <v>0</v>
      </c>
      <c r="M2156" s="1013">
        <f t="shared" si="570"/>
        <v>0</v>
      </c>
      <c r="N2156" s="868">
        <f t="shared" si="571"/>
        <v>0</v>
      </c>
      <c r="O2156" s="880"/>
      <c r="P2156" s="36" t="str">
        <f>IF(N2155&gt;0,"xx",IF(N2155&gt;0,"xy",""))</f>
        <v/>
      </c>
      <c r="Q2156" s="317" t="str">
        <f t="shared" si="572"/>
        <v/>
      </c>
      <c r="R2156" s="317" t="str">
        <f t="shared" si="573"/>
        <v/>
      </c>
      <c r="S2156" s="317" t="str">
        <f t="shared" si="574"/>
        <v/>
      </c>
      <c r="V2156" s="314">
        <f>SUM(ORÇAMENTO!N2156)</f>
        <v>0</v>
      </c>
      <c r="W2156" s="315">
        <f t="shared" si="576"/>
        <v>0</v>
      </c>
    </row>
    <row r="2157" spans="1:23" hidden="1">
      <c r="A2157" s="63" t="s">
        <v>147</v>
      </c>
      <c r="B2157" s="870" t="s">
        <v>147</v>
      </c>
      <c r="C2157" s="871"/>
      <c r="D2157" s="881" t="s">
        <v>229</v>
      </c>
      <c r="E2157" s="882">
        <f>DMT!$F$8</f>
        <v>290</v>
      </c>
      <c r="F2157" s="883">
        <f>VLOOKUP(D2155,'ENSAIOS DE ORÇAMENTO'!$C$5:$L$81,5,FALSE)</f>
        <v>1.2290300000000001</v>
      </c>
      <c r="G2157" s="923">
        <f t="shared" ref="G2157:G2158" si="583">IF(E2157&lt;=30,(1.07*E2157+2.68)*F2157,((1.07*30+2.68)+1.07*(E2157-30))*F2157)</f>
        <v>384.66180940000004</v>
      </c>
      <c r="H2157" s="876"/>
      <c r="I2157" s="876"/>
      <c r="J2157" s="877">
        <f t="shared" si="582"/>
        <v>0</v>
      </c>
      <c r="K2157" s="878"/>
      <c r="L2157" s="1013">
        <f>ROUND(SUM(ORÇAMENTO!L2157),2)</f>
        <v>0</v>
      </c>
      <c r="M2157" s="1013">
        <f t="shared" si="570"/>
        <v>0</v>
      </c>
      <c r="N2157" s="868">
        <f t="shared" si="571"/>
        <v>0</v>
      </c>
      <c r="O2157" s="880"/>
      <c r="P2157" s="36" t="str">
        <f>IF(N2155&gt;0,"xx",IF(N2155&gt;0,"xy",""))</f>
        <v/>
      </c>
      <c r="Q2157" s="317" t="str">
        <f t="shared" si="572"/>
        <v/>
      </c>
      <c r="R2157" s="317" t="str">
        <f t="shared" si="573"/>
        <v/>
      </c>
      <c r="S2157" s="317" t="str">
        <f t="shared" si="574"/>
        <v/>
      </c>
      <c r="V2157" s="314">
        <f>SUM(ORÇAMENTO!N2157)</f>
        <v>0</v>
      </c>
      <c r="W2157" s="315">
        <f t="shared" si="576"/>
        <v>0</v>
      </c>
    </row>
    <row r="2158" spans="1:23" hidden="1">
      <c r="A2158" s="63" t="s">
        <v>147</v>
      </c>
      <c r="B2158" s="870" t="s">
        <v>147</v>
      </c>
      <c r="C2158" s="871"/>
      <c r="D2158" s="881" t="s">
        <v>233</v>
      </c>
      <c r="E2158" s="882">
        <f>DMT!$F$10</f>
        <v>43.1</v>
      </c>
      <c r="F2158" s="883">
        <f>VLOOKUP(D2155,'ENSAIOS DE ORÇAMENTO'!$C$5:$L$81,6,FALSE)</f>
        <v>1.4718600000000002</v>
      </c>
      <c r="G2158" s="923">
        <f t="shared" si="583"/>
        <v>71.822352420000016</v>
      </c>
      <c r="H2158" s="876"/>
      <c r="I2158" s="876"/>
      <c r="J2158" s="877">
        <f t="shared" si="582"/>
        <v>0</v>
      </c>
      <c r="K2158" s="878"/>
      <c r="L2158" s="1013">
        <f>ROUND(SUM(ORÇAMENTO!L2158),2)</f>
        <v>0</v>
      </c>
      <c r="M2158" s="1013">
        <f t="shared" si="570"/>
        <v>0</v>
      </c>
      <c r="N2158" s="868">
        <f t="shared" si="571"/>
        <v>0</v>
      </c>
      <c r="O2158" s="880"/>
      <c r="P2158" s="36" t="str">
        <f>IF(N2155&gt;0,"xx",IF(N2155&gt;0,"xy",""))</f>
        <v/>
      </c>
      <c r="Q2158" s="317" t="str">
        <f t="shared" si="572"/>
        <v/>
      </c>
      <c r="R2158" s="317" t="str">
        <f t="shared" si="573"/>
        <v/>
      </c>
      <c r="S2158" s="317" t="str">
        <f t="shared" si="574"/>
        <v/>
      </c>
      <c r="V2158" s="314">
        <f>SUM(ORÇAMENTO!N2158)</f>
        <v>0</v>
      </c>
      <c r="W2158" s="315">
        <f t="shared" si="576"/>
        <v>0</v>
      </c>
    </row>
    <row r="2159" spans="1:23" hidden="1">
      <c r="A2159" s="63" t="s">
        <v>25</v>
      </c>
      <c r="B2159" s="870" t="s">
        <v>25</v>
      </c>
      <c r="C2159" s="871" t="s">
        <v>184</v>
      </c>
      <c r="D2159" s="881" t="s">
        <v>83</v>
      </c>
      <c r="E2159" s="882"/>
      <c r="F2159" s="883"/>
      <c r="G2159" s="887">
        <f>SUM(G2160:G2164)</f>
        <v>519.1851693320001</v>
      </c>
      <c r="H2159" s="876">
        <v>2761.42</v>
      </c>
      <c r="I2159" s="876">
        <f>IF(ISBLANK(H2159),"",SUM(G2159:H2159))</f>
        <v>3280.6051693320001</v>
      </c>
      <c r="J2159" s="877">
        <f t="shared" si="582"/>
        <v>4009.56</v>
      </c>
      <c r="K2159" s="878" t="s">
        <v>15</v>
      </c>
      <c r="L2159" s="1013">
        <f>ROUND(SUM(ORÇAMENTO!L2159),2)</f>
        <v>0</v>
      </c>
      <c r="M2159" s="1013">
        <f t="shared" si="570"/>
        <v>0</v>
      </c>
      <c r="N2159" s="868">
        <f t="shared" si="571"/>
        <v>0</v>
      </c>
      <c r="O2159" s="880"/>
      <c r="Q2159" s="317" t="str">
        <f t="shared" si="572"/>
        <v/>
      </c>
      <c r="R2159" s="317" t="str">
        <f t="shared" si="573"/>
        <v/>
      </c>
      <c r="S2159" s="317" t="str">
        <f t="shared" si="574"/>
        <v/>
      </c>
      <c r="V2159" s="314">
        <f>SUM(ORÇAMENTO!N2159)</f>
        <v>0</v>
      </c>
      <c r="W2159" s="315">
        <f t="shared" si="576"/>
        <v>0</v>
      </c>
    </row>
    <row r="2160" spans="1:23" hidden="1">
      <c r="A2160" s="63" t="s">
        <v>147</v>
      </c>
      <c r="B2160" s="870" t="s">
        <v>147</v>
      </c>
      <c r="C2160" s="871"/>
      <c r="D2160" s="881" t="s">
        <v>190</v>
      </c>
      <c r="E2160" s="882">
        <f>DMT!$D$20</f>
        <v>445</v>
      </c>
      <c r="F2160" s="883">
        <f>VLOOKUP(D2159,'ENSAIOS DE ORÇAMENTO'!$C$5:$L$81,4,FALSE)</f>
        <v>0.2047668</v>
      </c>
      <c r="G2160" s="884">
        <f>IF(E2160&lt;=30,(0.78*E2160+7.82)*F2160,((0.78*30+7.82)+0.78*(E2160-30))*F2160)</f>
        <v>72.675832655999997</v>
      </c>
      <c r="H2160" s="876"/>
      <c r="I2160" s="876"/>
      <c r="J2160" s="877">
        <f t="shared" si="582"/>
        <v>0</v>
      </c>
      <c r="K2160" s="878"/>
      <c r="L2160" s="1013">
        <f>ROUND(SUM(ORÇAMENTO!L2160),2)</f>
        <v>0</v>
      </c>
      <c r="M2160" s="1013">
        <f t="shared" si="570"/>
        <v>0</v>
      </c>
      <c r="N2160" s="868">
        <f t="shared" si="571"/>
        <v>0</v>
      </c>
      <c r="O2160" s="880"/>
      <c r="P2160" s="36" t="str">
        <f>IF(N2159&gt;0,"xx",IF(N2159&gt;0,"xy",""))</f>
        <v/>
      </c>
      <c r="Q2160" s="317" t="str">
        <f t="shared" si="572"/>
        <v/>
      </c>
      <c r="R2160" s="317" t="str">
        <f t="shared" si="573"/>
        <v/>
      </c>
      <c r="S2160" s="317" t="str">
        <f t="shared" si="574"/>
        <v/>
      </c>
      <c r="V2160" s="314">
        <f>SUM(ORÇAMENTO!N2160)</f>
        <v>0</v>
      </c>
      <c r="W2160" s="315">
        <f t="shared" si="576"/>
        <v>0</v>
      </c>
    </row>
    <row r="2161" spans="1:23" hidden="1">
      <c r="A2161" s="63" t="s">
        <v>147</v>
      </c>
      <c r="B2161" s="870" t="s">
        <v>147</v>
      </c>
      <c r="C2161" s="871"/>
      <c r="D2161" s="881" t="s">
        <v>229</v>
      </c>
      <c r="E2161" s="882">
        <f>DMT!$F$8</f>
        <v>290</v>
      </c>
      <c r="F2161" s="883">
        <f>VLOOKUP(D2159,'ENSAIOS DE ORÇAMENTO'!$C$5:$L$81,5,FALSE)</f>
        <v>1.1293030000000002</v>
      </c>
      <c r="G2161" s="923">
        <f t="shared" ref="G2161:G2163" si="584">IF(E2161&lt;=30,(1.07*E2161+2.68)*F2161,((1.07*30+2.68)+1.07*(E2161-30))*F2161)</f>
        <v>353.44925294000006</v>
      </c>
      <c r="H2161" s="876"/>
      <c r="I2161" s="876"/>
      <c r="J2161" s="877">
        <f t="shared" si="582"/>
        <v>0</v>
      </c>
      <c r="K2161" s="878"/>
      <c r="L2161" s="1013">
        <f>ROUND(SUM(ORÇAMENTO!L2161),2)</f>
        <v>0</v>
      </c>
      <c r="M2161" s="1013">
        <f t="shared" si="570"/>
        <v>0</v>
      </c>
      <c r="N2161" s="868">
        <f t="shared" si="571"/>
        <v>0</v>
      </c>
      <c r="O2161" s="880"/>
      <c r="P2161" s="36" t="str">
        <f>IF(N2159&gt;0,"xx",IF(N2159&gt;0,"xy",""))</f>
        <v/>
      </c>
      <c r="Q2161" s="317" t="str">
        <f t="shared" si="572"/>
        <v/>
      </c>
      <c r="R2161" s="317" t="str">
        <f t="shared" si="573"/>
        <v/>
      </c>
      <c r="S2161" s="317" t="str">
        <f t="shared" si="574"/>
        <v/>
      </c>
      <c r="V2161" s="314">
        <f>SUM(ORÇAMENTO!N2161)</f>
        <v>0</v>
      </c>
      <c r="W2161" s="315">
        <f t="shared" si="576"/>
        <v>0</v>
      </c>
    </row>
    <row r="2162" spans="1:23" hidden="1">
      <c r="A2162" s="63" t="s">
        <v>147</v>
      </c>
      <c r="B2162" s="870" t="s">
        <v>147</v>
      </c>
      <c r="C2162" s="871"/>
      <c r="D2162" s="881" t="s">
        <v>233</v>
      </c>
      <c r="E2162" s="882">
        <f>DMT!$F$10</f>
        <v>43.1</v>
      </c>
      <c r="F2162" s="883">
        <f>VLOOKUP(D2159,'ENSAIOS DE ORÇAMENTO'!$C$5:$L$81,6,FALSE)</f>
        <v>0.38805600000000001</v>
      </c>
      <c r="G2162" s="923">
        <f t="shared" si="584"/>
        <v>18.935968632000002</v>
      </c>
      <c r="H2162" s="876"/>
      <c r="I2162" s="876"/>
      <c r="J2162" s="877">
        <f t="shared" si="582"/>
        <v>0</v>
      </c>
      <c r="K2162" s="878"/>
      <c r="L2162" s="1013">
        <f>ROUND(SUM(ORÇAMENTO!L2162),2)</f>
        <v>0</v>
      </c>
      <c r="M2162" s="1013">
        <f t="shared" si="570"/>
        <v>0</v>
      </c>
      <c r="N2162" s="868">
        <f t="shared" si="571"/>
        <v>0</v>
      </c>
      <c r="O2162" s="880"/>
      <c r="P2162" s="36" t="str">
        <f>IF(N2159&gt;0,"xx",IF(N2159&gt;0,"xy",""))</f>
        <v/>
      </c>
      <c r="Q2162" s="317" t="str">
        <f t="shared" si="572"/>
        <v/>
      </c>
      <c r="R2162" s="317" t="str">
        <f t="shared" si="573"/>
        <v/>
      </c>
      <c r="S2162" s="317" t="str">
        <f t="shared" si="574"/>
        <v/>
      </c>
      <c r="V2162" s="314">
        <f>SUM(ORÇAMENTO!N2162)</f>
        <v>0</v>
      </c>
      <c r="W2162" s="315">
        <f t="shared" si="576"/>
        <v>0</v>
      </c>
    </row>
    <row r="2163" spans="1:23" hidden="1">
      <c r="A2163" s="63" t="s">
        <v>147</v>
      </c>
      <c r="B2163" s="870" t="s">
        <v>147</v>
      </c>
      <c r="C2163" s="871"/>
      <c r="D2163" s="881" t="s">
        <v>365</v>
      </c>
      <c r="E2163" s="882">
        <f>DMT!$F$32</f>
        <v>28</v>
      </c>
      <c r="F2163" s="883">
        <f>VLOOKUP(D2159,'ENSAIOS DE ORÇAMENTO'!$C$5:$L$81,3,FALSE)</f>
        <v>1.6716959999999998</v>
      </c>
      <c r="G2163" s="923">
        <f t="shared" si="584"/>
        <v>54.564157439999995</v>
      </c>
      <c r="H2163" s="876"/>
      <c r="I2163" s="876"/>
      <c r="J2163" s="877">
        <f t="shared" si="582"/>
        <v>0</v>
      </c>
      <c r="K2163" s="878"/>
      <c r="L2163" s="1013">
        <f>ROUND(SUM(ORÇAMENTO!L2163),2)</f>
        <v>0</v>
      </c>
      <c r="M2163" s="1013">
        <f t="shared" si="570"/>
        <v>0</v>
      </c>
      <c r="N2163" s="868">
        <f t="shared" si="571"/>
        <v>0</v>
      </c>
      <c r="O2163" s="880"/>
      <c r="P2163" s="36" t="str">
        <f>IF(N2159&gt;0,"xx",IF(N2159&gt;0,"xy",""))</f>
        <v/>
      </c>
      <c r="Q2163" s="317" t="str">
        <f t="shared" si="572"/>
        <v/>
      </c>
      <c r="R2163" s="317" t="str">
        <f t="shared" si="573"/>
        <v/>
      </c>
      <c r="S2163" s="317" t="str">
        <f t="shared" si="574"/>
        <v/>
      </c>
      <c r="V2163" s="314">
        <f>SUM(ORÇAMENTO!N2163)</f>
        <v>0</v>
      </c>
      <c r="W2163" s="315">
        <f t="shared" si="576"/>
        <v>0</v>
      </c>
    </row>
    <row r="2164" spans="1:23" hidden="1">
      <c r="A2164" s="63" t="s">
        <v>147</v>
      </c>
      <c r="B2164" s="870" t="s">
        <v>147</v>
      </c>
      <c r="C2164" s="871"/>
      <c r="D2164" s="881" t="s">
        <v>366</v>
      </c>
      <c r="E2164" s="882">
        <f>DMT!$D$18</f>
        <v>440</v>
      </c>
      <c r="F2164" s="883">
        <f>VLOOKUP(D2159,'ENSAIOS DE ORÇAMENTO'!$C$5:$L$81,10,FALSE)</f>
        <v>5.5723200000000001E-2</v>
      </c>
      <c r="G2164" s="884">
        <f>IF(E2164&lt;=30,(0.78*E2164+7.82)*F2164,((0.78*30+7.82)+0.78*(E2164-30))*F2164)</f>
        <v>19.559957664000002</v>
      </c>
      <c r="H2164" s="876"/>
      <c r="I2164" s="876"/>
      <c r="J2164" s="877">
        <f t="shared" si="582"/>
        <v>0</v>
      </c>
      <c r="K2164" s="878"/>
      <c r="L2164" s="1013">
        <f>ROUND(SUM(ORÇAMENTO!L2164),2)</f>
        <v>0</v>
      </c>
      <c r="M2164" s="1013">
        <f t="shared" si="570"/>
        <v>0</v>
      </c>
      <c r="N2164" s="868">
        <f t="shared" si="571"/>
        <v>0</v>
      </c>
      <c r="O2164" s="880"/>
      <c r="P2164" s="36" t="str">
        <f>IF(N2159&gt;0,"xx",IF(N2159&gt;0,"xy",""))</f>
        <v/>
      </c>
      <c r="Q2164" s="317" t="str">
        <f t="shared" si="572"/>
        <v/>
      </c>
      <c r="R2164" s="317" t="str">
        <f t="shared" si="573"/>
        <v/>
      </c>
      <c r="S2164" s="317" t="str">
        <f t="shared" si="574"/>
        <v/>
      </c>
      <c r="V2164" s="314">
        <f>SUM(ORÇAMENTO!N2164)</f>
        <v>0</v>
      </c>
      <c r="W2164" s="315">
        <f t="shared" si="576"/>
        <v>0</v>
      </c>
    </row>
    <row r="2165" spans="1:23" hidden="1">
      <c r="A2165" s="63" t="s">
        <v>26</v>
      </c>
      <c r="B2165" s="870" t="s">
        <v>26</v>
      </c>
      <c r="C2165" s="871" t="s">
        <v>184</v>
      </c>
      <c r="D2165" s="881" t="s">
        <v>84</v>
      </c>
      <c r="E2165" s="882"/>
      <c r="F2165" s="883"/>
      <c r="G2165" s="887">
        <f>SUM(G2166:G2170)</f>
        <v>609.25202985199996</v>
      </c>
      <c r="H2165" s="876">
        <v>3050.91</v>
      </c>
      <c r="I2165" s="876">
        <f>IF(ISBLANK(H2165),"",SUM(G2165:H2165))</f>
        <v>3660.1620298519997</v>
      </c>
      <c r="J2165" s="877">
        <f t="shared" si="582"/>
        <v>4473.45</v>
      </c>
      <c r="K2165" s="878" t="s">
        <v>15</v>
      </c>
      <c r="L2165" s="1013">
        <f>ROUND(SUM(ORÇAMENTO!L2165),2)</f>
        <v>0</v>
      </c>
      <c r="M2165" s="1013">
        <f t="shared" si="570"/>
        <v>0</v>
      </c>
      <c r="N2165" s="868">
        <f t="shared" si="571"/>
        <v>0</v>
      </c>
      <c r="O2165" s="880"/>
      <c r="Q2165" s="317" t="str">
        <f t="shared" si="572"/>
        <v/>
      </c>
      <c r="R2165" s="317" t="str">
        <f t="shared" si="573"/>
        <v/>
      </c>
      <c r="S2165" s="317" t="str">
        <f t="shared" si="574"/>
        <v/>
      </c>
      <c r="V2165" s="314">
        <f>SUM(ORÇAMENTO!N2165)</f>
        <v>0</v>
      </c>
      <c r="W2165" s="315">
        <f t="shared" si="576"/>
        <v>0</v>
      </c>
    </row>
    <row r="2166" spans="1:23" hidden="1">
      <c r="A2166" s="63" t="s">
        <v>147</v>
      </c>
      <c r="B2166" s="870" t="s">
        <v>147</v>
      </c>
      <c r="C2166" s="871"/>
      <c r="D2166" s="881" t="s">
        <v>190</v>
      </c>
      <c r="E2166" s="882">
        <f>DMT!$D$20</f>
        <v>445</v>
      </c>
      <c r="F2166" s="883">
        <f>VLOOKUP(D2165,'ENSAIOS DE ORÇAMENTO'!$C$5:$L$81,4,FALSE)</f>
        <v>0.23381399999999999</v>
      </c>
      <c r="G2166" s="884">
        <f>IF(E2166&lt;=30,(0.78*E2166+7.82)*F2166,((0.78*30+7.82)+0.78*(E2166-30))*F2166)</f>
        <v>82.985264880000003</v>
      </c>
      <c r="H2166" s="876"/>
      <c r="I2166" s="876"/>
      <c r="J2166" s="877">
        <f t="shared" si="582"/>
        <v>0</v>
      </c>
      <c r="K2166" s="878"/>
      <c r="L2166" s="1013">
        <f>ROUND(SUM(ORÇAMENTO!L2166),2)</f>
        <v>0</v>
      </c>
      <c r="M2166" s="1013">
        <f t="shared" si="570"/>
        <v>0</v>
      </c>
      <c r="N2166" s="868">
        <f t="shared" si="571"/>
        <v>0</v>
      </c>
      <c r="O2166" s="880"/>
      <c r="P2166" s="36" t="str">
        <f>IF(N2165&gt;0,"xx",IF(N2165&gt;0,"xy",""))</f>
        <v/>
      </c>
      <c r="Q2166" s="317" t="str">
        <f t="shared" si="572"/>
        <v/>
      </c>
      <c r="R2166" s="317" t="str">
        <f t="shared" si="573"/>
        <v/>
      </c>
      <c r="S2166" s="317" t="str">
        <f t="shared" si="574"/>
        <v/>
      </c>
      <c r="V2166" s="314">
        <f>SUM(ORÇAMENTO!N2166)</f>
        <v>0</v>
      </c>
      <c r="W2166" s="315">
        <f t="shared" si="576"/>
        <v>0</v>
      </c>
    </row>
    <row r="2167" spans="1:23" hidden="1">
      <c r="A2167" s="63" t="s">
        <v>147</v>
      </c>
      <c r="B2167" s="870" t="s">
        <v>147</v>
      </c>
      <c r="C2167" s="871"/>
      <c r="D2167" s="881" t="s">
        <v>229</v>
      </c>
      <c r="E2167" s="882">
        <f>DMT!$F$8</f>
        <v>290</v>
      </c>
      <c r="F2167" s="883">
        <f>VLOOKUP(D2165,'ENSAIOS DE ORÇAMENTO'!$C$5:$L$81,5,FALSE)</f>
        <v>1.324927</v>
      </c>
      <c r="G2167" s="923">
        <f t="shared" ref="G2167:G2169" si="585">IF(E2167&lt;=30,(1.07*E2167+2.68)*F2167,((1.07*30+2.68)+1.07*(E2167-30))*F2167)</f>
        <v>414.67565246000004</v>
      </c>
      <c r="H2167" s="876"/>
      <c r="I2167" s="876"/>
      <c r="J2167" s="877">
        <f t="shared" si="582"/>
        <v>0</v>
      </c>
      <c r="K2167" s="878"/>
      <c r="L2167" s="1013">
        <f>ROUND(SUM(ORÇAMENTO!L2167),2)</f>
        <v>0</v>
      </c>
      <c r="M2167" s="1013">
        <f t="shared" si="570"/>
        <v>0</v>
      </c>
      <c r="N2167" s="868">
        <f t="shared" si="571"/>
        <v>0</v>
      </c>
      <c r="O2167" s="880"/>
      <c r="P2167" s="36" t="str">
        <f>IF(N2165&gt;0,"xx",IF(N2165&gt;0,"xy",""))</f>
        <v/>
      </c>
      <c r="Q2167" s="317" t="str">
        <f t="shared" si="572"/>
        <v/>
      </c>
      <c r="R2167" s="317" t="str">
        <f t="shared" si="573"/>
        <v/>
      </c>
      <c r="S2167" s="317" t="str">
        <f t="shared" si="574"/>
        <v/>
      </c>
      <c r="V2167" s="314">
        <f>SUM(ORÇAMENTO!N2167)</f>
        <v>0</v>
      </c>
      <c r="W2167" s="315">
        <f t="shared" si="576"/>
        <v>0</v>
      </c>
    </row>
    <row r="2168" spans="1:23" hidden="1">
      <c r="A2168" s="63" t="s">
        <v>147</v>
      </c>
      <c r="B2168" s="870" t="s">
        <v>147</v>
      </c>
      <c r="C2168" s="871"/>
      <c r="D2168" s="881" t="s">
        <v>233</v>
      </c>
      <c r="E2168" s="882">
        <f>DMT!$F$10</f>
        <v>43.1</v>
      </c>
      <c r="F2168" s="883">
        <f>VLOOKUP(D2165,'ENSAIOS DE ORÇAMENTO'!$C$5:$L$81,6,FALSE)</f>
        <v>0.38805600000000001</v>
      </c>
      <c r="G2168" s="923">
        <f t="shared" si="585"/>
        <v>18.935968632000002</v>
      </c>
      <c r="H2168" s="876"/>
      <c r="I2168" s="876"/>
      <c r="J2168" s="877">
        <f t="shared" si="582"/>
        <v>0</v>
      </c>
      <c r="K2168" s="878"/>
      <c r="L2168" s="1013">
        <f>ROUND(SUM(ORÇAMENTO!L2168),2)</f>
        <v>0</v>
      </c>
      <c r="M2168" s="1013">
        <f t="shared" si="570"/>
        <v>0</v>
      </c>
      <c r="N2168" s="868">
        <f t="shared" si="571"/>
        <v>0</v>
      </c>
      <c r="O2168" s="880"/>
      <c r="P2168" s="36" t="str">
        <f>IF(N2165&gt;0,"xx",IF(N2165&gt;0,"xy",""))</f>
        <v/>
      </c>
      <c r="Q2168" s="317" t="str">
        <f t="shared" si="572"/>
        <v/>
      </c>
      <c r="R2168" s="317" t="str">
        <f t="shared" si="573"/>
        <v/>
      </c>
      <c r="S2168" s="317" t="str">
        <f t="shared" si="574"/>
        <v/>
      </c>
      <c r="V2168" s="314">
        <f>SUM(ORÇAMENTO!N2168)</f>
        <v>0</v>
      </c>
      <c r="W2168" s="315">
        <f t="shared" si="576"/>
        <v>0</v>
      </c>
    </row>
    <row r="2169" spans="1:23" hidden="1">
      <c r="A2169" s="63" t="s">
        <v>147</v>
      </c>
      <c r="B2169" s="870" t="s">
        <v>147</v>
      </c>
      <c r="C2169" s="871"/>
      <c r="D2169" s="881" t="s">
        <v>365</v>
      </c>
      <c r="E2169" s="882">
        <f>DMT!$F$32</f>
        <v>28</v>
      </c>
      <c r="F2169" s="883">
        <f>VLOOKUP(D2165,'ENSAIOS DE ORÇAMENTO'!$C$5:$L$81,3,FALSE)</f>
        <v>2.0896199999999996</v>
      </c>
      <c r="G2169" s="923">
        <f t="shared" si="585"/>
        <v>68.205196799999982</v>
      </c>
      <c r="H2169" s="876"/>
      <c r="I2169" s="876"/>
      <c r="J2169" s="877">
        <f t="shared" si="582"/>
        <v>0</v>
      </c>
      <c r="K2169" s="878"/>
      <c r="L2169" s="1013">
        <f>ROUND(SUM(ORÇAMENTO!L2169),2)</f>
        <v>0</v>
      </c>
      <c r="M2169" s="1013">
        <f t="shared" si="570"/>
        <v>0</v>
      </c>
      <c r="N2169" s="868">
        <f t="shared" si="571"/>
        <v>0</v>
      </c>
      <c r="O2169" s="880"/>
      <c r="P2169" s="36" t="str">
        <f>IF(N2165&gt;0,"xx",IF(N2165&gt;0,"xy",""))</f>
        <v/>
      </c>
      <c r="Q2169" s="317" t="str">
        <f t="shared" si="572"/>
        <v/>
      </c>
      <c r="R2169" s="317" t="str">
        <f t="shared" si="573"/>
        <v/>
      </c>
      <c r="S2169" s="317" t="str">
        <f t="shared" si="574"/>
        <v/>
      </c>
      <c r="V2169" s="314">
        <f>SUM(ORÇAMENTO!N2169)</f>
        <v>0</v>
      </c>
      <c r="W2169" s="315">
        <f t="shared" si="576"/>
        <v>0</v>
      </c>
    </row>
    <row r="2170" spans="1:23" hidden="1">
      <c r="A2170" s="63" t="s">
        <v>147</v>
      </c>
      <c r="B2170" s="870" t="s">
        <v>147</v>
      </c>
      <c r="C2170" s="871"/>
      <c r="D2170" s="881" t="s">
        <v>366</v>
      </c>
      <c r="E2170" s="882">
        <f>DMT!$D$18</f>
        <v>440</v>
      </c>
      <c r="F2170" s="883">
        <f>VLOOKUP(D2165,'ENSAIOS DE ORÇAMENTO'!$C$5:$L$81,10,FALSE)</f>
        <v>6.9653999999999994E-2</v>
      </c>
      <c r="G2170" s="884">
        <f>IF(E2170&lt;=30,(0.78*E2170+7.82)*F2170,((0.78*30+7.82)+0.78*(E2170-30))*F2170)</f>
        <v>24.449947080000001</v>
      </c>
      <c r="H2170" s="876"/>
      <c r="I2170" s="876"/>
      <c r="J2170" s="877">
        <f t="shared" si="582"/>
        <v>0</v>
      </c>
      <c r="K2170" s="878"/>
      <c r="L2170" s="1013">
        <f>ROUND(SUM(ORÇAMENTO!L2170),2)</f>
        <v>0</v>
      </c>
      <c r="M2170" s="1013">
        <f t="shared" si="570"/>
        <v>0</v>
      </c>
      <c r="N2170" s="868">
        <f t="shared" si="571"/>
        <v>0</v>
      </c>
      <c r="O2170" s="880"/>
      <c r="P2170" s="36" t="str">
        <f>IF(N2165&gt;0,"xx",IF(N2165&gt;0,"xy",""))</f>
        <v/>
      </c>
      <c r="Q2170" s="317" t="str">
        <f t="shared" si="572"/>
        <v/>
      </c>
      <c r="R2170" s="317" t="str">
        <f t="shared" si="573"/>
        <v/>
      </c>
      <c r="S2170" s="317" t="str">
        <f t="shared" si="574"/>
        <v/>
      </c>
      <c r="V2170" s="314">
        <f>SUM(ORÇAMENTO!N2170)</f>
        <v>0</v>
      </c>
      <c r="W2170" s="315">
        <f t="shared" si="576"/>
        <v>0</v>
      </c>
    </row>
    <row r="2171" spans="1:23" hidden="1">
      <c r="A2171" s="63" t="s">
        <v>99</v>
      </c>
      <c r="B2171" s="870" t="s">
        <v>99</v>
      </c>
      <c r="C2171" s="871" t="s">
        <v>184</v>
      </c>
      <c r="D2171" s="881" t="s">
        <v>85</v>
      </c>
      <c r="E2171" s="882"/>
      <c r="F2171" s="883"/>
      <c r="G2171" s="887">
        <f>SUM(G2172:G2176)</f>
        <v>758.20876071200007</v>
      </c>
      <c r="H2171" s="876">
        <v>3529.67</v>
      </c>
      <c r="I2171" s="876">
        <f>IF(ISBLANK(H2171),"",SUM(G2171:H2171))</f>
        <v>4287.8787607120003</v>
      </c>
      <c r="J2171" s="877">
        <f t="shared" si="582"/>
        <v>5240.6499999999996</v>
      </c>
      <c r="K2171" s="878" t="s">
        <v>15</v>
      </c>
      <c r="L2171" s="1013">
        <f>ROUND(SUM(ORÇAMENTO!L2171),2)</f>
        <v>0</v>
      </c>
      <c r="M2171" s="1013">
        <f t="shared" si="570"/>
        <v>0</v>
      </c>
      <c r="N2171" s="868">
        <f t="shared" si="571"/>
        <v>0</v>
      </c>
      <c r="O2171" s="880"/>
      <c r="Q2171" s="317" t="str">
        <f t="shared" si="572"/>
        <v/>
      </c>
      <c r="R2171" s="317" t="str">
        <f t="shared" si="573"/>
        <v/>
      </c>
      <c r="S2171" s="317" t="str">
        <f t="shared" si="574"/>
        <v/>
      </c>
      <c r="V2171" s="314">
        <f>SUM(ORÇAMENTO!N2171)</f>
        <v>0</v>
      </c>
      <c r="W2171" s="315">
        <f t="shared" si="576"/>
        <v>0</v>
      </c>
    </row>
    <row r="2172" spans="1:23" hidden="1">
      <c r="A2172" s="63" t="s">
        <v>147</v>
      </c>
      <c r="B2172" s="870" t="s">
        <v>147</v>
      </c>
      <c r="C2172" s="871"/>
      <c r="D2172" s="881" t="s">
        <v>190</v>
      </c>
      <c r="E2172" s="882">
        <f>DMT!$D$20</f>
        <v>445</v>
      </c>
      <c r="F2172" s="883">
        <f>VLOOKUP(D2171,'ENSAIOS DE ORÇAMENTO'!$C$5:$L$81,4,FALSE)</f>
        <v>0.28185359999999998</v>
      </c>
      <c r="G2172" s="884">
        <f>IF(E2172&lt;=30,(0.78*E2172+7.82)*F2172,((0.78*30+7.82)+0.78*(E2172-30))*F2172)</f>
        <v>100.035479712</v>
      </c>
      <c r="H2172" s="876"/>
      <c r="I2172" s="876"/>
      <c r="J2172" s="877">
        <f t="shared" si="582"/>
        <v>0</v>
      </c>
      <c r="K2172" s="878"/>
      <c r="L2172" s="1013">
        <f>ROUND(SUM(ORÇAMENTO!L2172),2)</f>
        <v>0</v>
      </c>
      <c r="M2172" s="1013">
        <f t="shared" si="570"/>
        <v>0</v>
      </c>
      <c r="N2172" s="868">
        <f t="shared" si="571"/>
        <v>0</v>
      </c>
      <c r="O2172" s="880"/>
      <c r="P2172" s="36" t="str">
        <f>IF(N2171&gt;0,"xx",IF(N2171&gt;0,"xy",""))</f>
        <v/>
      </c>
      <c r="Q2172" s="317" t="str">
        <f t="shared" si="572"/>
        <v/>
      </c>
      <c r="R2172" s="317" t="str">
        <f t="shared" si="573"/>
        <v/>
      </c>
      <c r="S2172" s="317" t="str">
        <f t="shared" si="574"/>
        <v/>
      </c>
      <c r="V2172" s="314">
        <f>SUM(ORÇAMENTO!N2172)</f>
        <v>0</v>
      </c>
      <c r="W2172" s="315">
        <f t="shared" si="576"/>
        <v>0</v>
      </c>
    </row>
    <row r="2173" spans="1:23" hidden="1">
      <c r="A2173" s="63" t="s">
        <v>147</v>
      </c>
      <c r="B2173" s="870" t="s">
        <v>147</v>
      </c>
      <c r="C2173" s="871"/>
      <c r="D2173" s="881" t="s">
        <v>229</v>
      </c>
      <c r="E2173" s="882">
        <f>DMT!$F$8</f>
        <v>290</v>
      </c>
      <c r="F2173" s="883">
        <f>VLOOKUP(D2171,'ENSAIOS DE ORÇAMENTO'!$C$5:$L$81,5,FALSE)</f>
        <v>1.6484590000000001</v>
      </c>
      <c r="G2173" s="923">
        <f t="shared" ref="G2173:G2175" si="586">IF(E2173&lt;=30,(1.07*E2173+2.68)*F2173,((1.07*30+2.68)+1.07*(E2173-30))*F2173)</f>
        <v>515.93469782000011</v>
      </c>
      <c r="H2173" s="876"/>
      <c r="I2173" s="876"/>
      <c r="J2173" s="877">
        <f t="shared" si="582"/>
        <v>0</v>
      </c>
      <c r="K2173" s="878"/>
      <c r="L2173" s="1013">
        <f>ROUND(SUM(ORÇAMENTO!L2173),2)</f>
        <v>0</v>
      </c>
      <c r="M2173" s="1013">
        <f t="shared" si="570"/>
        <v>0</v>
      </c>
      <c r="N2173" s="868">
        <f t="shared" si="571"/>
        <v>0</v>
      </c>
      <c r="O2173" s="880"/>
      <c r="P2173" s="36" t="str">
        <f>IF(N2171&gt;0,"xx",IF(N2171&gt;0,"xy",""))</f>
        <v/>
      </c>
      <c r="Q2173" s="317" t="str">
        <f t="shared" si="572"/>
        <v/>
      </c>
      <c r="R2173" s="317" t="str">
        <f t="shared" si="573"/>
        <v/>
      </c>
      <c r="S2173" s="317" t="str">
        <f t="shared" si="574"/>
        <v/>
      </c>
      <c r="V2173" s="314">
        <f>SUM(ORÇAMENTO!N2173)</f>
        <v>0</v>
      </c>
      <c r="W2173" s="315">
        <f t="shared" si="576"/>
        <v>0</v>
      </c>
    </row>
    <row r="2174" spans="1:23" hidden="1">
      <c r="A2174" s="63" t="s">
        <v>147</v>
      </c>
      <c r="B2174" s="870" t="s">
        <v>147</v>
      </c>
      <c r="C2174" s="871"/>
      <c r="D2174" s="881" t="s">
        <v>233</v>
      </c>
      <c r="E2174" s="882">
        <f>DMT!$F$10</f>
        <v>43.1</v>
      </c>
      <c r="F2174" s="883">
        <f>VLOOKUP(D2171,'ENSAIOS DE ORÇAMENTO'!$C$5:$L$81,6,FALSE)</f>
        <v>0.38805600000000001</v>
      </c>
      <c r="G2174" s="923">
        <f t="shared" si="586"/>
        <v>18.935968632000002</v>
      </c>
      <c r="H2174" s="876"/>
      <c r="I2174" s="876"/>
      <c r="J2174" s="877">
        <f t="shared" si="582"/>
        <v>0</v>
      </c>
      <c r="K2174" s="878"/>
      <c r="L2174" s="1013">
        <f>ROUND(SUM(ORÇAMENTO!L2174),2)</f>
        <v>0</v>
      </c>
      <c r="M2174" s="1013">
        <f t="shared" si="570"/>
        <v>0</v>
      </c>
      <c r="N2174" s="868">
        <f t="shared" si="571"/>
        <v>0</v>
      </c>
      <c r="O2174" s="880"/>
      <c r="P2174" s="36" t="str">
        <f>IF(N2171&gt;0,"xx",IF(N2171&gt;0,"xy",""))</f>
        <v/>
      </c>
      <c r="Q2174" s="317" t="str">
        <f t="shared" si="572"/>
        <v/>
      </c>
      <c r="R2174" s="317" t="str">
        <f t="shared" si="573"/>
        <v/>
      </c>
      <c r="S2174" s="317" t="str">
        <f t="shared" si="574"/>
        <v/>
      </c>
      <c r="V2174" s="314">
        <f>SUM(ORÇAMENTO!N2174)</f>
        <v>0</v>
      </c>
      <c r="W2174" s="315">
        <f t="shared" si="576"/>
        <v>0</v>
      </c>
    </row>
    <row r="2175" spans="1:23" hidden="1">
      <c r="A2175" s="63" t="s">
        <v>147</v>
      </c>
      <c r="B2175" s="870" t="s">
        <v>147</v>
      </c>
      <c r="C2175" s="871"/>
      <c r="D2175" s="881" t="s">
        <v>365</v>
      </c>
      <c r="E2175" s="882">
        <f>DMT!$F$32</f>
        <v>28</v>
      </c>
      <c r="F2175" s="883">
        <f>VLOOKUP(D2171,'ENSAIOS DE ORÇAMENTO'!$C$5:$L$81,3,FALSE)</f>
        <v>2.780802</v>
      </c>
      <c r="G2175" s="923">
        <f t="shared" si="586"/>
        <v>90.765377279999996</v>
      </c>
      <c r="H2175" s="876"/>
      <c r="I2175" s="876"/>
      <c r="J2175" s="877">
        <f t="shared" si="582"/>
        <v>0</v>
      </c>
      <c r="K2175" s="878"/>
      <c r="L2175" s="1013">
        <f>ROUND(SUM(ORÇAMENTO!L2175),2)</f>
        <v>0</v>
      </c>
      <c r="M2175" s="1013">
        <f t="shared" si="570"/>
        <v>0</v>
      </c>
      <c r="N2175" s="868">
        <f t="shared" si="571"/>
        <v>0</v>
      </c>
      <c r="O2175" s="880"/>
      <c r="P2175" s="36" t="str">
        <f>IF(N2171&gt;0,"xx",IF(N2171&gt;0,"xy",""))</f>
        <v/>
      </c>
      <c r="Q2175" s="317" t="str">
        <f t="shared" si="572"/>
        <v/>
      </c>
      <c r="R2175" s="317" t="str">
        <f t="shared" si="573"/>
        <v/>
      </c>
      <c r="S2175" s="317" t="str">
        <f t="shared" si="574"/>
        <v/>
      </c>
      <c r="V2175" s="314">
        <f>SUM(ORÇAMENTO!N2175)</f>
        <v>0</v>
      </c>
      <c r="W2175" s="315">
        <f t="shared" si="576"/>
        <v>0</v>
      </c>
    </row>
    <row r="2176" spans="1:23" hidden="1">
      <c r="A2176" s="63" t="s">
        <v>147</v>
      </c>
      <c r="B2176" s="870" t="s">
        <v>147</v>
      </c>
      <c r="C2176" s="871"/>
      <c r="D2176" s="881" t="s">
        <v>366</v>
      </c>
      <c r="E2176" s="882">
        <f>DMT!$D$18</f>
        <v>440</v>
      </c>
      <c r="F2176" s="883">
        <f>VLOOKUP(D2171,'ENSAIOS DE ORÇAMENTO'!$C$5:$L$81,10,FALSE)</f>
        <v>9.2693399999999995E-2</v>
      </c>
      <c r="G2176" s="884">
        <f>IF(E2176&lt;=30,(0.78*E2176+7.82)*F2176,((0.78*30+7.82)+0.78*(E2176-30))*F2176)</f>
        <v>32.537237267999998</v>
      </c>
      <c r="H2176" s="876"/>
      <c r="I2176" s="876"/>
      <c r="J2176" s="877">
        <f t="shared" si="582"/>
        <v>0</v>
      </c>
      <c r="K2176" s="878"/>
      <c r="L2176" s="1013">
        <f>ROUND(SUM(ORÇAMENTO!L2176),2)</f>
        <v>0</v>
      </c>
      <c r="M2176" s="1013">
        <f t="shared" si="570"/>
        <v>0</v>
      </c>
      <c r="N2176" s="868">
        <f t="shared" si="571"/>
        <v>0</v>
      </c>
      <c r="O2176" s="880"/>
      <c r="P2176" s="36" t="str">
        <f>IF(N2171&gt;0,"xx",IF(N2171&gt;0,"xy",""))</f>
        <v/>
      </c>
      <c r="Q2176" s="317" t="str">
        <f t="shared" si="572"/>
        <v/>
      </c>
      <c r="R2176" s="317" t="str">
        <f t="shared" si="573"/>
        <v/>
      </c>
      <c r="S2176" s="317" t="str">
        <f t="shared" si="574"/>
        <v/>
      </c>
      <c r="V2176" s="314">
        <f>SUM(ORÇAMENTO!N2176)</f>
        <v>0</v>
      </c>
      <c r="W2176" s="315">
        <f t="shared" si="576"/>
        <v>0</v>
      </c>
    </row>
    <row r="2177" spans="1:23" hidden="1">
      <c r="A2177" s="63" t="s">
        <v>100</v>
      </c>
      <c r="B2177" s="870" t="s">
        <v>100</v>
      </c>
      <c r="C2177" s="871" t="s">
        <v>184</v>
      </c>
      <c r="D2177" s="881" t="s">
        <v>86</v>
      </c>
      <c r="E2177" s="882"/>
      <c r="F2177" s="883"/>
      <c r="G2177" s="887">
        <f>SUM(G2178:G2182)</f>
        <v>910.62960159199997</v>
      </c>
      <c r="H2177" s="876">
        <v>4019.56</v>
      </c>
      <c r="I2177" s="876">
        <f>IF(ISBLANK(H2177),"",SUM(G2177:H2177))</f>
        <v>4930.1896015920001</v>
      </c>
      <c r="J2177" s="877">
        <f t="shared" si="582"/>
        <v>6025.68</v>
      </c>
      <c r="K2177" s="878" t="s">
        <v>15</v>
      </c>
      <c r="L2177" s="1013">
        <f>ROUND(SUM(ORÇAMENTO!L2177),2)</f>
        <v>0</v>
      </c>
      <c r="M2177" s="1013">
        <f t="shared" si="570"/>
        <v>0</v>
      </c>
      <c r="N2177" s="868">
        <f t="shared" si="571"/>
        <v>0</v>
      </c>
      <c r="O2177" s="880"/>
      <c r="Q2177" s="317" t="str">
        <f t="shared" si="572"/>
        <v/>
      </c>
      <c r="R2177" s="317" t="str">
        <f t="shared" si="573"/>
        <v/>
      </c>
      <c r="S2177" s="317" t="str">
        <f t="shared" si="574"/>
        <v/>
      </c>
      <c r="V2177" s="314">
        <f>SUM(ORÇAMENTO!N2177)</f>
        <v>0</v>
      </c>
      <c r="W2177" s="315">
        <f t="shared" si="576"/>
        <v>0</v>
      </c>
    </row>
    <row r="2178" spans="1:23" hidden="1">
      <c r="A2178" s="63" t="s">
        <v>147</v>
      </c>
      <c r="B2178" s="870" t="s">
        <v>147</v>
      </c>
      <c r="C2178" s="871"/>
      <c r="D2178" s="881" t="s">
        <v>190</v>
      </c>
      <c r="E2178" s="882">
        <f>DMT!$D$20</f>
        <v>445</v>
      </c>
      <c r="F2178" s="883">
        <f>VLOOKUP(D2177,'ENSAIOS DE ORÇAMENTO'!$C$5:$L$81,4,FALSE)</f>
        <v>0.33101039999999993</v>
      </c>
      <c r="G2178" s="884">
        <f>IF(E2178&lt;=30,(0.78*E2178+7.82)*F2178,((0.78*30+7.82)+0.78*(E2178-30))*F2178)</f>
        <v>117.48221116799998</v>
      </c>
      <c r="H2178" s="876"/>
      <c r="I2178" s="876"/>
      <c r="J2178" s="877">
        <f t="shared" si="582"/>
        <v>0</v>
      </c>
      <c r="K2178" s="878"/>
      <c r="L2178" s="1013">
        <f>ROUND(SUM(ORÇAMENTO!L2178),2)</f>
        <v>0</v>
      </c>
      <c r="M2178" s="1013">
        <f t="shared" si="570"/>
        <v>0</v>
      </c>
      <c r="N2178" s="868">
        <f t="shared" si="571"/>
        <v>0</v>
      </c>
      <c r="O2178" s="880"/>
      <c r="P2178" s="36" t="str">
        <f>IF(N2177&gt;0,"xx",IF(N2177&gt;0,"xy",""))</f>
        <v/>
      </c>
      <c r="Q2178" s="317" t="str">
        <f t="shared" ref="Q2178:Q2225" si="587">IF(P2178="X","x",IF(P2178="xx","x",IF(P2178="xy","x",IF(P2178="y","x",IF(OR(N2178&gt;0,N2178&gt;0),"x","")))))</f>
        <v/>
      </c>
      <c r="R2178" s="317" t="str">
        <f t="shared" ref="R2178:R2225" si="588">IF(P2178="X","x",IF(P2178="y","x",IF(P2178="xx","x",IF(N2178&gt;0,"x",""))))</f>
        <v/>
      </c>
      <c r="S2178" s="317" t="str">
        <f t="shared" ref="S2178:S2225" si="589">IF(P2178="X","x",IF(N2178&gt;0,"x",""))</f>
        <v/>
      </c>
      <c r="V2178" s="314">
        <f>SUM(ORÇAMENTO!N2178)</f>
        <v>0</v>
      </c>
      <c r="W2178" s="315">
        <f t="shared" si="576"/>
        <v>0</v>
      </c>
    </row>
    <row r="2179" spans="1:23" hidden="1">
      <c r="A2179" s="63" t="s">
        <v>147</v>
      </c>
      <c r="B2179" s="870" t="s">
        <v>147</v>
      </c>
      <c r="C2179" s="871"/>
      <c r="D2179" s="881" t="s">
        <v>229</v>
      </c>
      <c r="E2179" s="882">
        <f>DMT!$F$8</f>
        <v>290</v>
      </c>
      <c r="F2179" s="883">
        <f>VLOOKUP(D2177,'ENSAIOS DE ORÇAMENTO'!$C$5:$L$81,5,FALSE)</f>
        <v>1.9795149999999999</v>
      </c>
      <c r="G2179" s="923">
        <f t="shared" ref="G2179:G2181" si="590">IF(E2179&lt;=30,(1.07*E2179+2.68)*F2179,((1.07*30+2.68)+1.07*(E2179-30))*F2179)</f>
        <v>619.54860470000006</v>
      </c>
      <c r="H2179" s="876"/>
      <c r="I2179" s="876"/>
      <c r="J2179" s="877">
        <f t="shared" si="582"/>
        <v>0</v>
      </c>
      <c r="K2179" s="878"/>
      <c r="L2179" s="1013">
        <f>ROUND(SUM(ORÇAMENTO!L2179),2)</f>
        <v>0</v>
      </c>
      <c r="M2179" s="1013">
        <f t="shared" si="570"/>
        <v>0</v>
      </c>
      <c r="N2179" s="868">
        <f t="shared" si="571"/>
        <v>0</v>
      </c>
      <c r="O2179" s="880"/>
      <c r="P2179" s="36" t="str">
        <f>IF(N2177&gt;0,"xx",IF(N2177&gt;0,"xy",""))</f>
        <v/>
      </c>
      <c r="Q2179" s="317" t="str">
        <f t="shared" si="587"/>
        <v/>
      </c>
      <c r="R2179" s="317" t="str">
        <f t="shared" si="588"/>
        <v/>
      </c>
      <c r="S2179" s="317" t="str">
        <f t="shared" si="589"/>
        <v/>
      </c>
      <c r="V2179" s="314">
        <f>SUM(ORÇAMENTO!N2179)</f>
        <v>0</v>
      </c>
      <c r="W2179" s="315">
        <f t="shared" si="576"/>
        <v>0</v>
      </c>
    </row>
    <row r="2180" spans="1:23" hidden="1">
      <c r="A2180" s="63" t="s">
        <v>147</v>
      </c>
      <c r="B2180" s="870" t="s">
        <v>147</v>
      </c>
      <c r="C2180" s="871"/>
      <c r="D2180" s="881" t="s">
        <v>233</v>
      </c>
      <c r="E2180" s="882">
        <f>DMT!$F$10</f>
        <v>43.1</v>
      </c>
      <c r="F2180" s="883">
        <f>VLOOKUP(D2177,'ENSAIOS DE ORÇAMENTO'!$C$5:$L$81,6,FALSE)</f>
        <v>0.38805600000000001</v>
      </c>
      <c r="G2180" s="923">
        <f t="shared" si="590"/>
        <v>18.935968632000002</v>
      </c>
      <c r="H2180" s="876"/>
      <c r="I2180" s="876"/>
      <c r="J2180" s="877">
        <f t="shared" si="582"/>
        <v>0</v>
      </c>
      <c r="K2180" s="878"/>
      <c r="L2180" s="1013">
        <f>ROUND(SUM(ORÇAMENTO!L2180),2)</f>
        <v>0</v>
      </c>
      <c r="M2180" s="1013">
        <f t="shared" si="570"/>
        <v>0</v>
      </c>
      <c r="N2180" s="868">
        <f t="shared" si="571"/>
        <v>0</v>
      </c>
      <c r="O2180" s="880"/>
      <c r="P2180" s="36" t="str">
        <f>IF(N2177&gt;0,"xx",IF(N2177&gt;0,"xy",""))</f>
        <v/>
      </c>
      <c r="Q2180" s="317" t="str">
        <f t="shared" si="587"/>
        <v/>
      </c>
      <c r="R2180" s="317" t="str">
        <f t="shared" si="588"/>
        <v/>
      </c>
      <c r="S2180" s="317" t="str">
        <f t="shared" si="589"/>
        <v/>
      </c>
      <c r="V2180" s="314">
        <f>SUM(ORÇAMENTO!N2180)</f>
        <v>0</v>
      </c>
      <c r="W2180" s="315">
        <f t="shared" si="576"/>
        <v>0</v>
      </c>
    </row>
    <row r="2181" spans="1:23" hidden="1">
      <c r="A2181" s="63" t="s">
        <v>147</v>
      </c>
      <c r="B2181" s="870" t="s">
        <v>147</v>
      </c>
      <c r="C2181" s="871"/>
      <c r="D2181" s="881" t="s">
        <v>365</v>
      </c>
      <c r="E2181" s="882">
        <f>DMT!$F$32</f>
        <v>28</v>
      </c>
      <c r="F2181" s="883">
        <f>VLOOKUP(D2177,'ENSAIOS DE ORÇAMENTO'!$C$5:$L$81,3,FALSE)</f>
        <v>3.4880579999999992</v>
      </c>
      <c r="G2181" s="923">
        <f t="shared" si="590"/>
        <v>113.85021311999998</v>
      </c>
      <c r="H2181" s="876"/>
      <c r="I2181" s="876"/>
      <c r="J2181" s="877">
        <f t="shared" si="582"/>
        <v>0</v>
      </c>
      <c r="K2181" s="878"/>
      <c r="L2181" s="1013">
        <f>ROUND(SUM(ORÇAMENTO!L2181),2)</f>
        <v>0</v>
      </c>
      <c r="M2181" s="1013">
        <f t="shared" si="570"/>
        <v>0</v>
      </c>
      <c r="N2181" s="868">
        <f t="shared" si="571"/>
        <v>0</v>
      </c>
      <c r="O2181" s="880"/>
      <c r="P2181" s="36" t="str">
        <f>IF(N2177&gt;0,"xx",IF(N2177&gt;0,"xy",""))</f>
        <v/>
      </c>
      <c r="Q2181" s="317" t="str">
        <f t="shared" si="587"/>
        <v/>
      </c>
      <c r="R2181" s="317" t="str">
        <f t="shared" si="588"/>
        <v/>
      </c>
      <c r="S2181" s="317" t="str">
        <f t="shared" si="589"/>
        <v/>
      </c>
      <c r="V2181" s="314">
        <f>SUM(ORÇAMENTO!N2181)</f>
        <v>0</v>
      </c>
      <c r="W2181" s="315">
        <f t="shared" si="576"/>
        <v>0</v>
      </c>
    </row>
    <row r="2182" spans="1:23" hidden="1">
      <c r="A2182" s="63" t="s">
        <v>147</v>
      </c>
      <c r="B2182" s="870" t="s">
        <v>147</v>
      </c>
      <c r="C2182" s="871"/>
      <c r="D2182" s="881" t="s">
        <v>366</v>
      </c>
      <c r="E2182" s="882">
        <f>DMT!$D$18</f>
        <v>440</v>
      </c>
      <c r="F2182" s="883">
        <f>VLOOKUP(D2177,'ENSAIOS DE ORÇAMENTO'!$C$5:$L$81,10,FALSE)</f>
        <v>0.11626859999999997</v>
      </c>
      <c r="G2182" s="884">
        <f>IF(E2182&lt;=30,(0.78*E2182+7.82)*F2182,((0.78*30+7.82)+0.78*(E2182-30))*F2182)</f>
        <v>40.812603971999998</v>
      </c>
      <c r="H2182" s="876"/>
      <c r="I2182" s="876"/>
      <c r="J2182" s="877">
        <f t="shared" si="582"/>
        <v>0</v>
      </c>
      <c r="K2182" s="878"/>
      <c r="L2182" s="1013">
        <f>ROUND(SUM(ORÇAMENTO!L2182),2)</f>
        <v>0</v>
      </c>
      <c r="M2182" s="1013">
        <f t="shared" si="570"/>
        <v>0</v>
      </c>
      <c r="N2182" s="868">
        <f t="shared" si="571"/>
        <v>0</v>
      </c>
      <c r="O2182" s="880"/>
      <c r="P2182" s="36" t="str">
        <f>IF(N2177&gt;0,"xx",IF(N2177&gt;0,"xy",""))</f>
        <v/>
      </c>
      <c r="Q2182" s="317" t="str">
        <f t="shared" si="587"/>
        <v/>
      </c>
      <c r="R2182" s="317" t="str">
        <f t="shared" si="588"/>
        <v/>
      </c>
      <c r="S2182" s="317" t="str">
        <f t="shared" si="589"/>
        <v/>
      </c>
      <c r="V2182" s="314">
        <f>SUM(ORÇAMENTO!N2182)</f>
        <v>0</v>
      </c>
      <c r="W2182" s="315">
        <f t="shared" si="576"/>
        <v>0</v>
      </c>
    </row>
    <row r="2183" spans="1:23" hidden="1">
      <c r="A2183" s="63" t="s">
        <v>101</v>
      </c>
      <c r="B2183" s="870" t="s">
        <v>101</v>
      </c>
      <c r="C2183" s="871" t="s">
        <v>184</v>
      </c>
      <c r="D2183" s="881" t="s">
        <v>371</v>
      </c>
      <c r="E2183" s="882"/>
      <c r="F2183" s="883"/>
      <c r="G2183" s="887">
        <f>SUM(G2184:G2186)</f>
        <v>1187.1336388460002</v>
      </c>
      <c r="H2183" s="876">
        <v>2212.59</v>
      </c>
      <c r="I2183" s="876">
        <f>IF(ISBLANK(H2183),"",SUM(G2183:H2183))</f>
        <v>3399.7236388460005</v>
      </c>
      <c r="J2183" s="877">
        <f t="shared" si="582"/>
        <v>4155.1400000000003</v>
      </c>
      <c r="K2183" s="878" t="s">
        <v>15</v>
      </c>
      <c r="L2183" s="1013">
        <f>ROUND(SUM(ORÇAMENTO!L2183),2)</f>
        <v>0</v>
      </c>
      <c r="M2183" s="1013">
        <f t="shared" si="570"/>
        <v>0</v>
      </c>
      <c r="N2183" s="868">
        <f t="shared" si="571"/>
        <v>0</v>
      </c>
      <c r="O2183" s="880"/>
      <c r="Q2183" s="317" t="str">
        <f t="shared" si="587"/>
        <v/>
      </c>
      <c r="R2183" s="317" t="str">
        <f t="shared" si="588"/>
        <v/>
      </c>
      <c r="S2183" s="317" t="str">
        <f t="shared" si="589"/>
        <v/>
      </c>
      <c r="V2183" s="314">
        <f>SUM(ORÇAMENTO!N2183)</f>
        <v>0</v>
      </c>
      <c r="W2183" s="315">
        <f t="shared" si="576"/>
        <v>0</v>
      </c>
    </row>
    <row r="2184" spans="1:23" hidden="1">
      <c r="A2184" s="63" t="s">
        <v>147</v>
      </c>
      <c r="B2184" s="870" t="s">
        <v>147</v>
      </c>
      <c r="C2184" s="871"/>
      <c r="D2184" s="881" t="s">
        <v>190</v>
      </c>
      <c r="E2184" s="882">
        <f>DMT!$D$20</f>
        <v>445</v>
      </c>
      <c r="F2184" s="883">
        <f>VLOOKUP(D2183,'ENSAIOS DE ORÇAMENTO'!$C$5:$L$81,4,FALSE)</f>
        <v>0.82205400000000006</v>
      </c>
      <c r="G2184" s="884">
        <f>IF(E2184&lt;=30,(0.78*E2184+7.82)*F2184,((0.78*30+7.82)+0.78*(E2184-30))*F2184)</f>
        <v>291.76340568000006</v>
      </c>
      <c r="H2184" s="876"/>
      <c r="I2184" s="876"/>
      <c r="J2184" s="877">
        <f t="shared" si="582"/>
        <v>0</v>
      </c>
      <c r="K2184" s="878"/>
      <c r="L2184" s="1013">
        <f>ROUND(SUM(ORÇAMENTO!L2184),2)</f>
        <v>0</v>
      </c>
      <c r="M2184" s="1013">
        <f t="shared" si="570"/>
        <v>0</v>
      </c>
      <c r="N2184" s="868">
        <f t="shared" si="571"/>
        <v>0</v>
      </c>
      <c r="O2184" s="880"/>
      <c r="P2184" s="36" t="str">
        <f>IF(N2183&gt;0,"xx",IF(N2183&gt;0,"xy",""))</f>
        <v/>
      </c>
      <c r="Q2184" s="317" t="str">
        <f t="shared" si="587"/>
        <v/>
      </c>
      <c r="R2184" s="317" t="str">
        <f t="shared" si="588"/>
        <v/>
      </c>
      <c r="S2184" s="317" t="str">
        <f t="shared" si="589"/>
        <v/>
      </c>
      <c r="V2184" s="314">
        <f>SUM(ORÇAMENTO!N2184)</f>
        <v>0</v>
      </c>
      <c r="W2184" s="315">
        <f t="shared" si="576"/>
        <v>0</v>
      </c>
    </row>
    <row r="2185" spans="1:23" hidden="1">
      <c r="A2185" s="63" t="s">
        <v>147</v>
      </c>
      <c r="B2185" s="870" t="s">
        <v>147</v>
      </c>
      <c r="C2185" s="871"/>
      <c r="D2185" s="881" t="s">
        <v>229</v>
      </c>
      <c r="E2185" s="882">
        <f>DMT!$F$8</f>
        <v>290</v>
      </c>
      <c r="F2185" s="883">
        <f>VLOOKUP(D2183,'ENSAIOS DE ORÇAMENTO'!$C$5:$L$81,5,FALSE)</f>
        <v>2.4129430000000003</v>
      </c>
      <c r="G2185" s="923">
        <f t="shared" ref="G2185:G2186" si="591">IF(E2185&lt;=30,(1.07*E2185+2.68)*F2185,((1.07*30+2.68)+1.07*(E2185-30))*F2185)</f>
        <v>755.20290014000011</v>
      </c>
      <c r="H2185" s="876"/>
      <c r="I2185" s="876"/>
      <c r="J2185" s="877">
        <f t="shared" si="582"/>
        <v>0</v>
      </c>
      <c r="K2185" s="878"/>
      <c r="L2185" s="1013">
        <f>ROUND(SUM(ORÇAMENTO!L2185),2)</f>
        <v>0</v>
      </c>
      <c r="M2185" s="1013">
        <f t="shared" si="570"/>
        <v>0</v>
      </c>
      <c r="N2185" s="868">
        <f t="shared" si="571"/>
        <v>0</v>
      </c>
      <c r="O2185" s="880"/>
      <c r="P2185" s="36" t="str">
        <f>IF(N2183&gt;0,"xx",IF(N2183&gt;0,"xy",""))</f>
        <v/>
      </c>
      <c r="Q2185" s="317" t="str">
        <f t="shared" si="587"/>
        <v/>
      </c>
      <c r="R2185" s="317" t="str">
        <f t="shared" si="588"/>
        <v/>
      </c>
      <c r="S2185" s="317" t="str">
        <f t="shared" si="589"/>
        <v/>
      </c>
      <c r="V2185" s="314">
        <f>SUM(ORÇAMENTO!N2185)</f>
        <v>0</v>
      </c>
      <c r="W2185" s="315">
        <f t="shared" si="576"/>
        <v>0</v>
      </c>
    </row>
    <row r="2186" spans="1:23" hidden="1">
      <c r="A2186" s="63" t="s">
        <v>147</v>
      </c>
      <c r="B2186" s="870" t="s">
        <v>147</v>
      </c>
      <c r="C2186" s="871"/>
      <c r="D2186" s="881" t="s">
        <v>233</v>
      </c>
      <c r="E2186" s="882">
        <f>DMT!$F$10</f>
        <v>43.1</v>
      </c>
      <c r="F2186" s="883">
        <f>VLOOKUP(D2183,'ENSAIOS DE ORÇAMENTO'!$C$5:$L$81,6,FALSE)</f>
        <v>2.8724580000000004</v>
      </c>
      <c r="G2186" s="923">
        <f t="shared" si="591"/>
        <v>140.16733302600002</v>
      </c>
      <c r="H2186" s="876"/>
      <c r="I2186" s="876"/>
      <c r="J2186" s="877">
        <f t="shared" si="582"/>
        <v>0</v>
      </c>
      <c r="K2186" s="878"/>
      <c r="L2186" s="1013">
        <f>ROUND(SUM(ORÇAMENTO!L2186),2)</f>
        <v>0</v>
      </c>
      <c r="M2186" s="1013">
        <f t="shared" si="570"/>
        <v>0</v>
      </c>
      <c r="N2186" s="868">
        <f t="shared" si="571"/>
        <v>0</v>
      </c>
      <c r="O2186" s="880"/>
      <c r="P2186" s="36" t="str">
        <f>IF(N2183&gt;0,"xx",IF(N2183&gt;0,"xy",""))</f>
        <v/>
      </c>
      <c r="Q2186" s="317" t="str">
        <f t="shared" si="587"/>
        <v/>
      </c>
      <c r="R2186" s="317" t="str">
        <f t="shared" si="588"/>
        <v/>
      </c>
      <c r="S2186" s="317" t="str">
        <f t="shared" si="589"/>
        <v/>
      </c>
      <c r="V2186" s="314">
        <f>SUM(ORÇAMENTO!N2186)</f>
        <v>0</v>
      </c>
      <c r="W2186" s="315">
        <f t="shared" si="576"/>
        <v>0</v>
      </c>
    </row>
    <row r="2187" spans="1:23" hidden="1">
      <c r="A2187" s="63" t="s">
        <v>102</v>
      </c>
      <c r="B2187" s="870" t="s">
        <v>102</v>
      </c>
      <c r="C2187" s="871" t="s">
        <v>184</v>
      </c>
      <c r="D2187" s="881" t="s">
        <v>372</v>
      </c>
      <c r="E2187" s="882"/>
      <c r="F2187" s="883"/>
      <c r="G2187" s="887">
        <f>SUM(G2188:G2190)</f>
        <v>1475.2670057960001</v>
      </c>
      <c r="H2187" s="876">
        <v>2568.52</v>
      </c>
      <c r="I2187" s="876">
        <f>IF(ISBLANK(H2187),"",SUM(G2187:H2187))</f>
        <v>4043.7870057959999</v>
      </c>
      <c r="J2187" s="877">
        <f t="shared" si="582"/>
        <v>4942.32</v>
      </c>
      <c r="K2187" s="878" t="s">
        <v>15</v>
      </c>
      <c r="L2187" s="1013">
        <f>ROUND(SUM(ORÇAMENTO!L2187),2)</f>
        <v>0</v>
      </c>
      <c r="M2187" s="1013">
        <f t="shared" si="570"/>
        <v>0</v>
      </c>
      <c r="N2187" s="868">
        <f t="shared" si="571"/>
        <v>0</v>
      </c>
      <c r="O2187" s="880"/>
      <c r="Q2187" s="317" t="str">
        <f t="shared" si="587"/>
        <v/>
      </c>
      <c r="R2187" s="317" t="str">
        <f t="shared" si="588"/>
        <v/>
      </c>
      <c r="S2187" s="317" t="str">
        <f t="shared" si="589"/>
        <v/>
      </c>
      <c r="V2187" s="314">
        <f>SUM(ORÇAMENTO!N2187)</f>
        <v>0</v>
      </c>
      <c r="W2187" s="315">
        <f t="shared" si="576"/>
        <v>0</v>
      </c>
    </row>
    <row r="2188" spans="1:23" hidden="1">
      <c r="A2188" s="63" t="s">
        <v>147</v>
      </c>
      <c r="B2188" s="870" t="s">
        <v>147</v>
      </c>
      <c r="C2188" s="871"/>
      <c r="D2188" s="881" t="s">
        <v>190</v>
      </c>
      <c r="E2188" s="882">
        <f>DMT!$D$20</f>
        <v>445</v>
      </c>
      <c r="F2188" s="883">
        <f>VLOOKUP(D2187,'ENSAIOS DE ORÇAMENTO'!$C$5:$L$81,4,FALSE)</f>
        <v>1.028964</v>
      </c>
      <c r="G2188" s="884">
        <f>IF(E2188&lt;=30,(0.78*E2188+7.82)*F2188,((0.78*30+7.82)+0.78*(E2188-30))*F2188)</f>
        <v>365.19990288000002</v>
      </c>
      <c r="H2188" s="876"/>
      <c r="I2188" s="876"/>
      <c r="J2188" s="877">
        <f t="shared" si="582"/>
        <v>0</v>
      </c>
      <c r="K2188" s="878"/>
      <c r="L2188" s="1013">
        <f>ROUND(SUM(ORÇAMENTO!L2188),2)</f>
        <v>0</v>
      </c>
      <c r="M2188" s="1013">
        <f t="shared" si="570"/>
        <v>0</v>
      </c>
      <c r="N2188" s="868">
        <f t="shared" si="571"/>
        <v>0</v>
      </c>
      <c r="O2188" s="880"/>
      <c r="P2188" s="36" t="str">
        <f>IF(N2187&gt;0,"xx",IF(N2187&gt;0,"xy",""))</f>
        <v/>
      </c>
      <c r="Q2188" s="317" t="str">
        <f t="shared" si="587"/>
        <v/>
      </c>
      <c r="R2188" s="317" t="str">
        <f t="shared" si="588"/>
        <v/>
      </c>
      <c r="S2188" s="317" t="str">
        <f t="shared" si="589"/>
        <v/>
      </c>
      <c r="V2188" s="314">
        <f>SUM(ORÇAMENTO!N2188)</f>
        <v>0</v>
      </c>
      <c r="W2188" s="315">
        <f t="shared" si="576"/>
        <v>0</v>
      </c>
    </row>
    <row r="2189" spans="1:23" hidden="1">
      <c r="A2189" s="63" t="s">
        <v>147</v>
      </c>
      <c r="B2189" s="870" t="s">
        <v>147</v>
      </c>
      <c r="C2189" s="871"/>
      <c r="D2189" s="881" t="s">
        <v>229</v>
      </c>
      <c r="E2189" s="882">
        <f>DMT!$F$8</f>
        <v>290</v>
      </c>
      <c r="F2189" s="883">
        <f>VLOOKUP(D2187,'ENSAIOS DE ORÇAMENTO'!$C$5:$L$81,5,FALSE)</f>
        <v>2.9904099999999998</v>
      </c>
      <c r="G2189" s="923">
        <f t="shared" ref="G2189:G2190" si="592">IF(E2189&lt;=30,(1.07*E2189+2.68)*F2189,((1.07*30+2.68)+1.07*(E2189-30))*F2189)</f>
        <v>935.93852179999999</v>
      </c>
      <c r="H2189" s="876"/>
      <c r="I2189" s="876"/>
      <c r="J2189" s="877">
        <f t="shared" si="582"/>
        <v>0</v>
      </c>
      <c r="K2189" s="878"/>
      <c r="L2189" s="1013">
        <f>ROUND(SUM(ORÇAMENTO!L2189),2)</f>
        <v>0</v>
      </c>
      <c r="M2189" s="1013">
        <f t="shared" si="570"/>
        <v>0</v>
      </c>
      <c r="N2189" s="868">
        <f t="shared" si="571"/>
        <v>0</v>
      </c>
      <c r="O2189" s="880"/>
      <c r="P2189" s="36" t="str">
        <f>IF(N2187&gt;0,"xx",IF(N2187&gt;0,"xy",""))</f>
        <v/>
      </c>
      <c r="Q2189" s="317" t="str">
        <f t="shared" si="587"/>
        <v/>
      </c>
      <c r="R2189" s="317" t="str">
        <f t="shared" si="588"/>
        <v/>
      </c>
      <c r="S2189" s="317" t="str">
        <f t="shared" si="589"/>
        <v/>
      </c>
      <c r="V2189" s="314">
        <f>SUM(ORÇAMENTO!N2189)</f>
        <v>0</v>
      </c>
      <c r="W2189" s="315">
        <f t="shared" si="576"/>
        <v>0</v>
      </c>
    </row>
    <row r="2190" spans="1:23" hidden="1">
      <c r="A2190" s="63" t="s">
        <v>147</v>
      </c>
      <c r="B2190" s="870" t="s">
        <v>147</v>
      </c>
      <c r="C2190" s="871"/>
      <c r="D2190" s="881" t="s">
        <v>233</v>
      </c>
      <c r="E2190" s="882">
        <f>DMT!$F$10</f>
        <v>43.1</v>
      </c>
      <c r="F2190" s="883">
        <f>VLOOKUP(D2187,'ENSAIOS DE ORÇAMENTO'!$C$5:$L$81,6,FALSE)</f>
        <v>3.5684279999999999</v>
      </c>
      <c r="G2190" s="923">
        <f t="shared" si="592"/>
        <v>174.12858111600002</v>
      </c>
      <c r="H2190" s="876"/>
      <c r="I2190" s="876"/>
      <c r="J2190" s="877">
        <f t="shared" si="582"/>
        <v>0</v>
      </c>
      <c r="K2190" s="878"/>
      <c r="L2190" s="1013">
        <f>ROUND(SUM(ORÇAMENTO!L2190),2)</f>
        <v>0</v>
      </c>
      <c r="M2190" s="1013">
        <f t="shared" si="570"/>
        <v>0</v>
      </c>
      <c r="N2190" s="868">
        <f t="shared" si="571"/>
        <v>0</v>
      </c>
      <c r="O2190" s="880"/>
      <c r="P2190" s="36" t="str">
        <f>IF(N2187&gt;0,"xx",IF(N2187&gt;0,"xy",""))</f>
        <v/>
      </c>
      <c r="Q2190" s="317" t="str">
        <f t="shared" si="587"/>
        <v/>
      </c>
      <c r="R2190" s="317" t="str">
        <f t="shared" si="588"/>
        <v/>
      </c>
      <c r="S2190" s="317" t="str">
        <f t="shared" si="589"/>
        <v/>
      </c>
      <c r="V2190" s="314">
        <f>SUM(ORÇAMENTO!N2190)</f>
        <v>0</v>
      </c>
      <c r="W2190" s="315">
        <f t="shared" si="576"/>
        <v>0</v>
      </c>
    </row>
    <row r="2191" spans="1:23" hidden="1">
      <c r="A2191" s="63" t="s">
        <v>103</v>
      </c>
      <c r="B2191" s="870" t="s">
        <v>103</v>
      </c>
      <c r="C2191" s="871" t="s">
        <v>184</v>
      </c>
      <c r="D2191" s="881" t="s">
        <v>373</v>
      </c>
      <c r="E2191" s="882"/>
      <c r="F2191" s="883"/>
      <c r="G2191" s="887">
        <f>SUM(G2192:G2194)</f>
        <v>1946.7579698960001</v>
      </c>
      <c r="H2191" s="876">
        <v>3151.98</v>
      </c>
      <c r="I2191" s="876">
        <f>IF(ISBLANK(H2191),"",SUM(G2191:H2191))</f>
        <v>5098.7379698960003</v>
      </c>
      <c r="J2191" s="877">
        <f t="shared" si="582"/>
        <v>6231.68</v>
      </c>
      <c r="K2191" s="878" t="s">
        <v>15</v>
      </c>
      <c r="L2191" s="1013">
        <f>ROUND(SUM(ORÇAMENTO!L2191),2)</f>
        <v>0</v>
      </c>
      <c r="M2191" s="1013">
        <f t="shared" si="570"/>
        <v>0</v>
      </c>
      <c r="N2191" s="868">
        <f t="shared" si="571"/>
        <v>0</v>
      </c>
      <c r="O2191" s="880"/>
      <c r="Q2191" s="317" t="str">
        <f t="shared" si="587"/>
        <v/>
      </c>
      <c r="R2191" s="317" t="str">
        <f t="shared" si="588"/>
        <v/>
      </c>
      <c r="S2191" s="317" t="str">
        <f t="shared" si="589"/>
        <v/>
      </c>
      <c r="V2191" s="314">
        <f>SUM(ORÇAMENTO!N2191)</f>
        <v>0</v>
      </c>
      <c r="W2191" s="315">
        <f t="shared" si="576"/>
        <v>0</v>
      </c>
    </row>
    <row r="2192" spans="1:23" hidden="1">
      <c r="A2192" s="63" t="s">
        <v>147</v>
      </c>
      <c r="B2192" s="870" t="s">
        <v>147</v>
      </c>
      <c r="C2192" s="871"/>
      <c r="D2192" s="881" t="s">
        <v>190</v>
      </c>
      <c r="E2192" s="882">
        <f>DMT!$D$20</f>
        <v>445</v>
      </c>
      <c r="F2192" s="883">
        <f>VLOOKUP(D2191,'ENSAIOS DE ORÇAMENTO'!$C$5:$L$81,4,FALSE)</f>
        <v>1.3675439999999999</v>
      </c>
      <c r="G2192" s="884">
        <f>IF(E2192&lt;=30,(0.78*E2192+7.82)*F2192,((0.78*30+7.82)+0.78*(E2192-30))*F2192)</f>
        <v>485.36871647999999</v>
      </c>
      <c r="H2192" s="876"/>
      <c r="I2192" s="876"/>
      <c r="J2192" s="877">
        <f t="shared" si="582"/>
        <v>0</v>
      </c>
      <c r="K2192" s="878"/>
      <c r="L2192" s="1013">
        <f>ROUND(SUM(ORÇAMENTO!L2192),2)</f>
        <v>0</v>
      </c>
      <c r="M2192" s="1013">
        <f t="shared" si="570"/>
        <v>0</v>
      </c>
      <c r="N2192" s="868">
        <f t="shared" si="571"/>
        <v>0</v>
      </c>
      <c r="O2192" s="880"/>
      <c r="P2192" s="36" t="str">
        <f>IF(N2191&gt;0,"xx",IF(N2191&gt;0,"xy",""))</f>
        <v/>
      </c>
      <c r="Q2192" s="317" t="str">
        <f t="shared" si="587"/>
        <v/>
      </c>
      <c r="R2192" s="317" t="str">
        <f t="shared" si="588"/>
        <v/>
      </c>
      <c r="S2192" s="317" t="str">
        <f t="shared" si="589"/>
        <v/>
      </c>
      <c r="V2192" s="314">
        <f>SUM(ORÇAMENTO!N2192)</f>
        <v>0</v>
      </c>
      <c r="W2192" s="315">
        <f t="shared" si="576"/>
        <v>0</v>
      </c>
    </row>
    <row r="2193" spans="1:23" hidden="1">
      <c r="A2193" s="63" t="s">
        <v>147</v>
      </c>
      <c r="B2193" s="870" t="s">
        <v>147</v>
      </c>
      <c r="C2193" s="871"/>
      <c r="D2193" s="881" t="s">
        <v>229</v>
      </c>
      <c r="E2193" s="882">
        <f>DMT!$F$8</f>
        <v>290</v>
      </c>
      <c r="F2193" s="883">
        <f>VLOOKUP(D2191,'ENSAIOS DE ORÇAMENTO'!$C$5:$L$81,5,FALSE)</f>
        <v>3.9353559999999996</v>
      </c>
      <c r="G2193" s="923">
        <f t="shared" ref="G2193:G2194" si="593">IF(E2193&lt;=30,(1.07*E2193+2.68)*F2193,((1.07*30+2.68)+1.07*(E2193-30))*F2193)</f>
        <v>1231.6877208799999</v>
      </c>
      <c r="H2193" s="876"/>
      <c r="I2193" s="876"/>
      <c r="J2193" s="877">
        <f t="shared" si="582"/>
        <v>0</v>
      </c>
      <c r="K2193" s="878"/>
      <c r="L2193" s="1013">
        <f>ROUND(SUM(ORÇAMENTO!L2193),2)</f>
        <v>0</v>
      </c>
      <c r="M2193" s="1013">
        <f t="shared" si="570"/>
        <v>0</v>
      </c>
      <c r="N2193" s="868">
        <f t="shared" si="571"/>
        <v>0</v>
      </c>
      <c r="O2193" s="880"/>
      <c r="P2193" s="36" t="str">
        <f>IF(N2191&gt;0,"xx",IF(N2191&gt;0,"xy",""))</f>
        <v/>
      </c>
      <c r="Q2193" s="317" t="str">
        <f t="shared" si="587"/>
        <v/>
      </c>
      <c r="R2193" s="317" t="str">
        <f t="shared" si="588"/>
        <v/>
      </c>
      <c r="S2193" s="317" t="str">
        <f t="shared" si="589"/>
        <v/>
      </c>
      <c r="V2193" s="314">
        <f>SUM(ORÇAMENTO!N2193)</f>
        <v>0</v>
      </c>
      <c r="W2193" s="315">
        <f t="shared" si="576"/>
        <v>0</v>
      </c>
    </row>
    <row r="2194" spans="1:23" hidden="1">
      <c r="A2194" s="63" t="s">
        <v>147</v>
      </c>
      <c r="B2194" s="870" t="s">
        <v>147</v>
      </c>
      <c r="C2194" s="871"/>
      <c r="D2194" s="881" t="s">
        <v>233</v>
      </c>
      <c r="E2194" s="882">
        <f>DMT!$F$10</f>
        <v>43.1</v>
      </c>
      <c r="F2194" s="883">
        <f>VLOOKUP(D2191,'ENSAIOS DE ORÇAMENTO'!$C$5:$L$81,6,FALSE)</f>
        <v>4.7072880000000001</v>
      </c>
      <c r="G2194" s="923">
        <f t="shared" si="593"/>
        <v>229.70153253600003</v>
      </c>
      <c r="H2194" s="876"/>
      <c r="I2194" s="876"/>
      <c r="J2194" s="877">
        <f t="shared" si="582"/>
        <v>0</v>
      </c>
      <c r="K2194" s="878"/>
      <c r="L2194" s="1013">
        <f>ROUND(SUM(ORÇAMENTO!L2194),2)</f>
        <v>0</v>
      </c>
      <c r="M2194" s="1013">
        <f t="shared" ref="M2194:M2257" si="594">IF(L2194=0,0,ROUND(J2194,2))</f>
        <v>0</v>
      </c>
      <c r="N2194" s="868">
        <f t="shared" ref="N2194:N2257" si="595">IF(ISBLANK(L2194),0,ROUND(L2194*M2194,2))</f>
        <v>0</v>
      </c>
      <c r="O2194" s="880"/>
      <c r="P2194" s="36" t="str">
        <f>IF(N2191&gt;0,"xx",IF(N2191&gt;0,"xy",""))</f>
        <v/>
      </c>
      <c r="Q2194" s="317" t="str">
        <f t="shared" si="587"/>
        <v/>
      </c>
      <c r="R2194" s="317" t="str">
        <f t="shared" si="588"/>
        <v/>
      </c>
      <c r="S2194" s="317" t="str">
        <f t="shared" si="589"/>
        <v/>
      </c>
      <c r="V2194" s="314">
        <f>SUM(ORÇAMENTO!N2194)</f>
        <v>0</v>
      </c>
      <c r="W2194" s="315">
        <f t="shared" si="576"/>
        <v>0</v>
      </c>
    </row>
    <row r="2195" spans="1:23" hidden="1">
      <c r="A2195" s="63" t="s">
        <v>104</v>
      </c>
      <c r="B2195" s="870" t="s">
        <v>104</v>
      </c>
      <c r="C2195" s="871" t="s">
        <v>184</v>
      </c>
      <c r="D2195" s="881" t="s">
        <v>374</v>
      </c>
      <c r="E2195" s="882"/>
      <c r="F2195" s="883"/>
      <c r="G2195" s="887">
        <f>SUM(G2196:G2198)</f>
        <v>2426.9802481460001</v>
      </c>
      <c r="H2195" s="876">
        <v>3745</v>
      </c>
      <c r="I2195" s="876">
        <f>IF(ISBLANK(H2195),"",SUM(G2195:H2195))</f>
        <v>6171.9802481460001</v>
      </c>
      <c r="J2195" s="877">
        <f t="shared" si="582"/>
        <v>7543.39</v>
      </c>
      <c r="K2195" s="878" t="s">
        <v>15</v>
      </c>
      <c r="L2195" s="1013">
        <f>ROUND(SUM(ORÇAMENTO!L2195),2)</f>
        <v>0</v>
      </c>
      <c r="M2195" s="1013">
        <f t="shared" si="594"/>
        <v>0</v>
      </c>
      <c r="N2195" s="868">
        <f t="shared" si="595"/>
        <v>0</v>
      </c>
      <c r="O2195" s="880"/>
      <c r="Q2195" s="317" t="str">
        <f t="shared" si="587"/>
        <v/>
      </c>
      <c r="R2195" s="317" t="str">
        <f t="shared" si="588"/>
        <v/>
      </c>
      <c r="S2195" s="317" t="str">
        <f t="shared" si="589"/>
        <v/>
      </c>
      <c r="V2195" s="314">
        <f>SUM(ORÇAMENTO!N2195)</f>
        <v>0</v>
      </c>
      <c r="W2195" s="315">
        <f t="shared" si="576"/>
        <v>0</v>
      </c>
    </row>
    <row r="2196" spans="1:23" hidden="1">
      <c r="A2196" s="63" t="s">
        <v>147</v>
      </c>
      <c r="B2196" s="870" t="s">
        <v>147</v>
      </c>
      <c r="C2196" s="871"/>
      <c r="D2196" s="881" t="s">
        <v>190</v>
      </c>
      <c r="E2196" s="882">
        <f>DMT!$D$20</f>
        <v>445</v>
      </c>
      <c r="F2196" s="883">
        <f>VLOOKUP(D2195,'ENSAIOS DE ORÇAMENTO'!$C$5:$L$81,4,FALSE)</f>
        <v>1.7123939999999997</v>
      </c>
      <c r="G2196" s="884">
        <f>IF(E2196&lt;=30,(0.78*E2196+7.82)*F2196,((0.78*30+7.82)+0.78*(E2196-30))*F2196)</f>
        <v>607.76287847999993</v>
      </c>
      <c r="H2196" s="876"/>
      <c r="I2196" s="876"/>
      <c r="J2196" s="877">
        <f t="shared" si="582"/>
        <v>0</v>
      </c>
      <c r="K2196" s="878"/>
      <c r="L2196" s="1013">
        <f>ROUND(SUM(ORÇAMENTO!L2196),2)</f>
        <v>0</v>
      </c>
      <c r="M2196" s="1013">
        <f t="shared" si="594"/>
        <v>0</v>
      </c>
      <c r="N2196" s="868">
        <f t="shared" si="595"/>
        <v>0</v>
      </c>
      <c r="O2196" s="880"/>
      <c r="P2196" s="36" t="str">
        <f>IF(N2195&gt;0,"xx",IF(N2195&gt;0,"xy",""))</f>
        <v/>
      </c>
      <c r="Q2196" s="317" t="str">
        <f t="shared" si="587"/>
        <v/>
      </c>
      <c r="R2196" s="317" t="str">
        <f t="shared" si="588"/>
        <v/>
      </c>
      <c r="S2196" s="317" t="str">
        <f t="shared" si="589"/>
        <v/>
      </c>
      <c r="V2196" s="314">
        <f>SUM(ORÇAMENTO!N2196)</f>
        <v>0</v>
      </c>
      <c r="W2196" s="315">
        <f t="shared" si="576"/>
        <v>0</v>
      </c>
    </row>
    <row r="2197" spans="1:23" hidden="1">
      <c r="A2197" s="63" t="s">
        <v>147</v>
      </c>
      <c r="B2197" s="870" t="s">
        <v>147</v>
      </c>
      <c r="C2197" s="871"/>
      <c r="D2197" s="881" t="s">
        <v>229</v>
      </c>
      <c r="E2197" s="882">
        <f>DMT!$F$8</f>
        <v>290</v>
      </c>
      <c r="F2197" s="883">
        <f>VLOOKUP(D2195,'ENSAIOS DE ORÇAMENTO'!$C$5:$L$81,5,FALSE)</f>
        <v>4.8978009999999994</v>
      </c>
      <c r="G2197" s="923">
        <f t="shared" ref="G2197:G2198" si="596">IF(E2197&lt;=30,(1.07*E2197+2.68)*F2197,((1.07*30+2.68)+1.07*(E2197-30))*F2197)</f>
        <v>1532.91375698</v>
      </c>
      <c r="H2197" s="876"/>
      <c r="I2197" s="876"/>
      <c r="J2197" s="877">
        <f t="shared" si="582"/>
        <v>0</v>
      </c>
      <c r="K2197" s="878"/>
      <c r="L2197" s="1013">
        <f>ROUND(SUM(ORÇAMENTO!L2197),2)</f>
        <v>0</v>
      </c>
      <c r="M2197" s="1013">
        <f t="shared" si="594"/>
        <v>0</v>
      </c>
      <c r="N2197" s="868">
        <f t="shared" si="595"/>
        <v>0</v>
      </c>
      <c r="O2197" s="880"/>
      <c r="P2197" s="36" t="str">
        <f>IF(N2195&gt;0,"xx",IF(N2195&gt;0,"xy",""))</f>
        <v/>
      </c>
      <c r="Q2197" s="317" t="str">
        <f t="shared" si="587"/>
        <v/>
      </c>
      <c r="R2197" s="317" t="str">
        <f t="shared" si="588"/>
        <v/>
      </c>
      <c r="S2197" s="317" t="str">
        <f t="shared" si="589"/>
        <v/>
      </c>
      <c r="V2197" s="314">
        <f>SUM(ORÇAMENTO!N2197)</f>
        <v>0</v>
      </c>
      <c r="W2197" s="315">
        <f t="shared" ref="W2197:W2260" si="597">N2197-V2197</f>
        <v>0</v>
      </c>
    </row>
    <row r="2198" spans="1:23" hidden="1">
      <c r="A2198" s="63" t="s">
        <v>147</v>
      </c>
      <c r="B2198" s="870" t="s">
        <v>147</v>
      </c>
      <c r="C2198" s="871"/>
      <c r="D2198" s="881" t="s">
        <v>233</v>
      </c>
      <c r="E2198" s="882">
        <f>DMT!$F$10</f>
        <v>43.1</v>
      </c>
      <c r="F2198" s="883">
        <f>VLOOKUP(D2195,'ENSAIOS DE ORÇAMENTO'!$C$5:$L$81,6,FALSE)</f>
        <v>5.8672380000000004</v>
      </c>
      <c r="G2198" s="923">
        <f t="shared" si="596"/>
        <v>286.30361268600006</v>
      </c>
      <c r="H2198" s="876"/>
      <c r="I2198" s="876"/>
      <c r="J2198" s="877">
        <f t="shared" si="582"/>
        <v>0</v>
      </c>
      <c r="K2198" s="878"/>
      <c r="L2198" s="1013">
        <f>ROUND(SUM(ORÇAMENTO!L2198),2)</f>
        <v>0</v>
      </c>
      <c r="M2198" s="1013">
        <f t="shared" si="594"/>
        <v>0</v>
      </c>
      <c r="N2198" s="868">
        <f t="shared" si="595"/>
        <v>0</v>
      </c>
      <c r="O2198" s="880"/>
      <c r="P2198" s="36" t="str">
        <f>IF(N2195&gt;0,"xx",IF(N2195&gt;0,"xy",""))</f>
        <v/>
      </c>
      <c r="Q2198" s="317" t="str">
        <f t="shared" si="587"/>
        <v/>
      </c>
      <c r="R2198" s="317" t="str">
        <f t="shared" si="588"/>
        <v/>
      </c>
      <c r="S2198" s="317" t="str">
        <f t="shared" si="589"/>
        <v/>
      </c>
      <c r="V2198" s="314">
        <f>SUM(ORÇAMENTO!N2198)</f>
        <v>0</v>
      </c>
      <c r="W2198" s="315">
        <f t="shared" si="597"/>
        <v>0</v>
      </c>
    </row>
    <row r="2199" spans="1:23" hidden="1">
      <c r="A2199" s="63" t="s">
        <v>27</v>
      </c>
      <c r="B2199" s="870" t="s">
        <v>27</v>
      </c>
      <c r="C2199" s="871" t="s">
        <v>184</v>
      </c>
      <c r="D2199" s="881" t="s">
        <v>94</v>
      </c>
      <c r="E2199" s="882"/>
      <c r="F2199" s="883"/>
      <c r="G2199" s="887">
        <f>SUM(G2200:G2202)</f>
        <v>563.00721989800002</v>
      </c>
      <c r="H2199" s="876">
        <v>3736.16</v>
      </c>
      <c r="I2199" s="876">
        <f>IF(ISBLANK(H2199),"",SUM(G2199:H2199))</f>
        <v>4299.1672198979995</v>
      </c>
      <c r="J2199" s="877">
        <f t="shared" si="582"/>
        <v>5254.44</v>
      </c>
      <c r="K2199" s="878" t="s">
        <v>15</v>
      </c>
      <c r="L2199" s="1013">
        <f>ROUND(SUM(ORÇAMENTO!L2199),2)</f>
        <v>0</v>
      </c>
      <c r="M2199" s="1013">
        <f t="shared" si="594"/>
        <v>0</v>
      </c>
      <c r="N2199" s="868">
        <f t="shared" si="595"/>
        <v>0</v>
      </c>
      <c r="O2199" s="880"/>
      <c r="Q2199" s="317" t="str">
        <f t="shared" si="587"/>
        <v/>
      </c>
      <c r="R2199" s="317" t="str">
        <f t="shared" si="588"/>
        <v/>
      </c>
      <c r="S2199" s="317" t="str">
        <f t="shared" si="589"/>
        <v/>
      </c>
      <c r="V2199" s="314">
        <f>SUM(ORÇAMENTO!N2199)</f>
        <v>0</v>
      </c>
      <c r="W2199" s="315">
        <f t="shared" si="597"/>
        <v>0</v>
      </c>
    </row>
    <row r="2200" spans="1:23" hidden="1">
      <c r="A2200" s="63" t="s">
        <v>147</v>
      </c>
      <c r="B2200" s="870" t="s">
        <v>147</v>
      </c>
      <c r="C2200" s="871"/>
      <c r="D2200" s="881" t="s">
        <v>190</v>
      </c>
      <c r="E2200" s="882">
        <f>DMT!$D$20</f>
        <v>445</v>
      </c>
      <c r="F2200" s="883">
        <f>VLOOKUP(D2199,'ENSAIOS DE ORÇAMENTO'!$C$5:$L$81,4,FALSE)</f>
        <v>0.38908200000000004</v>
      </c>
      <c r="G2200" s="884">
        <f>IF(E2200&lt;=30,(0.78*E2200+7.82)*F2200,((0.78*30+7.82)+0.78*(E2200-30))*F2200)</f>
        <v>138.09298344000001</v>
      </c>
      <c r="H2200" s="876"/>
      <c r="I2200" s="876"/>
      <c r="J2200" s="877">
        <f t="shared" si="582"/>
        <v>0</v>
      </c>
      <c r="K2200" s="878"/>
      <c r="L2200" s="1013">
        <f>ROUND(SUM(ORÇAMENTO!L2200),2)</f>
        <v>0</v>
      </c>
      <c r="M2200" s="1013">
        <f t="shared" si="594"/>
        <v>0</v>
      </c>
      <c r="N2200" s="868">
        <f t="shared" si="595"/>
        <v>0</v>
      </c>
      <c r="O2200" s="880"/>
      <c r="P2200" s="36" t="str">
        <f>IF(N2199&gt;0,"xx",IF(N2199&gt;0,"xy",""))</f>
        <v/>
      </c>
      <c r="Q2200" s="317" t="str">
        <f t="shared" si="587"/>
        <v/>
      </c>
      <c r="R2200" s="317" t="str">
        <f t="shared" si="588"/>
        <v/>
      </c>
      <c r="S2200" s="317" t="str">
        <f t="shared" si="589"/>
        <v/>
      </c>
      <c r="V2200" s="314">
        <f>SUM(ORÇAMENTO!N2200)</f>
        <v>0</v>
      </c>
      <c r="W2200" s="315">
        <f t="shared" si="597"/>
        <v>0</v>
      </c>
    </row>
    <row r="2201" spans="1:23" hidden="1">
      <c r="A2201" s="63" t="s">
        <v>147</v>
      </c>
      <c r="B2201" s="870" t="s">
        <v>147</v>
      </c>
      <c r="C2201" s="871"/>
      <c r="D2201" s="881" t="s">
        <v>229</v>
      </c>
      <c r="E2201" s="882">
        <f>DMT!$F$8</f>
        <v>290</v>
      </c>
      <c r="F2201" s="883">
        <f>VLOOKUP(D2199,'ENSAIOS DE ORÇAMENTO'!$C$5:$L$81,5,FALSE)</f>
        <v>1.1452249999999999</v>
      </c>
      <c r="G2201" s="923">
        <f t="shared" ref="G2201:G2202" si="598">IF(E2201&lt;=30,(1.07*E2201+2.68)*F2201,((1.07*30+2.68)+1.07*(E2201-30))*F2201)</f>
        <v>358.43252050000001</v>
      </c>
      <c r="H2201" s="876"/>
      <c r="I2201" s="876"/>
      <c r="J2201" s="877">
        <f t="shared" si="582"/>
        <v>0</v>
      </c>
      <c r="K2201" s="878"/>
      <c r="L2201" s="1013">
        <f>ROUND(SUM(ORÇAMENTO!L2201),2)</f>
        <v>0</v>
      </c>
      <c r="M2201" s="1013">
        <f t="shared" si="594"/>
        <v>0</v>
      </c>
      <c r="N2201" s="868">
        <f t="shared" si="595"/>
        <v>0</v>
      </c>
      <c r="O2201" s="880"/>
      <c r="P2201" s="36" t="str">
        <f>IF(N2199&gt;0,"xx",IF(N2199&gt;0,"xy",""))</f>
        <v/>
      </c>
      <c r="Q2201" s="317" t="str">
        <f t="shared" si="587"/>
        <v/>
      </c>
      <c r="R2201" s="317" t="str">
        <f t="shared" si="588"/>
        <v/>
      </c>
      <c r="S2201" s="317" t="str">
        <f t="shared" si="589"/>
        <v/>
      </c>
      <c r="V2201" s="314">
        <f>SUM(ORÇAMENTO!N2201)</f>
        <v>0</v>
      </c>
      <c r="W2201" s="315">
        <f t="shared" si="597"/>
        <v>0</v>
      </c>
    </row>
    <row r="2202" spans="1:23" hidden="1">
      <c r="A2202" s="63" t="s">
        <v>147</v>
      </c>
      <c r="B2202" s="870" t="s">
        <v>147</v>
      </c>
      <c r="C2202" s="871"/>
      <c r="D2202" s="881" t="s">
        <v>233</v>
      </c>
      <c r="E2202" s="882">
        <f>DMT!$F$10</f>
        <v>43.1</v>
      </c>
      <c r="F2202" s="883">
        <f>VLOOKUP(D2199,'ENSAIOS DE ORÇAMENTO'!$C$5:$L$81,6,FALSE)</f>
        <v>1.362414</v>
      </c>
      <c r="G2202" s="923">
        <f t="shared" si="598"/>
        <v>66.481715958000009</v>
      </c>
      <c r="H2202" s="876"/>
      <c r="I2202" s="876"/>
      <c r="J2202" s="877">
        <f t="shared" si="582"/>
        <v>0</v>
      </c>
      <c r="K2202" s="878"/>
      <c r="L2202" s="1013">
        <f>ROUND(SUM(ORÇAMENTO!L2202),2)</f>
        <v>0</v>
      </c>
      <c r="M2202" s="1013">
        <f t="shared" si="594"/>
        <v>0</v>
      </c>
      <c r="N2202" s="868">
        <f t="shared" si="595"/>
        <v>0</v>
      </c>
      <c r="O2202" s="880"/>
      <c r="P2202" s="36" t="str">
        <f>IF(N2199&gt;0,"xx",IF(N2199&gt;0,"xy",""))</f>
        <v/>
      </c>
      <c r="Q2202" s="317" t="str">
        <f t="shared" si="587"/>
        <v/>
      </c>
      <c r="R2202" s="317" t="str">
        <f t="shared" si="588"/>
        <v/>
      </c>
      <c r="S2202" s="317" t="str">
        <f t="shared" si="589"/>
        <v/>
      </c>
      <c r="V2202" s="314">
        <f>SUM(ORÇAMENTO!N2202)</f>
        <v>0</v>
      </c>
      <c r="W2202" s="315">
        <f t="shared" si="597"/>
        <v>0</v>
      </c>
    </row>
    <row r="2203" spans="1:23" hidden="1">
      <c r="A2203" s="63" t="s">
        <v>28</v>
      </c>
      <c r="B2203" s="870" t="s">
        <v>28</v>
      </c>
      <c r="C2203" s="871" t="s">
        <v>184</v>
      </c>
      <c r="D2203" s="881" t="s">
        <v>91</v>
      </c>
      <c r="E2203" s="882"/>
      <c r="F2203" s="883"/>
      <c r="G2203" s="887">
        <f>SUM(G2204:G2206)</f>
        <v>702.70824629800006</v>
      </c>
      <c r="H2203" s="876">
        <v>4503.8999999999996</v>
      </c>
      <c r="I2203" s="876">
        <f>IF(ISBLANK(H2203),"",SUM(G2203:H2203))</f>
        <v>5206.6082462979994</v>
      </c>
      <c r="J2203" s="877">
        <f t="shared" si="582"/>
        <v>6363.52</v>
      </c>
      <c r="K2203" s="878" t="s">
        <v>15</v>
      </c>
      <c r="L2203" s="1013">
        <f>ROUND(SUM(ORÇAMENTO!L2203),2)</f>
        <v>0</v>
      </c>
      <c r="M2203" s="1013">
        <f t="shared" si="594"/>
        <v>0</v>
      </c>
      <c r="N2203" s="868">
        <f t="shared" si="595"/>
        <v>0</v>
      </c>
      <c r="O2203" s="880"/>
      <c r="Q2203" s="317" t="str">
        <f t="shared" si="587"/>
        <v/>
      </c>
      <c r="R2203" s="317" t="str">
        <f t="shared" si="588"/>
        <v/>
      </c>
      <c r="S2203" s="317" t="str">
        <f t="shared" si="589"/>
        <v/>
      </c>
      <c r="V2203" s="314">
        <f>SUM(ORÇAMENTO!N2203)</f>
        <v>0</v>
      </c>
      <c r="W2203" s="315">
        <f t="shared" si="597"/>
        <v>0</v>
      </c>
    </row>
    <row r="2204" spans="1:23" hidden="1">
      <c r="A2204" s="63" t="s">
        <v>147</v>
      </c>
      <c r="B2204" s="870" t="s">
        <v>147</v>
      </c>
      <c r="C2204" s="871"/>
      <c r="D2204" s="881" t="s">
        <v>190</v>
      </c>
      <c r="E2204" s="882">
        <f>DMT!$D$20</f>
        <v>445</v>
      </c>
      <c r="F2204" s="883">
        <f>VLOOKUP(D2203,'ENSAIOS DE ORÇAMENTO'!$C$5:$L$81,4,FALSE)</f>
        <v>0.48940199999999995</v>
      </c>
      <c r="G2204" s="884">
        <f>IF(E2204&lt;=30,(0.78*E2204+7.82)*F2204,((0.78*30+7.82)+0.78*(E2204-30))*F2204)</f>
        <v>173.69855783999998</v>
      </c>
      <c r="H2204" s="876"/>
      <c r="I2204" s="876"/>
      <c r="J2204" s="877">
        <f t="shared" si="582"/>
        <v>0</v>
      </c>
      <c r="K2204" s="878"/>
      <c r="L2204" s="1013">
        <f>ROUND(SUM(ORÇAMENTO!L2204),2)</f>
        <v>0</v>
      </c>
      <c r="M2204" s="1013">
        <f t="shared" si="594"/>
        <v>0</v>
      </c>
      <c r="N2204" s="868">
        <f t="shared" si="595"/>
        <v>0</v>
      </c>
      <c r="O2204" s="880"/>
      <c r="P2204" s="36" t="str">
        <f>IF(N2203&gt;0,"xx",IF(N2203&gt;0,"xy",""))</f>
        <v/>
      </c>
      <c r="Q2204" s="317" t="str">
        <f t="shared" si="587"/>
        <v/>
      </c>
      <c r="R2204" s="317" t="str">
        <f t="shared" si="588"/>
        <v/>
      </c>
      <c r="S2204" s="317" t="str">
        <f t="shared" si="589"/>
        <v/>
      </c>
      <c r="V2204" s="314">
        <f>SUM(ORÇAMENTO!N2204)</f>
        <v>0</v>
      </c>
      <c r="W2204" s="315">
        <f t="shared" si="597"/>
        <v>0</v>
      </c>
    </row>
    <row r="2205" spans="1:23" hidden="1">
      <c r="A2205" s="63" t="s">
        <v>147</v>
      </c>
      <c r="B2205" s="870" t="s">
        <v>147</v>
      </c>
      <c r="C2205" s="871"/>
      <c r="D2205" s="881" t="s">
        <v>229</v>
      </c>
      <c r="E2205" s="882">
        <f>DMT!$F$8</f>
        <v>290</v>
      </c>
      <c r="F2205" s="883">
        <f>VLOOKUP(D2203,'ENSAIOS DE ORÇAMENTO'!$C$5:$L$81,5,FALSE)</f>
        <v>1.4252089999999999</v>
      </c>
      <c r="G2205" s="923">
        <f t="shared" ref="G2205:G2206" si="599">IF(E2205&lt;=30,(1.07*E2205+2.68)*F2205,((1.07*30+2.68)+1.07*(E2205-30))*F2205)</f>
        <v>446.06191282000003</v>
      </c>
      <c r="H2205" s="876"/>
      <c r="I2205" s="876"/>
      <c r="J2205" s="877">
        <f t="shared" si="582"/>
        <v>0</v>
      </c>
      <c r="K2205" s="878"/>
      <c r="L2205" s="1013">
        <f>ROUND(SUM(ORÇAMENTO!L2205),2)</f>
        <v>0</v>
      </c>
      <c r="M2205" s="1013">
        <f t="shared" si="594"/>
        <v>0</v>
      </c>
      <c r="N2205" s="868">
        <f t="shared" si="595"/>
        <v>0</v>
      </c>
      <c r="O2205" s="880"/>
      <c r="P2205" s="36" t="str">
        <f>IF(N2203&gt;0,"xx",IF(N2203&gt;0,"xy",""))</f>
        <v/>
      </c>
      <c r="Q2205" s="317" t="str">
        <f t="shared" si="587"/>
        <v/>
      </c>
      <c r="R2205" s="317" t="str">
        <f t="shared" si="588"/>
        <v/>
      </c>
      <c r="S2205" s="317" t="str">
        <f t="shared" si="589"/>
        <v/>
      </c>
      <c r="V2205" s="314">
        <f>SUM(ORÇAMENTO!N2205)</f>
        <v>0</v>
      </c>
      <c r="W2205" s="315">
        <f t="shared" si="597"/>
        <v>0</v>
      </c>
    </row>
    <row r="2206" spans="1:23" hidden="1">
      <c r="A2206" s="63" t="s">
        <v>147</v>
      </c>
      <c r="B2206" s="870" t="s">
        <v>147</v>
      </c>
      <c r="C2206" s="871"/>
      <c r="D2206" s="881" t="s">
        <v>233</v>
      </c>
      <c r="E2206" s="882">
        <f>DMT!$F$10</f>
        <v>43.1</v>
      </c>
      <c r="F2206" s="883">
        <f>VLOOKUP(D2203,'ENSAIOS DE ORÇAMENTO'!$C$5:$L$81,6,FALSE)</f>
        <v>1.699854</v>
      </c>
      <c r="G2206" s="923">
        <f t="shared" si="599"/>
        <v>82.94777563800001</v>
      </c>
      <c r="H2206" s="876"/>
      <c r="I2206" s="876"/>
      <c r="J2206" s="877">
        <f t="shared" si="582"/>
        <v>0</v>
      </c>
      <c r="K2206" s="878"/>
      <c r="L2206" s="1013">
        <f>ROUND(SUM(ORÇAMENTO!L2206),2)</f>
        <v>0</v>
      </c>
      <c r="M2206" s="1013">
        <f t="shared" si="594"/>
        <v>0</v>
      </c>
      <c r="N2206" s="868">
        <f t="shared" si="595"/>
        <v>0</v>
      </c>
      <c r="O2206" s="880"/>
      <c r="P2206" s="36" t="str">
        <f>IF(N2203&gt;0,"xx",IF(N2203&gt;0,"xy",""))</f>
        <v/>
      </c>
      <c r="Q2206" s="317" t="str">
        <f t="shared" si="587"/>
        <v/>
      </c>
      <c r="R2206" s="317" t="str">
        <f t="shared" si="588"/>
        <v/>
      </c>
      <c r="S2206" s="317" t="str">
        <f t="shared" si="589"/>
        <v/>
      </c>
      <c r="V2206" s="314">
        <f>SUM(ORÇAMENTO!N2206)</f>
        <v>0</v>
      </c>
      <c r="W2206" s="315">
        <f t="shared" si="597"/>
        <v>0</v>
      </c>
    </row>
    <row r="2207" spans="1:23" hidden="1">
      <c r="A2207" s="63" t="s">
        <v>105</v>
      </c>
      <c r="B2207" s="870" t="s">
        <v>105</v>
      </c>
      <c r="C2207" s="871" t="s">
        <v>184</v>
      </c>
      <c r="D2207" s="881" t="s">
        <v>92</v>
      </c>
      <c r="E2207" s="882"/>
      <c r="F2207" s="883"/>
      <c r="G2207" s="887">
        <f>SUM(G2208:G2210)</f>
        <v>929.72241419800002</v>
      </c>
      <c r="H2207" s="876">
        <v>4886.76</v>
      </c>
      <c r="I2207" s="876">
        <f>IF(ISBLANK(H2207),"",SUM(G2207:H2207))</f>
        <v>5816.4824141980007</v>
      </c>
      <c r="J2207" s="877">
        <f t="shared" ref="J2207:J2259" si="600">IF(ISBLANK(H2207),0,ROUND(I2207*(1+$E$10),2))</f>
        <v>7108.9</v>
      </c>
      <c r="K2207" s="878" t="s">
        <v>15</v>
      </c>
      <c r="L2207" s="1013">
        <f>ROUND(SUM(ORÇAMENTO!L2207),2)</f>
        <v>0</v>
      </c>
      <c r="M2207" s="1013">
        <f t="shared" si="594"/>
        <v>0</v>
      </c>
      <c r="N2207" s="868">
        <f t="shared" si="595"/>
        <v>0</v>
      </c>
      <c r="O2207" s="880"/>
      <c r="Q2207" s="317" t="str">
        <f t="shared" si="587"/>
        <v/>
      </c>
      <c r="R2207" s="317" t="str">
        <f t="shared" si="588"/>
        <v/>
      </c>
      <c r="S2207" s="317" t="str">
        <f t="shared" si="589"/>
        <v/>
      </c>
      <c r="V2207" s="314">
        <f>SUM(ORÇAMENTO!N2207)</f>
        <v>0</v>
      </c>
      <c r="W2207" s="315">
        <f t="shared" si="597"/>
        <v>0</v>
      </c>
    </row>
    <row r="2208" spans="1:23" hidden="1">
      <c r="A2208" s="63" t="s">
        <v>147</v>
      </c>
      <c r="B2208" s="870" t="s">
        <v>147</v>
      </c>
      <c r="C2208" s="871"/>
      <c r="D2208" s="881" t="s">
        <v>190</v>
      </c>
      <c r="E2208" s="882">
        <f>DMT!$D$20</f>
        <v>445</v>
      </c>
      <c r="F2208" s="883">
        <f>VLOOKUP(D2207,'ENSAIOS DE ORÇAMENTO'!$C$5:$L$81,4,FALSE)</f>
        <v>0.65242199999999995</v>
      </c>
      <c r="G2208" s="884">
        <f>IF(E2208&lt;=30,(0.78*E2208+7.82)*F2208,((0.78*30+7.82)+0.78*(E2208-30))*F2208)</f>
        <v>231.55761623999999</v>
      </c>
      <c r="H2208" s="876"/>
      <c r="I2208" s="876"/>
      <c r="J2208" s="877">
        <f t="shared" si="600"/>
        <v>0</v>
      </c>
      <c r="K2208" s="878"/>
      <c r="L2208" s="1013">
        <f>ROUND(SUM(ORÇAMENTO!L2208),2)</f>
        <v>0</v>
      </c>
      <c r="M2208" s="1013">
        <f t="shared" si="594"/>
        <v>0</v>
      </c>
      <c r="N2208" s="868">
        <f t="shared" si="595"/>
        <v>0</v>
      </c>
      <c r="O2208" s="880"/>
      <c r="P2208" s="36" t="str">
        <f>IF(N2207&gt;0,"xx",IF(N2207&gt;0,"xy",""))</f>
        <v/>
      </c>
      <c r="Q2208" s="317" t="str">
        <f t="shared" si="587"/>
        <v/>
      </c>
      <c r="R2208" s="317" t="str">
        <f t="shared" si="588"/>
        <v/>
      </c>
      <c r="S2208" s="317" t="str">
        <f t="shared" si="589"/>
        <v/>
      </c>
      <c r="V2208" s="314">
        <f>SUM(ORÇAMENTO!N2208)</f>
        <v>0</v>
      </c>
      <c r="W2208" s="315">
        <f t="shared" si="597"/>
        <v>0</v>
      </c>
    </row>
    <row r="2209" spans="1:23" hidden="1">
      <c r="A2209" s="63" t="s">
        <v>147</v>
      </c>
      <c r="B2209" s="870" t="s">
        <v>147</v>
      </c>
      <c r="C2209" s="871"/>
      <c r="D2209" s="881" t="s">
        <v>229</v>
      </c>
      <c r="E2209" s="882">
        <f>DMT!$F$8</f>
        <v>290</v>
      </c>
      <c r="F2209" s="883">
        <f>VLOOKUP(D2207,'ENSAIOS DE ORÇAMENTO'!$C$5:$L$81,5,FALSE)</f>
        <v>1.8801829999999999</v>
      </c>
      <c r="G2209" s="923">
        <f t="shared" ref="G2209:G2210" si="601">IF(E2209&lt;=30,(1.07*E2209+2.68)*F2209,((1.07*30+2.68)+1.07*(E2209-30))*F2209)</f>
        <v>588.45967533999999</v>
      </c>
      <c r="H2209" s="876"/>
      <c r="I2209" s="876"/>
      <c r="J2209" s="877">
        <f t="shared" si="600"/>
        <v>0</v>
      </c>
      <c r="K2209" s="878"/>
      <c r="L2209" s="1013">
        <f>ROUND(SUM(ORÇAMENTO!L2209),2)</f>
        <v>0</v>
      </c>
      <c r="M2209" s="1013">
        <f t="shared" si="594"/>
        <v>0</v>
      </c>
      <c r="N2209" s="868">
        <f t="shared" si="595"/>
        <v>0</v>
      </c>
      <c r="O2209" s="880"/>
      <c r="P2209" s="36" t="str">
        <f>IF(N2207&gt;0,"xx",IF(N2207&gt;0,"xy",""))</f>
        <v/>
      </c>
      <c r="Q2209" s="317" t="str">
        <f t="shared" si="587"/>
        <v/>
      </c>
      <c r="R2209" s="317" t="str">
        <f t="shared" si="588"/>
        <v/>
      </c>
      <c r="S2209" s="317" t="str">
        <f t="shared" si="589"/>
        <v/>
      </c>
      <c r="V2209" s="314">
        <f>SUM(ORÇAMENTO!N2209)</f>
        <v>0</v>
      </c>
      <c r="W2209" s="315">
        <f t="shared" si="597"/>
        <v>0</v>
      </c>
    </row>
    <row r="2210" spans="1:23" hidden="1">
      <c r="A2210" s="63" t="s">
        <v>147</v>
      </c>
      <c r="B2210" s="870" t="s">
        <v>147</v>
      </c>
      <c r="C2210" s="871"/>
      <c r="D2210" s="881" t="s">
        <v>233</v>
      </c>
      <c r="E2210" s="882">
        <f>DMT!$F$10</f>
        <v>43.1</v>
      </c>
      <c r="F2210" s="883">
        <f>VLOOKUP(D2207,'ENSAIOS DE ORÇAMENTO'!$C$5:$L$81,6,FALSE)</f>
        <v>2.2481940000000002</v>
      </c>
      <c r="G2210" s="923">
        <f t="shared" si="601"/>
        <v>109.70512261800002</v>
      </c>
      <c r="H2210" s="876"/>
      <c r="I2210" s="876"/>
      <c r="J2210" s="877">
        <f t="shared" si="600"/>
        <v>0</v>
      </c>
      <c r="K2210" s="878"/>
      <c r="L2210" s="1013">
        <f>ROUND(SUM(ORÇAMENTO!L2210),2)</f>
        <v>0</v>
      </c>
      <c r="M2210" s="1013">
        <f t="shared" si="594"/>
        <v>0</v>
      </c>
      <c r="N2210" s="868">
        <f t="shared" si="595"/>
        <v>0</v>
      </c>
      <c r="O2210" s="880"/>
      <c r="P2210" s="36" t="str">
        <f>IF(N2207&gt;0,"xx",IF(N2207&gt;0,"xy",""))</f>
        <v/>
      </c>
      <c r="Q2210" s="317" t="str">
        <f t="shared" si="587"/>
        <v/>
      </c>
      <c r="R2210" s="317" t="str">
        <f t="shared" si="588"/>
        <v/>
      </c>
      <c r="S2210" s="317" t="str">
        <f t="shared" si="589"/>
        <v/>
      </c>
      <c r="V2210" s="314">
        <f>SUM(ORÇAMENTO!N2210)</f>
        <v>0</v>
      </c>
      <c r="W2210" s="315">
        <f t="shared" si="597"/>
        <v>0</v>
      </c>
    </row>
    <row r="2211" spans="1:23" hidden="1">
      <c r="A2211" s="63" t="s">
        <v>106</v>
      </c>
      <c r="B2211" s="870" t="s">
        <v>106</v>
      </c>
      <c r="C2211" s="871" t="s">
        <v>184</v>
      </c>
      <c r="D2211" s="881" t="s">
        <v>93</v>
      </c>
      <c r="E2211" s="882"/>
      <c r="F2211" s="883"/>
      <c r="G2211" s="887">
        <f>SUM(G2212:G2214)</f>
        <v>1156.7365820980001</v>
      </c>
      <c r="H2211" s="876">
        <v>5931.1</v>
      </c>
      <c r="I2211" s="876">
        <f>IF(ISBLANK(H2211),"",SUM(G2211:H2211))</f>
        <v>7087.8365820980007</v>
      </c>
      <c r="J2211" s="877">
        <f t="shared" si="600"/>
        <v>8662.75</v>
      </c>
      <c r="K2211" s="878" t="s">
        <v>15</v>
      </c>
      <c r="L2211" s="1013">
        <f>ROUND(SUM(ORÇAMENTO!L2211),2)</f>
        <v>0</v>
      </c>
      <c r="M2211" s="1013">
        <f t="shared" si="594"/>
        <v>0</v>
      </c>
      <c r="N2211" s="868">
        <f t="shared" si="595"/>
        <v>0</v>
      </c>
      <c r="O2211" s="880"/>
      <c r="Q2211" s="317" t="str">
        <f t="shared" si="587"/>
        <v/>
      </c>
      <c r="R2211" s="317" t="str">
        <f t="shared" si="588"/>
        <v/>
      </c>
      <c r="S2211" s="317" t="str">
        <f t="shared" si="589"/>
        <v/>
      </c>
      <c r="V2211" s="314">
        <f>SUM(ORÇAMENTO!N2211)</f>
        <v>0</v>
      </c>
      <c r="W2211" s="315">
        <f t="shared" si="597"/>
        <v>0</v>
      </c>
    </row>
    <row r="2212" spans="1:23" hidden="1">
      <c r="A2212" s="63" t="s">
        <v>147</v>
      </c>
      <c r="B2212" s="870" t="s">
        <v>147</v>
      </c>
      <c r="C2212" s="871"/>
      <c r="D2212" s="881" t="s">
        <v>190</v>
      </c>
      <c r="E2212" s="882">
        <f>DMT!$D$20</f>
        <v>445</v>
      </c>
      <c r="F2212" s="883">
        <f>VLOOKUP(D2211,'ENSAIOS DE ORÇAMENTO'!$C$5:$L$81,4,FALSE)</f>
        <v>0.81544199999999989</v>
      </c>
      <c r="G2212" s="884">
        <f>IF(E2212&lt;=30,(0.78*E2212+7.82)*F2212,((0.78*30+7.82)+0.78*(E2212-30))*F2212)</f>
        <v>289.41667464</v>
      </c>
      <c r="H2212" s="876"/>
      <c r="I2212" s="876"/>
      <c r="J2212" s="877">
        <f t="shared" si="600"/>
        <v>0</v>
      </c>
      <c r="K2212" s="878"/>
      <c r="L2212" s="1013">
        <f>ROUND(SUM(ORÇAMENTO!L2212),2)</f>
        <v>0</v>
      </c>
      <c r="M2212" s="1013">
        <f t="shared" si="594"/>
        <v>0</v>
      </c>
      <c r="N2212" s="868">
        <f t="shared" si="595"/>
        <v>0</v>
      </c>
      <c r="O2212" s="880"/>
      <c r="P2212" s="36" t="str">
        <f>IF(N2211&gt;0,"xx",IF(N2211&gt;0,"xy",""))</f>
        <v/>
      </c>
      <c r="Q2212" s="317" t="str">
        <f t="shared" si="587"/>
        <v/>
      </c>
      <c r="R2212" s="317" t="str">
        <f t="shared" si="588"/>
        <v/>
      </c>
      <c r="S2212" s="317" t="str">
        <f t="shared" si="589"/>
        <v/>
      </c>
      <c r="V2212" s="314">
        <f>SUM(ORÇAMENTO!N2212)</f>
        <v>0</v>
      </c>
      <c r="W2212" s="315">
        <f t="shared" si="597"/>
        <v>0</v>
      </c>
    </row>
    <row r="2213" spans="1:23" hidden="1">
      <c r="A2213" s="63" t="s">
        <v>147</v>
      </c>
      <c r="B2213" s="870" t="s">
        <v>147</v>
      </c>
      <c r="C2213" s="871"/>
      <c r="D2213" s="881" t="s">
        <v>229</v>
      </c>
      <c r="E2213" s="882">
        <f>DMT!$F$8</f>
        <v>290</v>
      </c>
      <c r="F2213" s="883">
        <f>VLOOKUP(D2211,'ENSAIOS DE ORÇAMENTO'!$C$5:$L$81,5,FALSE)</f>
        <v>2.3351569999999997</v>
      </c>
      <c r="G2213" s="923">
        <f t="shared" ref="G2213:G2214" si="602">IF(E2213&lt;=30,(1.07*E2213+2.68)*F2213,((1.07*30+2.68)+1.07*(E2213-30))*F2213)</f>
        <v>730.85743786</v>
      </c>
      <c r="H2213" s="876"/>
      <c r="I2213" s="876"/>
      <c r="J2213" s="877">
        <f t="shared" si="600"/>
        <v>0</v>
      </c>
      <c r="K2213" s="878"/>
      <c r="L2213" s="1013">
        <f>ROUND(SUM(ORÇAMENTO!L2213),2)</f>
        <v>0</v>
      </c>
      <c r="M2213" s="1013">
        <f t="shared" si="594"/>
        <v>0</v>
      </c>
      <c r="N2213" s="868">
        <f t="shared" si="595"/>
        <v>0</v>
      </c>
      <c r="O2213" s="880"/>
      <c r="P2213" s="36" t="str">
        <f>IF(N2211&gt;0,"xx",IF(N2211&gt;0,"xy",""))</f>
        <v/>
      </c>
      <c r="Q2213" s="317" t="str">
        <f t="shared" si="587"/>
        <v/>
      </c>
      <c r="R2213" s="317" t="str">
        <f t="shared" si="588"/>
        <v/>
      </c>
      <c r="S2213" s="317" t="str">
        <f t="shared" si="589"/>
        <v/>
      </c>
      <c r="V2213" s="314">
        <f>SUM(ORÇAMENTO!N2213)</f>
        <v>0</v>
      </c>
      <c r="W2213" s="315">
        <f t="shared" si="597"/>
        <v>0</v>
      </c>
    </row>
    <row r="2214" spans="1:23" hidden="1">
      <c r="A2214" s="63" t="s">
        <v>147</v>
      </c>
      <c r="B2214" s="870" t="s">
        <v>147</v>
      </c>
      <c r="C2214" s="871"/>
      <c r="D2214" s="881" t="s">
        <v>233</v>
      </c>
      <c r="E2214" s="882">
        <f>DMT!$F$10</f>
        <v>43.1</v>
      </c>
      <c r="F2214" s="883">
        <f>VLOOKUP(D2211,'ENSAIOS DE ORÇAMENTO'!$C$5:$L$81,6,FALSE)</f>
        <v>2.7965340000000003</v>
      </c>
      <c r="G2214" s="923">
        <f t="shared" si="602"/>
        <v>136.46246959800001</v>
      </c>
      <c r="H2214" s="876"/>
      <c r="I2214" s="876"/>
      <c r="J2214" s="877">
        <f t="shared" si="600"/>
        <v>0</v>
      </c>
      <c r="K2214" s="878"/>
      <c r="L2214" s="1013">
        <f>ROUND(SUM(ORÇAMENTO!L2214),2)</f>
        <v>0</v>
      </c>
      <c r="M2214" s="1013">
        <f t="shared" si="594"/>
        <v>0</v>
      </c>
      <c r="N2214" s="868">
        <f t="shared" si="595"/>
        <v>0</v>
      </c>
      <c r="O2214" s="880"/>
      <c r="P2214" s="36" t="str">
        <f>IF(N2211&gt;0,"xx",IF(N2211&gt;0,"xy",""))</f>
        <v/>
      </c>
      <c r="Q2214" s="317" t="str">
        <f t="shared" si="587"/>
        <v/>
      </c>
      <c r="R2214" s="317" t="str">
        <f t="shared" si="588"/>
        <v/>
      </c>
      <c r="S2214" s="317" t="str">
        <f t="shared" si="589"/>
        <v/>
      </c>
      <c r="V2214" s="314">
        <f>SUM(ORÇAMENTO!N2214)</f>
        <v>0</v>
      </c>
      <c r="W2214" s="315">
        <f t="shared" si="597"/>
        <v>0</v>
      </c>
    </row>
    <row r="2215" spans="1:23" hidden="1">
      <c r="A2215" s="63" t="s">
        <v>107</v>
      </c>
      <c r="B2215" s="870" t="s">
        <v>107</v>
      </c>
      <c r="C2215" s="871" t="s">
        <v>184</v>
      </c>
      <c r="D2215" s="881" t="s">
        <v>81</v>
      </c>
      <c r="E2215" s="882"/>
      <c r="F2215" s="883"/>
      <c r="G2215" s="887">
        <f>SUM(G2216:G2220)</f>
        <v>171.16960782688002</v>
      </c>
      <c r="H2215" s="876">
        <v>460.93</v>
      </c>
      <c r="I2215" s="876">
        <f>IF(ISBLANK(H2215),"",SUM(G2215:H2215))</f>
        <v>632.09960782688006</v>
      </c>
      <c r="J2215" s="877">
        <f t="shared" si="600"/>
        <v>772.55</v>
      </c>
      <c r="K2215" s="878" t="s">
        <v>15</v>
      </c>
      <c r="L2215" s="1013">
        <f>ROUND(SUM(ORÇAMENTO!L2215),2)</f>
        <v>0</v>
      </c>
      <c r="M2215" s="1013">
        <f t="shared" si="594"/>
        <v>0</v>
      </c>
      <c r="N2215" s="868">
        <f t="shared" si="595"/>
        <v>0</v>
      </c>
      <c r="O2215" s="880"/>
      <c r="Q2215" s="317" t="str">
        <f t="shared" si="587"/>
        <v/>
      </c>
      <c r="R2215" s="317" t="str">
        <f t="shared" si="588"/>
        <v/>
      </c>
      <c r="S2215" s="317" t="str">
        <f t="shared" si="589"/>
        <v/>
      </c>
      <c r="V2215" s="314">
        <f>SUM(ORÇAMENTO!N2215)</f>
        <v>0</v>
      </c>
      <c r="W2215" s="315">
        <f t="shared" si="597"/>
        <v>0</v>
      </c>
    </row>
    <row r="2216" spans="1:23" hidden="1">
      <c r="A2216" s="63" t="s">
        <v>147</v>
      </c>
      <c r="B2216" s="870" t="s">
        <v>147</v>
      </c>
      <c r="C2216" s="871"/>
      <c r="D2216" s="881" t="s">
        <v>190</v>
      </c>
      <c r="E2216" s="882">
        <f>DMT!$D$20</f>
        <v>445</v>
      </c>
      <c r="F2216" s="883">
        <f>VLOOKUP(D2215,'ENSAIOS DE ORÇAMENTO'!$C$5:$L$81,4,FALSE)</f>
        <v>9.9453823999999996E-2</v>
      </c>
      <c r="G2216" s="884">
        <f>IF(E2216&lt;=30,(0.78*E2216+7.82)*F2216,((0.78*30+7.82)+0.78*(E2216-30))*F2216)</f>
        <v>35.298151214080001</v>
      </c>
      <c r="H2216" s="876"/>
      <c r="I2216" s="876"/>
      <c r="J2216" s="877">
        <f t="shared" si="600"/>
        <v>0</v>
      </c>
      <c r="K2216" s="878"/>
      <c r="L2216" s="1013">
        <f>ROUND(SUM(ORÇAMENTO!L2216),2)</f>
        <v>0</v>
      </c>
      <c r="M2216" s="1013">
        <f t="shared" si="594"/>
        <v>0</v>
      </c>
      <c r="N2216" s="868">
        <f t="shared" si="595"/>
        <v>0</v>
      </c>
      <c r="O2216" s="880"/>
      <c r="P2216" s="36" t="str">
        <f>IF(N2215&gt;0,"xx",IF(N2215&gt;0,"xy",""))</f>
        <v/>
      </c>
      <c r="Q2216" s="317" t="str">
        <f t="shared" si="587"/>
        <v/>
      </c>
      <c r="R2216" s="317" t="str">
        <f t="shared" si="588"/>
        <v/>
      </c>
      <c r="S2216" s="317" t="str">
        <f t="shared" si="589"/>
        <v/>
      </c>
      <c r="V2216" s="314">
        <f>SUM(ORÇAMENTO!N2216)</f>
        <v>0</v>
      </c>
      <c r="W2216" s="315">
        <f t="shared" si="597"/>
        <v>0</v>
      </c>
    </row>
    <row r="2217" spans="1:23" hidden="1">
      <c r="A2217" s="63" t="s">
        <v>147</v>
      </c>
      <c r="B2217" s="870" t="s">
        <v>147</v>
      </c>
      <c r="C2217" s="871"/>
      <c r="D2217" s="881" t="s">
        <v>229</v>
      </c>
      <c r="E2217" s="882">
        <f>DMT!$F$8</f>
        <v>290</v>
      </c>
      <c r="F2217" s="883">
        <f>VLOOKUP(D2215,'ENSAIOS DE ORÇAMENTO'!$C$5:$L$81,5,FALSE)</f>
        <v>0.3618486528</v>
      </c>
      <c r="G2217" s="923">
        <f t="shared" ref="G2217:G2219" si="603">IF(E2217&lt;=30,(1.07*E2217+2.68)*F2217,((1.07*30+2.68)+1.07*(E2217-30))*F2217)</f>
        <v>113.251391353344</v>
      </c>
      <c r="H2217" s="876"/>
      <c r="I2217" s="876"/>
      <c r="J2217" s="877">
        <f t="shared" si="600"/>
        <v>0</v>
      </c>
      <c r="K2217" s="878"/>
      <c r="L2217" s="1013">
        <f>ROUND(SUM(ORÇAMENTO!L2217),2)</f>
        <v>0</v>
      </c>
      <c r="M2217" s="1013">
        <f t="shared" si="594"/>
        <v>0</v>
      </c>
      <c r="N2217" s="868">
        <f t="shared" si="595"/>
        <v>0</v>
      </c>
      <c r="O2217" s="880"/>
      <c r="P2217" s="36" t="str">
        <f>IF(N2215&gt;0,"xx",IF(N2215&gt;0,"xy",""))</f>
        <v/>
      </c>
      <c r="Q2217" s="317" t="str">
        <f t="shared" si="587"/>
        <v/>
      </c>
      <c r="R2217" s="317" t="str">
        <f t="shared" si="588"/>
        <v/>
      </c>
      <c r="S2217" s="317" t="str">
        <f t="shared" si="589"/>
        <v/>
      </c>
      <c r="V2217" s="314">
        <f>SUM(ORÇAMENTO!N2217)</f>
        <v>0</v>
      </c>
      <c r="W2217" s="315">
        <f t="shared" si="597"/>
        <v>0</v>
      </c>
    </row>
    <row r="2218" spans="1:23" hidden="1">
      <c r="A2218" s="63" t="s">
        <v>147</v>
      </c>
      <c r="B2218" s="870" t="s">
        <v>147</v>
      </c>
      <c r="C2218" s="871"/>
      <c r="D2218" s="881" t="s">
        <v>233</v>
      </c>
      <c r="E2218" s="882">
        <f>DMT!$F$10</f>
        <v>43.1</v>
      </c>
      <c r="F2218" s="883">
        <f>VLOOKUP(D2215,'ENSAIOS DE ORÇAMENTO'!$C$5:$L$81,6,FALSE)</f>
        <v>0.308576448</v>
      </c>
      <c r="G2218" s="923">
        <f t="shared" si="603"/>
        <v>15.057604933056002</v>
      </c>
      <c r="H2218" s="876"/>
      <c r="I2218" s="876"/>
      <c r="J2218" s="877">
        <f t="shared" si="600"/>
        <v>0</v>
      </c>
      <c r="K2218" s="878"/>
      <c r="L2218" s="1013">
        <f>ROUND(SUM(ORÇAMENTO!L2218),2)</f>
        <v>0</v>
      </c>
      <c r="M2218" s="1013">
        <f t="shared" si="594"/>
        <v>0</v>
      </c>
      <c r="N2218" s="868">
        <f t="shared" si="595"/>
        <v>0</v>
      </c>
      <c r="O2218" s="880"/>
      <c r="P2218" s="36" t="str">
        <f>IF(N2215&gt;0,"xx",IF(N2215&gt;0,"xy",""))</f>
        <v/>
      </c>
      <c r="Q2218" s="317" t="str">
        <f t="shared" si="587"/>
        <v/>
      </c>
      <c r="R2218" s="317" t="str">
        <f t="shared" si="588"/>
        <v/>
      </c>
      <c r="S2218" s="317" t="str">
        <f t="shared" si="589"/>
        <v/>
      </c>
      <c r="V2218" s="314">
        <f>SUM(ORÇAMENTO!N2218)</f>
        <v>0</v>
      </c>
      <c r="W2218" s="315">
        <f t="shared" si="597"/>
        <v>0</v>
      </c>
    </row>
    <row r="2219" spans="1:23" hidden="1">
      <c r="A2219" s="63" t="s">
        <v>147</v>
      </c>
      <c r="B2219" s="870" t="s">
        <v>147</v>
      </c>
      <c r="C2219" s="871"/>
      <c r="D2219" s="881" t="s">
        <v>365</v>
      </c>
      <c r="E2219" s="882">
        <f>DMT!$F$32</f>
        <v>28</v>
      </c>
      <c r="F2219" s="883">
        <f>VLOOKUP(D2215,'ENSAIOS DE ORÇAMENTO'!$C$5:$L$81,3,FALSE)</f>
        <v>0.17055359999999997</v>
      </c>
      <c r="G2219" s="923">
        <f t="shared" si="603"/>
        <v>5.5668695039999996</v>
      </c>
      <c r="H2219" s="876"/>
      <c r="I2219" s="876"/>
      <c r="J2219" s="877">
        <f t="shared" si="600"/>
        <v>0</v>
      </c>
      <c r="K2219" s="878"/>
      <c r="L2219" s="1013">
        <f>ROUND(SUM(ORÇAMENTO!L2219),2)</f>
        <v>0</v>
      </c>
      <c r="M2219" s="1013">
        <f t="shared" si="594"/>
        <v>0</v>
      </c>
      <c r="N2219" s="868">
        <f t="shared" si="595"/>
        <v>0</v>
      </c>
      <c r="O2219" s="880"/>
      <c r="P2219" s="36" t="str">
        <f>IF(N2215&gt;0,"xx",IF(N2215&gt;0,"xy",""))</f>
        <v/>
      </c>
      <c r="Q2219" s="317" t="str">
        <f t="shared" si="587"/>
        <v/>
      </c>
      <c r="R2219" s="317" t="str">
        <f t="shared" si="588"/>
        <v/>
      </c>
      <c r="S2219" s="317" t="str">
        <f t="shared" si="589"/>
        <v/>
      </c>
      <c r="V2219" s="314">
        <f>SUM(ORÇAMENTO!N2219)</f>
        <v>0</v>
      </c>
      <c r="W2219" s="315">
        <f t="shared" si="597"/>
        <v>0</v>
      </c>
    </row>
    <row r="2220" spans="1:23" hidden="1">
      <c r="A2220" s="63" t="s">
        <v>147</v>
      </c>
      <c r="B2220" s="870" t="s">
        <v>147</v>
      </c>
      <c r="C2220" s="871"/>
      <c r="D2220" s="881" t="s">
        <v>366</v>
      </c>
      <c r="E2220" s="882">
        <f>DMT!$D$18</f>
        <v>440</v>
      </c>
      <c r="F2220" s="883">
        <f>VLOOKUP(D2215,'ENSAIOS DE ORÇAMENTO'!$C$5:$L$81,10,FALSE)</f>
        <v>5.6851199999999992E-3</v>
      </c>
      <c r="G2220" s="884">
        <f>IF(E2220&lt;=30,(0.78*E2220+7.82)*F2220,((0.78*30+7.82)+0.78*(E2220-30))*F2220)</f>
        <v>1.9955908223999999</v>
      </c>
      <c r="H2220" s="876"/>
      <c r="I2220" s="876"/>
      <c r="J2220" s="877">
        <f t="shared" si="600"/>
        <v>0</v>
      </c>
      <c r="K2220" s="878"/>
      <c r="L2220" s="1013">
        <f>ROUND(SUM(ORÇAMENTO!L2220),2)</f>
        <v>0</v>
      </c>
      <c r="M2220" s="1013">
        <f t="shared" si="594"/>
        <v>0</v>
      </c>
      <c r="N2220" s="868">
        <f t="shared" si="595"/>
        <v>0</v>
      </c>
      <c r="O2220" s="880"/>
      <c r="P2220" s="36" t="str">
        <f>IF(N2215&gt;0,"xx",IF(N2215&gt;0,"xy",""))</f>
        <v/>
      </c>
      <c r="Q2220" s="317" t="str">
        <f t="shared" si="587"/>
        <v/>
      </c>
      <c r="R2220" s="317" t="str">
        <f t="shared" si="588"/>
        <v/>
      </c>
      <c r="S2220" s="317" t="str">
        <f t="shared" si="589"/>
        <v/>
      </c>
      <c r="V2220" s="314">
        <f>SUM(ORÇAMENTO!N2220)</f>
        <v>0</v>
      </c>
      <c r="W2220" s="315">
        <f t="shared" si="597"/>
        <v>0</v>
      </c>
    </row>
    <row r="2221" spans="1:23" hidden="1">
      <c r="A2221" s="63" t="s">
        <v>29</v>
      </c>
      <c r="B2221" s="870" t="s">
        <v>29</v>
      </c>
      <c r="C2221" s="871" t="s">
        <v>184</v>
      </c>
      <c r="D2221" s="881" t="s">
        <v>82</v>
      </c>
      <c r="E2221" s="882"/>
      <c r="F2221" s="883"/>
      <c r="G2221" s="887">
        <f>SUM(G2222:G2226)</f>
        <v>251.19169822960004</v>
      </c>
      <c r="H2221" s="876">
        <v>702.1</v>
      </c>
      <c r="I2221" s="876">
        <f>IF(ISBLANK(H2221),"",SUM(G2221:H2221))</f>
        <v>953.29169822960012</v>
      </c>
      <c r="J2221" s="877">
        <f t="shared" si="600"/>
        <v>1165.1099999999999</v>
      </c>
      <c r="K2221" s="878" t="s">
        <v>15</v>
      </c>
      <c r="L2221" s="1013">
        <f>ROUND(SUM(ORÇAMENTO!L2221),2)</f>
        <v>0</v>
      </c>
      <c r="M2221" s="1013">
        <f t="shared" si="594"/>
        <v>0</v>
      </c>
      <c r="N2221" s="868">
        <f t="shared" si="595"/>
        <v>0</v>
      </c>
      <c r="O2221" s="880"/>
      <c r="Q2221" s="317" t="str">
        <f t="shared" si="587"/>
        <v/>
      </c>
      <c r="R2221" s="317" t="str">
        <f t="shared" si="588"/>
        <v/>
      </c>
      <c r="S2221" s="317" t="str">
        <f t="shared" si="589"/>
        <v/>
      </c>
      <c r="V2221" s="314">
        <f>SUM(ORÇAMENTO!N2221)</f>
        <v>0</v>
      </c>
      <c r="W2221" s="315">
        <f t="shared" si="597"/>
        <v>0</v>
      </c>
    </row>
    <row r="2222" spans="1:23" hidden="1">
      <c r="A2222" s="63" t="s">
        <v>147</v>
      </c>
      <c r="B2222" s="870" t="s">
        <v>147</v>
      </c>
      <c r="C2222" s="871"/>
      <c r="D2222" s="881" t="s">
        <v>190</v>
      </c>
      <c r="E2222" s="882">
        <f>DMT!$D$20</f>
        <v>445</v>
      </c>
      <c r="F2222" s="883">
        <f>VLOOKUP(D2221,'ENSAIOS DE ORÇAMENTO'!$C$5:$L$81,4,FALSE)</f>
        <v>0.14735024000000002</v>
      </c>
      <c r="G2222" s="884">
        <f>IF(E2222&lt;=30,(0.78*E2222+7.82)*F2222,((0.78*30+7.82)+0.78*(E2222-30))*F2222)</f>
        <v>52.297547180800009</v>
      </c>
      <c r="H2222" s="876"/>
      <c r="I2222" s="876"/>
      <c r="J2222" s="877">
        <f t="shared" si="600"/>
        <v>0</v>
      </c>
      <c r="K2222" s="878"/>
      <c r="L2222" s="1013">
        <f>ROUND(SUM(ORÇAMENTO!L2222),2)</f>
        <v>0</v>
      </c>
      <c r="M2222" s="1013">
        <f t="shared" si="594"/>
        <v>0</v>
      </c>
      <c r="N2222" s="868">
        <f t="shared" si="595"/>
        <v>0</v>
      </c>
      <c r="O2222" s="880"/>
      <c r="P2222" s="36" t="str">
        <f>IF(N2221&gt;0,"xx",IF(N2221&gt;0,"xy",""))</f>
        <v/>
      </c>
      <c r="Q2222" s="317" t="str">
        <f t="shared" si="587"/>
        <v/>
      </c>
      <c r="R2222" s="317" t="str">
        <f t="shared" si="588"/>
        <v/>
      </c>
      <c r="S2222" s="317" t="str">
        <f t="shared" si="589"/>
        <v/>
      </c>
      <c r="V2222" s="314">
        <f>SUM(ORÇAMENTO!N2222)</f>
        <v>0</v>
      </c>
      <c r="W2222" s="315">
        <f t="shared" si="597"/>
        <v>0</v>
      </c>
    </row>
    <row r="2223" spans="1:23" hidden="1">
      <c r="A2223" s="63" t="s">
        <v>147</v>
      </c>
      <c r="B2223" s="870" t="s">
        <v>147</v>
      </c>
      <c r="C2223" s="871"/>
      <c r="D2223" s="881" t="s">
        <v>229</v>
      </c>
      <c r="E2223" s="882">
        <f>DMT!$F$8</f>
        <v>290</v>
      </c>
      <c r="F2223" s="883">
        <f>VLOOKUP(D2221,'ENSAIOS DE ORÇAMENTO'!$C$5:$L$81,5,FALSE)</f>
        <v>0.52819569600000005</v>
      </c>
      <c r="G2223" s="923">
        <f t="shared" ref="G2223:G2225" si="604">IF(E2223&lt;=30,(1.07*E2223+2.68)*F2223,((1.07*30+2.68)+1.07*(E2223-30))*F2223)</f>
        <v>165.31468893408004</v>
      </c>
      <c r="H2223" s="876"/>
      <c r="I2223" s="876"/>
      <c r="J2223" s="877">
        <f t="shared" si="600"/>
        <v>0</v>
      </c>
      <c r="K2223" s="878"/>
      <c r="L2223" s="1013">
        <f>ROUND(SUM(ORÇAMENTO!L2223),2)</f>
        <v>0</v>
      </c>
      <c r="M2223" s="1013">
        <f t="shared" si="594"/>
        <v>0</v>
      </c>
      <c r="N2223" s="868">
        <f t="shared" si="595"/>
        <v>0</v>
      </c>
      <c r="O2223" s="880"/>
      <c r="P2223" s="36" t="str">
        <f>IF(N2221&gt;0,"xx",IF(N2221&gt;0,"xy",""))</f>
        <v/>
      </c>
      <c r="Q2223" s="317" t="str">
        <f t="shared" si="587"/>
        <v/>
      </c>
      <c r="R2223" s="317" t="str">
        <f t="shared" si="588"/>
        <v/>
      </c>
      <c r="S2223" s="317" t="str">
        <f t="shared" si="589"/>
        <v/>
      </c>
      <c r="V2223" s="314">
        <f>SUM(ORÇAMENTO!N2223)</f>
        <v>0</v>
      </c>
      <c r="W2223" s="315">
        <f t="shared" si="597"/>
        <v>0</v>
      </c>
    </row>
    <row r="2224" spans="1:23" hidden="1">
      <c r="A2224" s="63" t="s">
        <v>147</v>
      </c>
      <c r="B2224" s="870" t="s">
        <v>147</v>
      </c>
      <c r="C2224" s="871"/>
      <c r="D2224" s="881" t="s">
        <v>233</v>
      </c>
      <c r="E2224" s="882">
        <f>DMT!$F$10</f>
        <v>43.1</v>
      </c>
      <c r="F2224" s="883">
        <f>VLOOKUP(D2221,'ENSAIOS DE ORÇAMENTO'!$C$5:$L$81,6,FALSE)</f>
        <v>0.43353936000000004</v>
      </c>
      <c r="G2224" s="923">
        <f t="shared" si="604"/>
        <v>21.155420149920005</v>
      </c>
      <c r="H2224" s="876"/>
      <c r="I2224" s="876"/>
      <c r="J2224" s="877">
        <f t="shared" si="600"/>
        <v>0</v>
      </c>
      <c r="K2224" s="878"/>
      <c r="L2224" s="1013">
        <f>ROUND(SUM(ORÇAMENTO!L2224),2)</f>
        <v>0</v>
      </c>
      <c r="M2224" s="1013">
        <f t="shared" si="594"/>
        <v>0</v>
      </c>
      <c r="N2224" s="868">
        <f t="shared" si="595"/>
        <v>0</v>
      </c>
      <c r="O2224" s="880"/>
      <c r="P2224" s="36" t="str">
        <f>IF(N2221&gt;0,"xx",IF(N2221&gt;0,"xy",""))</f>
        <v/>
      </c>
      <c r="Q2224" s="317" t="str">
        <f t="shared" si="587"/>
        <v/>
      </c>
      <c r="R2224" s="317" t="str">
        <f t="shared" si="588"/>
        <v/>
      </c>
      <c r="S2224" s="317" t="str">
        <f t="shared" si="589"/>
        <v/>
      </c>
      <c r="V2224" s="314">
        <f>SUM(ORÇAMENTO!N2224)</f>
        <v>0</v>
      </c>
      <c r="W2224" s="315">
        <f t="shared" si="597"/>
        <v>0</v>
      </c>
    </row>
    <row r="2225" spans="1:23" hidden="1">
      <c r="A2225" s="63" t="s">
        <v>147</v>
      </c>
      <c r="B2225" s="870" t="s">
        <v>147</v>
      </c>
      <c r="C2225" s="871"/>
      <c r="D2225" s="881" t="s">
        <v>365</v>
      </c>
      <c r="E2225" s="882">
        <f>DMT!$F$32</f>
        <v>28</v>
      </c>
      <c r="F2225" s="883">
        <f>VLOOKUP(D2221,'ENSAIOS DE ORÇAMENTO'!$C$5:$L$81,3,FALSE)</f>
        <v>0.28019519999999998</v>
      </c>
      <c r="G2225" s="923">
        <f t="shared" si="604"/>
        <v>9.1455713279999991</v>
      </c>
      <c r="H2225" s="876"/>
      <c r="I2225" s="876"/>
      <c r="J2225" s="877">
        <f t="shared" si="600"/>
        <v>0</v>
      </c>
      <c r="K2225" s="878"/>
      <c r="L2225" s="1013">
        <f>ROUND(SUM(ORÇAMENTO!L2225),2)</f>
        <v>0</v>
      </c>
      <c r="M2225" s="1013">
        <f t="shared" si="594"/>
        <v>0</v>
      </c>
      <c r="N2225" s="868">
        <f t="shared" si="595"/>
        <v>0</v>
      </c>
      <c r="O2225" s="880"/>
      <c r="P2225" s="36" t="str">
        <f>IF(N2221&gt;0,"xx",IF(N2221&gt;0,"xy",""))</f>
        <v/>
      </c>
      <c r="Q2225" s="317" t="str">
        <f t="shared" si="587"/>
        <v/>
      </c>
      <c r="R2225" s="317" t="str">
        <f t="shared" si="588"/>
        <v/>
      </c>
      <c r="S2225" s="317" t="str">
        <f t="shared" si="589"/>
        <v/>
      </c>
      <c r="V2225" s="314">
        <f>SUM(ORÇAMENTO!N2225)</f>
        <v>0</v>
      </c>
      <c r="W2225" s="315">
        <f t="shared" si="597"/>
        <v>0</v>
      </c>
    </row>
    <row r="2226" spans="1:23" hidden="1">
      <c r="A2226" s="63" t="s">
        <v>147</v>
      </c>
      <c r="B2226" s="870" t="s">
        <v>147</v>
      </c>
      <c r="C2226" s="871"/>
      <c r="D2226" s="881" t="s">
        <v>366</v>
      </c>
      <c r="E2226" s="882">
        <f>DMT!$D$18</f>
        <v>440</v>
      </c>
      <c r="F2226" s="883">
        <f>VLOOKUP(D2221,'ENSAIOS DE ORÇAMENTO'!$C$5:$L$81,10,FALSE)</f>
        <v>9.3398400000000003E-3</v>
      </c>
      <c r="G2226" s="884">
        <f>IF(E2226&lt;=30,(0.78*E2226+7.82)*F2226,((0.78*30+7.82)+0.78*(E2226-30))*F2226)</f>
        <v>3.2784706368000003</v>
      </c>
      <c r="H2226" s="876"/>
      <c r="I2226" s="876"/>
      <c r="J2226" s="877">
        <f t="shared" si="600"/>
        <v>0</v>
      </c>
      <c r="K2226" s="878"/>
      <c r="L2226" s="1013">
        <f>ROUND(SUM(ORÇAMENTO!L2226),2)</f>
        <v>0</v>
      </c>
      <c r="M2226" s="1013">
        <f t="shared" si="594"/>
        <v>0</v>
      </c>
      <c r="N2226" s="868">
        <f t="shared" si="595"/>
        <v>0</v>
      </c>
      <c r="O2226" s="880"/>
      <c r="P2226" s="36" t="str">
        <f>IF(N2221&gt;0,"xx",IF(N2221&gt;0,"xy",""))</f>
        <v/>
      </c>
      <c r="Q2226" s="317" t="str">
        <f t="shared" ref="Q2226:Q2275" si="605">IF(P2226="X","x",IF(P2226="xx","x",IF(P2226="xy","x",IF(P2226="y","x",IF(OR(N2226&gt;0,N2226&gt;0),"x","")))))</f>
        <v/>
      </c>
      <c r="R2226" s="317" t="str">
        <f t="shared" ref="R2226:R2275" si="606">IF(P2226="X","x",IF(P2226="y","x",IF(P2226="xx","x",IF(N2226&gt;0,"x",""))))</f>
        <v/>
      </c>
      <c r="S2226" s="317" t="str">
        <f t="shared" ref="S2226:S2275" si="607">IF(P2226="X","x",IF(N2226&gt;0,"x",""))</f>
        <v/>
      </c>
      <c r="V2226" s="314">
        <f>SUM(ORÇAMENTO!N2226)</f>
        <v>0</v>
      </c>
      <c r="W2226" s="315">
        <f t="shared" si="597"/>
        <v>0</v>
      </c>
    </row>
    <row r="2227" spans="1:23" hidden="1">
      <c r="A2227" s="63" t="s">
        <v>30</v>
      </c>
      <c r="B2227" s="870" t="s">
        <v>30</v>
      </c>
      <c r="C2227" s="871" t="s">
        <v>184</v>
      </c>
      <c r="D2227" s="881" t="s">
        <v>58</v>
      </c>
      <c r="E2227" s="882"/>
      <c r="F2227" s="883"/>
      <c r="G2227" s="887">
        <f>SUM(G2228:G2232)</f>
        <v>454.83891789760003</v>
      </c>
      <c r="H2227" s="876">
        <v>1305.72</v>
      </c>
      <c r="I2227" s="876">
        <f>IF(ISBLANK(H2227),"",SUM(G2227:H2227))</f>
        <v>1760.5589178976002</v>
      </c>
      <c r="J2227" s="877">
        <f t="shared" si="600"/>
        <v>2151.7600000000002</v>
      </c>
      <c r="K2227" s="878" t="s">
        <v>15</v>
      </c>
      <c r="L2227" s="1013">
        <f>ROUND(SUM(ORÇAMENTO!L2227),2)</f>
        <v>0</v>
      </c>
      <c r="M2227" s="1013">
        <f t="shared" si="594"/>
        <v>0</v>
      </c>
      <c r="N2227" s="868">
        <f t="shared" si="595"/>
        <v>0</v>
      </c>
      <c r="O2227" s="880"/>
      <c r="Q2227" s="317" t="str">
        <f t="shared" si="605"/>
        <v/>
      </c>
      <c r="R2227" s="317" t="str">
        <f t="shared" si="606"/>
        <v/>
      </c>
      <c r="S2227" s="317" t="str">
        <f t="shared" si="607"/>
        <v/>
      </c>
      <c r="V2227" s="314">
        <f>SUM(ORÇAMENTO!N2227)</f>
        <v>0</v>
      </c>
      <c r="W2227" s="315">
        <f t="shared" si="597"/>
        <v>0</v>
      </c>
    </row>
    <row r="2228" spans="1:23" hidden="1">
      <c r="A2228" s="63" t="s">
        <v>147</v>
      </c>
      <c r="B2228" s="870" t="s">
        <v>147</v>
      </c>
      <c r="C2228" s="871"/>
      <c r="D2228" s="881" t="s">
        <v>190</v>
      </c>
      <c r="E2228" s="882">
        <f>DMT!$D$20</f>
        <v>445</v>
      </c>
      <c r="F2228" s="883">
        <f>VLOOKUP(D2227,'ENSAIOS DE ORÇAMENTO'!$C$5:$L$81,4,FALSE)</f>
        <v>0.25613760000000002</v>
      </c>
      <c r="G2228" s="884">
        <f>IF(E2228&lt;=30,(0.78*E2228+7.82)*F2228,((0.78*30+7.82)+0.78*(E2228-30))*F2228)</f>
        <v>90.908356992000009</v>
      </c>
      <c r="H2228" s="876"/>
      <c r="I2228" s="876"/>
      <c r="J2228" s="877">
        <f t="shared" si="600"/>
        <v>0</v>
      </c>
      <c r="K2228" s="878"/>
      <c r="L2228" s="1013">
        <f>ROUND(SUM(ORÇAMENTO!L2228),2)</f>
        <v>0</v>
      </c>
      <c r="M2228" s="1013">
        <f t="shared" si="594"/>
        <v>0</v>
      </c>
      <c r="N2228" s="868">
        <f t="shared" si="595"/>
        <v>0</v>
      </c>
      <c r="O2228" s="880"/>
      <c r="P2228" s="36" t="str">
        <f>IF(N2227&gt;0,"xx",IF(N2227&gt;0,"xy",""))</f>
        <v/>
      </c>
      <c r="Q2228" s="317" t="str">
        <f t="shared" si="605"/>
        <v/>
      </c>
      <c r="R2228" s="317" t="str">
        <f t="shared" si="606"/>
        <v/>
      </c>
      <c r="S2228" s="317" t="str">
        <f t="shared" si="607"/>
        <v/>
      </c>
      <c r="V2228" s="314">
        <f>SUM(ORÇAMENTO!N2228)</f>
        <v>0</v>
      </c>
      <c r="W2228" s="315">
        <f t="shared" si="597"/>
        <v>0</v>
      </c>
    </row>
    <row r="2229" spans="1:23" hidden="1">
      <c r="A2229" s="63" t="s">
        <v>147</v>
      </c>
      <c r="B2229" s="870" t="s">
        <v>147</v>
      </c>
      <c r="C2229" s="871"/>
      <c r="D2229" s="881" t="s">
        <v>229</v>
      </c>
      <c r="E2229" s="882">
        <f>DMT!$F$8</f>
        <v>290</v>
      </c>
      <c r="F2229" s="883">
        <f>VLOOKUP(D2227,'ENSAIOS DE ORÇAMENTO'!$C$5:$L$81,5,FALSE)</f>
        <v>0.95694329600000005</v>
      </c>
      <c r="G2229" s="923">
        <f t="shared" ref="G2229:G2231" si="608">IF(E2229&lt;=30,(1.07*E2229+2.68)*F2229,((1.07*30+2.68)+1.07*(E2229-30))*F2229)</f>
        <v>299.50411278208003</v>
      </c>
      <c r="H2229" s="876"/>
      <c r="I2229" s="876"/>
      <c r="J2229" s="877">
        <f t="shared" si="600"/>
        <v>0</v>
      </c>
      <c r="K2229" s="878"/>
      <c r="L2229" s="1013">
        <f>ROUND(SUM(ORÇAMENTO!L2229),2)</f>
        <v>0</v>
      </c>
      <c r="M2229" s="1013">
        <f t="shared" si="594"/>
        <v>0</v>
      </c>
      <c r="N2229" s="868">
        <f t="shared" si="595"/>
        <v>0</v>
      </c>
      <c r="O2229" s="880"/>
      <c r="P2229" s="36" t="str">
        <f>IF(N2227&gt;0,"xx",IF(N2227&gt;0,"xy",""))</f>
        <v/>
      </c>
      <c r="Q2229" s="317" t="str">
        <f t="shared" si="605"/>
        <v/>
      </c>
      <c r="R2229" s="317" t="str">
        <f t="shared" si="606"/>
        <v/>
      </c>
      <c r="S2229" s="317" t="str">
        <f t="shared" si="607"/>
        <v/>
      </c>
      <c r="V2229" s="314">
        <f>SUM(ORÇAMENTO!N2229)</f>
        <v>0</v>
      </c>
      <c r="W2229" s="315">
        <f t="shared" si="597"/>
        <v>0</v>
      </c>
    </row>
    <row r="2230" spans="1:23" hidden="1">
      <c r="A2230" s="63" t="s">
        <v>147</v>
      </c>
      <c r="B2230" s="870" t="s">
        <v>147</v>
      </c>
      <c r="C2230" s="871"/>
      <c r="D2230" s="881" t="s">
        <v>233</v>
      </c>
      <c r="E2230" s="882">
        <f>DMT!$F$10</f>
        <v>43.1</v>
      </c>
      <c r="F2230" s="883">
        <f>VLOOKUP(D2227,'ENSAIOS DE ORÇAMENTO'!$C$5:$L$81,6,FALSE)</f>
        <v>0.70038336000000012</v>
      </c>
      <c r="G2230" s="923">
        <f t="shared" si="608"/>
        <v>34.17660681792001</v>
      </c>
      <c r="H2230" s="876"/>
      <c r="I2230" s="876"/>
      <c r="J2230" s="877">
        <f t="shared" si="600"/>
        <v>0</v>
      </c>
      <c r="K2230" s="878"/>
      <c r="L2230" s="1013">
        <f>ROUND(SUM(ORÇAMENTO!L2230),2)</f>
        <v>0</v>
      </c>
      <c r="M2230" s="1013">
        <f t="shared" si="594"/>
        <v>0</v>
      </c>
      <c r="N2230" s="868">
        <f t="shared" si="595"/>
        <v>0</v>
      </c>
      <c r="O2230" s="880"/>
      <c r="P2230" s="36" t="str">
        <f>IF(N2227&gt;0,"xx",IF(N2227&gt;0,"xy",""))</f>
        <v/>
      </c>
      <c r="Q2230" s="317" t="str">
        <f t="shared" si="605"/>
        <v/>
      </c>
      <c r="R2230" s="317" t="str">
        <f t="shared" si="606"/>
        <v/>
      </c>
      <c r="S2230" s="317" t="str">
        <f t="shared" si="607"/>
        <v/>
      </c>
      <c r="V2230" s="314">
        <f>SUM(ORÇAMENTO!N2230)</f>
        <v>0</v>
      </c>
      <c r="W2230" s="315">
        <f t="shared" si="597"/>
        <v>0</v>
      </c>
    </row>
    <row r="2231" spans="1:23" hidden="1">
      <c r="A2231" s="63" t="s">
        <v>147</v>
      </c>
      <c r="B2231" s="870" t="s">
        <v>147</v>
      </c>
      <c r="C2231" s="871"/>
      <c r="D2231" s="881" t="s">
        <v>365</v>
      </c>
      <c r="E2231" s="882">
        <f>DMT!$F$32</f>
        <v>28</v>
      </c>
      <c r="F2231" s="883">
        <f>VLOOKUP(D2227,'ENSAIOS DE ORÇAMENTO'!$C$5:$L$81,3,FALSE)</f>
        <v>0.6822144</v>
      </c>
      <c r="G2231" s="923">
        <f t="shared" si="608"/>
        <v>22.267478016000002</v>
      </c>
      <c r="H2231" s="876"/>
      <c r="I2231" s="876"/>
      <c r="J2231" s="877">
        <f t="shared" si="600"/>
        <v>0</v>
      </c>
      <c r="K2231" s="878"/>
      <c r="L2231" s="1013">
        <f>ROUND(SUM(ORÇAMENTO!L2231),2)</f>
        <v>0</v>
      </c>
      <c r="M2231" s="1013">
        <f t="shared" si="594"/>
        <v>0</v>
      </c>
      <c r="N2231" s="868">
        <f t="shared" si="595"/>
        <v>0</v>
      </c>
      <c r="O2231" s="880"/>
      <c r="P2231" s="36" t="str">
        <f>IF(N2227&gt;0,"xx",IF(N2227&gt;0,"xy",""))</f>
        <v/>
      </c>
      <c r="Q2231" s="317" t="str">
        <f t="shared" si="605"/>
        <v/>
      </c>
      <c r="R2231" s="317" t="str">
        <f t="shared" si="606"/>
        <v/>
      </c>
      <c r="S2231" s="317" t="str">
        <f t="shared" si="607"/>
        <v/>
      </c>
      <c r="V2231" s="314">
        <f>SUM(ORÇAMENTO!N2231)</f>
        <v>0</v>
      </c>
      <c r="W2231" s="315">
        <f t="shared" si="597"/>
        <v>0</v>
      </c>
    </row>
    <row r="2232" spans="1:23" hidden="1">
      <c r="A2232" s="63" t="s">
        <v>147</v>
      </c>
      <c r="B2232" s="870" t="s">
        <v>147</v>
      </c>
      <c r="C2232" s="871"/>
      <c r="D2232" s="881" t="s">
        <v>366</v>
      </c>
      <c r="E2232" s="882">
        <f>DMT!$D$18</f>
        <v>440</v>
      </c>
      <c r="F2232" s="883">
        <f>VLOOKUP(D2227,'ENSAIOS DE ORÇAMENTO'!$C$5:$L$81,10,FALSE)</f>
        <v>2.274048E-2</v>
      </c>
      <c r="G2232" s="884">
        <f>IF(E2232&lt;=30,(0.78*E2232+7.82)*F2232,((0.78*30+7.82)+0.78*(E2232-30))*F2232)</f>
        <v>7.9823632896000012</v>
      </c>
      <c r="H2232" s="876"/>
      <c r="I2232" s="876"/>
      <c r="J2232" s="877">
        <f t="shared" si="600"/>
        <v>0</v>
      </c>
      <c r="K2232" s="878"/>
      <c r="L2232" s="1013">
        <f>ROUND(SUM(ORÇAMENTO!L2232),2)</f>
        <v>0</v>
      </c>
      <c r="M2232" s="1013">
        <f t="shared" si="594"/>
        <v>0</v>
      </c>
      <c r="N2232" s="868">
        <f t="shared" si="595"/>
        <v>0</v>
      </c>
      <c r="O2232" s="880"/>
      <c r="P2232" s="36" t="str">
        <f>IF(N2227&gt;0,"xx",IF(N2227&gt;0,"xy",""))</f>
        <v/>
      </c>
      <c r="Q2232" s="317" t="str">
        <f t="shared" si="605"/>
        <v/>
      </c>
      <c r="R2232" s="317" t="str">
        <f t="shared" si="606"/>
        <v/>
      </c>
      <c r="S2232" s="317" t="str">
        <f t="shared" si="607"/>
        <v/>
      </c>
      <c r="V2232" s="314">
        <f>SUM(ORÇAMENTO!N2232)</f>
        <v>0</v>
      </c>
      <c r="W2232" s="315">
        <f t="shared" si="597"/>
        <v>0</v>
      </c>
    </row>
    <row r="2233" spans="1:23" hidden="1">
      <c r="A2233" s="63" t="s">
        <v>31</v>
      </c>
      <c r="B2233" s="870" t="s">
        <v>31</v>
      </c>
      <c r="C2233" s="871" t="s">
        <v>184</v>
      </c>
      <c r="D2233" s="881" t="s">
        <v>59</v>
      </c>
      <c r="E2233" s="882"/>
      <c r="F2233" s="883"/>
      <c r="G2233" s="887">
        <f>SUM(G2234:G2238)</f>
        <v>594.88678791120003</v>
      </c>
      <c r="H2233" s="876">
        <v>1702.01</v>
      </c>
      <c r="I2233" s="876">
        <f>IF(ISBLANK(H2233),"",SUM(G2233:H2233))</f>
        <v>2296.8967879112001</v>
      </c>
      <c r="J2233" s="877">
        <f t="shared" si="600"/>
        <v>2807.27</v>
      </c>
      <c r="K2233" s="878" t="s">
        <v>15</v>
      </c>
      <c r="L2233" s="1013">
        <f>ROUND(SUM(ORÇAMENTO!L2233),2)</f>
        <v>0</v>
      </c>
      <c r="M2233" s="1013">
        <f t="shared" si="594"/>
        <v>0</v>
      </c>
      <c r="N2233" s="868">
        <f t="shared" si="595"/>
        <v>0</v>
      </c>
      <c r="O2233" s="880"/>
      <c r="Q2233" s="317" t="str">
        <f t="shared" si="605"/>
        <v/>
      </c>
      <c r="R2233" s="317" t="str">
        <f t="shared" si="606"/>
        <v/>
      </c>
      <c r="S2233" s="317" t="str">
        <f t="shared" si="607"/>
        <v/>
      </c>
      <c r="V2233" s="314">
        <f>SUM(ORÇAMENTO!N2233)</f>
        <v>0</v>
      </c>
      <c r="W2233" s="315">
        <f t="shared" si="597"/>
        <v>0</v>
      </c>
    </row>
    <row r="2234" spans="1:23" hidden="1">
      <c r="A2234" s="63" t="s">
        <v>147</v>
      </c>
      <c r="B2234" s="870" t="s">
        <v>147</v>
      </c>
      <c r="C2234" s="871"/>
      <c r="D2234" s="881" t="s">
        <v>190</v>
      </c>
      <c r="E2234" s="882">
        <f>DMT!$D$20</f>
        <v>445</v>
      </c>
      <c r="F2234" s="883">
        <f>VLOOKUP(D2233,'ENSAIOS DE ORÇAMENTO'!$C$5:$L$81,4,FALSE)</f>
        <v>0.33109503999999995</v>
      </c>
      <c r="G2234" s="884">
        <f>IF(E2234&lt;=30,(0.78*E2234+7.82)*F2234,((0.78*30+7.82)+0.78*(E2234-30))*F2234)</f>
        <v>117.51225159679998</v>
      </c>
      <c r="H2234" s="876"/>
      <c r="I2234" s="876"/>
      <c r="J2234" s="877">
        <f t="shared" si="600"/>
        <v>0</v>
      </c>
      <c r="K2234" s="878"/>
      <c r="L2234" s="1013">
        <f>ROUND(SUM(ORÇAMENTO!L2234),2)</f>
        <v>0</v>
      </c>
      <c r="M2234" s="1013">
        <f t="shared" si="594"/>
        <v>0</v>
      </c>
      <c r="N2234" s="868">
        <f t="shared" si="595"/>
        <v>0</v>
      </c>
      <c r="O2234" s="880"/>
      <c r="P2234" s="36" t="str">
        <f>IF(N2233&gt;0,"xx",IF(N2233&gt;0,"xy",""))</f>
        <v/>
      </c>
      <c r="Q2234" s="317" t="str">
        <f t="shared" si="605"/>
        <v/>
      </c>
      <c r="R2234" s="317" t="str">
        <f t="shared" si="606"/>
        <v/>
      </c>
      <c r="S2234" s="317" t="str">
        <f t="shared" si="607"/>
        <v/>
      </c>
      <c r="V2234" s="314">
        <f>SUM(ORÇAMENTO!N2234)</f>
        <v>0</v>
      </c>
      <c r="W2234" s="315">
        <f t="shared" si="597"/>
        <v>0</v>
      </c>
    </row>
    <row r="2235" spans="1:23" hidden="1">
      <c r="A2235" s="63" t="s">
        <v>147</v>
      </c>
      <c r="B2235" s="870" t="s">
        <v>147</v>
      </c>
      <c r="C2235" s="871"/>
      <c r="D2235" s="881" t="s">
        <v>229</v>
      </c>
      <c r="E2235" s="882">
        <f>DMT!$F$8</f>
        <v>290</v>
      </c>
      <c r="F2235" s="883">
        <f>VLOOKUP(D2233,'ENSAIOS DE ORÇAMENTO'!$C$5:$L$81,5,FALSE)</f>
        <v>1.2541824319999999</v>
      </c>
      <c r="G2235" s="923">
        <f t="shared" ref="G2235:G2237" si="609">IF(E2235&lt;=30,(1.07*E2235+2.68)*F2235,((1.07*30+2.68)+1.07*(E2235-30))*F2235)</f>
        <v>392.53401756735997</v>
      </c>
      <c r="H2235" s="876"/>
      <c r="I2235" s="876"/>
      <c r="J2235" s="877">
        <f t="shared" si="600"/>
        <v>0</v>
      </c>
      <c r="K2235" s="878"/>
      <c r="L2235" s="1013">
        <f>ROUND(SUM(ORÇAMENTO!L2235),2)</f>
        <v>0</v>
      </c>
      <c r="M2235" s="1013">
        <f t="shared" si="594"/>
        <v>0</v>
      </c>
      <c r="N2235" s="868">
        <f t="shared" si="595"/>
        <v>0</v>
      </c>
      <c r="O2235" s="880"/>
      <c r="P2235" s="36" t="str">
        <f>IF(N2233&gt;0,"xx",IF(N2233&gt;0,"xy",""))</f>
        <v/>
      </c>
      <c r="Q2235" s="317" t="str">
        <f t="shared" si="605"/>
        <v/>
      </c>
      <c r="R2235" s="317" t="str">
        <f t="shared" si="606"/>
        <v/>
      </c>
      <c r="S2235" s="317" t="str">
        <f t="shared" si="607"/>
        <v/>
      </c>
      <c r="V2235" s="314">
        <f>SUM(ORÇAMENTO!N2235)</f>
        <v>0</v>
      </c>
      <c r="W2235" s="315">
        <f t="shared" si="597"/>
        <v>0</v>
      </c>
    </row>
    <row r="2236" spans="1:23" hidden="1">
      <c r="A2236" s="63" t="s">
        <v>147</v>
      </c>
      <c r="B2236" s="870" t="s">
        <v>147</v>
      </c>
      <c r="C2236" s="871"/>
      <c r="D2236" s="881" t="s">
        <v>233</v>
      </c>
      <c r="E2236" s="882">
        <f>DMT!$F$10</f>
        <v>43.1</v>
      </c>
      <c r="F2236" s="883">
        <f>VLOOKUP(D2233,'ENSAIOS DE ORÇAMENTO'!$C$5:$L$81,6,FALSE)</f>
        <v>0.89487311999999997</v>
      </c>
      <c r="G2236" s="923">
        <f t="shared" si="609"/>
        <v>43.66712363664</v>
      </c>
      <c r="H2236" s="876"/>
      <c r="I2236" s="876"/>
      <c r="J2236" s="877">
        <f t="shared" si="600"/>
        <v>0</v>
      </c>
      <c r="K2236" s="878"/>
      <c r="L2236" s="1013">
        <f>ROUND(SUM(ORÇAMENTO!L2236),2)</f>
        <v>0</v>
      </c>
      <c r="M2236" s="1013">
        <f t="shared" si="594"/>
        <v>0</v>
      </c>
      <c r="N2236" s="868">
        <f t="shared" si="595"/>
        <v>0</v>
      </c>
      <c r="O2236" s="880"/>
      <c r="P2236" s="36" t="str">
        <f>IF(N2233&gt;0,"xx",IF(N2233&gt;0,"xy",""))</f>
        <v/>
      </c>
      <c r="Q2236" s="317" t="str">
        <f t="shared" si="605"/>
        <v/>
      </c>
      <c r="R2236" s="317" t="str">
        <f t="shared" si="606"/>
        <v/>
      </c>
      <c r="S2236" s="317" t="str">
        <f t="shared" si="607"/>
        <v/>
      </c>
      <c r="V2236" s="314">
        <f>SUM(ORÇAMENTO!N2236)</f>
        <v>0</v>
      </c>
      <c r="W2236" s="315">
        <f t="shared" si="597"/>
        <v>0</v>
      </c>
    </row>
    <row r="2237" spans="1:23" hidden="1">
      <c r="A2237" s="63" t="s">
        <v>147</v>
      </c>
      <c r="B2237" s="870" t="s">
        <v>147</v>
      </c>
      <c r="C2237" s="871"/>
      <c r="D2237" s="881" t="s">
        <v>365</v>
      </c>
      <c r="E2237" s="882">
        <f>DMT!$F$32</f>
        <v>28</v>
      </c>
      <c r="F2237" s="883">
        <f>VLOOKUP(D2233,'ENSAIOS DE ORÇAMENTO'!$C$5:$L$81,3,FALSE)</f>
        <v>0.92856959999999988</v>
      </c>
      <c r="G2237" s="923">
        <f t="shared" si="609"/>
        <v>30.308511743999997</v>
      </c>
      <c r="H2237" s="876"/>
      <c r="I2237" s="876"/>
      <c r="J2237" s="877">
        <f t="shared" si="600"/>
        <v>0</v>
      </c>
      <c r="K2237" s="878"/>
      <c r="L2237" s="1013">
        <f>ROUND(SUM(ORÇAMENTO!L2237),2)</f>
        <v>0</v>
      </c>
      <c r="M2237" s="1013">
        <f t="shared" si="594"/>
        <v>0</v>
      </c>
      <c r="N2237" s="868">
        <f t="shared" si="595"/>
        <v>0</v>
      </c>
      <c r="O2237" s="880"/>
      <c r="P2237" s="36" t="str">
        <f>IF(N2233&gt;0,"xx",IF(N2233&gt;0,"xy",""))</f>
        <v/>
      </c>
      <c r="Q2237" s="317" t="str">
        <f t="shared" si="605"/>
        <v/>
      </c>
      <c r="R2237" s="317" t="str">
        <f t="shared" si="606"/>
        <v/>
      </c>
      <c r="S2237" s="317" t="str">
        <f t="shared" si="607"/>
        <v/>
      </c>
      <c r="V2237" s="314">
        <f>SUM(ORÇAMENTO!N2237)</f>
        <v>0</v>
      </c>
      <c r="W2237" s="315">
        <f t="shared" si="597"/>
        <v>0</v>
      </c>
    </row>
    <row r="2238" spans="1:23" hidden="1">
      <c r="A2238" s="63" t="s">
        <v>147</v>
      </c>
      <c r="B2238" s="870" t="s">
        <v>147</v>
      </c>
      <c r="C2238" s="871"/>
      <c r="D2238" s="881" t="s">
        <v>366</v>
      </c>
      <c r="E2238" s="882">
        <f>DMT!$D$18</f>
        <v>440</v>
      </c>
      <c r="F2238" s="883">
        <f>VLOOKUP(D2233,'ENSAIOS DE ORÇAMENTO'!$C$5:$L$81,10,FALSE)</f>
        <v>3.0952319999999998E-2</v>
      </c>
      <c r="G2238" s="884">
        <f>IF(E2238&lt;=30,(0.78*E2238+7.82)*F2238,((0.78*30+7.82)+0.78*(E2238-30))*F2238)</f>
        <v>10.864883366400001</v>
      </c>
      <c r="H2238" s="876"/>
      <c r="I2238" s="876"/>
      <c r="J2238" s="877">
        <f t="shared" si="600"/>
        <v>0</v>
      </c>
      <c r="K2238" s="878"/>
      <c r="L2238" s="1013">
        <f>ROUND(SUM(ORÇAMENTO!L2238),2)</f>
        <v>0</v>
      </c>
      <c r="M2238" s="1013">
        <f t="shared" si="594"/>
        <v>0</v>
      </c>
      <c r="N2238" s="868">
        <f t="shared" si="595"/>
        <v>0</v>
      </c>
      <c r="O2238" s="880"/>
      <c r="P2238" s="36" t="str">
        <f>IF(N2233&gt;0,"xx",IF(N2233&gt;0,"xy",""))</f>
        <v/>
      </c>
      <c r="Q2238" s="317" t="str">
        <f t="shared" si="605"/>
        <v/>
      </c>
      <c r="R2238" s="317" t="str">
        <f t="shared" si="606"/>
        <v/>
      </c>
      <c r="S2238" s="317" t="str">
        <f t="shared" si="607"/>
        <v/>
      </c>
      <c r="V2238" s="314">
        <f>SUM(ORÇAMENTO!N2238)</f>
        <v>0</v>
      </c>
      <c r="W2238" s="315">
        <f t="shared" si="597"/>
        <v>0</v>
      </c>
    </row>
    <row r="2239" spans="1:23" hidden="1">
      <c r="A2239" s="63" t="s">
        <v>32</v>
      </c>
      <c r="B2239" s="870" t="s">
        <v>32</v>
      </c>
      <c r="C2239" s="871" t="s">
        <v>184</v>
      </c>
      <c r="D2239" s="881" t="s">
        <v>60</v>
      </c>
      <c r="E2239" s="882"/>
      <c r="F2239" s="883"/>
      <c r="G2239" s="887">
        <f>SUM(G2240:G2244)</f>
        <v>820.9041568680002</v>
      </c>
      <c r="H2239" s="876">
        <v>2343.36</v>
      </c>
      <c r="I2239" s="876">
        <f>IF(ISBLANK(H2239),"",SUM(G2239:H2239))</f>
        <v>3164.2641568680001</v>
      </c>
      <c r="J2239" s="877">
        <f t="shared" si="600"/>
        <v>3867.36</v>
      </c>
      <c r="K2239" s="878" t="s">
        <v>15</v>
      </c>
      <c r="L2239" s="1013">
        <f>ROUND(SUM(ORÇAMENTO!L2239),2)</f>
        <v>0</v>
      </c>
      <c r="M2239" s="1013">
        <f t="shared" si="594"/>
        <v>0</v>
      </c>
      <c r="N2239" s="868">
        <f t="shared" si="595"/>
        <v>0</v>
      </c>
      <c r="O2239" s="880"/>
      <c r="Q2239" s="317" t="str">
        <f t="shared" si="605"/>
        <v/>
      </c>
      <c r="R2239" s="317" t="str">
        <f t="shared" si="606"/>
        <v/>
      </c>
      <c r="S2239" s="317" t="str">
        <f t="shared" si="607"/>
        <v/>
      </c>
      <c r="V2239" s="314">
        <f>SUM(ORÇAMENTO!N2239)</f>
        <v>0</v>
      </c>
      <c r="W2239" s="315">
        <f t="shared" si="597"/>
        <v>0</v>
      </c>
    </row>
    <row r="2240" spans="1:23" hidden="1">
      <c r="A2240" s="63" t="s">
        <v>147</v>
      </c>
      <c r="B2240" s="870" t="s">
        <v>147</v>
      </c>
      <c r="C2240" s="871"/>
      <c r="D2240" s="881" t="s">
        <v>190</v>
      </c>
      <c r="E2240" s="882">
        <f>DMT!$D$20</f>
        <v>445</v>
      </c>
      <c r="F2240" s="883">
        <f>VLOOKUP(D2239,'ENSAIOS DE ORÇAMENTO'!$C$5:$L$81,4,FALSE)</f>
        <v>0.45250179200000007</v>
      </c>
      <c r="G2240" s="884">
        <f>IF(E2240&lt;=30,(0.78*E2240+7.82)*F2240,((0.78*30+7.82)+0.78*(E2240-30))*F2240)</f>
        <v>160.60193601664002</v>
      </c>
      <c r="H2240" s="876"/>
      <c r="I2240" s="876"/>
      <c r="J2240" s="877">
        <f t="shared" si="600"/>
        <v>0</v>
      </c>
      <c r="K2240" s="878"/>
      <c r="L2240" s="1013">
        <f>ROUND(SUM(ORÇAMENTO!L2240),2)</f>
        <v>0</v>
      </c>
      <c r="M2240" s="1013">
        <f t="shared" si="594"/>
        <v>0</v>
      </c>
      <c r="N2240" s="868">
        <f t="shared" si="595"/>
        <v>0</v>
      </c>
      <c r="O2240" s="880"/>
      <c r="P2240" s="36" t="str">
        <f>IF(N2239&gt;0,"xx",IF(N2239&gt;0,"xy",""))</f>
        <v/>
      </c>
      <c r="Q2240" s="317" t="str">
        <f t="shared" si="605"/>
        <v/>
      </c>
      <c r="R2240" s="317" t="str">
        <f t="shared" si="606"/>
        <v/>
      </c>
      <c r="S2240" s="317" t="str">
        <f t="shared" si="607"/>
        <v/>
      </c>
      <c r="V2240" s="314">
        <f>SUM(ORÇAMENTO!N2240)</f>
        <v>0</v>
      </c>
      <c r="W2240" s="315">
        <f t="shared" si="597"/>
        <v>0</v>
      </c>
    </row>
    <row r="2241" spans="1:23" hidden="1">
      <c r="A2241" s="63" t="s">
        <v>147</v>
      </c>
      <c r="B2241" s="870" t="s">
        <v>147</v>
      </c>
      <c r="C2241" s="871"/>
      <c r="D2241" s="881" t="s">
        <v>229</v>
      </c>
      <c r="E2241" s="882">
        <f>DMT!$F$8</f>
        <v>290</v>
      </c>
      <c r="F2241" s="883">
        <f>VLOOKUP(D2239,'ENSAIOS DE ORÇAMENTO'!$C$5:$L$81,5,FALSE)</f>
        <v>1.7334338080000002</v>
      </c>
      <c r="G2241" s="923">
        <f t="shared" ref="G2241:G2243" si="610">IF(E2241&lt;=30,(1.07*E2241+2.68)*F2241,((1.07*30+2.68)+1.07*(E2241-30))*F2241)</f>
        <v>542.53011322784016</v>
      </c>
      <c r="H2241" s="876"/>
      <c r="I2241" s="876"/>
      <c r="J2241" s="877">
        <f t="shared" si="600"/>
        <v>0</v>
      </c>
      <c r="K2241" s="878"/>
      <c r="L2241" s="1013">
        <f>ROUND(SUM(ORÇAMENTO!L2241),2)</f>
        <v>0</v>
      </c>
      <c r="M2241" s="1013">
        <f t="shared" si="594"/>
        <v>0</v>
      </c>
      <c r="N2241" s="868">
        <f t="shared" si="595"/>
        <v>0</v>
      </c>
      <c r="O2241" s="880"/>
      <c r="P2241" s="36" t="str">
        <f>IF(N2239&gt;0,"xx",IF(N2239&gt;0,"xy",""))</f>
        <v/>
      </c>
      <c r="Q2241" s="317" t="str">
        <f t="shared" si="605"/>
        <v/>
      </c>
      <c r="R2241" s="317" t="str">
        <f t="shared" si="606"/>
        <v/>
      </c>
      <c r="S2241" s="317" t="str">
        <f t="shared" si="607"/>
        <v/>
      </c>
      <c r="V2241" s="314">
        <f>SUM(ORÇAMENTO!N2241)</f>
        <v>0</v>
      </c>
      <c r="W2241" s="315">
        <f t="shared" si="597"/>
        <v>0</v>
      </c>
    </row>
    <row r="2242" spans="1:23" hidden="1">
      <c r="A2242" s="63" t="s">
        <v>147</v>
      </c>
      <c r="B2242" s="870" t="s">
        <v>147</v>
      </c>
      <c r="C2242" s="871"/>
      <c r="D2242" s="881" t="s">
        <v>233</v>
      </c>
      <c r="E2242" s="882">
        <f>DMT!$F$10</f>
        <v>43.1</v>
      </c>
      <c r="F2242" s="883">
        <f>VLOOKUP(D2239,'ENSAIOS DE ORÇAMENTO'!$C$5:$L$81,6,FALSE)</f>
        <v>1.2150148800000002</v>
      </c>
      <c r="G2242" s="923">
        <f t="shared" si="610"/>
        <v>59.289081099360018</v>
      </c>
      <c r="H2242" s="876"/>
      <c r="I2242" s="876"/>
      <c r="J2242" s="877">
        <f t="shared" si="600"/>
        <v>0</v>
      </c>
      <c r="K2242" s="878"/>
      <c r="L2242" s="1013">
        <f>ROUND(SUM(ORÇAMENTO!L2242),2)</f>
        <v>0</v>
      </c>
      <c r="M2242" s="1013">
        <f t="shared" si="594"/>
        <v>0</v>
      </c>
      <c r="N2242" s="868">
        <f t="shared" si="595"/>
        <v>0</v>
      </c>
      <c r="O2242" s="880"/>
      <c r="P2242" s="36" t="str">
        <f>IF(N2239&gt;0,"xx",IF(N2239&gt;0,"xy",""))</f>
        <v/>
      </c>
      <c r="Q2242" s="317" t="str">
        <f t="shared" si="605"/>
        <v/>
      </c>
      <c r="R2242" s="317" t="str">
        <f t="shared" si="606"/>
        <v/>
      </c>
      <c r="S2242" s="317" t="str">
        <f t="shared" si="607"/>
        <v/>
      </c>
      <c r="V2242" s="314">
        <f>SUM(ORÇAMENTO!N2242)</f>
        <v>0</v>
      </c>
      <c r="W2242" s="315">
        <f t="shared" si="597"/>
        <v>0</v>
      </c>
    </row>
    <row r="2243" spans="1:23" hidden="1">
      <c r="A2243" s="63" t="s">
        <v>147</v>
      </c>
      <c r="B2243" s="870" t="s">
        <v>147</v>
      </c>
      <c r="C2243" s="871"/>
      <c r="D2243" s="881" t="s">
        <v>365</v>
      </c>
      <c r="E2243" s="882">
        <f>DMT!$F$32</f>
        <v>28</v>
      </c>
      <c r="F2243" s="883">
        <f>VLOOKUP(D2239,'ENSAIOS DE ORÇAMENTO'!$C$5:$L$81,3,FALSE)</f>
        <v>1.3189478400000001</v>
      </c>
      <c r="G2243" s="923">
        <f t="shared" si="610"/>
        <v>43.050457497600007</v>
      </c>
      <c r="H2243" s="876"/>
      <c r="I2243" s="876"/>
      <c r="J2243" s="877">
        <f t="shared" si="600"/>
        <v>0</v>
      </c>
      <c r="K2243" s="878"/>
      <c r="L2243" s="1013">
        <f>ROUND(SUM(ORÇAMENTO!L2243),2)</f>
        <v>0</v>
      </c>
      <c r="M2243" s="1013">
        <f t="shared" si="594"/>
        <v>0</v>
      </c>
      <c r="N2243" s="868">
        <f t="shared" si="595"/>
        <v>0</v>
      </c>
      <c r="O2243" s="880"/>
      <c r="P2243" s="36" t="str">
        <f>IF(N2239&gt;0,"xx",IF(N2239&gt;0,"xy",""))</f>
        <v/>
      </c>
      <c r="Q2243" s="317" t="str">
        <f t="shared" si="605"/>
        <v/>
      </c>
      <c r="R2243" s="317" t="str">
        <f t="shared" si="606"/>
        <v/>
      </c>
      <c r="S2243" s="317" t="str">
        <f t="shared" si="607"/>
        <v/>
      </c>
      <c r="V2243" s="314">
        <f>SUM(ORÇAMENTO!N2243)</f>
        <v>0</v>
      </c>
      <c r="W2243" s="315">
        <f t="shared" si="597"/>
        <v>0</v>
      </c>
    </row>
    <row r="2244" spans="1:23" hidden="1">
      <c r="A2244" s="63" t="s">
        <v>147</v>
      </c>
      <c r="B2244" s="870" t="s">
        <v>147</v>
      </c>
      <c r="C2244" s="871"/>
      <c r="D2244" s="881" t="s">
        <v>366</v>
      </c>
      <c r="E2244" s="882">
        <f>DMT!$D$18</f>
        <v>440</v>
      </c>
      <c r="F2244" s="883">
        <f>VLOOKUP(D2239,'ENSAIOS DE ORÇAMENTO'!$C$5:$L$81,10,FALSE)</f>
        <v>4.3964928000000007E-2</v>
      </c>
      <c r="G2244" s="884">
        <f>IF(E2244&lt;=30,(0.78*E2244+7.82)*F2244,((0.78*30+7.82)+0.78*(E2244-30))*F2244)</f>
        <v>15.432569026560005</v>
      </c>
      <c r="H2244" s="876"/>
      <c r="I2244" s="876"/>
      <c r="J2244" s="877">
        <f t="shared" si="600"/>
        <v>0</v>
      </c>
      <c r="K2244" s="878"/>
      <c r="L2244" s="1013">
        <f>ROUND(SUM(ORÇAMENTO!L2244),2)</f>
        <v>0</v>
      </c>
      <c r="M2244" s="1013">
        <f t="shared" si="594"/>
        <v>0</v>
      </c>
      <c r="N2244" s="868">
        <f t="shared" si="595"/>
        <v>0</v>
      </c>
      <c r="O2244" s="880"/>
      <c r="P2244" s="36" t="str">
        <f>IF(N2239&gt;0,"xx",IF(N2239&gt;0,"xy",""))</f>
        <v/>
      </c>
      <c r="Q2244" s="317" t="str">
        <f t="shared" si="605"/>
        <v/>
      </c>
      <c r="R2244" s="317" t="str">
        <f t="shared" si="606"/>
        <v/>
      </c>
      <c r="S2244" s="317" t="str">
        <f t="shared" si="607"/>
        <v/>
      </c>
      <c r="V2244" s="314">
        <f>SUM(ORÇAMENTO!N2244)</f>
        <v>0</v>
      </c>
      <c r="W2244" s="315">
        <f t="shared" si="597"/>
        <v>0</v>
      </c>
    </row>
    <row r="2245" spans="1:23" hidden="1">
      <c r="A2245" s="63" t="s">
        <v>108</v>
      </c>
      <c r="B2245" s="870" t="s">
        <v>108</v>
      </c>
      <c r="C2245" s="871" t="s">
        <v>184</v>
      </c>
      <c r="D2245" s="881" t="s">
        <v>375</v>
      </c>
      <c r="E2245" s="882"/>
      <c r="F2245" s="883"/>
      <c r="G2245" s="887">
        <f>SUM(G2246:G2248)</f>
        <v>195.80620557600002</v>
      </c>
      <c r="H2245" s="876">
        <v>452.08</v>
      </c>
      <c r="I2245" s="876">
        <f>IF(ISBLANK(H2245),"",SUM(G2245:H2245))</f>
        <v>647.88620557600007</v>
      </c>
      <c r="J2245" s="877">
        <f t="shared" si="600"/>
        <v>791.85</v>
      </c>
      <c r="K2245" s="878" t="s">
        <v>15</v>
      </c>
      <c r="L2245" s="1013">
        <f>ROUND(SUM(ORÇAMENTO!L2245),2)</f>
        <v>0</v>
      </c>
      <c r="M2245" s="1013">
        <f t="shared" si="594"/>
        <v>0</v>
      </c>
      <c r="N2245" s="868">
        <f t="shared" si="595"/>
        <v>0</v>
      </c>
      <c r="O2245" s="880"/>
      <c r="Q2245" s="317" t="str">
        <f t="shared" si="605"/>
        <v/>
      </c>
      <c r="R2245" s="317" t="str">
        <f t="shared" si="606"/>
        <v/>
      </c>
      <c r="S2245" s="317" t="str">
        <f t="shared" si="607"/>
        <v/>
      </c>
      <c r="V2245" s="314">
        <f>SUM(ORÇAMENTO!N2245)</f>
        <v>0</v>
      </c>
      <c r="W2245" s="315">
        <f t="shared" si="597"/>
        <v>0</v>
      </c>
    </row>
    <row r="2246" spans="1:23" hidden="1">
      <c r="A2246" s="63" t="s">
        <v>147</v>
      </c>
      <c r="B2246" s="870" t="s">
        <v>147</v>
      </c>
      <c r="C2246" s="871"/>
      <c r="D2246" s="881" t="s">
        <v>190</v>
      </c>
      <c r="E2246" s="882">
        <f>DMT!$D$20</f>
        <v>445</v>
      </c>
      <c r="F2246" s="883">
        <f>VLOOKUP(D2245,'ENSAIOS DE ORÇAMENTO'!$C$5:$L$81,4,FALSE)</f>
        <v>0.1320288</v>
      </c>
      <c r="G2246" s="884">
        <f>IF(E2246&lt;=30,(0.78*E2246+7.82)*F2246,((0.78*30+7.82)+0.78*(E2246-30))*F2246)</f>
        <v>46.859661696000003</v>
      </c>
      <c r="H2246" s="876"/>
      <c r="I2246" s="876"/>
      <c r="J2246" s="877">
        <f t="shared" si="600"/>
        <v>0</v>
      </c>
      <c r="K2246" s="878"/>
      <c r="L2246" s="1013">
        <f>ROUND(SUM(ORÇAMENTO!L2246),2)</f>
        <v>0</v>
      </c>
      <c r="M2246" s="1013">
        <f t="shared" si="594"/>
        <v>0</v>
      </c>
      <c r="N2246" s="868">
        <f t="shared" si="595"/>
        <v>0</v>
      </c>
      <c r="O2246" s="880"/>
      <c r="P2246" s="36" t="str">
        <f>IF(N2245&gt;0,"xx",IF(N2245&gt;0,"xy",""))</f>
        <v/>
      </c>
      <c r="Q2246" s="317" t="str">
        <f t="shared" si="605"/>
        <v/>
      </c>
      <c r="R2246" s="317" t="str">
        <f t="shared" si="606"/>
        <v/>
      </c>
      <c r="S2246" s="317" t="str">
        <f t="shared" si="607"/>
        <v/>
      </c>
      <c r="V2246" s="314">
        <f>SUM(ORÇAMENTO!N2246)</f>
        <v>0</v>
      </c>
      <c r="W2246" s="315">
        <f t="shared" si="597"/>
        <v>0</v>
      </c>
    </row>
    <row r="2247" spans="1:23" hidden="1">
      <c r="A2247" s="63" t="s">
        <v>147</v>
      </c>
      <c r="B2247" s="870" t="s">
        <v>147</v>
      </c>
      <c r="C2247" s="871"/>
      <c r="D2247" s="881" t="s">
        <v>229</v>
      </c>
      <c r="E2247" s="882">
        <f>DMT!$F$8</f>
        <v>290</v>
      </c>
      <c r="F2247" s="883">
        <f>VLOOKUP(D2245,'ENSAIOS DE ORÇAMENTO'!$C$5:$L$81,5,FALSE)</f>
        <v>0.40193856</v>
      </c>
      <c r="G2247" s="923">
        <f t="shared" ref="G2247:G2248" si="611">IF(E2247&lt;=30,(1.07*E2247+2.68)*F2247,((1.07*30+2.68)+1.07*(E2247-30))*F2247)</f>
        <v>125.79873050880001</v>
      </c>
      <c r="H2247" s="876"/>
      <c r="I2247" s="876"/>
      <c r="J2247" s="877">
        <f t="shared" si="600"/>
        <v>0</v>
      </c>
      <c r="K2247" s="878"/>
      <c r="L2247" s="1013">
        <f>ROUND(SUM(ORÇAMENTO!L2247),2)</f>
        <v>0</v>
      </c>
      <c r="M2247" s="1013">
        <f t="shared" si="594"/>
        <v>0</v>
      </c>
      <c r="N2247" s="868">
        <f t="shared" si="595"/>
        <v>0</v>
      </c>
      <c r="O2247" s="880"/>
      <c r="P2247" s="36" t="str">
        <f>IF(N2245&gt;0,"xx",IF(N2245&gt;0,"xy",""))</f>
        <v/>
      </c>
      <c r="Q2247" s="317" t="str">
        <f t="shared" si="605"/>
        <v/>
      </c>
      <c r="R2247" s="317" t="str">
        <f t="shared" si="606"/>
        <v/>
      </c>
      <c r="S2247" s="317" t="str">
        <f t="shared" si="607"/>
        <v/>
      </c>
      <c r="V2247" s="314">
        <f>SUM(ORÇAMENTO!N2247)</f>
        <v>0</v>
      </c>
      <c r="W2247" s="315">
        <f t="shared" si="597"/>
        <v>0</v>
      </c>
    </row>
    <row r="2248" spans="1:23" hidden="1">
      <c r="A2248" s="63" t="s">
        <v>147</v>
      </c>
      <c r="B2248" s="870" t="s">
        <v>147</v>
      </c>
      <c r="C2248" s="871"/>
      <c r="D2248" s="881" t="s">
        <v>233</v>
      </c>
      <c r="E2248" s="882">
        <f>DMT!$F$10</f>
        <v>43.1</v>
      </c>
      <c r="F2248" s="883">
        <f>VLOOKUP(D2245,'ENSAIOS DE ORÇAMENTO'!$C$5:$L$81,6,FALSE)</f>
        <v>0.47436960000000006</v>
      </c>
      <c r="G2248" s="923">
        <f t="shared" si="611"/>
        <v>23.147813371200005</v>
      </c>
      <c r="H2248" s="876"/>
      <c r="I2248" s="876"/>
      <c r="J2248" s="877">
        <f t="shared" si="600"/>
        <v>0</v>
      </c>
      <c r="K2248" s="878"/>
      <c r="L2248" s="1013">
        <f>ROUND(SUM(ORÇAMENTO!L2248),2)</f>
        <v>0</v>
      </c>
      <c r="M2248" s="1013">
        <f t="shared" si="594"/>
        <v>0</v>
      </c>
      <c r="N2248" s="868">
        <f t="shared" si="595"/>
        <v>0</v>
      </c>
      <c r="O2248" s="880"/>
      <c r="P2248" s="36" t="str">
        <f>IF(N2245&gt;0,"xx",IF(N2245&gt;0,"xy",""))</f>
        <v/>
      </c>
      <c r="Q2248" s="317" t="str">
        <f t="shared" si="605"/>
        <v/>
      </c>
      <c r="R2248" s="317" t="str">
        <f t="shared" si="606"/>
        <v/>
      </c>
      <c r="S2248" s="317" t="str">
        <f t="shared" si="607"/>
        <v/>
      </c>
      <c r="V2248" s="314">
        <f>SUM(ORÇAMENTO!N2248)</f>
        <v>0</v>
      </c>
      <c r="W2248" s="315">
        <f t="shared" si="597"/>
        <v>0</v>
      </c>
    </row>
    <row r="2249" spans="1:23" hidden="1">
      <c r="A2249" s="63" t="s">
        <v>109</v>
      </c>
      <c r="B2249" s="870" t="s">
        <v>109</v>
      </c>
      <c r="C2249" s="871" t="s">
        <v>184</v>
      </c>
      <c r="D2249" s="881" t="s">
        <v>376</v>
      </c>
      <c r="E2249" s="882"/>
      <c r="F2249" s="883"/>
      <c r="G2249" s="887">
        <f>SUM(G2250:G2252)</f>
        <v>296.65288400850011</v>
      </c>
      <c r="H2249" s="876">
        <v>692.16</v>
      </c>
      <c r="I2249" s="876">
        <f>IF(ISBLANK(H2249),"",SUM(G2249:H2249))</f>
        <v>988.81288400850008</v>
      </c>
      <c r="J2249" s="877">
        <f t="shared" si="600"/>
        <v>1208.53</v>
      </c>
      <c r="K2249" s="878" t="s">
        <v>15</v>
      </c>
      <c r="L2249" s="1013">
        <f>ROUND(SUM(ORÇAMENTO!L2249),2)</f>
        <v>0</v>
      </c>
      <c r="M2249" s="1013">
        <f t="shared" si="594"/>
        <v>0</v>
      </c>
      <c r="N2249" s="868">
        <f t="shared" si="595"/>
        <v>0</v>
      </c>
      <c r="O2249" s="880"/>
      <c r="Q2249" s="317" t="str">
        <f t="shared" si="605"/>
        <v/>
      </c>
      <c r="R2249" s="317" t="str">
        <f t="shared" si="606"/>
        <v/>
      </c>
      <c r="S2249" s="317" t="str">
        <f t="shared" si="607"/>
        <v/>
      </c>
      <c r="V2249" s="314">
        <f>SUM(ORÇAMENTO!N2249)</f>
        <v>0</v>
      </c>
      <c r="W2249" s="315">
        <f t="shared" si="597"/>
        <v>0</v>
      </c>
    </row>
    <row r="2250" spans="1:23" hidden="1">
      <c r="A2250" s="63" t="s">
        <v>147</v>
      </c>
      <c r="B2250" s="870" t="s">
        <v>147</v>
      </c>
      <c r="C2250" s="871"/>
      <c r="D2250" s="881" t="s">
        <v>190</v>
      </c>
      <c r="E2250" s="882">
        <f>DMT!$D$20</f>
        <v>445</v>
      </c>
      <c r="F2250" s="883">
        <f>VLOOKUP(D2249,'ENSAIOS DE ORÇAMENTO'!$C$5:$L$81,4,FALSE)</f>
        <v>0.20444730000000003</v>
      </c>
      <c r="G2250" s="884">
        <f>IF(E2250&lt;=30,(0.78*E2250+7.82)*F2250,((0.78*30+7.82)+0.78*(E2250-30))*F2250)</f>
        <v>72.56243571600001</v>
      </c>
      <c r="H2250" s="876"/>
      <c r="I2250" s="876"/>
      <c r="J2250" s="877">
        <f t="shared" si="600"/>
        <v>0</v>
      </c>
      <c r="K2250" s="878"/>
      <c r="L2250" s="1013">
        <f>ROUND(SUM(ORÇAMENTO!L2250),2)</f>
        <v>0</v>
      </c>
      <c r="M2250" s="1013">
        <f t="shared" si="594"/>
        <v>0</v>
      </c>
      <c r="N2250" s="868">
        <f t="shared" si="595"/>
        <v>0</v>
      </c>
      <c r="O2250" s="880"/>
      <c r="P2250" s="36" t="str">
        <f>IF(N2249&gt;0,"xx",IF(N2249&gt;0,"xy",""))</f>
        <v/>
      </c>
      <c r="Q2250" s="317" t="str">
        <f t="shared" si="605"/>
        <v/>
      </c>
      <c r="R2250" s="317" t="str">
        <f t="shared" si="606"/>
        <v/>
      </c>
      <c r="S2250" s="317" t="str">
        <f t="shared" si="607"/>
        <v/>
      </c>
      <c r="V2250" s="314">
        <f>SUM(ORÇAMENTO!N2250)</f>
        <v>0</v>
      </c>
      <c r="W2250" s="315">
        <f t="shared" si="597"/>
        <v>0</v>
      </c>
    </row>
    <row r="2251" spans="1:23" hidden="1">
      <c r="A2251" s="63" t="s">
        <v>147</v>
      </c>
      <c r="B2251" s="870" t="s">
        <v>147</v>
      </c>
      <c r="C2251" s="871"/>
      <c r="D2251" s="881" t="s">
        <v>229</v>
      </c>
      <c r="E2251" s="882">
        <f>DMT!$F$8</f>
        <v>290</v>
      </c>
      <c r="F2251" s="883">
        <f>VLOOKUP(D2249,'ENSAIOS DE ORÇAMENTO'!$C$5:$L$81,5,FALSE)</f>
        <v>0.60405201000000008</v>
      </c>
      <c r="G2251" s="923">
        <f t="shared" ref="G2251:G2252" si="612">IF(E2251&lt;=30,(1.07*E2251+2.68)*F2251,((1.07*30+2.68)+1.07*(E2251-30))*F2251)</f>
        <v>189.05619808980003</v>
      </c>
      <c r="H2251" s="876"/>
      <c r="I2251" s="876"/>
      <c r="J2251" s="877">
        <f t="shared" si="600"/>
        <v>0</v>
      </c>
      <c r="K2251" s="878"/>
      <c r="L2251" s="1013">
        <f>ROUND(SUM(ORÇAMENTO!L2251),2)</f>
        <v>0</v>
      </c>
      <c r="M2251" s="1013">
        <f t="shared" si="594"/>
        <v>0</v>
      </c>
      <c r="N2251" s="868">
        <f t="shared" si="595"/>
        <v>0</v>
      </c>
      <c r="O2251" s="880"/>
      <c r="P2251" s="36" t="str">
        <f>IF(N2249&gt;0,"xx",IF(N2249&gt;0,"xy",""))</f>
        <v/>
      </c>
      <c r="Q2251" s="317" t="str">
        <f t="shared" si="605"/>
        <v/>
      </c>
      <c r="R2251" s="317" t="str">
        <f t="shared" si="606"/>
        <v/>
      </c>
      <c r="S2251" s="317" t="str">
        <f t="shared" si="607"/>
        <v/>
      </c>
      <c r="V2251" s="314">
        <f>SUM(ORÇAMENTO!N2251)</f>
        <v>0</v>
      </c>
      <c r="W2251" s="315">
        <f t="shared" si="597"/>
        <v>0</v>
      </c>
    </row>
    <row r="2252" spans="1:23" hidden="1">
      <c r="A2252" s="63" t="s">
        <v>147</v>
      </c>
      <c r="B2252" s="870" t="s">
        <v>147</v>
      </c>
      <c r="C2252" s="871"/>
      <c r="D2252" s="881" t="s">
        <v>233</v>
      </c>
      <c r="E2252" s="882">
        <f>DMT!$F$10</f>
        <v>43.1</v>
      </c>
      <c r="F2252" s="883">
        <f>VLOOKUP(D2249,'ENSAIOS DE ORÇAMENTO'!$C$5:$L$81,6,FALSE)</f>
        <v>0.71795910000000007</v>
      </c>
      <c r="G2252" s="923">
        <f t="shared" si="612"/>
        <v>35.034250202700008</v>
      </c>
      <c r="H2252" s="876"/>
      <c r="I2252" s="876"/>
      <c r="J2252" s="877">
        <f t="shared" si="600"/>
        <v>0</v>
      </c>
      <c r="K2252" s="878"/>
      <c r="L2252" s="1013">
        <f>ROUND(SUM(ORÇAMENTO!L2252),2)</f>
        <v>0</v>
      </c>
      <c r="M2252" s="1013">
        <f t="shared" si="594"/>
        <v>0</v>
      </c>
      <c r="N2252" s="868">
        <f t="shared" si="595"/>
        <v>0</v>
      </c>
      <c r="O2252" s="880"/>
      <c r="P2252" s="36" t="str">
        <f>IF(N2249&gt;0,"xx",IF(N2249&gt;0,"xy",""))</f>
        <v/>
      </c>
      <c r="Q2252" s="317" t="str">
        <f t="shared" si="605"/>
        <v/>
      </c>
      <c r="R2252" s="317" t="str">
        <f t="shared" si="606"/>
        <v/>
      </c>
      <c r="S2252" s="317" t="str">
        <f t="shared" si="607"/>
        <v/>
      </c>
      <c r="V2252" s="314">
        <f>SUM(ORÇAMENTO!N2252)</f>
        <v>0</v>
      </c>
      <c r="W2252" s="315">
        <f t="shared" si="597"/>
        <v>0</v>
      </c>
    </row>
    <row r="2253" spans="1:23" hidden="1">
      <c r="A2253" s="63" t="s">
        <v>110</v>
      </c>
      <c r="B2253" s="870" t="s">
        <v>110</v>
      </c>
      <c r="C2253" s="871" t="s">
        <v>184</v>
      </c>
      <c r="D2253" s="881" t="s">
        <v>377</v>
      </c>
      <c r="E2253" s="882"/>
      <c r="F2253" s="883"/>
      <c r="G2253" s="887">
        <f>SUM(G2254:G2256)</f>
        <v>549.66861647275005</v>
      </c>
      <c r="H2253" s="876">
        <v>1210.17</v>
      </c>
      <c r="I2253" s="876">
        <f>IF(ISBLANK(H2253),"",SUM(G2253:H2253))</f>
        <v>1759.8386164727501</v>
      </c>
      <c r="J2253" s="877">
        <f t="shared" si="600"/>
        <v>2150.87</v>
      </c>
      <c r="K2253" s="878" t="s">
        <v>15</v>
      </c>
      <c r="L2253" s="1013">
        <f>ROUND(SUM(ORÇAMENTO!L2253),2)</f>
        <v>0</v>
      </c>
      <c r="M2253" s="1013">
        <f t="shared" si="594"/>
        <v>0</v>
      </c>
      <c r="N2253" s="868">
        <f t="shared" si="595"/>
        <v>0</v>
      </c>
      <c r="O2253" s="880"/>
      <c r="Q2253" s="317" t="str">
        <f t="shared" si="605"/>
        <v/>
      </c>
      <c r="R2253" s="317" t="str">
        <f t="shared" si="606"/>
        <v/>
      </c>
      <c r="S2253" s="317" t="str">
        <f t="shared" si="607"/>
        <v/>
      </c>
      <c r="V2253" s="314">
        <f>SUM(ORÇAMENTO!N2253)</f>
        <v>0</v>
      </c>
      <c r="W2253" s="315">
        <f t="shared" si="597"/>
        <v>0</v>
      </c>
    </row>
    <row r="2254" spans="1:23" hidden="1">
      <c r="A2254" s="63" t="s">
        <v>147</v>
      </c>
      <c r="B2254" s="870" t="s">
        <v>147</v>
      </c>
      <c r="C2254" s="871"/>
      <c r="D2254" s="881" t="s">
        <v>190</v>
      </c>
      <c r="E2254" s="882">
        <f>DMT!$D$20</f>
        <v>445</v>
      </c>
      <c r="F2254" s="883">
        <f>VLOOKUP(D2253,'ENSAIOS DE ORÇAMENTO'!$C$5:$L$81,4,FALSE)</f>
        <v>0.38327894999999995</v>
      </c>
      <c r="G2254" s="884">
        <f>IF(E2254&lt;=30,(0.78*E2254+7.82)*F2254,((0.78*30+7.82)+0.78*(E2254-30))*F2254)</f>
        <v>136.03336493399999</v>
      </c>
      <c r="H2254" s="876"/>
      <c r="I2254" s="876"/>
      <c r="J2254" s="877">
        <f t="shared" si="600"/>
        <v>0</v>
      </c>
      <c r="K2254" s="878"/>
      <c r="L2254" s="1013">
        <f>ROUND(SUM(ORÇAMENTO!L2254),2)</f>
        <v>0</v>
      </c>
      <c r="M2254" s="1013">
        <f t="shared" si="594"/>
        <v>0</v>
      </c>
      <c r="N2254" s="868">
        <f t="shared" si="595"/>
        <v>0</v>
      </c>
      <c r="O2254" s="880"/>
      <c r="P2254" s="36" t="str">
        <f>IF(N2253&gt;0,"xx",IF(N2253&gt;0,"xy",""))</f>
        <v/>
      </c>
      <c r="Q2254" s="317" t="str">
        <f t="shared" si="605"/>
        <v/>
      </c>
      <c r="R2254" s="317" t="str">
        <f t="shared" si="606"/>
        <v/>
      </c>
      <c r="S2254" s="317" t="str">
        <f t="shared" si="607"/>
        <v/>
      </c>
      <c r="V2254" s="314">
        <f>SUM(ORÇAMENTO!N2254)</f>
        <v>0</v>
      </c>
      <c r="W2254" s="315">
        <f t="shared" si="597"/>
        <v>0</v>
      </c>
    </row>
    <row r="2255" spans="1:23" hidden="1">
      <c r="A2255" s="63" t="s">
        <v>147</v>
      </c>
      <c r="B2255" s="870" t="s">
        <v>147</v>
      </c>
      <c r="C2255" s="871"/>
      <c r="D2255" s="881" t="s">
        <v>229</v>
      </c>
      <c r="E2255" s="882">
        <f>DMT!$F$8</f>
        <v>290</v>
      </c>
      <c r="F2255" s="883">
        <f>VLOOKUP(D2253,'ENSAIOS DE ORÇAMENTO'!$C$5:$L$81,5,FALSE)</f>
        <v>1.1143076149999998</v>
      </c>
      <c r="G2255" s="923">
        <f t="shared" ref="G2255:G2256" si="613">IF(E2255&lt;=30,(1.07*E2255+2.68)*F2255,((1.07*30+2.68)+1.07*(E2255-30))*F2255)</f>
        <v>348.75599734269997</v>
      </c>
      <c r="H2255" s="876"/>
      <c r="I2255" s="876"/>
      <c r="J2255" s="877">
        <f t="shared" si="600"/>
        <v>0</v>
      </c>
      <c r="K2255" s="878"/>
      <c r="L2255" s="1013">
        <f>ROUND(SUM(ORÇAMENTO!L2255),2)</f>
        <v>0</v>
      </c>
      <c r="M2255" s="1013">
        <f t="shared" si="594"/>
        <v>0</v>
      </c>
      <c r="N2255" s="868">
        <f t="shared" si="595"/>
        <v>0</v>
      </c>
      <c r="O2255" s="880"/>
      <c r="P2255" s="36" t="str">
        <f>IF(N2253&gt;0,"xx",IF(N2253&gt;0,"xy",""))</f>
        <v/>
      </c>
      <c r="Q2255" s="317" t="str">
        <f t="shared" si="605"/>
        <v/>
      </c>
      <c r="R2255" s="317" t="str">
        <f t="shared" si="606"/>
        <v/>
      </c>
      <c r="S2255" s="317" t="str">
        <f t="shared" si="607"/>
        <v/>
      </c>
      <c r="V2255" s="314">
        <f>SUM(ORÇAMENTO!N2255)</f>
        <v>0</v>
      </c>
      <c r="W2255" s="315">
        <f t="shared" si="597"/>
        <v>0</v>
      </c>
    </row>
    <row r="2256" spans="1:23" hidden="1">
      <c r="A2256" s="63" t="s">
        <v>147</v>
      </c>
      <c r="B2256" s="870" t="s">
        <v>147</v>
      </c>
      <c r="C2256" s="871"/>
      <c r="D2256" s="881" t="s">
        <v>233</v>
      </c>
      <c r="E2256" s="882">
        <f>DMT!$F$10</f>
        <v>43.1</v>
      </c>
      <c r="F2256" s="883">
        <f>VLOOKUP(D2253,'ENSAIOS DE ORÇAMENTO'!$C$5:$L$81,6,FALSE)</f>
        <v>1.3295746499999999</v>
      </c>
      <c r="G2256" s="923">
        <f t="shared" si="613"/>
        <v>64.879254196049999</v>
      </c>
      <c r="H2256" s="876"/>
      <c r="I2256" s="876"/>
      <c r="J2256" s="877">
        <f t="shared" si="600"/>
        <v>0</v>
      </c>
      <c r="K2256" s="878"/>
      <c r="L2256" s="1013">
        <f>ROUND(SUM(ORÇAMENTO!L2256),2)</f>
        <v>0</v>
      </c>
      <c r="M2256" s="1013">
        <f t="shared" si="594"/>
        <v>0</v>
      </c>
      <c r="N2256" s="868">
        <f t="shared" si="595"/>
        <v>0</v>
      </c>
      <c r="O2256" s="880"/>
      <c r="P2256" s="36" t="str">
        <f>IF(N2253&gt;0,"xx",IF(N2253&gt;0,"xy",""))</f>
        <v/>
      </c>
      <c r="Q2256" s="317" t="str">
        <f t="shared" si="605"/>
        <v/>
      </c>
      <c r="R2256" s="317" t="str">
        <f t="shared" si="606"/>
        <v/>
      </c>
      <c r="S2256" s="317" t="str">
        <f t="shared" si="607"/>
        <v/>
      </c>
      <c r="V2256" s="314">
        <f>SUM(ORÇAMENTO!N2256)</f>
        <v>0</v>
      </c>
      <c r="W2256" s="315">
        <f t="shared" si="597"/>
        <v>0</v>
      </c>
    </row>
    <row r="2257" spans="1:23" hidden="1">
      <c r="A2257" s="63" t="s">
        <v>111</v>
      </c>
      <c r="B2257" s="870" t="s">
        <v>111</v>
      </c>
      <c r="C2257" s="871" t="s">
        <v>184</v>
      </c>
      <c r="D2257" s="881" t="s">
        <v>378</v>
      </c>
      <c r="E2257" s="882"/>
      <c r="F2257" s="883"/>
      <c r="G2257" s="887">
        <f>SUM(G2258:G2260)</f>
        <v>807.42140191900012</v>
      </c>
      <c r="H2257" s="876">
        <v>1663.57</v>
      </c>
      <c r="I2257" s="876">
        <f>IF(ISBLANK(H2257),"",SUM(G2257:H2257))</f>
        <v>2470.9914019190001</v>
      </c>
      <c r="J2257" s="877">
        <f t="shared" si="600"/>
        <v>3020.05</v>
      </c>
      <c r="K2257" s="878" t="s">
        <v>15</v>
      </c>
      <c r="L2257" s="1013">
        <f>ROUND(SUM(ORÇAMENTO!L2257),2)</f>
        <v>0</v>
      </c>
      <c r="M2257" s="1013">
        <f t="shared" si="594"/>
        <v>0</v>
      </c>
      <c r="N2257" s="868">
        <f t="shared" si="595"/>
        <v>0</v>
      </c>
      <c r="O2257" s="880"/>
      <c r="Q2257" s="317" t="str">
        <f t="shared" si="605"/>
        <v/>
      </c>
      <c r="R2257" s="317" t="str">
        <f t="shared" si="606"/>
        <v/>
      </c>
      <c r="S2257" s="317" t="str">
        <f t="shared" si="607"/>
        <v/>
      </c>
      <c r="V2257" s="314">
        <f>SUM(ORÇAMENTO!N2257)</f>
        <v>0</v>
      </c>
      <c r="W2257" s="315">
        <f t="shared" si="597"/>
        <v>0</v>
      </c>
    </row>
    <row r="2258" spans="1:23" hidden="1">
      <c r="A2258" s="63" t="s">
        <v>147</v>
      </c>
      <c r="B2258" s="870" t="s">
        <v>147</v>
      </c>
      <c r="C2258" s="871"/>
      <c r="D2258" s="881" t="s">
        <v>190</v>
      </c>
      <c r="E2258" s="882">
        <f>DMT!$D$20</f>
        <v>445</v>
      </c>
      <c r="F2258" s="883">
        <f>VLOOKUP(D2257,'ENSAIOS DE ORÇAMENTO'!$C$5:$L$81,4,FALSE)</f>
        <v>0.56408220000000009</v>
      </c>
      <c r="G2258" s="884">
        <f>IF(E2258&lt;=30,(0.78*E2258+7.82)*F2258,((0.78*30+7.82)+0.78*(E2258-30))*F2258)</f>
        <v>200.20405442400005</v>
      </c>
      <c r="H2258" s="876"/>
      <c r="I2258" s="876"/>
      <c r="J2258" s="877">
        <f t="shared" si="600"/>
        <v>0</v>
      </c>
      <c r="K2258" s="878"/>
      <c r="L2258" s="1013">
        <f>ROUND(SUM(ORÇAMENTO!L2258),2)</f>
        <v>0</v>
      </c>
      <c r="M2258" s="1013">
        <f t="shared" ref="M2258:M2321" si="614">IF(L2258=0,0,ROUND(J2258,2))</f>
        <v>0</v>
      </c>
      <c r="N2258" s="868">
        <f t="shared" ref="N2258:N2321" si="615">IF(ISBLANK(L2258),0,ROUND(L2258*M2258,2))</f>
        <v>0</v>
      </c>
      <c r="O2258" s="880"/>
      <c r="P2258" s="36" t="str">
        <f>IF(N2257&gt;0,"xx",IF(N2257&gt;0,"xy",""))</f>
        <v/>
      </c>
      <c r="Q2258" s="317" t="str">
        <f t="shared" si="605"/>
        <v/>
      </c>
      <c r="R2258" s="317" t="str">
        <f t="shared" si="606"/>
        <v/>
      </c>
      <c r="S2258" s="317" t="str">
        <f t="shared" si="607"/>
        <v/>
      </c>
      <c r="V2258" s="314">
        <f>SUM(ORÇAMENTO!N2258)</f>
        <v>0</v>
      </c>
      <c r="W2258" s="315">
        <f t="shared" si="597"/>
        <v>0</v>
      </c>
    </row>
    <row r="2259" spans="1:23" hidden="1">
      <c r="A2259" s="63" t="s">
        <v>147</v>
      </c>
      <c r="B2259" s="870" t="s">
        <v>147</v>
      </c>
      <c r="C2259" s="871"/>
      <c r="D2259" s="881" t="s">
        <v>229</v>
      </c>
      <c r="E2259" s="882">
        <f>DMT!$F$8</f>
        <v>290</v>
      </c>
      <c r="F2259" s="883">
        <f>VLOOKUP(D2257,'ENSAIOS DE ORÇAMENTO'!$C$5:$L$81,5,FALSE)</f>
        <v>1.6356421400000001</v>
      </c>
      <c r="G2259" s="923">
        <f t="shared" ref="G2259:G2260" si="616">IF(E2259&lt;=30,(1.07*E2259+2.68)*F2259,((1.07*30+2.68)+1.07*(E2259-30))*F2259)</f>
        <v>511.92327697720003</v>
      </c>
      <c r="H2259" s="876"/>
      <c r="I2259" s="876"/>
      <c r="J2259" s="877">
        <f t="shared" si="600"/>
        <v>0</v>
      </c>
      <c r="K2259" s="878"/>
      <c r="L2259" s="1013">
        <f>ROUND(SUM(ORÇAMENTO!L2259),2)</f>
        <v>0</v>
      </c>
      <c r="M2259" s="1013">
        <f t="shared" si="614"/>
        <v>0</v>
      </c>
      <c r="N2259" s="868">
        <f t="shared" si="615"/>
        <v>0</v>
      </c>
      <c r="O2259" s="880"/>
      <c r="P2259" s="36" t="str">
        <f>IF(N2257&gt;0,"xx",IF(N2257&gt;0,"xy",""))</f>
        <v/>
      </c>
      <c r="Q2259" s="317" t="str">
        <f t="shared" si="605"/>
        <v/>
      </c>
      <c r="R2259" s="317" t="str">
        <f t="shared" si="606"/>
        <v/>
      </c>
      <c r="S2259" s="317" t="str">
        <f t="shared" si="607"/>
        <v/>
      </c>
      <c r="V2259" s="314">
        <f>SUM(ORÇAMENTO!N2259)</f>
        <v>0</v>
      </c>
      <c r="W2259" s="315">
        <f t="shared" si="597"/>
        <v>0</v>
      </c>
    </row>
    <row r="2260" spans="1:23" hidden="1">
      <c r="A2260" s="63" t="s">
        <v>147</v>
      </c>
      <c r="B2260" s="870" t="s">
        <v>147</v>
      </c>
      <c r="C2260" s="871"/>
      <c r="D2260" s="881" t="s">
        <v>233</v>
      </c>
      <c r="E2260" s="882">
        <f>DMT!$F$10</f>
        <v>43.1</v>
      </c>
      <c r="F2260" s="883">
        <f>VLOOKUP(D2257,'ENSAIOS DE ORÇAMENTO'!$C$5:$L$81,6,FALSE)</f>
        <v>1.9528674000000004</v>
      </c>
      <c r="G2260" s="923">
        <f t="shared" si="616"/>
        <v>95.294070517800023</v>
      </c>
      <c r="H2260" s="876"/>
      <c r="I2260" s="876"/>
      <c r="J2260" s="877">
        <f t="shared" ref="J2260:J2305" si="617">IF(ISBLANK(H2260),0,ROUND(I2260*(1+$E$10),2))</f>
        <v>0</v>
      </c>
      <c r="K2260" s="878"/>
      <c r="L2260" s="1013">
        <f>ROUND(SUM(ORÇAMENTO!L2260),2)</f>
        <v>0</v>
      </c>
      <c r="M2260" s="1013">
        <f t="shared" si="614"/>
        <v>0</v>
      </c>
      <c r="N2260" s="868">
        <f t="shared" si="615"/>
        <v>0</v>
      </c>
      <c r="O2260" s="880"/>
      <c r="P2260" s="36" t="str">
        <f>IF(N2257&gt;0,"xx",IF(N2257&gt;0,"xy",""))</f>
        <v/>
      </c>
      <c r="Q2260" s="317" t="str">
        <f t="shared" si="605"/>
        <v/>
      </c>
      <c r="R2260" s="317" t="str">
        <f t="shared" si="606"/>
        <v/>
      </c>
      <c r="S2260" s="317" t="str">
        <f t="shared" si="607"/>
        <v/>
      </c>
      <c r="V2260" s="314">
        <f>SUM(ORÇAMENTO!N2260)</f>
        <v>0</v>
      </c>
      <c r="W2260" s="315">
        <f t="shared" si="597"/>
        <v>0</v>
      </c>
    </row>
    <row r="2261" spans="1:23" hidden="1">
      <c r="A2261" s="63" t="s">
        <v>112</v>
      </c>
      <c r="B2261" s="870" t="s">
        <v>112</v>
      </c>
      <c r="C2261" s="871" t="s">
        <v>184</v>
      </c>
      <c r="D2261" s="881" t="s">
        <v>379</v>
      </c>
      <c r="E2261" s="882"/>
      <c r="F2261" s="883"/>
      <c r="G2261" s="887">
        <f>SUM(G2262:G2264)</f>
        <v>1117.0801823840002</v>
      </c>
      <c r="H2261" s="876">
        <v>2274.9899999999998</v>
      </c>
      <c r="I2261" s="876">
        <f>IF(ISBLANK(H2261),"",SUM(G2261:H2261))</f>
        <v>3392.070182384</v>
      </c>
      <c r="J2261" s="877">
        <f t="shared" si="617"/>
        <v>4145.79</v>
      </c>
      <c r="K2261" s="878" t="s">
        <v>15</v>
      </c>
      <c r="L2261" s="1013">
        <f>ROUND(SUM(ORÇAMENTO!L2261),2)</f>
        <v>0</v>
      </c>
      <c r="M2261" s="1013">
        <f t="shared" si="614"/>
        <v>0</v>
      </c>
      <c r="N2261" s="868">
        <f t="shared" si="615"/>
        <v>0</v>
      </c>
      <c r="O2261" s="880"/>
      <c r="Q2261" s="317" t="str">
        <f t="shared" si="605"/>
        <v/>
      </c>
      <c r="R2261" s="317" t="str">
        <f t="shared" si="606"/>
        <v/>
      </c>
      <c r="S2261" s="317" t="str">
        <f t="shared" si="607"/>
        <v/>
      </c>
      <c r="V2261" s="314">
        <f>SUM(ORÇAMENTO!N2261)</f>
        <v>0</v>
      </c>
      <c r="W2261" s="315">
        <f t="shared" ref="W2261:W2324" si="618">N2261-V2261</f>
        <v>0</v>
      </c>
    </row>
    <row r="2262" spans="1:23" hidden="1">
      <c r="A2262" s="63" t="s">
        <v>147</v>
      </c>
      <c r="B2262" s="870" t="s">
        <v>147</v>
      </c>
      <c r="C2262" s="871"/>
      <c r="D2262" s="881" t="s">
        <v>190</v>
      </c>
      <c r="E2262" s="882">
        <f>DMT!$D$20</f>
        <v>445</v>
      </c>
      <c r="F2262" s="883">
        <f>VLOOKUP(D2261,'ENSAIOS DE ORÇAMENTO'!$C$5:$L$81,4,FALSE)</f>
        <v>0.77929919999999997</v>
      </c>
      <c r="G2262" s="884">
        <f>IF(E2262&lt;=30,(0.78*E2262+7.82)*F2262,((0.78*30+7.82)+0.78*(E2262-30))*F2262)</f>
        <v>276.58887206399999</v>
      </c>
      <c r="H2262" s="876"/>
      <c r="I2262" s="876"/>
      <c r="J2262" s="877">
        <f t="shared" si="617"/>
        <v>0</v>
      </c>
      <c r="K2262" s="878"/>
      <c r="L2262" s="1013">
        <f>ROUND(SUM(ORÇAMENTO!L2262),2)</f>
        <v>0</v>
      </c>
      <c r="M2262" s="1013">
        <f t="shared" si="614"/>
        <v>0</v>
      </c>
      <c r="N2262" s="868">
        <f t="shared" si="615"/>
        <v>0</v>
      </c>
      <c r="O2262" s="880"/>
      <c r="P2262" s="36" t="str">
        <f>IF(N2261&gt;0,"xx",IF(N2261&gt;0,"xy",""))</f>
        <v/>
      </c>
      <c r="Q2262" s="317" t="str">
        <f t="shared" si="605"/>
        <v/>
      </c>
      <c r="R2262" s="317" t="str">
        <f t="shared" si="606"/>
        <v/>
      </c>
      <c r="S2262" s="317" t="str">
        <f t="shared" si="607"/>
        <v/>
      </c>
      <c r="V2262" s="314">
        <f>SUM(ORÇAMENTO!N2262)</f>
        <v>0</v>
      </c>
      <c r="W2262" s="315">
        <f t="shared" si="618"/>
        <v>0</v>
      </c>
    </row>
    <row r="2263" spans="1:23" hidden="1">
      <c r="A2263" s="63" t="s">
        <v>147</v>
      </c>
      <c r="B2263" s="870" t="s">
        <v>147</v>
      </c>
      <c r="C2263" s="871"/>
      <c r="D2263" s="881" t="s">
        <v>229</v>
      </c>
      <c r="E2263" s="882">
        <f>DMT!$F$8</f>
        <v>290</v>
      </c>
      <c r="F2263" s="883">
        <f>VLOOKUP(D2261,'ENSAIOS DE ORÇAMENTO'!$C$5:$L$81,5,FALSE)</f>
        <v>2.26417504</v>
      </c>
      <c r="G2263" s="923">
        <f t="shared" ref="G2263:G2264" si="619">IF(E2263&lt;=30,(1.07*E2263+2.68)*F2263,((1.07*30+2.68)+1.07*(E2263-30))*F2263)</f>
        <v>708.64150401920006</v>
      </c>
      <c r="H2263" s="876"/>
      <c r="I2263" s="876"/>
      <c r="J2263" s="877">
        <f t="shared" si="617"/>
        <v>0</v>
      </c>
      <c r="K2263" s="878"/>
      <c r="L2263" s="1013">
        <f>ROUND(SUM(ORÇAMENTO!L2263),2)</f>
        <v>0</v>
      </c>
      <c r="M2263" s="1013">
        <f t="shared" si="614"/>
        <v>0</v>
      </c>
      <c r="N2263" s="868">
        <f t="shared" si="615"/>
        <v>0</v>
      </c>
      <c r="O2263" s="880"/>
      <c r="P2263" s="36" t="str">
        <f>IF(N2261&gt;0,"xx",IF(N2261&gt;0,"xy",""))</f>
        <v/>
      </c>
      <c r="Q2263" s="317" t="str">
        <f t="shared" si="605"/>
        <v/>
      </c>
      <c r="R2263" s="317" t="str">
        <f t="shared" si="606"/>
        <v/>
      </c>
      <c r="S2263" s="317" t="str">
        <f t="shared" si="607"/>
        <v/>
      </c>
      <c r="V2263" s="314">
        <f>SUM(ORÇAMENTO!N2263)</f>
        <v>0</v>
      </c>
      <c r="W2263" s="315">
        <f t="shared" si="618"/>
        <v>0</v>
      </c>
    </row>
    <row r="2264" spans="1:23" hidden="1">
      <c r="A2264" s="63" t="s">
        <v>147</v>
      </c>
      <c r="B2264" s="870" t="s">
        <v>147</v>
      </c>
      <c r="C2264" s="871"/>
      <c r="D2264" s="881" t="s">
        <v>233</v>
      </c>
      <c r="E2264" s="882">
        <f>DMT!$F$10</f>
        <v>43.1</v>
      </c>
      <c r="F2264" s="883">
        <f>VLOOKUP(D2261,'ENSAIOS DE ORÇAMENTO'!$C$5:$L$81,6,FALSE)</f>
        <v>2.7020064000000001</v>
      </c>
      <c r="G2264" s="923">
        <f t="shared" si="619"/>
        <v>131.84980630080003</v>
      </c>
      <c r="H2264" s="876"/>
      <c r="I2264" s="876"/>
      <c r="J2264" s="877">
        <f t="shared" si="617"/>
        <v>0</v>
      </c>
      <c r="K2264" s="878"/>
      <c r="L2264" s="1013">
        <f>ROUND(SUM(ORÇAMENTO!L2264),2)</f>
        <v>0</v>
      </c>
      <c r="M2264" s="1013">
        <f t="shared" si="614"/>
        <v>0</v>
      </c>
      <c r="N2264" s="868">
        <f t="shared" si="615"/>
        <v>0</v>
      </c>
      <c r="O2264" s="880"/>
      <c r="P2264" s="36" t="str">
        <f>IF(N2261&gt;0,"xx",IF(N2261&gt;0,"xy",""))</f>
        <v/>
      </c>
      <c r="Q2264" s="317" t="str">
        <f t="shared" si="605"/>
        <v/>
      </c>
      <c r="R2264" s="317" t="str">
        <f t="shared" si="606"/>
        <v/>
      </c>
      <c r="S2264" s="317" t="str">
        <f t="shared" si="607"/>
        <v/>
      </c>
      <c r="V2264" s="314">
        <f>SUM(ORÇAMENTO!N2264)</f>
        <v>0</v>
      </c>
      <c r="W2264" s="315">
        <f t="shared" si="618"/>
        <v>0</v>
      </c>
    </row>
    <row r="2265" spans="1:23" hidden="1">
      <c r="A2265" s="63" t="s">
        <v>113</v>
      </c>
      <c r="B2265" s="870" t="s">
        <v>113</v>
      </c>
      <c r="C2265" s="871" t="s">
        <v>184</v>
      </c>
      <c r="D2265" s="881" t="s">
        <v>380</v>
      </c>
      <c r="E2265" s="882"/>
      <c r="F2265" s="883"/>
      <c r="G2265" s="887">
        <f>SUM(G2266:G2268)</f>
        <v>201.68835405600004</v>
      </c>
      <c r="H2265" s="876">
        <v>931.7</v>
      </c>
      <c r="I2265" s="876">
        <f>IF(ISBLANK(H2265),"",SUM(G2265:H2265))</f>
        <v>1133.388354056</v>
      </c>
      <c r="J2265" s="877">
        <f t="shared" si="617"/>
        <v>1385.23</v>
      </c>
      <c r="K2265" s="878" t="s">
        <v>15</v>
      </c>
      <c r="L2265" s="1013">
        <f>ROUND(SUM(ORÇAMENTO!L2265),2)</f>
        <v>0</v>
      </c>
      <c r="M2265" s="1013">
        <f t="shared" si="614"/>
        <v>0</v>
      </c>
      <c r="N2265" s="868">
        <f t="shared" si="615"/>
        <v>0</v>
      </c>
      <c r="O2265" s="880"/>
      <c r="Q2265" s="317" t="str">
        <f t="shared" si="605"/>
        <v/>
      </c>
      <c r="R2265" s="317" t="str">
        <f t="shared" si="606"/>
        <v/>
      </c>
      <c r="S2265" s="317" t="str">
        <f t="shared" si="607"/>
        <v/>
      </c>
      <c r="V2265" s="314">
        <f>SUM(ORÇAMENTO!N2265)</f>
        <v>0</v>
      </c>
      <c r="W2265" s="315">
        <f t="shared" si="618"/>
        <v>0</v>
      </c>
    </row>
    <row r="2266" spans="1:23" hidden="1">
      <c r="A2266" s="63" t="s">
        <v>147</v>
      </c>
      <c r="B2266" s="870" t="s">
        <v>147</v>
      </c>
      <c r="C2266" s="871"/>
      <c r="D2266" s="881" t="s">
        <v>190</v>
      </c>
      <c r="E2266" s="882">
        <f>DMT!$D$20</f>
        <v>445</v>
      </c>
      <c r="F2266" s="883">
        <f>VLOOKUP(D2265,'ENSAIOS DE ORÇAMENTO'!$C$5:$L$81,4,FALSE)</f>
        <v>0.13625280000000003</v>
      </c>
      <c r="G2266" s="884">
        <f>IF(E2266&lt;=30,(0.78*E2266+7.82)*F2266,((0.78*30+7.82)+0.78*(E2266-30))*F2266)</f>
        <v>48.358843776000015</v>
      </c>
      <c r="H2266" s="876"/>
      <c r="I2266" s="876"/>
      <c r="J2266" s="877">
        <f t="shared" si="617"/>
        <v>0</v>
      </c>
      <c r="K2266" s="878"/>
      <c r="L2266" s="1013">
        <f>ROUND(SUM(ORÇAMENTO!L2266),2)</f>
        <v>0</v>
      </c>
      <c r="M2266" s="1013">
        <f t="shared" si="614"/>
        <v>0</v>
      </c>
      <c r="N2266" s="868">
        <f t="shared" si="615"/>
        <v>0</v>
      </c>
      <c r="O2266" s="880"/>
      <c r="P2266" s="36" t="str">
        <f>IF(N2265&gt;0,"xx",IF(N2265&gt;0,"xy",""))</f>
        <v/>
      </c>
      <c r="Q2266" s="317" t="str">
        <f t="shared" si="605"/>
        <v/>
      </c>
      <c r="R2266" s="317" t="str">
        <f t="shared" si="606"/>
        <v/>
      </c>
      <c r="S2266" s="317" t="str">
        <f t="shared" si="607"/>
        <v/>
      </c>
      <c r="V2266" s="314">
        <f>SUM(ORÇAMENTO!N2266)</f>
        <v>0</v>
      </c>
      <c r="W2266" s="315">
        <f t="shared" si="618"/>
        <v>0</v>
      </c>
    </row>
    <row r="2267" spans="1:23" hidden="1">
      <c r="A2267" s="63" t="s">
        <v>147</v>
      </c>
      <c r="B2267" s="870" t="s">
        <v>147</v>
      </c>
      <c r="C2267" s="871"/>
      <c r="D2267" s="881" t="s">
        <v>229</v>
      </c>
      <c r="E2267" s="882">
        <f>DMT!$F$8</f>
        <v>290</v>
      </c>
      <c r="F2267" s="883">
        <f>VLOOKUP(D2265,'ENSAIOS DE ORÇAMENTO'!$C$5:$L$81,5,FALSE)</f>
        <v>0.41372736000000004</v>
      </c>
      <c r="G2267" s="923">
        <f t="shared" ref="G2267:G2268" si="620">IF(E2267&lt;=30,(1.07*E2267+2.68)*F2267,((1.07*30+2.68)+1.07*(E2267-30))*F2267)</f>
        <v>129.48838913280002</v>
      </c>
      <c r="H2267" s="876"/>
      <c r="I2267" s="876"/>
      <c r="J2267" s="877">
        <f t="shared" si="617"/>
        <v>0</v>
      </c>
      <c r="K2267" s="878"/>
      <c r="L2267" s="1013">
        <f>ROUND(SUM(ORÇAMENTO!L2267),2)</f>
        <v>0</v>
      </c>
      <c r="M2267" s="1013">
        <f t="shared" si="614"/>
        <v>0</v>
      </c>
      <c r="N2267" s="868">
        <f t="shared" si="615"/>
        <v>0</v>
      </c>
      <c r="O2267" s="880"/>
      <c r="P2267" s="36" t="str">
        <f>IF(N2265&gt;0,"xx",IF(N2265&gt;0,"xy",""))</f>
        <v/>
      </c>
      <c r="Q2267" s="317" t="str">
        <f t="shared" si="605"/>
        <v/>
      </c>
      <c r="R2267" s="317" t="str">
        <f t="shared" si="606"/>
        <v/>
      </c>
      <c r="S2267" s="317" t="str">
        <f t="shared" si="607"/>
        <v/>
      </c>
      <c r="V2267" s="314">
        <f>SUM(ORÇAMENTO!N2267)</f>
        <v>0</v>
      </c>
      <c r="W2267" s="315">
        <f t="shared" si="618"/>
        <v>0</v>
      </c>
    </row>
    <row r="2268" spans="1:23" hidden="1">
      <c r="A2268" s="63" t="s">
        <v>147</v>
      </c>
      <c r="B2268" s="870" t="s">
        <v>147</v>
      </c>
      <c r="C2268" s="871"/>
      <c r="D2268" s="881" t="s">
        <v>233</v>
      </c>
      <c r="E2268" s="882">
        <f>DMT!$F$10</f>
        <v>43.1</v>
      </c>
      <c r="F2268" s="883">
        <f>VLOOKUP(D2265,'ENSAIOS DE ORÇAMENTO'!$C$5:$L$81,6,FALSE)</f>
        <v>0.48857760000000011</v>
      </c>
      <c r="G2268" s="923">
        <f t="shared" si="620"/>
        <v>23.841121147200006</v>
      </c>
      <c r="H2268" s="876"/>
      <c r="I2268" s="876"/>
      <c r="J2268" s="877">
        <f t="shared" si="617"/>
        <v>0</v>
      </c>
      <c r="K2268" s="878"/>
      <c r="L2268" s="1013">
        <f>ROUND(SUM(ORÇAMENTO!L2268),2)</f>
        <v>0</v>
      </c>
      <c r="M2268" s="1013">
        <f t="shared" si="614"/>
        <v>0</v>
      </c>
      <c r="N2268" s="868">
        <f t="shared" si="615"/>
        <v>0</v>
      </c>
      <c r="O2268" s="880"/>
      <c r="P2268" s="36" t="str">
        <f>IF(N2265&gt;0,"xx",IF(N2265&gt;0,"xy",""))</f>
        <v/>
      </c>
      <c r="Q2268" s="317" t="str">
        <f t="shared" si="605"/>
        <v/>
      </c>
      <c r="R2268" s="317" t="str">
        <f t="shared" si="606"/>
        <v/>
      </c>
      <c r="S2268" s="317" t="str">
        <f t="shared" si="607"/>
        <v/>
      </c>
      <c r="V2268" s="314">
        <f>SUM(ORÇAMENTO!N2268)</f>
        <v>0</v>
      </c>
      <c r="W2268" s="315">
        <f t="shared" si="618"/>
        <v>0</v>
      </c>
    </row>
    <row r="2269" spans="1:23" hidden="1">
      <c r="A2269" s="63" t="s">
        <v>33</v>
      </c>
      <c r="B2269" s="870" t="s">
        <v>33</v>
      </c>
      <c r="C2269" s="871" t="s">
        <v>184</v>
      </c>
      <c r="D2269" s="881" t="s">
        <v>381</v>
      </c>
      <c r="E2269" s="882"/>
      <c r="F2269" s="883"/>
      <c r="G2269" s="887">
        <f>SUM(G2270:G2272)</f>
        <v>306.02847723419995</v>
      </c>
      <c r="H2269" s="876">
        <v>1473.01</v>
      </c>
      <c r="I2269" s="876">
        <f>IF(ISBLANK(H2269),"",SUM(G2269:H2269))</f>
        <v>1779.0384772341999</v>
      </c>
      <c r="J2269" s="877">
        <f t="shared" si="617"/>
        <v>2174.34</v>
      </c>
      <c r="K2269" s="878" t="s">
        <v>15</v>
      </c>
      <c r="L2269" s="1013">
        <f>ROUND(SUM(ORÇAMENTO!L2269),2)</f>
        <v>0</v>
      </c>
      <c r="M2269" s="1013">
        <f t="shared" si="614"/>
        <v>0</v>
      </c>
      <c r="N2269" s="868">
        <f t="shared" si="615"/>
        <v>0</v>
      </c>
      <c r="O2269" s="880"/>
      <c r="Q2269" s="317" t="str">
        <f t="shared" si="605"/>
        <v/>
      </c>
      <c r="R2269" s="317" t="str">
        <f t="shared" si="606"/>
        <v/>
      </c>
      <c r="S2269" s="317" t="str">
        <f t="shared" si="607"/>
        <v/>
      </c>
      <c r="V2269" s="314">
        <f>SUM(ORÇAMENTO!N2269)</f>
        <v>0</v>
      </c>
      <c r="W2269" s="315">
        <f t="shared" si="618"/>
        <v>0</v>
      </c>
    </row>
    <row r="2270" spans="1:23" hidden="1">
      <c r="A2270" s="63" t="s">
        <v>147</v>
      </c>
      <c r="B2270" s="870" t="s">
        <v>147</v>
      </c>
      <c r="C2270" s="871"/>
      <c r="D2270" s="881" t="s">
        <v>190</v>
      </c>
      <c r="E2270" s="882">
        <f>DMT!$D$20</f>
        <v>445</v>
      </c>
      <c r="F2270" s="883">
        <f>VLOOKUP(D2269,'ENSAIOS DE ORÇAMENTO'!$C$5:$L$81,4,FALSE)</f>
        <v>0.21117996</v>
      </c>
      <c r="G2270" s="884">
        <f>IF(E2270&lt;=30,(0.78*E2270+7.82)*F2270,((0.78*30+7.82)+0.78*(E2270-30))*F2270)</f>
        <v>74.951991403199997</v>
      </c>
      <c r="H2270" s="876"/>
      <c r="I2270" s="876"/>
      <c r="J2270" s="877">
        <f t="shared" si="617"/>
        <v>0</v>
      </c>
      <c r="K2270" s="878"/>
      <c r="L2270" s="1013">
        <f>ROUND(SUM(ORÇAMENTO!L2270),2)</f>
        <v>0</v>
      </c>
      <c r="M2270" s="1013">
        <f t="shared" si="614"/>
        <v>0</v>
      </c>
      <c r="N2270" s="868">
        <f t="shared" si="615"/>
        <v>0</v>
      </c>
      <c r="O2270" s="880"/>
      <c r="P2270" s="36" t="str">
        <f>IF(N2269&gt;0,"xx",IF(N2269&gt;0,"xy",""))</f>
        <v/>
      </c>
      <c r="Q2270" s="317" t="str">
        <f t="shared" si="605"/>
        <v/>
      </c>
      <c r="R2270" s="317" t="str">
        <f t="shared" si="606"/>
        <v/>
      </c>
      <c r="S2270" s="317" t="str">
        <f t="shared" si="607"/>
        <v/>
      </c>
      <c r="V2270" s="314">
        <f>SUM(ORÇAMENTO!N2270)</f>
        <v>0</v>
      </c>
      <c r="W2270" s="315">
        <f t="shared" si="618"/>
        <v>0</v>
      </c>
    </row>
    <row r="2271" spans="1:23" hidden="1">
      <c r="A2271" s="63" t="s">
        <v>147</v>
      </c>
      <c r="B2271" s="870" t="s">
        <v>147</v>
      </c>
      <c r="C2271" s="871"/>
      <c r="D2271" s="881" t="s">
        <v>229</v>
      </c>
      <c r="E2271" s="882">
        <f>DMT!$F$8</f>
        <v>290</v>
      </c>
      <c r="F2271" s="883">
        <f>VLOOKUP(D2269,'ENSAIOS DE ORÇAMENTO'!$C$5:$L$81,5,FALSE)</f>
        <v>0.62284225199999999</v>
      </c>
      <c r="G2271" s="923">
        <f t="shared" ref="G2271:G2272" si="621">IF(E2271&lt;=30,(1.07*E2271+2.68)*F2271,((1.07*30+2.68)+1.07*(E2271-30))*F2271)</f>
        <v>194.93716803096001</v>
      </c>
      <c r="H2271" s="876"/>
      <c r="I2271" s="876"/>
      <c r="J2271" s="877">
        <f t="shared" si="617"/>
        <v>0</v>
      </c>
      <c r="K2271" s="878"/>
      <c r="L2271" s="1013">
        <f>ROUND(SUM(ORÇAMENTO!L2271),2)</f>
        <v>0</v>
      </c>
      <c r="M2271" s="1013">
        <f t="shared" si="614"/>
        <v>0</v>
      </c>
      <c r="N2271" s="868">
        <f t="shared" si="615"/>
        <v>0</v>
      </c>
      <c r="O2271" s="880"/>
      <c r="P2271" s="36" t="str">
        <f>IF(N2269&gt;0,"xx",IF(N2269&gt;0,"xy",""))</f>
        <v/>
      </c>
      <c r="Q2271" s="317" t="str">
        <f t="shared" si="605"/>
        <v/>
      </c>
      <c r="R2271" s="317" t="str">
        <f t="shared" si="606"/>
        <v/>
      </c>
      <c r="S2271" s="317" t="str">
        <f t="shared" si="607"/>
        <v/>
      </c>
      <c r="V2271" s="314">
        <f>SUM(ORÇAMENTO!N2271)</f>
        <v>0</v>
      </c>
      <c r="W2271" s="315">
        <f t="shared" si="618"/>
        <v>0</v>
      </c>
    </row>
    <row r="2272" spans="1:23" hidden="1">
      <c r="A2272" s="63" t="s">
        <v>147</v>
      </c>
      <c r="B2272" s="870" t="s">
        <v>147</v>
      </c>
      <c r="C2272" s="871"/>
      <c r="D2272" s="881" t="s">
        <v>233</v>
      </c>
      <c r="E2272" s="882">
        <f>DMT!$F$10</f>
        <v>43.1</v>
      </c>
      <c r="F2272" s="883">
        <f>VLOOKUP(D2269,'ENSAIOS DE ORÇAMENTO'!$C$5:$L$81,6,FALSE)</f>
        <v>0.74060532000000001</v>
      </c>
      <c r="G2272" s="923">
        <f t="shared" si="621"/>
        <v>36.139317800040004</v>
      </c>
      <c r="H2272" s="876"/>
      <c r="I2272" s="876"/>
      <c r="J2272" s="877">
        <f t="shared" si="617"/>
        <v>0</v>
      </c>
      <c r="K2272" s="878"/>
      <c r="L2272" s="1013">
        <f>ROUND(SUM(ORÇAMENTO!L2272),2)</f>
        <v>0</v>
      </c>
      <c r="M2272" s="1013">
        <f t="shared" si="614"/>
        <v>0</v>
      </c>
      <c r="N2272" s="868">
        <f t="shared" si="615"/>
        <v>0</v>
      </c>
      <c r="O2272" s="880"/>
      <c r="P2272" s="36" t="str">
        <f>IF(N2269&gt;0,"xx",IF(N2269&gt;0,"xy",""))</f>
        <v/>
      </c>
      <c r="Q2272" s="317" t="str">
        <f t="shared" si="605"/>
        <v/>
      </c>
      <c r="R2272" s="317" t="str">
        <f t="shared" si="606"/>
        <v/>
      </c>
      <c r="S2272" s="317" t="str">
        <f t="shared" si="607"/>
        <v/>
      </c>
      <c r="V2272" s="314">
        <f>SUM(ORÇAMENTO!N2272)</f>
        <v>0</v>
      </c>
      <c r="W2272" s="315">
        <f t="shared" si="618"/>
        <v>0</v>
      </c>
    </row>
    <row r="2273" spans="1:23" hidden="1">
      <c r="A2273" s="63" t="s">
        <v>34</v>
      </c>
      <c r="B2273" s="870" t="s">
        <v>34</v>
      </c>
      <c r="C2273" s="871" t="s">
        <v>184</v>
      </c>
      <c r="D2273" s="881" t="s">
        <v>382</v>
      </c>
      <c r="E2273" s="882"/>
      <c r="F2273" s="883"/>
      <c r="G2273" s="887">
        <f>SUM(G2274:G2276)</f>
        <v>549.66861647275005</v>
      </c>
      <c r="H2273" s="876">
        <v>2538.3200000000002</v>
      </c>
      <c r="I2273" s="876">
        <f>IF(ISBLANK(H2273),"",SUM(G2273:H2273))</f>
        <v>3087.9886164727504</v>
      </c>
      <c r="J2273" s="877">
        <f t="shared" si="617"/>
        <v>3774.14</v>
      </c>
      <c r="K2273" s="878" t="s">
        <v>15</v>
      </c>
      <c r="L2273" s="1013">
        <f>ROUND(SUM(ORÇAMENTO!L2273),2)</f>
        <v>0</v>
      </c>
      <c r="M2273" s="1013">
        <f t="shared" si="614"/>
        <v>0</v>
      </c>
      <c r="N2273" s="868">
        <f t="shared" si="615"/>
        <v>0</v>
      </c>
      <c r="O2273" s="880"/>
      <c r="Q2273" s="317" t="str">
        <f t="shared" si="605"/>
        <v/>
      </c>
      <c r="R2273" s="317" t="str">
        <f t="shared" si="606"/>
        <v/>
      </c>
      <c r="S2273" s="317" t="str">
        <f t="shared" si="607"/>
        <v/>
      </c>
      <c r="V2273" s="314">
        <f>SUM(ORÇAMENTO!N2273)</f>
        <v>0</v>
      </c>
      <c r="W2273" s="315">
        <f t="shared" si="618"/>
        <v>0</v>
      </c>
    </row>
    <row r="2274" spans="1:23" hidden="1">
      <c r="A2274" s="63" t="s">
        <v>147</v>
      </c>
      <c r="B2274" s="870" t="s">
        <v>147</v>
      </c>
      <c r="C2274" s="871"/>
      <c r="D2274" s="881" t="s">
        <v>190</v>
      </c>
      <c r="E2274" s="882">
        <f>DMT!$D$20</f>
        <v>445</v>
      </c>
      <c r="F2274" s="883">
        <f>VLOOKUP(D2273,'ENSAIOS DE ORÇAMENTO'!$C$5:$L$81,4,FALSE)</f>
        <v>0.38327894999999995</v>
      </c>
      <c r="G2274" s="884">
        <f>IF(E2274&lt;=30,(0.78*E2274+7.82)*F2274,((0.78*30+7.82)+0.78*(E2274-30))*F2274)</f>
        <v>136.03336493399999</v>
      </c>
      <c r="H2274" s="876"/>
      <c r="I2274" s="876"/>
      <c r="J2274" s="877">
        <f t="shared" si="617"/>
        <v>0</v>
      </c>
      <c r="K2274" s="878"/>
      <c r="L2274" s="1013">
        <f>ROUND(SUM(ORÇAMENTO!L2274),2)</f>
        <v>0</v>
      </c>
      <c r="M2274" s="1013">
        <f t="shared" si="614"/>
        <v>0</v>
      </c>
      <c r="N2274" s="868">
        <f t="shared" si="615"/>
        <v>0</v>
      </c>
      <c r="O2274" s="880"/>
      <c r="P2274" s="36" t="str">
        <f>IF(N2273&gt;0,"xx",IF(N2273&gt;0,"xy",""))</f>
        <v/>
      </c>
      <c r="Q2274" s="317" t="str">
        <f t="shared" si="605"/>
        <v/>
      </c>
      <c r="R2274" s="317" t="str">
        <f t="shared" si="606"/>
        <v/>
      </c>
      <c r="S2274" s="317" t="str">
        <f t="shared" si="607"/>
        <v/>
      </c>
      <c r="V2274" s="314">
        <f>SUM(ORÇAMENTO!N2274)</f>
        <v>0</v>
      </c>
      <c r="W2274" s="315">
        <f t="shared" si="618"/>
        <v>0</v>
      </c>
    </row>
    <row r="2275" spans="1:23" hidden="1">
      <c r="A2275" s="63" t="s">
        <v>147</v>
      </c>
      <c r="B2275" s="870" t="s">
        <v>147</v>
      </c>
      <c r="C2275" s="871"/>
      <c r="D2275" s="881" t="s">
        <v>229</v>
      </c>
      <c r="E2275" s="882">
        <f>DMT!$F$8</f>
        <v>290</v>
      </c>
      <c r="F2275" s="883">
        <f>VLOOKUP(D2273,'ENSAIOS DE ORÇAMENTO'!$C$5:$L$81,5,FALSE)</f>
        <v>1.1143076149999998</v>
      </c>
      <c r="G2275" s="923">
        <f t="shared" ref="G2275:G2276" si="622">IF(E2275&lt;=30,(1.07*E2275+2.68)*F2275,((1.07*30+2.68)+1.07*(E2275-30))*F2275)</f>
        <v>348.75599734269997</v>
      </c>
      <c r="H2275" s="876"/>
      <c r="I2275" s="876"/>
      <c r="J2275" s="877">
        <f t="shared" si="617"/>
        <v>0</v>
      </c>
      <c r="K2275" s="878"/>
      <c r="L2275" s="1013">
        <f>ROUND(SUM(ORÇAMENTO!L2275),2)</f>
        <v>0</v>
      </c>
      <c r="M2275" s="1013">
        <f t="shared" si="614"/>
        <v>0</v>
      </c>
      <c r="N2275" s="868">
        <f t="shared" si="615"/>
        <v>0</v>
      </c>
      <c r="O2275" s="880"/>
      <c r="P2275" s="36" t="str">
        <f>IF(N2273&gt;0,"xx",IF(N2273&gt;0,"xy",""))</f>
        <v/>
      </c>
      <c r="Q2275" s="317" t="str">
        <f t="shared" si="605"/>
        <v/>
      </c>
      <c r="R2275" s="317" t="str">
        <f t="shared" si="606"/>
        <v/>
      </c>
      <c r="S2275" s="317" t="str">
        <f t="shared" si="607"/>
        <v/>
      </c>
      <c r="V2275" s="314">
        <f>SUM(ORÇAMENTO!N2275)</f>
        <v>0</v>
      </c>
      <c r="W2275" s="315">
        <f t="shared" si="618"/>
        <v>0</v>
      </c>
    </row>
    <row r="2276" spans="1:23" hidden="1">
      <c r="A2276" s="63" t="s">
        <v>147</v>
      </c>
      <c r="B2276" s="870" t="s">
        <v>147</v>
      </c>
      <c r="C2276" s="871"/>
      <c r="D2276" s="881" t="s">
        <v>233</v>
      </c>
      <c r="E2276" s="882">
        <f>DMT!$F$10</f>
        <v>43.1</v>
      </c>
      <c r="F2276" s="883">
        <f>VLOOKUP(D2273,'ENSAIOS DE ORÇAMENTO'!$C$5:$L$81,6,FALSE)</f>
        <v>1.3295746499999999</v>
      </c>
      <c r="G2276" s="923">
        <f t="shared" si="622"/>
        <v>64.879254196049999</v>
      </c>
      <c r="H2276" s="876"/>
      <c r="I2276" s="876"/>
      <c r="J2276" s="877">
        <f t="shared" si="617"/>
        <v>0</v>
      </c>
      <c r="K2276" s="878"/>
      <c r="L2276" s="1013">
        <f>ROUND(SUM(ORÇAMENTO!L2276),2)</f>
        <v>0</v>
      </c>
      <c r="M2276" s="1013">
        <f t="shared" si="614"/>
        <v>0</v>
      </c>
      <c r="N2276" s="868">
        <f t="shared" si="615"/>
        <v>0</v>
      </c>
      <c r="O2276" s="880"/>
      <c r="P2276" s="36" t="str">
        <f>IF(N2273&gt;0,"xx",IF(N2273&gt;0,"xy",""))</f>
        <v/>
      </c>
      <c r="Q2276" s="317" t="str">
        <f t="shared" ref="Q2276:Q2327" si="623">IF(P2276="X","x",IF(P2276="xx","x",IF(P2276="xy","x",IF(P2276="y","x",IF(OR(N2276&gt;0,N2276&gt;0),"x","")))))</f>
        <v/>
      </c>
      <c r="R2276" s="317" t="str">
        <f t="shared" ref="R2276:R2327" si="624">IF(P2276="X","x",IF(P2276="y","x",IF(P2276="xx","x",IF(N2276&gt;0,"x",""))))</f>
        <v/>
      </c>
      <c r="S2276" s="317" t="str">
        <f t="shared" ref="S2276:S2327" si="625">IF(P2276="X","x",IF(N2276&gt;0,"x",""))</f>
        <v/>
      </c>
      <c r="V2276" s="314">
        <f>SUM(ORÇAMENTO!N2276)</f>
        <v>0</v>
      </c>
      <c r="W2276" s="315">
        <f t="shared" si="618"/>
        <v>0</v>
      </c>
    </row>
    <row r="2277" spans="1:23" hidden="1">
      <c r="A2277" s="63" t="s">
        <v>35</v>
      </c>
      <c r="B2277" s="870" t="s">
        <v>35</v>
      </c>
      <c r="C2277" s="871" t="s">
        <v>184</v>
      </c>
      <c r="D2277" s="881" t="s">
        <v>383</v>
      </c>
      <c r="E2277" s="882"/>
      <c r="F2277" s="883"/>
      <c r="G2277" s="887">
        <f>SUM(G2278:G2280)</f>
        <v>807.42140191900012</v>
      </c>
      <c r="H2277" s="876">
        <v>3699.81</v>
      </c>
      <c r="I2277" s="876">
        <f>IF(ISBLANK(H2277),"",SUM(G2277:H2277))</f>
        <v>4507.2314019189998</v>
      </c>
      <c r="J2277" s="877">
        <f t="shared" si="617"/>
        <v>5508.74</v>
      </c>
      <c r="K2277" s="878" t="s">
        <v>15</v>
      </c>
      <c r="L2277" s="1013">
        <f>ROUND(SUM(ORÇAMENTO!L2277),2)</f>
        <v>0</v>
      </c>
      <c r="M2277" s="1013">
        <f t="shared" si="614"/>
        <v>0</v>
      </c>
      <c r="N2277" s="868">
        <f t="shared" si="615"/>
        <v>0</v>
      </c>
      <c r="O2277" s="880"/>
      <c r="Q2277" s="317" t="str">
        <f t="shared" si="623"/>
        <v/>
      </c>
      <c r="R2277" s="317" t="str">
        <f t="shared" si="624"/>
        <v/>
      </c>
      <c r="S2277" s="317" t="str">
        <f t="shared" si="625"/>
        <v/>
      </c>
      <c r="V2277" s="314">
        <f>SUM(ORÇAMENTO!N2277)</f>
        <v>0</v>
      </c>
      <c r="W2277" s="315">
        <f t="shared" si="618"/>
        <v>0</v>
      </c>
    </row>
    <row r="2278" spans="1:23" hidden="1">
      <c r="A2278" s="63" t="s">
        <v>147</v>
      </c>
      <c r="B2278" s="870" t="s">
        <v>147</v>
      </c>
      <c r="C2278" s="871"/>
      <c r="D2278" s="881" t="s">
        <v>190</v>
      </c>
      <c r="E2278" s="882">
        <f>DMT!$D$20</f>
        <v>445</v>
      </c>
      <c r="F2278" s="883">
        <f>VLOOKUP(D2277,'ENSAIOS DE ORÇAMENTO'!$C$5:$L$81,4,FALSE)</f>
        <v>0.56408220000000009</v>
      </c>
      <c r="G2278" s="884">
        <f>IF(E2278&lt;=30,(0.78*E2278+7.82)*F2278,((0.78*30+7.82)+0.78*(E2278-30))*F2278)</f>
        <v>200.20405442400005</v>
      </c>
      <c r="H2278" s="876"/>
      <c r="I2278" s="876"/>
      <c r="J2278" s="877">
        <f t="shared" si="617"/>
        <v>0</v>
      </c>
      <c r="K2278" s="878"/>
      <c r="L2278" s="1013">
        <f>ROUND(SUM(ORÇAMENTO!L2278),2)</f>
        <v>0</v>
      </c>
      <c r="M2278" s="1013">
        <f t="shared" si="614"/>
        <v>0</v>
      </c>
      <c r="N2278" s="868">
        <f t="shared" si="615"/>
        <v>0</v>
      </c>
      <c r="O2278" s="880"/>
      <c r="P2278" s="36" t="str">
        <f>IF(N2277&gt;0,"xx",IF(N2277&gt;0,"xy",""))</f>
        <v/>
      </c>
      <c r="Q2278" s="317" t="str">
        <f t="shared" si="623"/>
        <v/>
      </c>
      <c r="R2278" s="317" t="str">
        <f t="shared" si="624"/>
        <v/>
      </c>
      <c r="S2278" s="317" t="str">
        <f t="shared" si="625"/>
        <v/>
      </c>
      <c r="V2278" s="314">
        <f>SUM(ORÇAMENTO!N2278)</f>
        <v>0</v>
      </c>
      <c r="W2278" s="315">
        <f t="shared" si="618"/>
        <v>0</v>
      </c>
    </row>
    <row r="2279" spans="1:23" hidden="1">
      <c r="A2279" s="63" t="s">
        <v>147</v>
      </c>
      <c r="B2279" s="870" t="s">
        <v>147</v>
      </c>
      <c r="C2279" s="871"/>
      <c r="D2279" s="881" t="s">
        <v>229</v>
      </c>
      <c r="E2279" s="882">
        <f>DMT!$F$8</f>
        <v>290</v>
      </c>
      <c r="F2279" s="883">
        <f>VLOOKUP(D2277,'ENSAIOS DE ORÇAMENTO'!$C$5:$L$81,5,FALSE)</f>
        <v>1.6356421400000001</v>
      </c>
      <c r="G2279" s="923">
        <f t="shared" ref="G2279:G2280" si="626">IF(E2279&lt;=30,(1.07*E2279+2.68)*F2279,((1.07*30+2.68)+1.07*(E2279-30))*F2279)</f>
        <v>511.92327697720003</v>
      </c>
      <c r="H2279" s="876"/>
      <c r="I2279" s="876"/>
      <c r="J2279" s="877">
        <f t="shared" si="617"/>
        <v>0</v>
      </c>
      <c r="K2279" s="878"/>
      <c r="L2279" s="1013">
        <f>ROUND(SUM(ORÇAMENTO!L2279),2)</f>
        <v>0</v>
      </c>
      <c r="M2279" s="1013">
        <f t="shared" si="614"/>
        <v>0</v>
      </c>
      <c r="N2279" s="868">
        <f t="shared" si="615"/>
        <v>0</v>
      </c>
      <c r="O2279" s="880"/>
      <c r="P2279" s="36" t="str">
        <f>IF(N2277&gt;0,"xx",IF(N2277&gt;0,"xy",""))</f>
        <v/>
      </c>
      <c r="Q2279" s="317" t="str">
        <f t="shared" si="623"/>
        <v/>
      </c>
      <c r="R2279" s="317" t="str">
        <f t="shared" si="624"/>
        <v/>
      </c>
      <c r="S2279" s="317" t="str">
        <f t="shared" si="625"/>
        <v/>
      </c>
      <c r="V2279" s="314">
        <f>SUM(ORÇAMENTO!N2279)</f>
        <v>0</v>
      </c>
      <c r="W2279" s="315">
        <f t="shared" si="618"/>
        <v>0</v>
      </c>
    </row>
    <row r="2280" spans="1:23" hidden="1">
      <c r="A2280" s="63" t="s">
        <v>147</v>
      </c>
      <c r="B2280" s="870" t="s">
        <v>147</v>
      </c>
      <c r="C2280" s="871"/>
      <c r="D2280" s="881" t="s">
        <v>233</v>
      </c>
      <c r="E2280" s="882">
        <f>DMT!$F$10</f>
        <v>43.1</v>
      </c>
      <c r="F2280" s="883">
        <f>VLOOKUP(D2277,'ENSAIOS DE ORÇAMENTO'!$C$5:$L$81,6,FALSE)</f>
        <v>1.9528674000000004</v>
      </c>
      <c r="G2280" s="923">
        <f t="shared" si="626"/>
        <v>95.294070517800023</v>
      </c>
      <c r="H2280" s="876"/>
      <c r="I2280" s="876"/>
      <c r="J2280" s="877">
        <f t="shared" si="617"/>
        <v>0</v>
      </c>
      <c r="K2280" s="878"/>
      <c r="L2280" s="1013">
        <f>ROUND(SUM(ORÇAMENTO!L2280),2)</f>
        <v>0</v>
      </c>
      <c r="M2280" s="1013">
        <f t="shared" si="614"/>
        <v>0</v>
      </c>
      <c r="N2280" s="868">
        <f t="shared" si="615"/>
        <v>0</v>
      </c>
      <c r="O2280" s="880"/>
      <c r="P2280" s="36" t="str">
        <f>IF(N2277&gt;0,"xx",IF(N2277&gt;0,"xy",""))</f>
        <v/>
      </c>
      <c r="Q2280" s="317" t="str">
        <f t="shared" si="623"/>
        <v/>
      </c>
      <c r="R2280" s="317" t="str">
        <f t="shared" si="624"/>
        <v/>
      </c>
      <c r="S2280" s="317" t="str">
        <f t="shared" si="625"/>
        <v/>
      </c>
      <c r="V2280" s="314">
        <f>SUM(ORÇAMENTO!N2280)</f>
        <v>0</v>
      </c>
      <c r="W2280" s="315">
        <f t="shared" si="618"/>
        <v>0</v>
      </c>
    </row>
    <row r="2281" spans="1:23" hidden="1">
      <c r="A2281" s="63" t="s">
        <v>36</v>
      </c>
      <c r="B2281" s="870" t="s">
        <v>36</v>
      </c>
      <c r="C2281" s="871" t="s">
        <v>184</v>
      </c>
      <c r="D2281" s="881" t="s">
        <v>384</v>
      </c>
      <c r="E2281" s="882"/>
      <c r="F2281" s="883"/>
      <c r="G2281" s="887">
        <f>SUM(G2282:G2284)</f>
        <v>1117.0801823840002</v>
      </c>
      <c r="H2281" s="876">
        <v>5102.8900000000003</v>
      </c>
      <c r="I2281" s="876">
        <f>IF(ISBLANK(H2281),"",SUM(G2281:H2281))</f>
        <v>6219.9701823840005</v>
      </c>
      <c r="J2281" s="877">
        <f t="shared" si="617"/>
        <v>7602.05</v>
      </c>
      <c r="K2281" s="878" t="s">
        <v>15</v>
      </c>
      <c r="L2281" s="1013">
        <f>ROUND(SUM(ORÇAMENTO!L2281),2)</f>
        <v>0</v>
      </c>
      <c r="M2281" s="1013">
        <f t="shared" si="614"/>
        <v>0</v>
      </c>
      <c r="N2281" s="868">
        <f t="shared" si="615"/>
        <v>0</v>
      </c>
      <c r="O2281" s="880"/>
      <c r="Q2281" s="317" t="str">
        <f t="shared" si="623"/>
        <v/>
      </c>
      <c r="R2281" s="317" t="str">
        <f t="shared" si="624"/>
        <v/>
      </c>
      <c r="S2281" s="317" t="str">
        <f t="shared" si="625"/>
        <v/>
      </c>
      <c r="V2281" s="314">
        <f>SUM(ORÇAMENTO!N2281)</f>
        <v>0</v>
      </c>
      <c r="W2281" s="315">
        <f t="shared" si="618"/>
        <v>0</v>
      </c>
    </row>
    <row r="2282" spans="1:23" hidden="1">
      <c r="A2282" s="63" t="s">
        <v>147</v>
      </c>
      <c r="B2282" s="870" t="s">
        <v>147</v>
      </c>
      <c r="C2282" s="871"/>
      <c r="D2282" s="881" t="s">
        <v>190</v>
      </c>
      <c r="E2282" s="882">
        <f>DMT!$D$20</f>
        <v>445</v>
      </c>
      <c r="F2282" s="883">
        <f>VLOOKUP(D2281,'ENSAIOS DE ORÇAMENTO'!$C$5:$L$81,4,FALSE)</f>
        <v>0.77929919999999997</v>
      </c>
      <c r="G2282" s="884">
        <f>IF(E2282&lt;=30,(0.78*E2282+7.82)*F2282,((0.78*30+7.82)+0.78*(E2282-30))*F2282)</f>
        <v>276.58887206399999</v>
      </c>
      <c r="H2282" s="876"/>
      <c r="I2282" s="876"/>
      <c r="J2282" s="877">
        <f t="shared" si="617"/>
        <v>0</v>
      </c>
      <c r="K2282" s="878"/>
      <c r="L2282" s="1013">
        <f>ROUND(SUM(ORÇAMENTO!L2282),2)</f>
        <v>0</v>
      </c>
      <c r="M2282" s="1013">
        <f t="shared" si="614"/>
        <v>0</v>
      </c>
      <c r="N2282" s="868">
        <f t="shared" si="615"/>
        <v>0</v>
      </c>
      <c r="O2282" s="880"/>
      <c r="P2282" s="36" t="str">
        <f>IF(N2281&gt;0,"xx",IF(N2281&gt;0,"xy",""))</f>
        <v/>
      </c>
      <c r="Q2282" s="317" t="str">
        <f t="shared" si="623"/>
        <v/>
      </c>
      <c r="R2282" s="317" t="str">
        <f t="shared" si="624"/>
        <v/>
      </c>
      <c r="S2282" s="317" t="str">
        <f t="shared" si="625"/>
        <v/>
      </c>
      <c r="V2282" s="314">
        <f>SUM(ORÇAMENTO!N2282)</f>
        <v>0</v>
      </c>
      <c r="W2282" s="315">
        <f t="shared" si="618"/>
        <v>0</v>
      </c>
    </row>
    <row r="2283" spans="1:23" hidden="1">
      <c r="A2283" s="63" t="s">
        <v>147</v>
      </c>
      <c r="B2283" s="870" t="s">
        <v>147</v>
      </c>
      <c r="C2283" s="871"/>
      <c r="D2283" s="881" t="s">
        <v>229</v>
      </c>
      <c r="E2283" s="882">
        <f>DMT!$F$8</f>
        <v>290</v>
      </c>
      <c r="F2283" s="883">
        <f>VLOOKUP(D2281,'ENSAIOS DE ORÇAMENTO'!$C$5:$L$81,5,FALSE)</f>
        <v>2.26417504</v>
      </c>
      <c r="G2283" s="923">
        <f t="shared" ref="G2283:G2284" si="627">IF(E2283&lt;=30,(1.07*E2283+2.68)*F2283,((1.07*30+2.68)+1.07*(E2283-30))*F2283)</f>
        <v>708.64150401920006</v>
      </c>
      <c r="H2283" s="876"/>
      <c r="I2283" s="876"/>
      <c r="J2283" s="877">
        <f t="shared" si="617"/>
        <v>0</v>
      </c>
      <c r="K2283" s="878"/>
      <c r="L2283" s="1013">
        <f>ROUND(SUM(ORÇAMENTO!L2283),2)</f>
        <v>0</v>
      </c>
      <c r="M2283" s="1013">
        <f t="shared" si="614"/>
        <v>0</v>
      </c>
      <c r="N2283" s="868">
        <f t="shared" si="615"/>
        <v>0</v>
      </c>
      <c r="O2283" s="880"/>
      <c r="P2283" s="36" t="str">
        <f>IF(N2281&gt;0,"xx",IF(N2281&gt;0,"xy",""))</f>
        <v/>
      </c>
      <c r="Q2283" s="317" t="str">
        <f t="shared" si="623"/>
        <v/>
      </c>
      <c r="R2283" s="317" t="str">
        <f t="shared" si="624"/>
        <v/>
      </c>
      <c r="S2283" s="317" t="str">
        <f t="shared" si="625"/>
        <v/>
      </c>
      <c r="V2283" s="314">
        <f>SUM(ORÇAMENTO!N2283)</f>
        <v>0</v>
      </c>
      <c r="W2283" s="315">
        <f t="shared" si="618"/>
        <v>0</v>
      </c>
    </row>
    <row r="2284" spans="1:23" hidden="1">
      <c r="A2284" s="63" t="s">
        <v>147</v>
      </c>
      <c r="B2284" s="870" t="s">
        <v>147</v>
      </c>
      <c r="C2284" s="871"/>
      <c r="D2284" s="881" t="s">
        <v>233</v>
      </c>
      <c r="E2284" s="882">
        <f>DMT!$F$10</f>
        <v>43.1</v>
      </c>
      <c r="F2284" s="883">
        <f>VLOOKUP(D2281,'ENSAIOS DE ORÇAMENTO'!$C$5:$L$81,6,FALSE)</f>
        <v>2.7020064000000001</v>
      </c>
      <c r="G2284" s="923">
        <f t="shared" si="627"/>
        <v>131.84980630080003</v>
      </c>
      <c r="H2284" s="876"/>
      <c r="I2284" s="876"/>
      <c r="J2284" s="877">
        <f t="shared" si="617"/>
        <v>0</v>
      </c>
      <c r="K2284" s="878"/>
      <c r="L2284" s="1013">
        <f>ROUND(SUM(ORÇAMENTO!L2284),2)</f>
        <v>0</v>
      </c>
      <c r="M2284" s="1013">
        <f t="shared" si="614"/>
        <v>0</v>
      </c>
      <c r="N2284" s="868">
        <f t="shared" si="615"/>
        <v>0</v>
      </c>
      <c r="O2284" s="880"/>
      <c r="P2284" s="36" t="str">
        <f>IF(N2281&gt;0,"xx",IF(N2281&gt;0,"xy",""))</f>
        <v/>
      </c>
      <c r="Q2284" s="317" t="str">
        <f t="shared" si="623"/>
        <v/>
      </c>
      <c r="R2284" s="317" t="str">
        <f t="shared" si="624"/>
        <v/>
      </c>
      <c r="S2284" s="317" t="str">
        <f t="shared" si="625"/>
        <v/>
      </c>
      <c r="V2284" s="314">
        <f>SUM(ORÇAMENTO!N2284)</f>
        <v>0</v>
      </c>
      <c r="W2284" s="315">
        <f t="shared" si="618"/>
        <v>0</v>
      </c>
    </row>
    <row r="2285" spans="1:23" hidden="1">
      <c r="A2285" s="63" t="s">
        <v>37</v>
      </c>
      <c r="B2285" s="870" t="s">
        <v>37</v>
      </c>
      <c r="C2285" s="871" t="s">
        <v>184</v>
      </c>
      <c r="D2285" s="881" t="s">
        <v>385</v>
      </c>
      <c r="E2285" s="882"/>
      <c r="F2285" s="883"/>
      <c r="G2285" s="887">
        <f>SUM(G2286:G2288)</f>
        <v>1732.2612275527499</v>
      </c>
      <c r="H2285" s="876">
        <v>7709.16</v>
      </c>
      <c r="I2285" s="876">
        <f>IF(ISBLANK(H2285),"",SUM(G2285:H2285))</f>
        <v>9441.4212275527498</v>
      </c>
      <c r="J2285" s="877">
        <f t="shared" si="617"/>
        <v>11539.31</v>
      </c>
      <c r="K2285" s="878" t="s">
        <v>15</v>
      </c>
      <c r="L2285" s="1013">
        <f>ROUND(SUM(ORÇAMENTO!L2285),2)</f>
        <v>0</v>
      </c>
      <c r="M2285" s="1013">
        <f t="shared" si="614"/>
        <v>0</v>
      </c>
      <c r="N2285" s="868">
        <f t="shared" si="615"/>
        <v>0</v>
      </c>
      <c r="O2285" s="880"/>
      <c r="Q2285" s="317" t="str">
        <f t="shared" si="623"/>
        <v/>
      </c>
      <c r="R2285" s="317" t="str">
        <f t="shared" si="624"/>
        <v/>
      </c>
      <c r="S2285" s="317" t="str">
        <f t="shared" si="625"/>
        <v/>
      </c>
      <c r="V2285" s="314">
        <f>SUM(ORÇAMENTO!N2285)</f>
        <v>0</v>
      </c>
      <c r="W2285" s="315">
        <f t="shared" si="618"/>
        <v>0</v>
      </c>
    </row>
    <row r="2286" spans="1:23" hidden="1">
      <c r="A2286" s="63" t="s">
        <v>147</v>
      </c>
      <c r="B2286" s="870" t="s">
        <v>147</v>
      </c>
      <c r="C2286" s="871"/>
      <c r="D2286" s="881" t="s">
        <v>190</v>
      </c>
      <c r="E2286" s="882">
        <f>DMT!$D$20</f>
        <v>445</v>
      </c>
      <c r="F2286" s="883">
        <f>VLOOKUP(D2285,'ENSAIOS DE ORÇAMENTO'!$C$5:$L$81,4,FALSE)</f>
        <v>1.2096229499999998</v>
      </c>
      <c r="G2286" s="884">
        <f>IF(E2286&lt;=30,(0.78*E2286+7.82)*F2286,((0.78*30+7.82)+0.78*(E2286-30))*F2286)</f>
        <v>429.31937741399992</v>
      </c>
      <c r="H2286" s="876"/>
      <c r="I2286" s="876"/>
      <c r="J2286" s="877">
        <f t="shared" si="617"/>
        <v>0</v>
      </c>
      <c r="K2286" s="878"/>
      <c r="L2286" s="1013">
        <f>ROUND(SUM(ORÇAMENTO!L2286),2)</f>
        <v>0</v>
      </c>
      <c r="M2286" s="1013">
        <f t="shared" si="614"/>
        <v>0</v>
      </c>
      <c r="N2286" s="868">
        <f t="shared" si="615"/>
        <v>0</v>
      </c>
      <c r="O2286" s="880"/>
      <c r="P2286" s="36" t="str">
        <f>IF(N2285&gt;0,"xx",IF(N2285&gt;0,"xy",""))</f>
        <v/>
      </c>
      <c r="Q2286" s="317" t="str">
        <f t="shared" si="623"/>
        <v/>
      </c>
      <c r="R2286" s="317" t="str">
        <f t="shared" si="624"/>
        <v/>
      </c>
      <c r="S2286" s="317" t="str">
        <f t="shared" si="625"/>
        <v/>
      </c>
      <c r="V2286" s="314">
        <f>SUM(ORÇAMENTO!N2286)</f>
        <v>0</v>
      </c>
      <c r="W2286" s="315">
        <f t="shared" si="618"/>
        <v>0</v>
      </c>
    </row>
    <row r="2287" spans="1:23" hidden="1">
      <c r="A2287" s="63" t="s">
        <v>147</v>
      </c>
      <c r="B2287" s="870" t="s">
        <v>147</v>
      </c>
      <c r="C2287" s="871"/>
      <c r="D2287" s="881" t="s">
        <v>229</v>
      </c>
      <c r="E2287" s="882">
        <f>DMT!$F$8</f>
        <v>290</v>
      </c>
      <c r="F2287" s="883">
        <f>VLOOKUP(D2285,'ENSAIOS DE ORÇAMENTO'!$C$5:$L$81,5,FALSE)</f>
        <v>3.5097804149999998</v>
      </c>
      <c r="G2287" s="923">
        <f t="shared" ref="G2287:G2288" si="628">IF(E2287&lt;=30,(1.07*E2287+2.68)*F2287,((1.07*30+2.68)+1.07*(E2287-30))*F2287)</f>
        <v>1098.4910742867</v>
      </c>
      <c r="H2287" s="876"/>
      <c r="I2287" s="876"/>
      <c r="J2287" s="877">
        <f t="shared" si="617"/>
        <v>0</v>
      </c>
      <c r="K2287" s="878"/>
      <c r="L2287" s="1013">
        <f>ROUND(SUM(ORÇAMENTO!L2287),2)</f>
        <v>0</v>
      </c>
      <c r="M2287" s="1013">
        <f t="shared" si="614"/>
        <v>0</v>
      </c>
      <c r="N2287" s="868">
        <f t="shared" si="615"/>
        <v>0</v>
      </c>
      <c r="O2287" s="880"/>
      <c r="P2287" s="36" t="str">
        <f>IF(N2285&gt;0,"xx",IF(N2285&gt;0,"xy",""))</f>
        <v/>
      </c>
      <c r="Q2287" s="317" t="str">
        <f t="shared" si="623"/>
        <v/>
      </c>
      <c r="R2287" s="317" t="str">
        <f t="shared" si="624"/>
        <v/>
      </c>
      <c r="S2287" s="317" t="str">
        <f t="shared" si="625"/>
        <v/>
      </c>
      <c r="V2287" s="314">
        <f>SUM(ORÇAMENTO!N2287)</f>
        <v>0</v>
      </c>
      <c r="W2287" s="315">
        <f t="shared" si="618"/>
        <v>0</v>
      </c>
    </row>
    <row r="2288" spans="1:23" hidden="1">
      <c r="A2288" s="63" t="s">
        <v>147</v>
      </c>
      <c r="B2288" s="870" t="s">
        <v>147</v>
      </c>
      <c r="C2288" s="871"/>
      <c r="D2288" s="881" t="s">
        <v>233</v>
      </c>
      <c r="E2288" s="882">
        <f>DMT!$F$10</f>
        <v>43.1</v>
      </c>
      <c r="F2288" s="883">
        <f>VLOOKUP(D2285,'ENSAIOS DE ORÇAMENTO'!$C$5:$L$81,6,FALSE)</f>
        <v>4.18982265</v>
      </c>
      <c r="G2288" s="923">
        <f t="shared" si="628"/>
        <v>204.45077585205001</v>
      </c>
      <c r="H2288" s="876"/>
      <c r="I2288" s="876"/>
      <c r="J2288" s="877">
        <f t="shared" si="617"/>
        <v>0</v>
      </c>
      <c r="K2288" s="878"/>
      <c r="L2288" s="1013">
        <f>ROUND(SUM(ORÇAMENTO!L2288),2)</f>
        <v>0</v>
      </c>
      <c r="M2288" s="1013">
        <f t="shared" si="614"/>
        <v>0</v>
      </c>
      <c r="N2288" s="868">
        <f t="shared" si="615"/>
        <v>0</v>
      </c>
      <c r="O2288" s="880"/>
      <c r="P2288" s="36" t="str">
        <f>IF(N2285&gt;0,"xx",IF(N2285&gt;0,"xy",""))</f>
        <v/>
      </c>
      <c r="Q2288" s="317" t="str">
        <f t="shared" si="623"/>
        <v/>
      </c>
      <c r="R2288" s="317" t="str">
        <f t="shared" si="624"/>
        <v/>
      </c>
      <c r="S2288" s="317" t="str">
        <f t="shared" si="625"/>
        <v/>
      </c>
      <c r="V2288" s="314">
        <f>SUM(ORÇAMENTO!N2288)</f>
        <v>0</v>
      </c>
      <c r="W2288" s="315">
        <f t="shared" si="618"/>
        <v>0</v>
      </c>
    </row>
    <row r="2289" spans="1:23" hidden="1">
      <c r="A2289" s="63" t="s">
        <v>38</v>
      </c>
      <c r="B2289" s="870" t="s">
        <v>38</v>
      </c>
      <c r="C2289" s="871" t="s">
        <v>184</v>
      </c>
      <c r="D2289" s="881" t="s">
        <v>386</v>
      </c>
      <c r="E2289" s="882"/>
      <c r="F2289" s="883"/>
      <c r="G2289" s="887">
        <f>SUM(G2290:G2292)</f>
        <v>2729.7716955727501</v>
      </c>
      <c r="H2289" s="876">
        <v>12178.23</v>
      </c>
      <c r="I2289" s="876">
        <f>IF(ISBLANK(H2289),"",SUM(G2289:H2289))</f>
        <v>14908.00169557275</v>
      </c>
      <c r="J2289" s="877">
        <f t="shared" si="617"/>
        <v>18220.560000000001</v>
      </c>
      <c r="K2289" s="878" t="s">
        <v>15</v>
      </c>
      <c r="L2289" s="1013">
        <f>ROUND(SUM(ORÇAMENTO!L2289),2)</f>
        <v>0</v>
      </c>
      <c r="M2289" s="1013">
        <f t="shared" si="614"/>
        <v>0</v>
      </c>
      <c r="N2289" s="868">
        <f t="shared" si="615"/>
        <v>0</v>
      </c>
      <c r="O2289" s="880"/>
      <c r="Q2289" s="317" t="str">
        <f t="shared" si="623"/>
        <v/>
      </c>
      <c r="R2289" s="317" t="str">
        <f t="shared" si="624"/>
        <v/>
      </c>
      <c r="S2289" s="317" t="str">
        <f t="shared" si="625"/>
        <v/>
      </c>
      <c r="V2289" s="314">
        <f>SUM(ORÇAMENTO!N2289)</f>
        <v>0</v>
      </c>
      <c r="W2289" s="315">
        <f t="shared" si="618"/>
        <v>0</v>
      </c>
    </row>
    <row r="2290" spans="1:23" hidden="1">
      <c r="A2290" s="63" t="s">
        <v>147</v>
      </c>
      <c r="B2290" s="870" t="s">
        <v>147</v>
      </c>
      <c r="C2290" s="871"/>
      <c r="D2290" s="881" t="s">
        <v>190</v>
      </c>
      <c r="E2290" s="882">
        <f>DMT!$D$20</f>
        <v>445</v>
      </c>
      <c r="F2290" s="883">
        <f>VLOOKUP(D2289,'ENSAIOS DE ORÇAMENTO'!$C$5:$L$81,4,FALSE)</f>
        <v>1.9087789500000001</v>
      </c>
      <c r="G2290" s="884">
        <f>IF(E2290&lt;=30,(0.78*E2290+7.82)*F2290,((0.78*30+7.82)+0.78*(E2290-30))*F2290)</f>
        <v>677.46382493400006</v>
      </c>
      <c r="H2290" s="876"/>
      <c r="I2290" s="876"/>
      <c r="J2290" s="877">
        <f t="shared" si="617"/>
        <v>0</v>
      </c>
      <c r="K2290" s="878"/>
      <c r="L2290" s="1013">
        <f>ROUND(SUM(ORÇAMENTO!L2290),2)</f>
        <v>0</v>
      </c>
      <c r="M2290" s="1013">
        <f t="shared" si="614"/>
        <v>0</v>
      </c>
      <c r="N2290" s="868">
        <f t="shared" si="615"/>
        <v>0</v>
      </c>
      <c r="O2290" s="880"/>
      <c r="P2290" s="36" t="str">
        <f>IF(N2289&gt;0,"xx",IF(N2289&gt;0,"xy",""))</f>
        <v/>
      </c>
      <c r="Q2290" s="317" t="str">
        <f t="shared" si="623"/>
        <v/>
      </c>
      <c r="R2290" s="317" t="str">
        <f t="shared" si="624"/>
        <v/>
      </c>
      <c r="S2290" s="317" t="str">
        <f t="shared" si="625"/>
        <v/>
      </c>
      <c r="V2290" s="314">
        <f>SUM(ORÇAMENTO!N2290)</f>
        <v>0</v>
      </c>
      <c r="W2290" s="315">
        <f t="shared" si="618"/>
        <v>0</v>
      </c>
    </row>
    <row r="2291" spans="1:23" hidden="1">
      <c r="A2291" s="63" t="s">
        <v>147</v>
      </c>
      <c r="B2291" s="870" t="s">
        <v>147</v>
      </c>
      <c r="C2291" s="871"/>
      <c r="D2291" s="881" t="s">
        <v>229</v>
      </c>
      <c r="E2291" s="882">
        <f>DMT!$F$8</f>
        <v>290</v>
      </c>
      <c r="F2291" s="883">
        <f>VLOOKUP(D2289,'ENSAIOS DE ORÇAMENTO'!$C$5:$L$81,5,FALSE)</f>
        <v>5.5279776150000002</v>
      </c>
      <c r="G2291" s="923">
        <f t="shared" ref="G2291:G2292" si="629">IF(E2291&lt;=30,(1.07*E2291+2.68)*F2291,((1.07*30+2.68)+1.07*(E2291-30))*F2291)</f>
        <v>1730.1464339427002</v>
      </c>
      <c r="H2291" s="876"/>
      <c r="I2291" s="876"/>
      <c r="J2291" s="877">
        <f t="shared" si="617"/>
        <v>0</v>
      </c>
      <c r="K2291" s="878"/>
      <c r="L2291" s="1013">
        <f>ROUND(SUM(ORÇAMENTO!L2291),2)</f>
        <v>0</v>
      </c>
      <c r="M2291" s="1013">
        <f t="shared" si="614"/>
        <v>0</v>
      </c>
      <c r="N2291" s="868">
        <f t="shared" si="615"/>
        <v>0</v>
      </c>
      <c r="O2291" s="880"/>
      <c r="P2291" s="36" t="str">
        <f>IF(N2289&gt;0,"xx",IF(N2289&gt;0,"xy",""))</f>
        <v/>
      </c>
      <c r="Q2291" s="317" t="str">
        <f t="shared" si="623"/>
        <v/>
      </c>
      <c r="R2291" s="317" t="str">
        <f t="shared" si="624"/>
        <v/>
      </c>
      <c r="S2291" s="317" t="str">
        <f t="shared" si="625"/>
        <v/>
      </c>
      <c r="V2291" s="314">
        <f>SUM(ORÇAMENTO!N2291)</f>
        <v>0</v>
      </c>
      <c r="W2291" s="315">
        <f t="shared" si="618"/>
        <v>0</v>
      </c>
    </row>
    <row r="2292" spans="1:23" hidden="1">
      <c r="A2292" s="63" t="s">
        <v>147</v>
      </c>
      <c r="B2292" s="870" t="s">
        <v>147</v>
      </c>
      <c r="C2292" s="871"/>
      <c r="D2292" s="881" t="s">
        <v>233</v>
      </c>
      <c r="E2292" s="882">
        <f>DMT!$F$10</f>
        <v>43.1</v>
      </c>
      <c r="F2292" s="883">
        <f>VLOOKUP(D2289,'ENSAIOS DE ORÇAMENTO'!$C$5:$L$81,6,FALSE)</f>
        <v>6.6020746500000005</v>
      </c>
      <c r="G2292" s="923">
        <f t="shared" si="629"/>
        <v>322.16143669605003</v>
      </c>
      <c r="H2292" s="876"/>
      <c r="I2292" s="876"/>
      <c r="J2292" s="877">
        <f t="shared" si="617"/>
        <v>0</v>
      </c>
      <c r="K2292" s="878"/>
      <c r="L2292" s="1013">
        <f>ROUND(SUM(ORÇAMENTO!L2292),2)</f>
        <v>0</v>
      </c>
      <c r="M2292" s="1013">
        <f t="shared" si="614"/>
        <v>0</v>
      </c>
      <c r="N2292" s="868">
        <f t="shared" si="615"/>
        <v>0</v>
      </c>
      <c r="O2292" s="880"/>
      <c r="P2292" s="36" t="str">
        <f>IF(N2289&gt;0,"xx",IF(N2289&gt;0,"xy",""))</f>
        <v/>
      </c>
      <c r="Q2292" s="317" t="str">
        <f t="shared" si="623"/>
        <v/>
      </c>
      <c r="R2292" s="317" t="str">
        <f t="shared" si="624"/>
        <v/>
      </c>
      <c r="S2292" s="317" t="str">
        <f t="shared" si="625"/>
        <v/>
      </c>
      <c r="V2292" s="314">
        <f>SUM(ORÇAMENTO!N2292)</f>
        <v>0</v>
      </c>
      <c r="W2292" s="315">
        <f t="shared" si="618"/>
        <v>0</v>
      </c>
    </row>
    <row r="2293" spans="1:23" hidden="1">
      <c r="A2293" s="63" t="s">
        <v>115</v>
      </c>
      <c r="B2293" s="870" t="s">
        <v>115</v>
      </c>
      <c r="C2293" s="871" t="s">
        <v>184</v>
      </c>
      <c r="D2293" s="881" t="s">
        <v>127</v>
      </c>
      <c r="E2293" s="882"/>
      <c r="F2293" s="883"/>
      <c r="G2293" s="887">
        <f>SUM(G2294:G2298)</f>
        <v>575.44937683400019</v>
      </c>
      <c r="H2293" s="876">
        <v>2203.7800000000002</v>
      </c>
      <c r="I2293" s="876">
        <f>IF(ISBLANK(H2293),"",SUM(G2293:H2293))</f>
        <v>2779.2293768340005</v>
      </c>
      <c r="J2293" s="877">
        <f t="shared" si="617"/>
        <v>3396.77</v>
      </c>
      <c r="K2293" s="878" t="s">
        <v>15</v>
      </c>
      <c r="L2293" s="1013">
        <f>ROUND(SUM(ORÇAMENTO!L2293),2)</f>
        <v>0</v>
      </c>
      <c r="M2293" s="1013">
        <f t="shared" si="614"/>
        <v>0</v>
      </c>
      <c r="N2293" s="868">
        <f t="shared" si="615"/>
        <v>0</v>
      </c>
      <c r="O2293" s="880"/>
      <c r="Q2293" s="317" t="str">
        <f t="shared" si="623"/>
        <v/>
      </c>
      <c r="R2293" s="317" t="str">
        <f t="shared" si="624"/>
        <v/>
      </c>
      <c r="S2293" s="317" t="str">
        <f t="shared" si="625"/>
        <v/>
      </c>
      <c r="V2293" s="314">
        <f>SUM(ORÇAMENTO!N2293)</f>
        <v>0</v>
      </c>
      <c r="W2293" s="315">
        <f t="shared" si="618"/>
        <v>0</v>
      </c>
    </row>
    <row r="2294" spans="1:23" hidden="1">
      <c r="A2294" s="63" t="s">
        <v>147</v>
      </c>
      <c r="B2294" s="870" t="s">
        <v>147</v>
      </c>
      <c r="C2294" s="871"/>
      <c r="D2294" s="881" t="s">
        <v>190</v>
      </c>
      <c r="E2294" s="882">
        <f>DMT!$D$20</f>
        <v>445</v>
      </c>
      <c r="F2294" s="883">
        <f>VLOOKUP(D2293,'ENSAIOS DE ORÇAMENTO'!$C$5:$L$81,4,FALSE)</f>
        <v>0.35276220000000008</v>
      </c>
      <c r="G2294" s="884">
        <f>IF(E2294&lt;=30,(0.78*E2294+7.82)*F2294,((0.78*30+7.82)+0.78*(E2294-30))*F2294)</f>
        <v>125.20236002400003</v>
      </c>
      <c r="H2294" s="876"/>
      <c r="I2294" s="876"/>
      <c r="J2294" s="877">
        <f t="shared" si="617"/>
        <v>0</v>
      </c>
      <c r="K2294" s="878"/>
      <c r="L2294" s="1013">
        <f>ROUND(SUM(ORÇAMENTO!L2294),2)</f>
        <v>0</v>
      </c>
      <c r="M2294" s="1013">
        <f t="shared" si="614"/>
        <v>0</v>
      </c>
      <c r="N2294" s="868">
        <f t="shared" si="615"/>
        <v>0</v>
      </c>
      <c r="O2294" s="880"/>
      <c r="P2294" s="36" t="str">
        <f>IF(N2293&gt;0,"xx",IF(N2293&gt;0,"xy",""))</f>
        <v/>
      </c>
      <c r="Q2294" s="317" t="str">
        <f t="shared" si="623"/>
        <v/>
      </c>
      <c r="R2294" s="317" t="str">
        <f t="shared" si="624"/>
        <v/>
      </c>
      <c r="S2294" s="317" t="str">
        <f t="shared" si="625"/>
        <v/>
      </c>
      <c r="V2294" s="314">
        <f>SUM(ORÇAMENTO!N2294)</f>
        <v>0</v>
      </c>
      <c r="W2294" s="315">
        <f t="shared" si="618"/>
        <v>0</v>
      </c>
    </row>
    <row r="2295" spans="1:23" hidden="1">
      <c r="A2295" s="63" t="s">
        <v>147</v>
      </c>
      <c r="B2295" s="870" t="s">
        <v>147</v>
      </c>
      <c r="C2295" s="871"/>
      <c r="D2295" s="881" t="s">
        <v>229</v>
      </c>
      <c r="E2295" s="882">
        <f>DMT!$F$8</f>
        <v>290</v>
      </c>
      <c r="F2295" s="883">
        <f>VLOOKUP(D2293,'ENSAIOS DE ORÇAMENTO'!$C$5:$L$81,5,FALSE)</f>
        <v>1.1888125000000003</v>
      </c>
      <c r="G2295" s="923">
        <f t="shared" ref="G2295:G2297" si="630">IF(E2295&lt;=30,(1.07*E2295+2.68)*F2295,((1.07*30+2.68)+1.07*(E2295-30))*F2295)</f>
        <v>372.07453625000011</v>
      </c>
      <c r="H2295" s="876"/>
      <c r="I2295" s="876"/>
      <c r="J2295" s="877">
        <f t="shared" si="617"/>
        <v>0</v>
      </c>
      <c r="K2295" s="878"/>
      <c r="L2295" s="1013">
        <f>ROUND(SUM(ORÇAMENTO!L2295),2)</f>
        <v>0</v>
      </c>
      <c r="M2295" s="1013">
        <f t="shared" si="614"/>
        <v>0</v>
      </c>
      <c r="N2295" s="868">
        <f t="shared" si="615"/>
        <v>0</v>
      </c>
      <c r="O2295" s="880"/>
      <c r="P2295" s="36" t="str">
        <f>IF(N2293&gt;0,"xx",IF(N2293&gt;0,"xy",""))</f>
        <v/>
      </c>
      <c r="Q2295" s="317" t="str">
        <f t="shared" si="623"/>
        <v/>
      </c>
      <c r="R2295" s="317" t="str">
        <f t="shared" si="624"/>
        <v/>
      </c>
      <c r="S2295" s="317" t="str">
        <f t="shared" si="625"/>
        <v/>
      </c>
      <c r="V2295" s="314">
        <f>SUM(ORÇAMENTO!N2295)</f>
        <v>0</v>
      </c>
      <c r="W2295" s="315">
        <f t="shared" si="618"/>
        <v>0</v>
      </c>
    </row>
    <row r="2296" spans="1:23" hidden="1">
      <c r="A2296" s="63" t="s">
        <v>147</v>
      </c>
      <c r="B2296" s="870" t="s">
        <v>147</v>
      </c>
      <c r="C2296" s="871"/>
      <c r="D2296" s="881" t="s">
        <v>233</v>
      </c>
      <c r="E2296" s="882">
        <f>DMT!$F$10</f>
        <v>43.1</v>
      </c>
      <c r="F2296" s="883">
        <f>VLOOKUP(D2293,'ENSAIOS DE ORÇAMENTO'!$C$5:$L$81,6,FALSE)</f>
        <v>1.1100000000000001</v>
      </c>
      <c r="G2296" s="923">
        <f t="shared" si="630"/>
        <v>54.164670000000008</v>
      </c>
      <c r="H2296" s="876"/>
      <c r="I2296" s="876"/>
      <c r="J2296" s="877">
        <f t="shared" si="617"/>
        <v>0</v>
      </c>
      <c r="K2296" s="878"/>
      <c r="L2296" s="1013">
        <f>ROUND(SUM(ORÇAMENTO!L2296),2)</f>
        <v>0</v>
      </c>
      <c r="M2296" s="1013">
        <f t="shared" si="614"/>
        <v>0</v>
      </c>
      <c r="N2296" s="868">
        <f t="shared" si="615"/>
        <v>0</v>
      </c>
      <c r="O2296" s="880"/>
      <c r="P2296" s="36" t="str">
        <f>IF(N2293&gt;0,"xx",IF(N2293&gt;0,"xy",""))</f>
        <v/>
      </c>
      <c r="Q2296" s="317" t="str">
        <f t="shared" si="623"/>
        <v/>
      </c>
      <c r="R2296" s="317" t="str">
        <f t="shared" si="624"/>
        <v/>
      </c>
      <c r="S2296" s="317" t="str">
        <f t="shared" si="625"/>
        <v/>
      </c>
      <c r="V2296" s="314">
        <f>SUM(ORÇAMENTO!N2296)</f>
        <v>0</v>
      </c>
      <c r="W2296" s="315">
        <f t="shared" si="618"/>
        <v>0</v>
      </c>
    </row>
    <row r="2297" spans="1:23" hidden="1">
      <c r="A2297" s="63" t="s">
        <v>147</v>
      </c>
      <c r="B2297" s="870" t="s">
        <v>147</v>
      </c>
      <c r="C2297" s="871"/>
      <c r="D2297" s="881" t="s">
        <v>365</v>
      </c>
      <c r="E2297" s="882">
        <f>DMT!$F$32</f>
        <v>28</v>
      </c>
      <c r="F2297" s="883">
        <f>VLOOKUP(D2293,'ENSAIOS DE ORÇAMENTO'!$C$5:$L$81,3,FALSE)</f>
        <v>0.54144000000000003</v>
      </c>
      <c r="G2297" s="923">
        <f t="shared" si="630"/>
        <v>17.6726016</v>
      </c>
      <c r="H2297" s="876"/>
      <c r="I2297" s="876"/>
      <c r="J2297" s="877">
        <f t="shared" si="617"/>
        <v>0</v>
      </c>
      <c r="K2297" s="878"/>
      <c r="L2297" s="1013">
        <f>ROUND(SUM(ORÇAMENTO!L2297),2)</f>
        <v>0</v>
      </c>
      <c r="M2297" s="1013">
        <f t="shared" si="614"/>
        <v>0</v>
      </c>
      <c r="N2297" s="868">
        <f t="shared" si="615"/>
        <v>0</v>
      </c>
      <c r="O2297" s="880"/>
      <c r="P2297" s="36" t="str">
        <f>IF(N2293&gt;0,"xx",IF(N2293&gt;0,"xy",""))</f>
        <v/>
      </c>
      <c r="Q2297" s="317" t="str">
        <f t="shared" si="623"/>
        <v/>
      </c>
      <c r="R2297" s="317" t="str">
        <f t="shared" si="624"/>
        <v/>
      </c>
      <c r="S2297" s="317" t="str">
        <f t="shared" si="625"/>
        <v/>
      </c>
      <c r="V2297" s="314">
        <f>SUM(ORÇAMENTO!N2297)</f>
        <v>0</v>
      </c>
      <c r="W2297" s="315">
        <f t="shared" si="618"/>
        <v>0</v>
      </c>
    </row>
    <row r="2298" spans="1:23" hidden="1">
      <c r="A2298" s="63" t="s">
        <v>147</v>
      </c>
      <c r="B2298" s="870" t="s">
        <v>147</v>
      </c>
      <c r="C2298" s="871"/>
      <c r="D2298" s="881" t="s">
        <v>366</v>
      </c>
      <c r="E2298" s="882">
        <f>DMT!$D$18</f>
        <v>440</v>
      </c>
      <c r="F2298" s="883">
        <f>VLOOKUP(D2293,'ENSAIOS DE ORÇAMENTO'!$C$5:$L$81,10,FALSE)</f>
        <v>1.8048000000000002E-2</v>
      </c>
      <c r="G2298" s="884">
        <f>IF(E2298&lt;=30,(0.78*E2298+7.82)*F2298,((0.78*30+7.82)+0.78*(E2298-30))*F2298)</f>
        <v>6.335208960000001</v>
      </c>
      <c r="H2298" s="876"/>
      <c r="I2298" s="876"/>
      <c r="J2298" s="877">
        <f t="shared" si="617"/>
        <v>0</v>
      </c>
      <c r="K2298" s="878"/>
      <c r="L2298" s="1013">
        <f>ROUND(SUM(ORÇAMENTO!L2298),2)</f>
        <v>0</v>
      </c>
      <c r="M2298" s="1013">
        <f t="shared" si="614"/>
        <v>0</v>
      </c>
      <c r="N2298" s="868">
        <f t="shared" si="615"/>
        <v>0</v>
      </c>
      <c r="O2298" s="880"/>
      <c r="P2298" s="36" t="str">
        <f>IF(N2293&gt;0,"xx",IF(N2293&gt;0,"xy",""))</f>
        <v/>
      </c>
      <c r="Q2298" s="317" t="str">
        <f t="shared" si="623"/>
        <v/>
      </c>
      <c r="R2298" s="317" t="str">
        <f t="shared" si="624"/>
        <v/>
      </c>
      <c r="S2298" s="317" t="str">
        <f t="shared" si="625"/>
        <v/>
      </c>
      <c r="V2298" s="314">
        <f>SUM(ORÇAMENTO!N2298)</f>
        <v>0</v>
      </c>
      <c r="W2298" s="315">
        <f t="shared" si="618"/>
        <v>0</v>
      </c>
    </row>
    <row r="2299" spans="1:23" hidden="1">
      <c r="A2299" s="63" t="s">
        <v>116</v>
      </c>
      <c r="B2299" s="870" t="s">
        <v>116</v>
      </c>
      <c r="C2299" s="871" t="s">
        <v>184</v>
      </c>
      <c r="D2299" s="881" t="s">
        <v>128</v>
      </c>
      <c r="E2299" s="882"/>
      <c r="F2299" s="883"/>
      <c r="G2299" s="887">
        <f>SUM(G2300:G2304)</f>
        <v>650.29558091199988</v>
      </c>
      <c r="H2299" s="876">
        <v>2425.58</v>
      </c>
      <c r="I2299" s="876">
        <f>IF(ISBLANK(H2299),"",SUM(G2299:H2299))</f>
        <v>3075.8755809119998</v>
      </c>
      <c r="J2299" s="877">
        <f t="shared" si="617"/>
        <v>3759.34</v>
      </c>
      <c r="K2299" s="878" t="s">
        <v>15</v>
      </c>
      <c r="L2299" s="1013">
        <f>ROUND(SUM(ORÇAMENTO!L2299),2)</f>
        <v>0</v>
      </c>
      <c r="M2299" s="1013">
        <f t="shared" si="614"/>
        <v>0</v>
      </c>
      <c r="N2299" s="868">
        <f t="shared" si="615"/>
        <v>0</v>
      </c>
      <c r="O2299" s="880"/>
      <c r="Q2299" s="317" t="str">
        <f t="shared" si="623"/>
        <v/>
      </c>
      <c r="R2299" s="317" t="str">
        <f t="shared" si="624"/>
        <v/>
      </c>
      <c r="S2299" s="317" t="str">
        <f t="shared" si="625"/>
        <v/>
      </c>
      <c r="V2299" s="314">
        <f>SUM(ORÇAMENTO!N2299)</f>
        <v>0</v>
      </c>
      <c r="W2299" s="315">
        <f t="shared" si="618"/>
        <v>0</v>
      </c>
    </row>
    <row r="2300" spans="1:23" hidden="1">
      <c r="A2300" s="63" t="s">
        <v>147</v>
      </c>
      <c r="B2300" s="870" t="s">
        <v>147</v>
      </c>
      <c r="C2300" s="871"/>
      <c r="D2300" s="881" t="s">
        <v>190</v>
      </c>
      <c r="E2300" s="882">
        <f>DMT!$D$20</f>
        <v>445</v>
      </c>
      <c r="F2300" s="883">
        <f>VLOOKUP(D2299,'ENSAIOS DE ORÇAMENTO'!$C$5:$L$81,4,FALSE)</f>
        <v>0.38489359999999995</v>
      </c>
      <c r="G2300" s="884">
        <f>IF(E2300&lt;=30,(0.78*E2300+7.82)*F2300,((0.78*30+7.82)+0.78*(E2300-30))*F2300)</f>
        <v>136.60643651199999</v>
      </c>
      <c r="H2300" s="876"/>
      <c r="I2300" s="876"/>
      <c r="J2300" s="877">
        <f t="shared" si="617"/>
        <v>0</v>
      </c>
      <c r="K2300" s="878"/>
      <c r="L2300" s="1013">
        <f>ROUND(SUM(ORÇAMENTO!L2300),2)</f>
        <v>0</v>
      </c>
      <c r="M2300" s="1013">
        <f t="shared" si="614"/>
        <v>0</v>
      </c>
      <c r="N2300" s="868">
        <f t="shared" si="615"/>
        <v>0</v>
      </c>
      <c r="O2300" s="880"/>
      <c r="P2300" s="36" t="str">
        <f>IF(N2299&gt;0,"xx",IF(N2299&gt;0,"xy",""))</f>
        <v/>
      </c>
      <c r="Q2300" s="317" t="str">
        <f t="shared" si="623"/>
        <v/>
      </c>
      <c r="R2300" s="317" t="str">
        <f t="shared" si="624"/>
        <v/>
      </c>
      <c r="S2300" s="317" t="str">
        <f t="shared" si="625"/>
        <v/>
      </c>
      <c r="V2300" s="314">
        <f>SUM(ORÇAMENTO!N2300)</f>
        <v>0</v>
      </c>
      <c r="W2300" s="315">
        <f t="shared" si="618"/>
        <v>0</v>
      </c>
    </row>
    <row r="2301" spans="1:23" hidden="1">
      <c r="A2301" s="63" t="s">
        <v>147</v>
      </c>
      <c r="B2301" s="870" t="s">
        <v>147</v>
      </c>
      <c r="C2301" s="871"/>
      <c r="D2301" s="881" t="s">
        <v>229</v>
      </c>
      <c r="E2301" s="882">
        <f>DMT!$F$8</f>
        <v>290</v>
      </c>
      <c r="F2301" s="883">
        <f>VLOOKUP(D2299,'ENSAIOS DE ORÇAMENTO'!$C$5:$L$81,5,FALSE)</f>
        <v>1.3499699999999999</v>
      </c>
      <c r="G2301" s="923">
        <f t="shared" ref="G2301:G2303" si="631">IF(E2301&lt;=30,(1.07*E2301+2.68)*F2301,((1.07*30+2.68)+1.07*(E2301-30))*F2301)</f>
        <v>422.51361059999999</v>
      </c>
      <c r="H2301" s="876"/>
      <c r="I2301" s="876"/>
      <c r="J2301" s="877">
        <f t="shared" si="617"/>
        <v>0</v>
      </c>
      <c r="K2301" s="878"/>
      <c r="L2301" s="1013">
        <f>ROUND(SUM(ORÇAMENTO!L2301),2)</f>
        <v>0</v>
      </c>
      <c r="M2301" s="1013">
        <f t="shared" si="614"/>
        <v>0</v>
      </c>
      <c r="N2301" s="868">
        <f t="shared" si="615"/>
        <v>0</v>
      </c>
      <c r="O2301" s="880"/>
      <c r="P2301" s="36" t="str">
        <f>IF(N2299&gt;0,"xx",IF(N2299&gt;0,"xy",""))</f>
        <v/>
      </c>
      <c r="Q2301" s="317" t="str">
        <f t="shared" si="623"/>
        <v/>
      </c>
      <c r="R2301" s="317" t="str">
        <f t="shared" si="624"/>
        <v/>
      </c>
      <c r="S2301" s="317" t="str">
        <f t="shared" si="625"/>
        <v/>
      </c>
      <c r="V2301" s="314">
        <f>SUM(ORÇAMENTO!N2301)</f>
        <v>0</v>
      </c>
      <c r="W2301" s="315">
        <f t="shared" si="618"/>
        <v>0</v>
      </c>
    </row>
    <row r="2302" spans="1:23" hidden="1">
      <c r="A2302" s="63" t="s">
        <v>147</v>
      </c>
      <c r="B2302" s="870" t="s">
        <v>147</v>
      </c>
      <c r="C2302" s="871"/>
      <c r="D2302" s="881" t="s">
        <v>233</v>
      </c>
      <c r="E2302" s="882">
        <f>DMT!$F$10</f>
        <v>43.1</v>
      </c>
      <c r="F2302" s="883">
        <f>VLOOKUP(D2299,'ENSAIOS DE ORÇAMENTO'!$C$5:$L$81,6,FALSE)</f>
        <v>1.1766000000000001</v>
      </c>
      <c r="G2302" s="923">
        <f t="shared" si="631"/>
        <v>57.414550200000008</v>
      </c>
      <c r="H2302" s="876"/>
      <c r="I2302" s="876"/>
      <c r="J2302" s="877">
        <f t="shared" si="617"/>
        <v>0</v>
      </c>
      <c r="K2302" s="878"/>
      <c r="L2302" s="1013">
        <f>ROUND(SUM(ORÇAMENTO!L2302),2)</f>
        <v>0</v>
      </c>
      <c r="M2302" s="1013">
        <f t="shared" si="614"/>
        <v>0</v>
      </c>
      <c r="N2302" s="868">
        <f t="shared" si="615"/>
        <v>0</v>
      </c>
      <c r="O2302" s="880"/>
      <c r="P2302" s="36" t="str">
        <f>IF(N2299&gt;0,"xx",IF(N2299&gt;0,"xy",""))</f>
        <v/>
      </c>
      <c r="Q2302" s="317" t="str">
        <f t="shared" si="623"/>
        <v/>
      </c>
      <c r="R2302" s="317" t="str">
        <f t="shared" si="624"/>
        <v/>
      </c>
      <c r="S2302" s="317" t="str">
        <f t="shared" si="625"/>
        <v/>
      </c>
      <c r="V2302" s="314">
        <f>SUM(ORÇAMENTO!N2302)</f>
        <v>0</v>
      </c>
      <c r="W2302" s="315">
        <f t="shared" si="618"/>
        <v>0</v>
      </c>
    </row>
    <row r="2303" spans="1:23" hidden="1">
      <c r="A2303" s="63" t="s">
        <v>147</v>
      </c>
      <c r="B2303" s="870" t="s">
        <v>147</v>
      </c>
      <c r="C2303" s="871"/>
      <c r="D2303" s="881" t="s">
        <v>365</v>
      </c>
      <c r="E2303" s="882">
        <f>DMT!$F$32</f>
        <v>28</v>
      </c>
      <c r="F2303" s="883">
        <f>VLOOKUP(D2299,'ENSAIOS DE ORÇAMENTO'!$C$5:$L$81,3,FALSE)</f>
        <v>0.76139999999999997</v>
      </c>
      <c r="G2303" s="923">
        <f t="shared" si="631"/>
        <v>24.852096</v>
      </c>
      <c r="H2303" s="876"/>
      <c r="I2303" s="876"/>
      <c r="J2303" s="877">
        <f t="shared" si="617"/>
        <v>0</v>
      </c>
      <c r="K2303" s="878"/>
      <c r="L2303" s="1013">
        <f>ROUND(SUM(ORÇAMENTO!L2303),2)</f>
        <v>0</v>
      </c>
      <c r="M2303" s="1013">
        <f t="shared" si="614"/>
        <v>0</v>
      </c>
      <c r="N2303" s="868">
        <f t="shared" si="615"/>
        <v>0</v>
      </c>
      <c r="O2303" s="880"/>
      <c r="P2303" s="36" t="str">
        <f>IF(N2299&gt;0,"xx",IF(N2299&gt;0,"xy",""))</f>
        <v/>
      </c>
      <c r="Q2303" s="317" t="str">
        <f t="shared" si="623"/>
        <v/>
      </c>
      <c r="R2303" s="317" t="str">
        <f t="shared" si="624"/>
        <v/>
      </c>
      <c r="S2303" s="317" t="str">
        <f t="shared" si="625"/>
        <v/>
      </c>
      <c r="V2303" s="314">
        <f>SUM(ORÇAMENTO!N2303)</f>
        <v>0</v>
      </c>
      <c r="W2303" s="315">
        <f t="shared" si="618"/>
        <v>0</v>
      </c>
    </row>
    <row r="2304" spans="1:23" hidden="1">
      <c r="A2304" s="63" t="s">
        <v>147</v>
      </c>
      <c r="B2304" s="870" t="s">
        <v>147</v>
      </c>
      <c r="C2304" s="871"/>
      <c r="D2304" s="881" t="s">
        <v>366</v>
      </c>
      <c r="E2304" s="882">
        <f>DMT!$D$18</f>
        <v>440</v>
      </c>
      <c r="F2304" s="883">
        <f>VLOOKUP(D2299,'ENSAIOS DE ORÇAMENTO'!$C$5:$L$81,10,FALSE)</f>
        <v>2.538E-2</v>
      </c>
      <c r="G2304" s="884">
        <f>IF(E2304&lt;=30,(0.78*E2304+7.82)*F2304,((0.78*30+7.82)+0.78*(E2304-30))*F2304)</f>
        <v>8.9088876000000017</v>
      </c>
      <c r="H2304" s="876"/>
      <c r="I2304" s="876"/>
      <c r="J2304" s="877">
        <f t="shared" si="617"/>
        <v>0</v>
      </c>
      <c r="K2304" s="878"/>
      <c r="L2304" s="1013">
        <f>ROUND(SUM(ORÇAMENTO!L2304),2)</f>
        <v>0</v>
      </c>
      <c r="M2304" s="1013">
        <f t="shared" si="614"/>
        <v>0</v>
      </c>
      <c r="N2304" s="868">
        <f t="shared" si="615"/>
        <v>0</v>
      </c>
      <c r="O2304" s="880"/>
      <c r="P2304" s="36" t="str">
        <f>IF(N2299&gt;0,"xx",IF(N2299&gt;0,"xy",""))</f>
        <v/>
      </c>
      <c r="Q2304" s="317" t="str">
        <f t="shared" si="623"/>
        <v/>
      </c>
      <c r="R2304" s="317" t="str">
        <f t="shared" si="624"/>
        <v/>
      </c>
      <c r="S2304" s="317" t="str">
        <f t="shared" si="625"/>
        <v/>
      </c>
      <c r="V2304" s="314">
        <f>SUM(ORÇAMENTO!N2304)</f>
        <v>0</v>
      </c>
      <c r="W2304" s="315">
        <f t="shared" si="618"/>
        <v>0</v>
      </c>
    </row>
    <row r="2305" spans="1:23" hidden="1">
      <c r="A2305" s="63" t="s">
        <v>117</v>
      </c>
      <c r="B2305" s="870" t="s">
        <v>117</v>
      </c>
      <c r="C2305" s="871" t="s">
        <v>184</v>
      </c>
      <c r="D2305" s="881" t="s">
        <v>129</v>
      </c>
      <c r="E2305" s="882"/>
      <c r="F2305" s="883"/>
      <c r="G2305" s="887">
        <f>SUM(G2306:G2310)</f>
        <v>758.19648306800002</v>
      </c>
      <c r="H2305" s="876">
        <v>2754.73</v>
      </c>
      <c r="I2305" s="876">
        <f>IF(ISBLANK(H2305),"",SUM(G2305:H2305))</f>
        <v>3512.9264830679999</v>
      </c>
      <c r="J2305" s="877">
        <f t="shared" si="617"/>
        <v>4293.5</v>
      </c>
      <c r="K2305" s="878" t="s">
        <v>15</v>
      </c>
      <c r="L2305" s="1013">
        <f>ROUND(SUM(ORÇAMENTO!L2305),2)</f>
        <v>0</v>
      </c>
      <c r="M2305" s="1013">
        <f t="shared" si="614"/>
        <v>0</v>
      </c>
      <c r="N2305" s="868">
        <f t="shared" si="615"/>
        <v>0</v>
      </c>
      <c r="O2305" s="880"/>
      <c r="Q2305" s="317" t="str">
        <f t="shared" si="623"/>
        <v/>
      </c>
      <c r="R2305" s="317" t="str">
        <f t="shared" si="624"/>
        <v/>
      </c>
      <c r="S2305" s="317" t="str">
        <f t="shared" si="625"/>
        <v/>
      </c>
      <c r="V2305" s="314">
        <f>SUM(ORÇAMENTO!N2305)</f>
        <v>0</v>
      </c>
      <c r="W2305" s="315">
        <f t="shared" si="618"/>
        <v>0</v>
      </c>
    </row>
    <row r="2306" spans="1:23" hidden="1">
      <c r="A2306" s="63" t="s">
        <v>147</v>
      </c>
      <c r="B2306" s="870" t="s">
        <v>147</v>
      </c>
      <c r="C2306" s="871"/>
      <c r="D2306" s="881" t="s">
        <v>190</v>
      </c>
      <c r="E2306" s="882">
        <f>DMT!$D$20</f>
        <v>445</v>
      </c>
      <c r="F2306" s="883">
        <f>VLOOKUP(D2305,'ENSAIOS DE ORÇAMENTO'!$C$5:$L$81,4,FALSE)</f>
        <v>0.43281240000000004</v>
      </c>
      <c r="G2306" s="884">
        <f>IF(E2306&lt;=30,(0.78*E2306+7.82)*F2306,((0.78*30+7.82)+0.78*(E2306-30))*F2306)</f>
        <v>153.61377700800003</v>
      </c>
      <c r="H2306" s="876"/>
      <c r="I2306" s="876"/>
      <c r="J2306" s="877">
        <f t="shared" ref="J2306:J2354" si="632">IF(ISBLANK(H2306),0,ROUND(I2306*(1+$E$10),2))</f>
        <v>0</v>
      </c>
      <c r="K2306" s="878"/>
      <c r="L2306" s="1013">
        <f>ROUND(SUM(ORÇAMENTO!L2306),2)</f>
        <v>0</v>
      </c>
      <c r="M2306" s="1013">
        <f t="shared" si="614"/>
        <v>0</v>
      </c>
      <c r="N2306" s="868">
        <f t="shared" si="615"/>
        <v>0</v>
      </c>
      <c r="O2306" s="880"/>
      <c r="P2306" s="36" t="str">
        <f>IF(N2305&gt;0,"xx",IF(N2305&gt;0,"xy",""))</f>
        <v/>
      </c>
      <c r="Q2306" s="317" t="str">
        <f t="shared" si="623"/>
        <v/>
      </c>
      <c r="R2306" s="317" t="str">
        <f t="shared" si="624"/>
        <v/>
      </c>
      <c r="S2306" s="317" t="str">
        <f t="shared" si="625"/>
        <v/>
      </c>
      <c r="V2306" s="314">
        <f>SUM(ORÇAMENTO!N2306)</f>
        <v>0</v>
      </c>
      <c r="W2306" s="315">
        <f t="shared" si="618"/>
        <v>0</v>
      </c>
    </row>
    <row r="2307" spans="1:23" hidden="1">
      <c r="A2307" s="63" t="s">
        <v>147</v>
      </c>
      <c r="B2307" s="870" t="s">
        <v>147</v>
      </c>
      <c r="C2307" s="871"/>
      <c r="D2307" s="881" t="s">
        <v>229</v>
      </c>
      <c r="E2307" s="882">
        <f>DMT!$F$8</f>
        <v>290</v>
      </c>
      <c r="F2307" s="883">
        <f>VLOOKUP(D2305,'ENSAIOS DE ORÇAMENTO'!$C$5:$L$81,5,FALSE)</f>
        <v>1.5797950000000001</v>
      </c>
      <c r="G2307" s="923">
        <f t="shared" ref="G2307:G2309" si="633">IF(E2307&lt;=30,(1.07*E2307+2.68)*F2307,((1.07*30+2.68)+1.07*(E2307-30))*F2307)</f>
        <v>494.44423910000006</v>
      </c>
      <c r="H2307" s="876"/>
      <c r="I2307" s="876"/>
      <c r="J2307" s="877">
        <f t="shared" si="632"/>
        <v>0</v>
      </c>
      <c r="K2307" s="878"/>
      <c r="L2307" s="1013">
        <f>ROUND(SUM(ORÇAMENTO!L2307),2)</f>
        <v>0</v>
      </c>
      <c r="M2307" s="1013">
        <f t="shared" si="614"/>
        <v>0</v>
      </c>
      <c r="N2307" s="868">
        <f t="shared" si="615"/>
        <v>0</v>
      </c>
      <c r="O2307" s="880"/>
      <c r="P2307" s="36" t="str">
        <f>IF(N2305&gt;0,"xx",IF(N2305&gt;0,"xy",""))</f>
        <v/>
      </c>
      <c r="Q2307" s="317" t="str">
        <f t="shared" si="623"/>
        <v/>
      </c>
      <c r="R2307" s="317" t="str">
        <f t="shared" si="624"/>
        <v/>
      </c>
      <c r="S2307" s="317" t="str">
        <f t="shared" si="625"/>
        <v/>
      </c>
      <c r="V2307" s="314">
        <f>SUM(ORÇAMENTO!N2307)</f>
        <v>0</v>
      </c>
      <c r="W2307" s="315">
        <f t="shared" si="618"/>
        <v>0</v>
      </c>
    </row>
    <row r="2308" spans="1:23" hidden="1">
      <c r="A2308" s="63" t="s">
        <v>147</v>
      </c>
      <c r="B2308" s="870" t="s">
        <v>147</v>
      </c>
      <c r="C2308" s="871"/>
      <c r="D2308" s="881" t="s">
        <v>233</v>
      </c>
      <c r="E2308" s="882">
        <f>DMT!$F$10</f>
        <v>43.1</v>
      </c>
      <c r="F2308" s="883">
        <f>VLOOKUP(D2305,'ENSAIOS DE ORÇAMENTO'!$C$5:$L$81,6,FALSE)</f>
        <v>1.2654000000000003</v>
      </c>
      <c r="G2308" s="923">
        <f t="shared" si="633"/>
        <v>61.747723800000017</v>
      </c>
      <c r="H2308" s="876"/>
      <c r="I2308" s="876"/>
      <c r="J2308" s="877">
        <f t="shared" si="632"/>
        <v>0</v>
      </c>
      <c r="K2308" s="878"/>
      <c r="L2308" s="1013">
        <f>ROUND(SUM(ORÇAMENTO!L2308),2)</f>
        <v>0</v>
      </c>
      <c r="M2308" s="1013">
        <f t="shared" si="614"/>
        <v>0</v>
      </c>
      <c r="N2308" s="868">
        <f t="shared" si="615"/>
        <v>0</v>
      </c>
      <c r="O2308" s="880"/>
      <c r="P2308" s="36" t="str">
        <f>IF(N2305&gt;0,"xx",IF(N2305&gt;0,"xy",""))</f>
        <v/>
      </c>
      <c r="Q2308" s="317" t="str">
        <f t="shared" si="623"/>
        <v/>
      </c>
      <c r="R2308" s="317" t="str">
        <f t="shared" si="624"/>
        <v/>
      </c>
      <c r="S2308" s="317" t="str">
        <f t="shared" si="625"/>
        <v/>
      </c>
      <c r="V2308" s="314">
        <f>SUM(ORÇAMENTO!N2308)</f>
        <v>0</v>
      </c>
      <c r="W2308" s="315">
        <f t="shared" si="618"/>
        <v>0</v>
      </c>
    </row>
    <row r="2309" spans="1:23" hidden="1">
      <c r="A2309" s="63" t="s">
        <v>147</v>
      </c>
      <c r="B2309" s="870" t="s">
        <v>147</v>
      </c>
      <c r="C2309" s="871"/>
      <c r="D2309" s="881" t="s">
        <v>365</v>
      </c>
      <c r="E2309" s="882">
        <f>DMT!$F$32</f>
        <v>28</v>
      </c>
      <c r="F2309" s="883">
        <f>VLOOKUP(D2305,'ENSAIOS DE ORÇAMENTO'!$C$5:$L$81,3,FALSE)</f>
        <v>1.09134</v>
      </c>
      <c r="G2309" s="923">
        <f t="shared" si="633"/>
        <v>35.621337599999997</v>
      </c>
      <c r="H2309" s="876"/>
      <c r="I2309" s="876"/>
      <c r="J2309" s="877">
        <f t="shared" si="632"/>
        <v>0</v>
      </c>
      <c r="K2309" s="878"/>
      <c r="L2309" s="1013">
        <f>ROUND(SUM(ORÇAMENTO!L2309),2)</f>
        <v>0</v>
      </c>
      <c r="M2309" s="1013">
        <f t="shared" si="614"/>
        <v>0</v>
      </c>
      <c r="N2309" s="868">
        <f t="shared" si="615"/>
        <v>0</v>
      </c>
      <c r="O2309" s="880"/>
      <c r="P2309" s="36" t="str">
        <f>IF(N2305&gt;0,"xx",IF(N2305&gt;0,"xy",""))</f>
        <v/>
      </c>
      <c r="Q2309" s="317" t="str">
        <f t="shared" si="623"/>
        <v/>
      </c>
      <c r="R2309" s="317" t="str">
        <f t="shared" si="624"/>
        <v/>
      </c>
      <c r="S2309" s="317" t="str">
        <f t="shared" si="625"/>
        <v/>
      </c>
      <c r="V2309" s="314">
        <f>SUM(ORÇAMENTO!N2309)</f>
        <v>0</v>
      </c>
      <c r="W2309" s="315">
        <f t="shared" si="618"/>
        <v>0</v>
      </c>
    </row>
    <row r="2310" spans="1:23" hidden="1">
      <c r="A2310" s="63" t="s">
        <v>147</v>
      </c>
      <c r="B2310" s="870" t="s">
        <v>147</v>
      </c>
      <c r="C2310" s="871"/>
      <c r="D2310" s="881" t="s">
        <v>366</v>
      </c>
      <c r="E2310" s="882">
        <f>DMT!$D$18</f>
        <v>440</v>
      </c>
      <c r="F2310" s="883">
        <f>VLOOKUP(D2305,'ENSAIOS DE ORÇAMENTO'!$C$5:$L$81,10,FALSE)</f>
        <v>3.6378000000000001E-2</v>
      </c>
      <c r="G2310" s="884">
        <f>IF(E2310&lt;=30,(0.78*E2310+7.82)*F2310,((0.78*30+7.82)+0.78*(E2310-30))*F2310)</f>
        <v>12.769405560000001</v>
      </c>
      <c r="H2310" s="876"/>
      <c r="I2310" s="876"/>
      <c r="J2310" s="877">
        <f t="shared" si="632"/>
        <v>0</v>
      </c>
      <c r="K2310" s="878"/>
      <c r="L2310" s="1013">
        <f>ROUND(SUM(ORÇAMENTO!L2310),2)</f>
        <v>0</v>
      </c>
      <c r="M2310" s="1013">
        <f t="shared" si="614"/>
        <v>0</v>
      </c>
      <c r="N2310" s="868">
        <f t="shared" si="615"/>
        <v>0</v>
      </c>
      <c r="O2310" s="880"/>
      <c r="P2310" s="36" t="str">
        <f>IF(N2305&gt;0,"xx",IF(N2305&gt;0,"xy",""))</f>
        <v/>
      </c>
      <c r="Q2310" s="317" t="str">
        <f t="shared" si="623"/>
        <v/>
      </c>
      <c r="R2310" s="317" t="str">
        <f t="shared" si="624"/>
        <v/>
      </c>
      <c r="S2310" s="317" t="str">
        <f t="shared" si="625"/>
        <v/>
      </c>
      <c r="V2310" s="314">
        <f>SUM(ORÇAMENTO!N2310)</f>
        <v>0</v>
      </c>
      <c r="W2310" s="315">
        <f t="shared" si="618"/>
        <v>0</v>
      </c>
    </row>
    <row r="2311" spans="1:23" hidden="1">
      <c r="A2311" s="63" t="s">
        <v>39</v>
      </c>
      <c r="B2311" s="870" t="s">
        <v>39</v>
      </c>
      <c r="C2311" s="871" t="s">
        <v>184</v>
      </c>
      <c r="D2311" s="881" t="s">
        <v>130</v>
      </c>
      <c r="E2311" s="882"/>
      <c r="F2311" s="883"/>
      <c r="G2311" s="887">
        <f>SUM(G2312:G2316)</f>
        <v>826.72138064600006</v>
      </c>
      <c r="H2311" s="876">
        <v>2966.42</v>
      </c>
      <c r="I2311" s="876">
        <f>IF(ISBLANK(H2311),"",SUM(G2311:H2311))</f>
        <v>3793.141380646</v>
      </c>
      <c r="J2311" s="877">
        <f t="shared" si="632"/>
        <v>4635.9799999999996</v>
      </c>
      <c r="K2311" s="878" t="s">
        <v>15</v>
      </c>
      <c r="L2311" s="1013">
        <f>ROUND(SUM(ORÇAMENTO!L2311),2)</f>
        <v>0</v>
      </c>
      <c r="M2311" s="1013">
        <f t="shared" si="614"/>
        <v>0</v>
      </c>
      <c r="N2311" s="868">
        <f t="shared" si="615"/>
        <v>0</v>
      </c>
      <c r="O2311" s="880"/>
      <c r="Q2311" s="317" t="str">
        <f t="shared" si="623"/>
        <v/>
      </c>
      <c r="R2311" s="317" t="str">
        <f t="shared" si="624"/>
        <v/>
      </c>
      <c r="S2311" s="317" t="str">
        <f t="shared" si="625"/>
        <v/>
      </c>
      <c r="V2311" s="314">
        <f>SUM(ORÇAMENTO!N2311)</f>
        <v>0</v>
      </c>
      <c r="W2311" s="315">
        <f t="shared" si="618"/>
        <v>0</v>
      </c>
    </row>
    <row r="2312" spans="1:23" hidden="1">
      <c r="A2312" s="63" t="s">
        <v>147</v>
      </c>
      <c r="B2312" s="870" t="s">
        <v>147</v>
      </c>
      <c r="C2312" s="871"/>
      <c r="D2312" s="881" t="s">
        <v>190</v>
      </c>
      <c r="E2312" s="882">
        <f>DMT!$D$20</f>
        <v>445</v>
      </c>
      <c r="F2312" s="883">
        <f>VLOOKUP(D2311,'ENSAIOS DE ORÇAMENTO'!$C$5:$L$81,4,FALSE)</f>
        <v>0.46255580000000002</v>
      </c>
      <c r="G2312" s="884">
        <f>IF(E2312&lt;=30,(0.78*E2312+7.82)*F2312,((0.78*30+7.82)+0.78*(E2312-30))*F2312)</f>
        <v>164.170304536</v>
      </c>
      <c r="H2312" s="876"/>
      <c r="I2312" s="876"/>
      <c r="J2312" s="877">
        <f t="shared" si="632"/>
        <v>0</v>
      </c>
      <c r="K2312" s="878"/>
      <c r="L2312" s="1013">
        <f>ROUND(SUM(ORÇAMENTO!L2312),2)</f>
        <v>0</v>
      </c>
      <c r="M2312" s="1013">
        <f t="shared" si="614"/>
        <v>0</v>
      </c>
      <c r="N2312" s="868">
        <f t="shared" si="615"/>
        <v>0</v>
      </c>
      <c r="O2312" s="880"/>
      <c r="P2312" s="36" t="str">
        <f>IF(N2311&gt;0,"xx",IF(N2311&gt;0,"xy",""))</f>
        <v/>
      </c>
      <c r="Q2312" s="317" t="str">
        <f t="shared" si="623"/>
        <v/>
      </c>
      <c r="R2312" s="317" t="str">
        <f t="shared" si="624"/>
        <v/>
      </c>
      <c r="S2312" s="317" t="str">
        <f t="shared" si="625"/>
        <v/>
      </c>
      <c r="V2312" s="314">
        <f>SUM(ORÇAMENTO!N2312)</f>
        <v>0</v>
      </c>
      <c r="W2312" s="315">
        <f t="shared" si="618"/>
        <v>0</v>
      </c>
    </row>
    <row r="2313" spans="1:23" hidden="1">
      <c r="A2313" s="63" t="s">
        <v>147</v>
      </c>
      <c r="B2313" s="870" t="s">
        <v>147</v>
      </c>
      <c r="C2313" s="871"/>
      <c r="D2313" s="881" t="s">
        <v>229</v>
      </c>
      <c r="E2313" s="882">
        <f>DMT!$F$8</f>
        <v>290</v>
      </c>
      <c r="F2313" s="883">
        <f>VLOOKUP(D2311,'ENSAIOS DE ORÇAMENTO'!$C$5:$L$81,5,FALSE)</f>
        <v>1.7263925000000002</v>
      </c>
      <c r="G2313" s="923">
        <f t="shared" ref="G2313:G2315" si="634">IF(E2313&lt;=30,(1.07*E2313+2.68)*F2313,((1.07*30+2.68)+1.07*(E2313-30))*F2313)</f>
        <v>540.32632465000006</v>
      </c>
      <c r="H2313" s="876"/>
      <c r="I2313" s="876"/>
      <c r="J2313" s="877">
        <f t="shared" si="632"/>
        <v>0</v>
      </c>
      <c r="K2313" s="878"/>
      <c r="L2313" s="1013">
        <f>ROUND(SUM(ORÇAMENTO!L2313),2)</f>
        <v>0</v>
      </c>
      <c r="M2313" s="1013">
        <f t="shared" si="614"/>
        <v>0</v>
      </c>
      <c r="N2313" s="868">
        <f t="shared" si="615"/>
        <v>0</v>
      </c>
      <c r="O2313" s="880"/>
      <c r="P2313" s="36" t="str">
        <f>IF(N2311&gt;0,"xx",IF(N2311&gt;0,"xy",""))</f>
        <v/>
      </c>
      <c r="Q2313" s="317" t="str">
        <f t="shared" si="623"/>
        <v/>
      </c>
      <c r="R2313" s="317" t="str">
        <f t="shared" si="624"/>
        <v/>
      </c>
      <c r="S2313" s="317" t="str">
        <f t="shared" si="625"/>
        <v/>
      </c>
      <c r="V2313" s="314">
        <f>SUM(ORÇAMENTO!N2313)</f>
        <v>0</v>
      </c>
      <c r="W2313" s="315">
        <f t="shared" si="618"/>
        <v>0</v>
      </c>
    </row>
    <row r="2314" spans="1:23" hidden="1">
      <c r="A2314" s="63" t="s">
        <v>147</v>
      </c>
      <c r="B2314" s="870" t="s">
        <v>147</v>
      </c>
      <c r="C2314" s="871"/>
      <c r="D2314" s="881" t="s">
        <v>233</v>
      </c>
      <c r="E2314" s="882">
        <f>DMT!$F$10</f>
        <v>43.1</v>
      </c>
      <c r="F2314" s="883">
        <f>VLOOKUP(D2311,'ENSAIOS DE ORÇAMENTO'!$C$5:$L$81,6,FALSE)</f>
        <v>1.3209000000000002</v>
      </c>
      <c r="G2314" s="923">
        <f t="shared" si="634"/>
        <v>64.455957300000009</v>
      </c>
      <c r="H2314" s="876"/>
      <c r="I2314" s="876"/>
      <c r="J2314" s="877">
        <f t="shared" si="632"/>
        <v>0</v>
      </c>
      <c r="K2314" s="878"/>
      <c r="L2314" s="1013">
        <f>ROUND(SUM(ORÇAMENTO!L2314),2)</f>
        <v>0</v>
      </c>
      <c r="M2314" s="1013">
        <f t="shared" si="614"/>
        <v>0</v>
      </c>
      <c r="N2314" s="868">
        <f t="shared" si="615"/>
        <v>0</v>
      </c>
      <c r="O2314" s="880"/>
      <c r="P2314" s="36" t="str">
        <f>IF(N2311&gt;0,"xx",IF(N2311&gt;0,"xy",""))</f>
        <v/>
      </c>
      <c r="Q2314" s="317" t="str">
        <f t="shared" si="623"/>
        <v/>
      </c>
      <c r="R2314" s="317" t="str">
        <f t="shared" si="624"/>
        <v/>
      </c>
      <c r="S2314" s="317" t="str">
        <f t="shared" si="625"/>
        <v/>
      </c>
      <c r="V2314" s="314">
        <f>SUM(ORÇAMENTO!N2314)</f>
        <v>0</v>
      </c>
      <c r="W2314" s="315">
        <f t="shared" si="618"/>
        <v>0</v>
      </c>
    </row>
    <row r="2315" spans="1:23" hidden="1">
      <c r="A2315" s="63" t="s">
        <v>147</v>
      </c>
      <c r="B2315" s="870" t="s">
        <v>147</v>
      </c>
      <c r="C2315" s="871"/>
      <c r="D2315" s="881" t="s">
        <v>365</v>
      </c>
      <c r="E2315" s="882">
        <f>DMT!$F$32</f>
        <v>28</v>
      </c>
      <c r="F2315" s="883">
        <f>VLOOKUP(D2311,'ENSAIOS DE ORÇAMENTO'!$C$5:$L$81,3,FALSE)</f>
        <v>1.30284</v>
      </c>
      <c r="G2315" s="923">
        <f t="shared" si="634"/>
        <v>42.524697600000003</v>
      </c>
      <c r="H2315" s="876"/>
      <c r="I2315" s="876"/>
      <c r="J2315" s="877">
        <f t="shared" si="632"/>
        <v>0</v>
      </c>
      <c r="K2315" s="878"/>
      <c r="L2315" s="1013">
        <f>ROUND(SUM(ORÇAMENTO!L2315),2)</f>
        <v>0</v>
      </c>
      <c r="M2315" s="1013">
        <f t="shared" si="614"/>
        <v>0</v>
      </c>
      <c r="N2315" s="868">
        <f t="shared" si="615"/>
        <v>0</v>
      </c>
      <c r="O2315" s="880"/>
      <c r="P2315" s="36" t="str">
        <f>IF(N2311&gt;0,"xx",IF(N2311&gt;0,"xy",""))</f>
        <v/>
      </c>
      <c r="Q2315" s="317" t="str">
        <f t="shared" si="623"/>
        <v/>
      </c>
      <c r="R2315" s="317" t="str">
        <f t="shared" si="624"/>
        <v/>
      </c>
      <c r="S2315" s="317" t="str">
        <f t="shared" si="625"/>
        <v/>
      </c>
      <c r="V2315" s="314">
        <f>SUM(ORÇAMENTO!N2315)</f>
        <v>0</v>
      </c>
      <c r="W2315" s="315">
        <f t="shared" si="618"/>
        <v>0</v>
      </c>
    </row>
    <row r="2316" spans="1:23" hidden="1">
      <c r="A2316" s="63" t="s">
        <v>147</v>
      </c>
      <c r="B2316" s="870" t="s">
        <v>147</v>
      </c>
      <c r="C2316" s="871"/>
      <c r="D2316" s="881" t="s">
        <v>366</v>
      </c>
      <c r="E2316" s="882">
        <f>DMT!$D$18</f>
        <v>440</v>
      </c>
      <c r="F2316" s="883">
        <f>VLOOKUP(D2311,'ENSAIOS DE ORÇAMENTO'!$C$5:$L$81,10,FALSE)</f>
        <v>4.3428000000000001E-2</v>
      </c>
      <c r="G2316" s="884">
        <f>IF(E2316&lt;=30,(0.78*E2316+7.82)*F2316,((0.78*30+7.82)+0.78*(E2316-30))*F2316)</f>
        <v>15.244096560000003</v>
      </c>
      <c r="H2316" s="876"/>
      <c r="I2316" s="876"/>
      <c r="J2316" s="877">
        <f t="shared" si="632"/>
        <v>0</v>
      </c>
      <c r="K2316" s="878"/>
      <c r="L2316" s="1013">
        <f>ROUND(SUM(ORÇAMENTO!L2316),2)</f>
        <v>0</v>
      </c>
      <c r="M2316" s="1013">
        <f t="shared" si="614"/>
        <v>0</v>
      </c>
      <c r="N2316" s="868">
        <f t="shared" si="615"/>
        <v>0</v>
      </c>
      <c r="O2316" s="880"/>
      <c r="P2316" s="36" t="str">
        <f>IF(N2311&gt;0,"xx",IF(N2311&gt;0,"xy",""))</f>
        <v/>
      </c>
      <c r="Q2316" s="317" t="str">
        <f t="shared" si="623"/>
        <v/>
      </c>
      <c r="R2316" s="317" t="str">
        <f t="shared" si="624"/>
        <v/>
      </c>
      <c r="S2316" s="317" t="str">
        <f t="shared" si="625"/>
        <v/>
      </c>
      <c r="V2316" s="314">
        <f>SUM(ORÇAMENTO!N2316)</f>
        <v>0</v>
      </c>
      <c r="W2316" s="315">
        <f t="shared" si="618"/>
        <v>0</v>
      </c>
    </row>
    <row r="2317" spans="1:23" hidden="1">
      <c r="A2317" s="63" t="s">
        <v>114</v>
      </c>
      <c r="B2317" s="870" t="s">
        <v>114</v>
      </c>
      <c r="C2317" s="871" t="s">
        <v>184</v>
      </c>
      <c r="D2317" s="881" t="s">
        <v>131</v>
      </c>
      <c r="E2317" s="882"/>
      <c r="F2317" s="883"/>
      <c r="G2317" s="887">
        <f>SUM(G2318:G2322)</f>
        <v>925.52876360200014</v>
      </c>
      <c r="H2317" s="876">
        <v>3286.28</v>
      </c>
      <c r="I2317" s="876">
        <f>IF(ISBLANK(H2317),"",SUM(G2317:H2317))</f>
        <v>4211.808763602</v>
      </c>
      <c r="J2317" s="877">
        <f t="shared" si="632"/>
        <v>5147.67</v>
      </c>
      <c r="K2317" s="878" t="s">
        <v>15</v>
      </c>
      <c r="L2317" s="1013">
        <f>ROUND(SUM(ORÇAMENTO!L2317),2)</f>
        <v>0</v>
      </c>
      <c r="M2317" s="1013">
        <f t="shared" si="614"/>
        <v>0</v>
      </c>
      <c r="N2317" s="868">
        <f t="shared" si="615"/>
        <v>0</v>
      </c>
      <c r="O2317" s="880"/>
      <c r="Q2317" s="317" t="str">
        <f t="shared" si="623"/>
        <v/>
      </c>
      <c r="R2317" s="317" t="str">
        <f t="shared" si="624"/>
        <v/>
      </c>
      <c r="S2317" s="317" t="str">
        <f t="shared" si="625"/>
        <v/>
      </c>
      <c r="V2317" s="314">
        <f>SUM(ORÇAMENTO!N2317)</f>
        <v>0</v>
      </c>
      <c r="W2317" s="315">
        <f t="shared" si="618"/>
        <v>0</v>
      </c>
    </row>
    <row r="2318" spans="1:23" hidden="1">
      <c r="A2318" s="63" t="s">
        <v>147</v>
      </c>
      <c r="B2318" s="870" t="s">
        <v>147</v>
      </c>
      <c r="C2318" s="871"/>
      <c r="D2318" s="881" t="s">
        <v>190</v>
      </c>
      <c r="E2318" s="882">
        <f>DMT!$D$20</f>
        <v>445</v>
      </c>
      <c r="F2318" s="883">
        <f>VLOOKUP(D2317,'ENSAIOS DE ORÇAMENTO'!$C$5:$L$81,4,FALSE)</f>
        <v>0.50537460000000012</v>
      </c>
      <c r="G2318" s="884">
        <f>IF(E2318&lt;=30,(0.78*E2318+7.82)*F2318,((0.78*30+7.82)+0.78*(E2318-30))*F2318)</f>
        <v>179.36755303200005</v>
      </c>
      <c r="H2318" s="876"/>
      <c r="I2318" s="876"/>
      <c r="J2318" s="877">
        <f t="shared" si="632"/>
        <v>0</v>
      </c>
      <c r="K2318" s="878"/>
      <c r="L2318" s="1013">
        <f>ROUND(SUM(ORÇAMENTO!L2318),2)</f>
        <v>0</v>
      </c>
      <c r="M2318" s="1013">
        <f t="shared" si="614"/>
        <v>0</v>
      </c>
      <c r="N2318" s="868">
        <f t="shared" si="615"/>
        <v>0</v>
      </c>
      <c r="O2318" s="880"/>
      <c r="P2318" s="36" t="str">
        <f>IF(N2317&gt;0,"xx",IF(N2317&gt;0,"xy",""))</f>
        <v/>
      </c>
      <c r="Q2318" s="317" t="str">
        <f t="shared" si="623"/>
        <v/>
      </c>
      <c r="R2318" s="317" t="str">
        <f t="shared" si="624"/>
        <v/>
      </c>
      <c r="S2318" s="317" t="str">
        <f t="shared" si="625"/>
        <v/>
      </c>
      <c r="V2318" s="314">
        <f>SUM(ORÇAMENTO!N2318)</f>
        <v>0</v>
      </c>
      <c r="W2318" s="315">
        <f t="shared" si="618"/>
        <v>0</v>
      </c>
    </row>
    <row r="2319" spans="1:23" hidden="1">
      <c r="A2319" s="63" t="s">
        <v>147</v>
      </c>
      <c r="B2319" s="870" t="s">
        <v>147</v>
      </c>
      <c r="C2319" s="871"/>
      <c r="D2319" s="881" t="s">
        <v>229</v>
      </c>
      <c r="E2319" s="882">
        <f>DMT!$F$8</f>
        <v>290</v>
      </c>
      <c r="F2319" s="883">
        <f>VLOOKUP(D2317,'ENSAIOS DE ORÇAMENTO'!$C$5:$L$81,5,FALSE)</f>
        <v>1.9364075000000001</v>
      </c>
      <c r="G2319" s="923">
        <f t="shared" ref="G2319:G2321" si="635">IF(E2319&lt;=30,(1.07*E2319+2.68)*F2319,((1.07*30+2.68)+1.07*(E2319-30))*F2319)</f>
        <v>606.05681935000007</v>
      </c>
      <c r="H2319" s="876"/>
      <c r="I2319" s="876"/>
      <c r="J2319" s="877">
        <f t="shared" si="632"/>
        <v>0</v>
      </c>
      <c r="K2319" s="878"/>
      <c r="L2319" s="1013">
        <f>ROUND(SUM(ORÇAMENTO!L2319),2)</f>
        <v>0</v>
      </c>
      <c r="M2319" s="1013">
        <f t="shared" si="614"/>
        <v>0</v>
      </c>
      <c r="N2319" s="868">
        <f t="shared" si="615"/>
        <v>0</v>
      </c>
      <c r="O2319" s="880"/>
      <c r="P2319" s="36" t="str">
        <f>IF(N2317&gt;0,"xx",IF(N2317&gt;0,"xy",""))</f>
        <v/>
      </c>
      <c r="Q2319" s="317" t="str">
        <f t="shared" si="623"/>
        <v/>
      </c>
      <c r="R2319" s="317" t="str">
        <f t="shared" si="624"/>
        <v/>
      </c>
      <c r="S2319" s="317" t="str">
        <f t="shared" si="625"/>
        <v/>
      </c>
      <c r="V2319" s="314">
        <f>SUM(ORÇAMENTO!N2319)</f>
        <v>0</v>
      </c>
      <c r="W2319" s="315">
        <f t="shared" si="618"/>
        <v>0</v>
      </c>
    </row>
    <row r="2320" spans="1:23" hidden="1">
      <c r="A2320" s="63" t="s">
        <v>147</v>
      </c>
      <c r="B2320" s="870" t="s">
        <v>147</v>
      </c>
      <c r="C2320" s="871"/>
      <c r="D2320" s="881" t="s">
        <v>233</v>
      </c>
      <c r="E2320" s="882">
        <f>DMT!$F$10</f>
        <v>43.1</v>
      </c>
      <c r="F2320" s="883">
        <f>VLOOKUP(D2317,'ENSAIOS DE ORÇAMENTO'!$C$5:$L$81,6,FALSE)</f>
        <v>1.3875000000000002</v>
      </c>
      <c r="G2320" s="923">
        <f t="shared" si="635"/>
        <v>67.705837500000015</v>
      </c>
      <c r="H2320" s="876"/>
      <c r="I2320" s="876"/>
      <c r="J2320" s="877">
        <f t="shared" si="632"/>
        <v>0</v>
      </c>
      <c r="K2320" s="878"/>
      <c r="L2320" s="1013">
        <f>ROUND(SUM(ORÇAMENTO!L2320),2)</f>
        <v>0</v>
      </c>
      <c r="M2320" s="1013">
        <f t="shared" si="614"/>
        <v>0</v>
      </c>
      <c r="N2320" s="868">
        <f t="shared" si="615"/>
        <v>0</v>
      </c>
      <c r="O2320" s="880"/>
      <c r="P2320" s="36" t="str">
        <f>IF(N2317&gt;0,"xx",IF(N2317&gt;0,"xy",""))</f>
        <v/>
      </c>
      <c r="Q2320" s="317" t="str">
        <f t="shared" si="623"/>
        <v/>
      </c>
      <c r="R2320" s="317" t="str">
        <f t="shared" si="624"/>
        <v/>
      </c>
      <c r="S2320" s="317" t="str">
        <f t="shared" si="625"/>
        <v/>
      </c>
      <c r="V2320" s="314">
        <f>SUM(ORÇAMENTO!N2320)</f>
        <v>0</v>
      </c>
      <c r="W2320" s="315">
        <f t="shared" si="618"/>
        <v>0</v>
      </c>
    </row>
    <row r="2321" spans="1:23" hidden="1">
      <c r="A2321" s="63" t="s">
        <v>147</v>
      </c>
      <c r="B2321" s="870" t="s">
        <v>147</v>
      </c>
      <c r="C2321" s="871"/>
      <c r="D2321" s="881" t="s">
        <v>365</v>
      </c>
      <c r="E2321" s="882">
        <f>DMT!$F$32</f>
        <v>28</v>
      </c>
      <c r="F2321" s="883">
        <f>VLOOKUP(D2317,'ENSAIOS DE ORÇAMENTO'!$C$5:$L$81,3,FALSE)</f>
        <v>1.6327799999999999</v>
      </c>
      <c r="G2321" s="923">
        <f t="shared" si="635"/>
        <v>53.293939199999997</v>
      </c>
      <c r="H2321" s="876"/>
      <c r="I2321" s="876"/>
      <c r="J2321" s="877">
        <f t="shared" si="632"/>
        <v>0</v>
      </c>
      <c r="K2321" s="878"/>
      <c r="L2321" s="1013">
        <f>ROUND(SUM(ORÇAMENTO!L2321),2)</f>
        <v>0</v>
      </c>
      <c r="M2321" s="1013">
        <f t="shared" si="614"/>
        <v>0</v>
      </c>
      <c r="N2321" s="868">
        <f t="shared" si="615"/>
        <v>0</v>
      </c>
      <c r="O2321" s="880"/>
      <c r="P2321" s="36" t="str">
        <f>IF(N2317&gt;0,"xx",IF(N2317&gt;0,"xy",""))</f>
        <v/>
      </c>
      <c r="Q2321" s="317" t="str">
        <f t="shared" si="623"/>
        <v/>
      </c>
      <c r="R2321" s="317" t="str">
        <f t="shared" si="624"/>
        <v/>
      </c>
      <c r="S2321" s="317" t="str">
        <f t="shared" si="625"/>
        <v/>
      </c>
      <c r="V2321" s="314">
        <f>SUM(ORÇAMENTO!N2321)</f>
        <v>0</v>
      </c>
      <c r="W2321" s="315">
        <f t="shared" si="618"/>
        <v>0</v>
      </c>
    </row>
    <row r="2322" spans="1:23" hidden="1">
      <c r="A2322" s="63" t="s">
        <v>147</v>
      </c>
      <c r="B2322" s="870" t="s">
        <v>147</v>
      </c>
      <c r="C2322" s="871"/>
      <c r="D2322" s="881" t="s">
        <v>366</v>
      </c>
      <c r="E2322" s="882">
        <f>DMT!$D$18</f>
        <v>440</v>
      </c>
      <c r="F2322" s="883">
        <f>VLOOKUP(D2317,'ENSAIOS DE ORÇAMENTO'!$C$5:$L$81,10,FALSE)</f>
        <v>5.4425999999999995E-2</v>
      </c>
      <c r="G2322" s="884">
        <f>IF(E2322&lt;=30,(0.78*E2322+7.82)*F2322,((0.78*30+7.82)+0.78*(E2322-30))*F2322)</f>
        <v>19.104614520000002</v>
      </c>
      <c r="H2322" s="876"/>
      <c r="I2322" s="876"/>
      <c r="J2322" s="877">
        <f t="shared" si="632"/>
        <v>0</v>
      </c>
      <c r="K2322" s="878"/>
      <c r="L2322" s="1013">
        <f>ROUND(SUM(ORÇAMENTO!L2322),2)</f>
        <v>0</v>
      </c>
      <c r="M2322" s="1013">
        <f t="shared" ref="M2322:M2385" si="636">IF(L2322=0,0,ROUND(J2322,2))</f>
        <v>0</v>
      </c>
      <c r="N2322" s="868">
        <f t="shared" ref="N2322:N2385" si="637">IF(ISBLANK(L2322),0,ROUND(L2322*M2322,2))</f>
        <v>0</v>
      </c>
      <c r="O2322" s="880"/>
      <c r="P2322" s="36" t="str">
        <f>IF(N2317&gt;0,"xx",IF(N2317&gt;0,"xy",""))</f>
        <v/>
      </c>
      <c r="Q2322" s="317" t="str">
        <f t="shared" si="623"/>
        <v/>
      </c>
      <c r="R2322" s="317" t="str">
        <f t="shared" si="624"/>
        <v/>
      </c>
      <c r="S2322" s="317" t="str">
        <f t="shared" si="625"/>
        <v/>
      </c>
      <c r="V2322" s="314">
        <f>SUM(ORÇAMENTO!N2322)</f>
        <v>0</v>
      </c>
      <c r="W2322" s="315">
        <f t="shared" si="618"/>
        <v>0</v>
      </c>
    </row>
    <row r="2323" spans="1:23" hidden="1">
      <c r="A2323" s="63" t="s">
        <v>118</v>
      </c>
      <c r="B2323" s="870" t="s">
        <v>118</v>
      </c>
      <c r="C2323" s="871" t="s">
        <v>184</v>
      </c>
      <c r="D2323" s="881" t="s">
        <v>132</v>
      </c>
      <c r="E2323" s="882"/>
      <c r="F2323" s="883"/>
      <c r="G2323" s="887">
        <f>SUM(G2324:G2326)</f>
        <v>561.52859315000012</v>
      </c>
      <c r="H2323" s="876">
        <v>1401.9</v>
      </c>
      <c r="I2323" s="876">
        <f>IF(ISBLANK(H2323),"",SUM(G2323:H2323))</f>
        <v>1963.4285931500003</v>
      </c>
      <c r="J2323" s="877">
        <f t="shared" si="632"/>
        <v>2399.6999999999998</v>
      </c>
      <c r="K2323" s="878" t="s">
        <v>15</v>
      </c>
      <c r="L2323" s="1013">
        <f>ROUND(SUM(ORÇAMENTO!L2323),2)</f>
        <v>0</v>
      </c>
      <c r="M2323" s="1013">
        <f t="shared" si="636"/>
        <v>0</v>
      </c>
      <c r="N2323" s="868">
        <f t="shared" si="637"/>
        <v>0</v>
      </c>
      <c r="O2323" s="880"/>
      <c r="Q2323" s="317" t="str">
        <f t="shared" si="623"/>
        <v/>
      </c>
      <c r="R2323" s="317" t="str">
        <f t="shared" si="624"/>
        <v/>
      </c>
      <c r="S2323" s="317" t="str">
        <f t="shared" si="625"/>
        <v/>
      </c>
      <c r="V2323" s="314">
        <f>SUM(ORÇAMENTO!N2323)</f>
        <v>0</v>
      </c>
      <c r="W2323" s="315">
        <f t="shared" si="618"/>
        <v>0</v>
      </c>
    </row>
    <row r="2324" spans="1:23" hidden="1">
      <c r="A2324" s="63" t="s">
        <v>147</v>
      </c>
      <c r="B2324" s="870" t="s">
        <v>147</v>
      </c>
      <c r="C2324" s="871"/>
      <c r="D2324" s="881" t="s">
        <v>190</v>
      </c>
      <c r="E2324" s="882">
        <f>DMT!$D$20</f>
        <v>445</v>
      </c>
      <c r="F2324" s="883">
        <f>VLOOKUP(D2323,'ENSAIOS DE ORÇAMENTO'!$C$5:$L$81,4,FALSE)</f>
        <v>0.38250000000000006</v>
      </c>
      <c r="G2324" s="884">
        <f>IF(E2324&lt;=30,(0.78*E2324+7.82)*F2324,((0.78*30+7.82)+0.78*(E2324-30))*F2324)</f>
        <v>135.75690000000003</v>
      </c>
      <c r="H2324" s="876"/>
      <c r="I2324" s="876"/>
      <c r="J2324" s="877">
        <f t="shared" si="632"/>
        <v>0</v>
      </c>
      <c r="K2324" s="878"/>
      <c r="L2324" s="1013">
        <f>ROUND(SUM(ORÇAMENTO!L2324),2)</f>
        <v>0</v>
      </c>
      <c r="M2324" s="1013">
        <f t="shared" si="636"/>
        <v>0</v>
      </c>
      <c r="N2324" s="868">
        <f t="shared" si="637"/>
        <v>0</v>
      </c>
      <c r="O2324" s="880"/>
      <c r="P2324" s="36" t="str">
        <f>IF(N2323&gt;0,"xx",IF(N2323&gt;0,"xy",""))</f>
        <v/>
      </c>
      <c r="Q2324" s="317" t="str">
        <f t="shared" si="623"/>
        <v/>
      </c>
      <c r="R2324" s="317" t="str">
        <f t="shared" si="624"/>
        <v/>
      </c>
      <c r="S2324" s="317" t="str">
        <f t="shared" si="625"/>
        <v/>
      </c>
      <c r="V2324" s="314">
        <f>SUM(ORÇAMENTO!N2324)</f>
        <v>0</v>
      </c>
      <c r="W2324" s="315">
        <f t="shared" si="618"/>
        <v>0</v>
      </c>
    </row>
    <row r="2325" spans="1:23" hidden="1">
      <c r="A2325" s="63" t="s">
        <v>147</v>
      </c>
      <c r="B2325" s="870" t="s">
        <v>147</v>
      </c>
      <c r="C2325" s="871"/>
      <c r="D2325" s="881" t="s">
        <v>229</v>
      </c>
      <c r="E2325" s="882">
        <f>DMT!$F$8</f>
        <v>290</v>
      </c>
      <c r="F2325" s="883">
        <f>VLOOKUP(D2323,'ENSAIOS DE ORÇAMENTO'!$C$5:$L$81,5,FALSE)</f>
        <v>1.1483800000000002</v>
      </c>
      <c r="G2325" s="923">
        <f t="shared" ref="G2325:G2326" si="638">IF(E2325&lt;=30,(1.07*E2325+2.68)*F2325,((1.07*30+2.68)+1.07*(E2325-30))*F2325)</f>
        <v>359.41997240000006</v>
      </c>
      <c r="H2325" s="876"/>
      <c r="I2325" s="876"/>
      <c r="J2325" s="877">
        <f t="shared" si="632"/>
        <v>0</v>
      </c>
      <c r="K2325" s="878"/>
      <c r="L2325" s="1013">
        <f>ROUND(SUM(ORÇAMENTO!L2325),2)</f>
        <v>0</v>
      </c>
      <c r="M2325" s="1013">
        <f t="shared" si="636"/>
        <v>0</v>
      </c>
      <c r="N2325" s="868">
        <f t="shared" si="637"/>
        <v>0</v>
      </c>
      <c r="O2325" s="880"/>
      <c r="P2325" s="36" t="str">
        <f>IF(N2323&gt;0,"xx",IF(N2323&gt;0,"xy",""))</f>
        <v/>
      </c>
      <c r="Q2325" s="317" t="str">
        <f t="shared" si="623"/>
        <v/>
      </c>
      <c r="R2325" s="317" t="str">
        <f t="shared" si="624"/>
        <v/>
      </c>
      <c r="S2325" s="317" t="str">
        <f t="shared" si="625"/>
        <v/>
      </c>
      <c r="V2325" s="314">
        <f>SUM(ORÇAMENTO!N2325)</f>
        <v>0</v>
      </c>
      <c r="W2325" s="315">
        <f t="shared" ref="W2325:W2388" si="639">N2325-V2325</f>
        <v>0</v>
      </c>
    </row>
    <row r="2326" spans="1:23" hidden="1">
      <c r="A2326" s="63" t="s">
        <v>147</v>
      </c>
      <c r="B2326" s="870" t="s">
        <v>147</v>
      </c>
      <c r="C2326" s="871"/>
      <c r="D2326" s="881" t="s">
        <v>233</v>
      </c>
      <c r="E2326" s="882">
        <f>DMT!$F$10</f>
        <v>43.1</v>
      </c>
      <c r="F2326" s="883">
        <f>VLOOKUP(D2323,'ENSAIOS DE ORÇAMENTO'!$C$5:$L$81,6,FALSE)</f>
        <v>1.35975</v>
      </c>
      <c r="G2326" s="923">
        <f t="shared" si="638"/>
        <v>66.351720750000013</v>
      </c>
      <c r="H2326" s="876"/>
      <c r="I2326" s="876"/>
      <c r="J2326" s="877">
        <f t="shared" si="632"/>
        <v>0</v>
      </c>
      <c r="K2326" s="878"/>
      <c r="L2326" s="1013">
        <f>ROUND(SUM(ORÇAMENTO!L2326),2)</f>
        <v>0</v>
      </c>
      <c r="M2326" s="1013">
        <f t="shared" si="636"/>
        <v>0</v>
      </c>
      <c r="N2326" s="868">
        <f t="shared" si="637"/>
        <v>0</v>
      </c>
      <c r="O2326" s="880"/>
      <c r="P2326" s="36" t="str">
        <f>IF(N2323&gt;0,"xx",IF(N2323&gt;0,"xy",""))</f>
        <v/>
      </c>
      <c r="Q2326" s="317" t="str">
        <f t="shared" si="623"/>
        <v/>
      </c>
      <c r="R2326" s="317" t="str">
        <f t="shared" si="624"/>
        <v/>
      </c>
      <c r="S2326" s="317" t="str">
        <f t="shared" si="625"/>
        <v/>
      </c>
      <c r="V2326" s="314">
        <f>SUM(ORÇAMENTO!N2326)</f>
        <v>0</v>
      </c>
      <c r="W2326" s="315">
        <f t="shared" si="639"/>
        <v>0</v>
      </c>
    </row>
    <row r="2327" spans="1:23" hidden="1">
      <c r="A2327" s="63" t="s">
        <v>119</v>
      </c>
      <c r="B2327" s="870" t="s">
        <v>119</v>
      </c>
      <c r="C2327" s="871" t="s">
        <v>184</v>
      </c>
      <c r="D2327" s="881" t="s">
        <v>133</v>
      </c>
      <c r="E2327" s="882"/>
      <c r="F2327" s="883"/>
      <c r="G2327" s="887">
        <f>SUM(G2328:G2330)</f>
        <v>630.46002065000005</v>
      </c>
      <c r="H2327" s="876">
        <v>1493.02</v>
      </c>
      <c r="I2327" s="876">
        <f>IF(ISBLANK(H2327),"",SUM(G2327:H2327))</f>
        <v>2123.4800206499999</v>
      </c>
      <c r="J2327" s="877">
        <f t="shared" si="632"/>
        <v>2595.3200000000002</v>
      </c>
      <c r="K2327" s="878" t="s">
        <v>15</v>
      </c>
      <c r="L2327" s="1013">
        <f>ROUND(SUM(ORÇAMENTO!L2327),2)</f>
        <v>0</v>
      </c>
      <c r="M2327" s="1013">
        <f t="shared" si="636"/>
        <v>0</v>
      </c>
      <c r="N2327" s="868">
        <f t="shared" si="637"/>
        <v>0</v>
      </c>
      <c r="O2327" s="880"/>
      <c r="Q2327" s="317" t="str">
        <f t="shared" si="623"/>
        <v/>
      </c>
      <c r="R2327" s="317" t="str">
        <f t="shared" si="624"/>
        <v/>
      </c>
      <c r="S2327" s="317" t="str">
        <f t="shared" si="625"/>
        <v/>
      </c>
      <c r="V2327" s="314">
        <f>SUM(ORÇAMENTO!N2327)</f>
        <v>0</v>
      </c>
      <c r="W2327" s="315">
        <f t="shared" si="639"/>
        <v>0</v>
      </c>
    </row>
    <row r="2328" spans="1:23" hidden="1">
      <c r="A2328" s="63" t="s">
        <v>147</v>
      </c>
      <c r="B2328" s="870" t="s">
        <v>147</v>
      </c>
      <c r="C2328" s="871"/>
      <c r="D2328" s="881" t="s">
        <v>190</v>
      </c>
      <c r="E2328" s="882">
        <f>DMT!$D$20</f>
        <v>445</v>
      </c>
      <c r="F2328" s="883">
        <f>VLOOKUP(D2327,'ENSAIOS DE ORÇAMENTO'!$C$5:$L$81,4,FALSE)</f>
        <v>0.43200000000000005</v>
      </c>
      <c r="G2328" s="884">
        <f>IF(E2328&lt;=30,(0.78*E2328+7.82)*F2328,((0.78*30+7.82)+0.78*(E2328-30))*F2328)</f>
        <v>153.32544000000001</v>
      </c>
      <c r="H2328" s="876"/>
      <c r="I2328" s="876"/>
      <c r="J2328" s="877">
        <f t="shared" si="632"/>
        <v>0</v>
      </c>
      <c r="K2328" s="878"/>
      <c r="L2328" s="1013">
        <f>ROUND(SUM(ORÇAMENTO!L2328),2)</f>
        <v>0</v>
      </c>
      <c r="M2328" s="1013">
        <f t="shared" si="636"/>
        <v>0</v>
      </c>
      <c r="N2328" s="868">
        <f t="shared" si="637"/>
        <v>0</v>
      </c>
      <c r="O2328" s="880"/>
      <c r="P2328" s="36" t="str">
        <f>IF(N2327&gt;0,"xx",IF(N2327&gt;0,"xy",""))</f>
        <v/>
      </c>
      <c r="Q2328" s="317" t="str">
        <f t="shared" ref="Q2328:Q2370" si="640">IF(P2328="X","x",IF(P2328="xx","x",IF(P2328="xy","x",IF(P2328="y","x",IF(OR(N2328&gt;0,N2328&gt;0),"x","")))))</f>
        <v/>
      </c>
      <c r="R2328" s="317" t="str">
        <f t="shared" ref="R2328:R2370" si="641">IF(P2328="X","x",IF(P2328="y","x",IF(P2328="xx","x",IF(N2328&gt;0,"x",""))))</f>
        <v/>
      </c>
      <c r="S2328" s="317" t="str">
        <f t="shared" ref="S2328:S2370" si="642">IF(P2328="X","x",IF(N2328&gt;0,"x",""))</f>
        <v/>
      </c>
      <c r="V2328" s="314">
        <f>SUM(ORÇAMENTO!N2328)</f>
        <v>0</v>
      </c>
      <c r="W2328" s="315">
        <f t="shared" si="639"/>
        <v>0</v>
      </c>
    </row>
    <row r="2329" spans="1:23" hidden="1">
      <c r="A2329" s="63" t="s">
        <v>147</v>
      </c>
      <c r="B2329" s="870" t="s">
        <v>147</v>
      </c>
      <c r="C2329" s="871"/>
      <c r="D2329" s="881" t="s">
        <v>229</v>
      </c>
      <c r="E2329" s="882">
        <f>DMT!$F$8</f>
        <v>290</v>
      </c>
      <c r="F2329" s="883">
        <f>VLOOKUP(D2327,'ENSAIOS DE ORÇAMENTO'!$C$5:$L$81,5,FALSE)</f>
        <v>1.28653</v>
      </c>
      <c r="G2329" s="923">
        <f t="shared" ref="G2329:G2330" si="643">IF(E2329&lt;=30,(1.07*E2329+2.68)*F2329,((1.07*30+2.68)+1.07*(E2329-30))*F2329)</f>
        <v>402.65815939999999</v>
      </c>
      <c r="H2329" s="876"/>
      <c r="I2329" s="876"/>
      <c r="J2329" s="877">
        <f t="shared" si="632"/>
        <v>0</v>
      </c>
      <c r="K2329" s="878"/>
      <c r="L2329" s="1013">
        <f>ROUND(SUM(ORÇAMENTO!L2329),2)</f>
        <v>0</v>
      </c>
      <c r="M2329" s="1013">
        <f t="shared" si="636"/>
        <v>0</v>
      </c>
      <c r="N2329" s="868">
        <f t="shared" si="637"/>
        <v>0</v>
      </c>
      <c r="O2329" s="880"/>
      <c r="P2329" s="36" t="str">
        <f>IF(N2327&gt;0,"xx",IF(N2327&gt;0,"xy",""))</f>
        <v/>
      </c>
      <c r="Q2329" s="317" t="str">
        <f t="shared" si="640"/>
        <v/>
      </c>
      <c r="R2329" s="317" t="str">
        <f t="shared" si="641"/>
        <v/>
      </c>
      <c r="S2329" s="317" t="str">
        <f t="shared" si="642"/>
        <v/>
      </c>
      <c r="V2329" s="314">
        <f>SUM(ORÇAMENTO!N2329)</f>
        <v>0</v>
      </c>
      <c r="W2329" s="315">
        <f t="shared" si="639"/>
        <v>0</v>
      </c>
    </row>
    <row r="2330" spans="1:23" hidden="1">
      <c r="A2330" s="63" t="s">
        <v>147</v>
      </c>
      <c r="B2330" s="870" t="s">
        <v>147</v>
      </c>
      <c r="C2330" s="871"/>
      <c r="D2330" s="881" t="s">
        <v>233</v>
      </c>
      <c r="E2330" s="882">
        <f>DMT!$F$10</f>
        <v>43.1</v>
      </c>
      <c r="F2330" s="883">
        <f>VLOOKUP(D2327,'ENSAIOS DE ORÇAMENTO'!$C$5:$L$81,6,FALSE)</f>
        <v>1.5262500000000001</v>
      </c>
      <c r="G2330" s="923">
        <f t="shared" si="643"/>
        <v>74.476421250000016</v>
      </c>
      <c r="H2330" s="876"/>
      <c r="I2330" s="876"/>
      <c r="J2330" s="877">
        <f t="shared" si="632"/>
        <v>0</v>
      </c>
      <c r="K2330" s="878"/>
      <c r="L2330" s="1013">
        <f>ROUND(SUM(ORÇAMENTO!L2330),2)</f>
        <v>0</v>
      </c>
      <c r="M2330" s="1013">
        <f t="shared" si="636"/>
        <v>0</v>
      </c>
      <c r="N2330" s="868">
        <f t="shared" si="637"/>
        <v>0</v>
      </c>
      <c r="O2330" s="880"/>
      <c r="P2330" s="36" t="str">
        <f>IF(N2327&gt;0,"xx",IF(N2327&gt;0,"xy",""))</f>
        <v/>
      </c>
      <c r="Q2330" s="317" t="str">
        <f t="shared" si="640"/>
        <v/>
      </c>
      <c r="R2330" s="317" t="str">
        <f t="shared" si="641"/>
        <v/>
      </c>
      <c r="S2330" s="317" t="str">
        <f t="shared" si="642"/>
        <v/>
      </c>
      <c r="V2330" s="314">
        <f>SUM(ORÇAMENTO!N2330)</f>
        <v>0</v>
      </c>
      <c r="W2330" s="315">
        <f t="shared" si="639"/>
        <v>0</v>
      </c>
    </row>
    <row r="2331" spans="1:23" hidden="1">
      <c r="A2331" s="63" t="s">
        <v>120</v>
      </c>
      <c r="B2331" s="870" t="s">
        <v>120</v>
      </c>
      <c r="C2331" s="871" t="s">
        <v>184</v>
      </c>
      <c r="D2331" s="881" t="s">
        <v>134</v>
      </c>
      <c r="E2331" s="882"/>
      <c r="F2331" s="883"/>
      <c r="G2331" s="887">
        <f>SUM(G2332:G2334)</f>
        <v>731.55944765000004</v>
      </c>
      <c r="H2331" s="876">
        <v>1627.18</v>
      </c>
      <c r="I2331" s="876">
        <f>IF(ISBLANK(H2331),"",SUM(G2331:H2331))</f>
        <v>2358.7394476500003</v>
      </c>
      <c r="J2331" s="877">
        <f t="shared" si="632"/>
        <v>2882.85</v>
      </c>
      <c r="K2331" s="878" t="s">
        <v>15</v>
      </c>
      <c r="L2331" s="1013">
        <f>ROUND(SUM(ORÇAMENTO!L2331),2)</f>
        <v>0</v>
      </c>
      <c r="M2331" s="1013">
        <f t="shared" si="636"/>
        <v>0</v>
      </c>
      <c r="N2331" s="868">
        <f t="shared" si="637"/>
        <v>0</v>
      </c>
      <c r="O2331" s="880"/>
      <c r="Q2331" s="317" t="str">
        <f t="shared" si="640"/>
        <v/>
      </c>
      <c r="R2331" s="317" t="str">
        <f t="shared" si="641"/>
        <v/>
      </c>
      <c r="S2331" s="317" t="str">
        <f t="shared" si="642"/>
        <v/>
      </c>
      <c r="V2331" s="314">
        <f>SUM(ORÇAMENTO!N2331)</f>
        <v>0</v>
      </c>
      <c r="W2331" s="315">
        <f t="shared" si="639"/>
        <v>0</v>
      </c>
    </row>
    <row r="2332" spans="1:23" hidden="1">
      <c r="A2332" s="63" t="s">
        <v>147</v>
      </c>
      <c r="B2332" s="870" t="s">
        <v>147</v>
      </c>
      <c r="C2332" s="871"/>
      <c r="D2332" s="881" t="s">
        <v>190</v>
      </c>
      <c r="E2332" s="882">
        <f>DMT!$D$20</f>
        <v>445</v>
      </c>
      <c r="F2332" s="883">
        <f>VLOOKUP(D2331,'ENSAIOS DE ORÇAMENTO'!$C$5:$L$81,4,FALSE)</f>
        <v>0.50459999999999994</v>
      </c>
      <c r="G2332" s="884">
        <f>IF(E2332&lt;=30,(0.78*E2332+7.82)*F2332,((0.78*30+7.82)+0.78*(E2332-30))*F2332)</f>
        <v>179.09263199999998</v>
      </c>
      <c r="H2332" s="876"/>
      <c r="I2332" s="876"/>
      <c r="J2332" s="877">
        <f t="shared" si="632"/>
        <v>0</v>
      </c>
      <c r="K2332" s="878"/>
      <c r="L2332" s="1013">
        <f>ROUND(SUM(ORÇAMENTO!L2332),2)</f>
        <v>0</v>
      </c>
      <c r="M2332" s="1013">
        <f t="shared" si="636"/>
        <v>0</v>
      </c>
      <c r="N2332" s="868">
        <f t="shared" si="637"/>
        <v>0</v>
      </c>
      <c r="O2332" s="880"/>
      <c r="P2332" s="36" t="str">
        <f>IF(N2331&gt;0,"xx",IF(N2331&gt;0,"xy",""))</f>
        <v/>
      </c>
      <c r="Q2332" s="317" t="str">
        <f t="shared" si="640"/>
        <v/>
      </c>
      <c r="R2332" s="317" t="str">
        <f t="shared" si="641"/>
        <v/>
      </c>
      <c r="S2332" s="317" t="str">
        <f t="shared" si="642"/>
        <v/>
      </c>
      <c r="V2332" s="314">
        <f>SUM(ORÇAMENTO!N2332)</f>
        <v>0</v>
      </c>
      <c r="W2332" s="315">
        <f t="shared" si="639"/>
        <v>0</v>
      </c>
    </row>
    <row r="2333" spans="1:23" hidden="1">
      <c r="A2333" s="63" t="s">
        <v>147</v>
      </c>
      <c r="B2333" s="870" t="s">
        <v>147</v>
      </c>
      <c r="C2333" s="871"/>
      <c r="D2333" s="881" t="s">
        <v>229</v>
      </c>
      <c r="E2333" s="882">
        <f>DMT!$F$8</f>
        <v>290</v>
      </c>
      <c r="F2333" s="883">
        <f>VLOOKUP(D2331,'ENSAIOS DE ORÇAMENTO'!$C$5:$L$81,5,FALSE)</f>
        <v>1.48915</v>
      </c>
      <c r="G2333" s="923">
        <f t="shared" ref="G2333:G2334" si="644">IF(E2333&lt;=30,(1.07*E2333+2.68)*F2333,((1.07*30+2.68)+1.07*(E2333-30))*F2333)</f>
        <v>466.07416700000005</v>
      </c>
      <c r="H2333" s="876"/>
      <c r="I2333" s="876"/>
      <c r="J2333" s="877">
        <f t="shared" si="632"/>
        <v>0</v>
      </c>
      <c r="K2333" s="878"/>
      <c r="L2333" s="1013">
        <f>ROUND(SUM(ORÇAMENTO!L2333),2)</f>
        <v>0</v>
      </c>
      <c r="M2333" s="1013">
        <f t="shared" si="636"/>
        <v>0</v>
      </c>
      <c r="N2333" s="868">
        <f t="shared" si="637"/>
        <v>0</v>
      </c>
      <c r="O2333" s="880"/>
      <c r="P2333" s="36" t="str">
        <f>IF(N2331&gt;0,"xx",IF(N2331&gt;0,"xy",""))</f>
        <v/>
      </c>
      <c r="Q2333" s="317" t="str">
        <f t="shared" si="640"/>
        <v/>
      </c>
      <c r="R2333" s="317" t="str">
        <f t="shared" si="641"/>
        <v/>
      </c>
      <c r="S2333" s="317" t="str">
        <f t="shared" si="642"/>
        <v/>
      </c>
      <c r="V2333" s="314">
        <f>SUM(ORÇAMENTO!N2333)</f>
        <v>0</v>
      </c>
      <c r="W2333" s="315">
        <f t="shared" si="639"/>
        <v>0</v>
      </c>
    </row>
    <row r="2334" spans="1:23" hidden="1">
      <c r="A2334" s="63" t="s">
        <v>147</v>
      </c>
      <c r="B2334" s="870" t="s">
        <v>147</v>
      </c>
      <c r="C2334" s="871"/>
      <c r="D2334" s="881" t="s">
        <v>233</v>
      </c>
      <c r="E2334" s="882">
        <f>DMT!$F$10</f>
        <v>43.1</v>
      </c>
      <c r="F2334" s="883">
        <f>VLOOKUP(D2331,'ENSAIOS DE ORÇAMENTO'!$C$5:$L$81,6,FALSE)</f>
        <v>1.7704500000000001</v>
      </c>
      <c r="G2334" s="923">
        <f t="shared" si="644"/>
        <v>86.392648650000012</v>
      </c>
      <c r="H2334" s="876"/>
      <c r="I2334" s="876"/>
      <c r="J2334" s="877">
        <f t="shared" si="632"/>
        <v>0</v>
      </c>
      <c r="K2334" s="878"/>
      <c r="L2334" s="1013">
        <f>ROUND(SUM(ORÇAMENTO!L2334),2)</f>
        <v>0</v>
      </c>
      <c r="M2334" s="1013">
        <f t="shared" si="636"/>
        <v>0</v>
      </c>
      <c r="N2334" s="868">
        <f t="shared" si="637"/>
        <v>0</v>
      </c>
      <c r="O2334" s="880"/>
      <c r="P2334" s="36" t="str">
        <f>IF(N2331&gt;0,"xx",IF(N2331&gt;0,"xy",""))</f>
        <v/>
      </c>
      <c r="Q2334" s="317" t="str">
        <f t="shared" si="640"/>
        <v/>
      </c>
      <c r="R2334" s="317" t="str">
        <f t="shared" si="641"/>
        <v/>
      </c>
      <c r="S2334" s="317" t="str">
        <f t="shared" si="642"/>
        <v/>
      </c>
      <c r="V2334" s="314">
        <f>SUM(ORÇAMENTO!N2334)</f>
        <v>0</v>
      </c>
      <c r="W2334" s="315">
        <f t="shared" si="639"/>
        <v>0</v>
      </c>
    </row>
    <row r="2335" spans="1:23" hidden="1">
      <c r="A2335" s="63" t="s">
        <v>121</v>
      </c>
      <c r="B2335" s="870" t="s">
        <v>121</v>
      </c>
      <c r="C2335" s="871" t="s">
        <v>184</v>
      </c>
      <c r="D2335" s="881" t="s">
        <v>135</v>
      </c>
      <c r="E2335" s="882"/>
      <c r="F2335" s="883"/>
      <c r="G2335" s="887">
        <f>SUM(G2336:G2338)</f>
        <v>926.62181440000018</v>
      </c>
      <c r="H2335" s="876">
        <v>1851.62</v>
      </c>
      <c r="I2335" s="876">
        <f>IF(ISBLANK(H2335),"",SUM(G2335:H2335))</f>
        <v>2778.2418144000003</v>
      </c>
      <c r="J2335" s="877">
        <f t="shared" si="632"/>
        <v>3395.57</v>
      </c>
      <c r="K2335" s="878" t="s">
        <v>15</v>
      </c>
      <c r="L2335" s="1013">
        <f>ROUND(SUM(ORÇAMENTO!L2335),2)</f>
        <v>0</v>
      </c>
      <c r="M2335" s="1013">
        <f t="shared" si="636"/>
        <v>0</v>
      </c>
      <c r="N2335" s="868">
        <f t="shared" si="637"/>
        <v>0</v>
      </c>
      <c r="O2335" s="880"/>
      <c r="Q2335" s="317" t="str">
        <f t="shared" si="640"/>
        <v/>
      </c>
      <c r="R2335" s="317" t="str">
        <f t="shared" si="641"/>
        <v/>
      </c>
      <c r="S2335" s="317" t="str">
        <f t="shared" si="642"/>
        <v/>
      </c>
      <c r="V2335" s="314">
        <f>SUM(ORÇAMENTO!N2335)</f>
        <v>0</v>
      </c>
      <c r="W2335" s="315">
        <f t="shared" si="639"/>
        <v>0</v>
      </c>
    </row>
    <row r="2336" spans="1:23" hidden="1">
      <c r="A2336" s="63" t="s">
        <v>147</v>
      </c>
      <c r="B2336" s="870" t="s">
        <v>147</v>
      </c>
      <c r="C2336" s="871"/>
      <c r="D2336" s="881" t="s">
        <v>190</v>
      </c>
      <c r="E2336" s="882">
        <f>DMT!$D$20</f>
        <v>445</v>
      </c>
      <c r="F2336" s="883">
        <f>VLOOKUP(D2335,'ENSAIOS DE ORÇAMENTO'!$C$5:$L$81,4,FALSE)</f>
        <v>0.6411</v>
      </c>
      <c r="G2336" s="884">
        <f>IF(E2336&lt;=30,(0.78*E2336+7.82)*F2336,((0.78*30+7.82)+0.78*(E2336-30))*F2336)</f>
        <v>227.53921200000002</v>
      </c>
      <c r="H2336" s="876"/>
      <c r="I2336" s="876"/>
      <c r="J2336" s="877">
        <f t="shared" si="632"/>
        <v>0</v>
      </c>
      <c r="K2336" s="878"/>
      <c r="L2336" s="1013">
        <f>ROUND(SUM(ORÇAMENTO!L2336),2)</f>
        <v>0</v>
      </c>
      <c r="M2336" s="1013">
        <f t="shared" si="636"/>
        <v>0</v>
      </c>
      <c r="N2336" s="868">
        <f t="shared" si="637"/>
        <v>0</v>
      </c>
      <c r="O2336" s="880"/>
      <c r="P2336" s="36" t="str">
        <f>IF(N2335&gt;0,"xx",IF(N2335&gt;0,"xy",""))</f>
        <v/>
      </c>
      <c r="Q2336" s="317" t="str">
        <f t="shared" si="640"/>
        <v/>
      </c>
      <c r="R2336" s="317" t="str">
        <f t="shared" si="641"/>
        <v/>
      </c>
      <c r="S2336" s="317" t="str">
        <f t="shared" si="642"/>
        <v/>
      </c>
      <c r="V2336" s="314">
        <f>SUM(ORÇAMENTO!N2336)</f>
        <v>0</v>
      </c>
      <c r="W2336" s="315">
        <f t="shared" si="639"/>
        <v>0</v>
      </c>
    </row>
    <row r="2337" spans="1:23" hidden="1">
      <c r="A2337" s="63" t="s">
        <v>147</v>
      </c>
      <c r="B2337" s="870" t="s">
        <v>147</v>
      </c>
      <c r="C2337" s="871"/>
      <c r="D2337" s="881" t="s">
        <v>229</v>
      </c>
      <c r="E2337" s="882">
        <f>DMT!$F$8</f>
        <v>290</v>
      </c>
      <c r="F2337" s="883">
        <f>VLOOKUP(D2335,'ENSAIOS DE ORÇAMENTO'!$C$5:$L$81,5,FALSE)</f>
        <v>1.8840500000000002</v>
      </c>
      <c r="G2337" s="923">
        <f t="shared" ref="G2337:G2338" si="645">IF(E2337&lt;=30,(1.07*E2337+2.68)*F2337,((1.07*30+2.68)+1.07*(E2337-30))*F2337)</f>
        <v>589.66996900000015</v>
      </c>
      <c r="H2337" s="876"/>
      <c r="I2337" s="876"/>
      <c r="J2337" s="877">
        <f t="shared" si="632"/>
        <v>0</v>
      </c>
      <c r="K2337" s="878"/>
      <c r="L2337" s="1013">
        <f>ROUND(SUM(ORÇAMENTO!L2337),2)</f>
        <v>0</v>
      </c>
      <c r="M2337" s="1013">
        <f t="shared" si="636"/>
        <v>0</v>
      </c>
      <c r="N2337" s="868">
        <f t="shared" si="637"/>
        <v>0</v>
      </c>
      <c r="O2337" s="880"/>
      <c r="P2337" s="36" t="str">
        <f>IF(N2335&gt;0,"xx",IF(N2335&gt;0,"xy",""))</f>
        <v/>
      </c>
      <c r="Q2337" s="317" t="str">
        <f t="shared" si="640"/>
        <v/>
      </c>
      <c r="R2337" s="317" t="str">
        <f t="shared" si="641"/>
        <v/>
      </c>
      <c r="S2337" s="317" t="str">
        <f t="shared" si="642"/>
        <v/>
      </c>
      <c r="V2337" s="314">
        <f>SUM(ORÇAMENTO!N2337)</f>
        <v>0</v>
      </c>
      <c r="W2337" s="315">
        <f t="shared" si="639"/>
        <v>0</v>
      </c>
    </row>
    <row r="2338" spans="1:23" hidden="1">
      <c r="A2338" s="63" t="s">
        <v>147</v>
      </c>
      <c r="B2338" s="870" t="s">
        <v>147</v>
      </c>
      <c r="C2338" s="871"/>
      <c r="D2338" s="881" t="s">
        <v>233</v>
      </c>
      <c r="E2338" s="882">
        <f>DMT!$F$10</f>
        <v>43.1</v>
      </c>
      <c r="F2338" s="883">
        <f>VLOOKUP(D2335,'ENSAIOS DE ORÇAMENTO'!$C$5:$L$81,6,FALSE)</f>
        <v>2.2422</v>
      </c>
      <c r="G2338" s="923">
        <f t="shared" si="645"/>
        <v>109.4126334</v>
      </c>
      <c r="H2338" s="876"/>
      <c r="I2338" s="876"/>
      <c r="J2338" s="877">
        <f t="shared" si="632"/>
        <v>0</v>
      </c>
      <c r="K2338" s="878"/>
      <c r="L2338" s="1013">
        <f>ROUND(SUM(ORÇAMENTO!L2338),2)</f>
        <v>0</v>
      </c>
      <c r="M2338" s="1013">
        <f t="shared" si="636"/>
        <v>0</v>
      </c>
      <c r="N2338" s="868">
        <f t="shared" si="637"/>
        <v>0</v>
      </c>
      <c r="O2338" s="880"/>
      <c r="P2338" s="36" t="str">
        <f>IF(N2335&gt;0,"xx",IF(N2335&gt;0,"xy",""))</f>
        <v/>
      </c>
      <c r="Q2338" s="317" t="str">
        <f t="shared" si="640"/>
        <v/>
      </c>
      <c r="R2338" s="317" t="str">
        <f t="shared" si="641"/>
        <v/>
      </c>
      <c r="S2338" s="317" t="str">
        <f t="shared" si="642"/>
        <v/>
      </c>
      <c r="V2338" s="314">
        <f>SUM(ORÇAMENTO!N2338)</f>
        <v>0</v>
      </c>
      <c r="W2338" s="315">
        <f t="shared" si="639"/>
        <v>0</v>
      </c>
    </row>
    <row r="2339" spans="1:23" hidden="1">
      <c r="A2339" s="63" t="s">
        <v>122</v>
      </c>
      <c r="B2339" s="870" t="s">
        <v>122</v>
      </c>
      <c r="C2339" s="871" t="s">
        <v>184</v>
      </c>
      <c r="D2339" s="881" t="s">
        <v>136</v>
      </c>
      <c r="E2339" s="882"/>
      <c r="F2339" s="883"/>
      <c r="G2339" s="887">
        <f>SUM(G2340:G2342)</f>
        <v>1161.2438013699998</v>
      </c>
      <c r="H2339" s="876">
        <v>2119.0300000000002</v>
      </c>
      <c r="I2339" s="876">
        <f>IF(ISBLANK(H2339),"",SUM(G2339:H2339))</f>
        <v>3280.27380137</v>
      </c>
      <c r="J2339" s="877">
        <f t="shared" si="632"/>
        <v>4009.15</v>
      </c>
      <c r="K2339" s="878" t="s">
        <v>15</v>
      </c>
      <c r="L2339" s="1013">
        <f>ROUND(SUM(ORÇAMENTO!L2339),2)</f>
        <v>0</v>
      </c>
      <c r="M2339" s="1013">
        <f t="shared" si="636"/>
        <v>0</v>
      </c>
      <c r="N2339" s="868">
        <f t="shared" si="637"/>
        <v>0</v>
      </c>
      <c r="O2339" s="880"/>
      <c r="Q2339" s="317" t="str">
        <f t="shared" si="640"/>
        <v/>
      </c>
      <c r="R2339" s="317" t="str">
        <f t="shared" si="641"/>
        <v/>
      </c>
      <c r="S2339" s="317" t="str">
        <f t="shared" si="642"/>
        <v/>
      </c>
      <c r="V2339" s="314">
        <f>SUM(ORÇAMENTO!N2339)</f>
        <v>0</v>
      </c>
      <c r="W2339" s="315">
        <f t="shared" si="639"/>
        <v>0</v>
      </c>
    </row>
    <row r="2340" spans="1:23" hidden="1">
      <c r="A2340" s="63" t="s">
        <v>147</v>
      </c>
      <c r="B2340" s="870" t="s">
        <v>147</v>
      </c>
      <c r="C2340" s="871"/>
      <c r="D2340" s="881" t="s">
        <v>190</v>
      </c>
      <c r="E2340" s="882">
        <f>DMT!$D$20</f>
        <v>445</v>
      </c>
      <c r="F2340" s="883">
        <f>VLOOKUP(D2339,'ENSAIOS DE ORÇAMENTO'!$C$5:$L$81,4,FALSE)</f>
        <v>0.80657999999999996</v>
      </c>
      <c r="G2340" s="884">
        <f>IF(E2340&lt;=30,(0.78*E2340+7.82)*F2340,((0.78*30+7.82)+0.78*(E2340-30))*F2340)</f>
        <v>286.2713736</v>
      </c>
      <c r="H2340" s="876"/>
      <c r="I2340" s="876"/>
      <c r="J2340" s="877">
        <f t="shared" si="632"/>
        <v>0</v>
      </c>
      <c r="K2340" s="878"/>
      <c r="L2340" s="1013">
        <f>ROUND(SUM(ORÇAMENTO!L2340),2)</f>
        <v>0</v>
      </c>
      <c r="M2340" s="1013">
        <f t="shared" si="636"/>
        <v>0</v>
      </c>
      <c r="N2340" s="868">
        <f t="shared" si="637"/>
        <v>0</v>
      </c>
      <c r="O2340" s="880"/>
      <c r="P2340" s="36" t="str">
        <f>IF(N2339&gt;0,"xx",IF(N2339&gt;0,"xy",""))</f>
        <v/>
      </c>
      <c r="Q2340" s="317" t="str">
        <f t="shared" si="640"/>
        <v/>
      </c>
      <c r="R2340" s="317" t="str">
        <f t="shared" si="641"/>
        <v/>
      </c>
      <c r="S2340" s="317" t="str">
        <f t="shared" si="642"/>
        <v/>
      </c>
      <c r="V2340" s="314">
        <f>SUM(ORÇAMENTO!N2340)</f>
        <v>0</v>
      </c>
      <c r="W2340" s="315">
        <f t="shared" si="639"/>
        <v>0</v>
      </c>
    </row>
    <row r="2341" spans="1:23" hidden="1">
      <c r="A2341" s="63" t="s">
        <v>147</v>
      </c>
      <c r="B2341" s="870" t="s">
        <v>147</v>
      </c>
      <c r="C2341" s="871"/>
      <c r="D2341" s="881" t="s">
        <v>229</v>
      </c>
      <c r="E2341" s="882">
        <f>DMT!$F$8</f>
        <v>290</v>
      </c>
      <c r="F2341" s="883">
        <f>VLOOKUP(D2339,'ENSAIOS DE ORÇAMENTO'!$C$5:$L$81,5,FALSE)</f>
        <v>2.3575999999999997</v>
      </c>
      <c r="G2341" s="923">
        <f t="shared" ref="G2341:G2342" si="646">IF(E2341&lt;=30,(1.07*E2341+2.68)*F2341,((1.07*30+2.68)+1.07*(E2341-30))*F2341)</f>
        <v>737.88164799999993</v>
      </c>
      <c r="H2341" s="876"/>
      <c r="I2341" s="876"/>
      <c r="J2341" s="877">
        <f t="shared" si="632"/>
        <v>0</v>
      </c>
      <c r="K2341" s="878"/>
      <c r="L2341" s="1013">
        <f>ROUND(SUM(ORÇAMENTO!L2341),2)</f>
        <v>0</v>
      </c>
      <c r="M2341" s="1013">
        <f t="shared" si="636"/>
        <v>0</v>
      </c>
      <c r="N2341" s="868">
        <f t="shared" si="637"/>
        <v>0</v>
      </c>
      <c r="O2341" s="880"/>
      <c r="P2341" s="36" t="str">
        <f>IF(N2339&gt;0,"xx",IF(N2339&gt;0,"xy",""))</f>
        <v/>
      </c>
      <c r="Q2341" s="317" t="str">
        <f t="shared" si="640"/>
        <v/>
      </c>
      <c r="R2341" s="317" t="str">
        <f t="shared" si="641"/>
        <v/>
      </c>
      <c r="S2341" s="317" t="str">
        <f t="shared" si="642"/>
        <v/>
      </c>
      <c r="V2341" s="314">
        <f>SUM(ORÇAMENTO!N2341)</f>
        <v>0</v>
      </c>
      <c r="W2341" s="315">
        <f t="shared" si="639"/>
        <v>0</v>
      </c>
    </row>
    <row r="2342" spans="1:23" hidden="1">
      <c r="A2342" s="63" t="s">
        <v>147</v>
      </c>
      <c r="B2342" s="870" t="s">
        <v>147</v>
      </c>
      <c r="C2342" s="871"/>
      <c r="D2342" s="881" t="s">
        <v>233</v>
      </c>
      <c r="E2342" s="882">
        <f>DMT!$F$10</f>
        <v>43.1</v>
      </c>
      <c r="F2342" s="883">
        <f>VLOOKUP(D2339,'ENSAIOS DE ORÇAMENTO'!$C$5:$L$81,6,FALSE)</f>
        <v>2.8094099999999997</v>
      </c>
      <c r="G2342" s="923">
        <f t="shared" si="646"/>
        <v>137.09077977000001</v>
      </c>
      <c r="H2342" s="876"/>
      <c r="I2342" s="876"/>
      <c r="J2342" s="877">
        <f t="shared" si="632"/>
        <v>0</v>
      </c>
      <c r="K2342" s="878"/>
      <c r="L2342" s="1013">
        <f>ROUND(SUM(ORÇAMENTO!L2342),2)</f>
        <v>0</v>
      </c>
      <c r="M2342" s="1013">
        <f t="shared" si="636"/>
        <v>0</v>
      </c>
      <c r="N2342" s="868">
        <f t="shared" si="637"/>
        <v>0</v>
      </c>
      <c r="O2342" s="880"/>
      <c r="P2342" s="36" t="str">
        <f>IF(N2339&gt;0,"xx",IF(N2339&gt;0,"xy",""))</f>
        <v/>
      </c>
      <c r="Q2342" s="317" t="str">
        <f t="shared" si="640"/>
        <v/>
      </c>
      <c r="R2342" s="317" t="str">
        <f t="shared" si="641"/>
        <v/>
      </c>
      <c r="S2342" s="317" t="str">
        <f t="shared" si="642"/>
        <v/>
      </c>
      <c r="V2342" s="314">
        <f>SUM(ORÇAMENTO!N2342)</f>
        <v>0</v>
      </c>
      <c r="W2342" s="315">
        <f t="shared" si="639"/>
        <v>0</v>
      </c>
    </row>
    <row r="2343" spans="1:23" hidden="1">
      <c r="A2343" s="63" t="s">
        <v>123</v>
      </c>
      <c r="B2343" s="870" t="s">
        <v>123</v>
      </c>
      <c r="C2343" s="871" t="s">
        <v>184</v>
      </c>
      <c r="D2343" s="881" t="s">
        <v>137</v>
      </c>
      <c r="E2343" s="882"/>
      <c r="F2343" s="883"/>
      <c r="G2343" s="887">
        <f>SUM(G2344:G2346)</f>
        <v>561.52859315000012</v>
      </c>
      <c r="H2343" s="876">
        <v>3215.9</v>
      </c>
      <c r="I2343" s="876">
        <f>IF(ISBLANK(H2343),"",SUM(G2343:H2343))</f>
        <v>3777.4285931500003</v>
      </c>
      <c r="J2343" s="877">
        <f t="shared" si="632"/>
        <v>4616.7700000000004</v>
      </c>
      <c r="K2343" s="878" t="s">
        <v>15</v>
      </c>
      <c r="L2343" s="1013">
        <f>ROUND(SUM(ORÇAMENTO!L2343),2)</f>
        <v>0</v>
      </c>
      <c r="M2343" s="1013">
        <f t="shared" si="636"/>
        <v>0</v>
      </c>
      <c r="N2343" s="868">
        <f t="shared" si="637"/>
        <v>0</v>
      </c>
      <c r="O2343" s="880"/>
      <c r="Q2343" s="317" t="str">
        <f t="shared" si="640"/>
        <v/>
      </c>
      <c r="R2343" s="317" t="str">
        <f t="shared" si="641"/>
        <v/>
      </c>
      <c r="S2343" s="317" t="str">
        <f t="shared" si="642"/>
        <v/>
      </c>
      <c r="V2343" s="314">
        <f>SUM(ORÇAMENTO!N2343)</f>
        <v>0</v>
      </c>
      <c r="W2343" s="315">
        <f t="shared" si="639"/>
        <v>0</v>
      </c>
    </row>
    <row r="2344" spans="1:23" hidden="1">
      <c r="A2344" s="63" t="s">
        <v>147</v>
      </c>
      <c r="B2344" s="870" t="s">
        <v>147</v>
      </c>
      <c r="C2344" s="871"/>
      <c r="D2344" s="881" t="s">
        <v>190</v>
      </c>
      <c r="E2344" s="882">
        <f>DMT!$D$20</f>
        <v>445</v>
      </c>
      <c r="F2344" s="883">
        <f>VLOOKUP(D2343,'ENSAIOS DE ORÇAMENTO'!$C$5:$L$81,4,FALSE)</f>
        <v>0.38250000000000006</v>
      </c>
      <c r="G2344" s="884">
        <f>IF(E2344&lt;=30,(0.78*E2344+7.82)*F2344,((0.78*30+7.82)+0.78*(E2344-30))*F2344)</f>
        <v>135.75690000000003</v>
      </c>
      <c r="H2344" s="876"/>
      <c r="I2344" s="876"/>
      <c r="J2344" s="877">
        <f t="shared" si="632"/>
        <v>0</v>
      </c>
      <c r="K2344" s="878"/>
      <c r="L2344" s="1013">
        <f>ROUND(SUM(ORÇAMENTO!L2344),2)</f>
        <v>0</v>
      </c>
      <c r="M2344" s="1013">
        <f t="shared" si="636"/>
        <v>0</v>
      </c>
      <c r="N2344" s="868">
        <f t="shared" si="637"/>
        <v>0</v>
      </c>
      <c r="O2344" s="880"/>
      <c r="P2344" s="36" t="str">
        <f>IF(N2343&gt;0,"xx",IF(N2343&gt;0,"xy",""))</f>
        <v/>
      </c>
      <c r="Q2344" s="317" t="str">
        <f t="shared" si="640"/>
        <v/>
      </c>
      <c r="R2344" s="317" t="str">
        <f t="shared" si="641"/>
        <v/>
      </c>
      <c r="S2344" s="317" t="str">
        <f t="shared" si="642"/>
        <v/>
      </c>
      <c r="V2344" s="314">
        <f>SUM(ORÇAMENTO!N2344)</f>
        <v>0</v>
      </c>
      <c r="W2344" s="315">
        <f t="shared" si="639"/>
        <v>0</v>
      </c>
    </row>
    <row r="2345" spans="1:23" hidden="1">
      <c r="A2345" s="63" t="s">
        <v>147</v>
      </c>
      <c r="B2345" s="870" t="s">
        <v>147</v>
      </c>
      <c r="C2345" s="871"/>
      <c r="D2345" s="881" t="s">
        <v>229</v>
      </c>
      <c r="E2345" s="882">
        <f>DMT!$F$8</f>
        <v>290</v>
      </c>
      <c r="F2345" s="883">
        <f>VLOOKUP(D2343,'ENSAIOS DE ORÇAMENTO'!$C$5:$L$81,5,FALSE)</f>
        <v>1.1483800000000002</v>
      </c>
      <c r="G2345" s="923">
        <f t="shared" ref="G2345:G2346" si="647">IF(E2345&lt;=30,(1.07*E2345+2.68)*F2345,((1.07*30+2.68)+1.07*(E2345-30))*F2345)</f>
        <v>359.41997240000006</v>
      </c>
      <c r="H2345" s="876"/>
      <c r="I2345" s="876"/>
      <c r="J2345" s="877">
        <f t="shared" si="632"/>
        <v>0</v>
      </c>
      <c r="K2345" s="878"/>
      <c r="L2345" s="1013">
        <f>ROUND(SUM(ORÇAMENTO!L2345),2)</f>
        <v>0</v>
      </c>
      <c r="M2345" s="1013">
        <f t="shared" si="636"/>
        <v>0</v>
      </c>
      <c r="N2345" s="868">
        <f t="shared" si="637"/>
        <v>0</v>
      </c>
      <c r="O2345" s="880"/>
      <c r="P2345" s="36" t="str">
        <f>IF(N2343&gt;0,"xx",IF(N2343&gt;0,"xy",""))</f>
        <v/>
      </c>
      <c r="Q2345" s="317" t="str">
        <f t="shared" si="640"/>
        <v/>
      </c>
      <c r="R2345" s="317" t="str">
        <f t="shared" si="641"/>
        <v/>
      </c>
      <c r="S2345" s="317" t="str">
        <f t="shared" si="642"/>
        <v/>
      </c>
      <c r="V2345" s="314">
        <f>SUM(ORÇAMENTO!N2345)</f>
        <v>0</v>
      </c>
      <c r="W2345" s="315">
        <f t="shared" si="639"/>
        <v>0</v>
      </c>
    </row>
    <row r="2346" spans="1:23" hidden="1">
      <c r="A2346" s="63" t="s">
        <v>147</v>
      </c>
      <c r="B2346" s="870" t="s">
        <v>147</v>
      </c>
      <c r="C2346" s="871"/>
      <c r="D2346" s="881" t="s">
        <v>233</v>
      </c>
      <c r="E2346" s="882">
        <f>DMT!$F$10</f>
        <v>43.1</v>
      </c>
      <c r="F2346" s="883">
        <f>VLOOKUP(D2343,'ENSAIOS DE ORÇAMENTO'!$C$5:$L$81,6,FALSE)</f>
        <v>1.35975</v>
      </c>
      <c r="G2346" s="923">
        <f t="shared" si="647"/>
        <v>66.351720750000013</v>
      </c>
      <c r="H2346" s="876"/>
      <c r="I2346" s="876"/>
      <c r="J2346" s="877">
        <f t="shared" si="632"/>
        <v>0</v>
      </c>
      <c r="K2346" s="878"/>
      <c r="L2346" s="1013">
        <f>ROUND(SUM(ORÇAMENTO!L2346),2)</f>
        <v>0</v>
      </c>
      <c r="M2346" s="1013">
        <f t="shared" si="636"/>
        <v>0</v>
      </c>
      <c r="N2346" s="868">
        <f t="shared" si="637"/>
        <v>0</v>
      </c>
      <c r="O2346" s="880"/>
      <c r="P2346" s="36" t="str">
        <f>IF(N2343&gt;0,"xx",IF(N2343&gt;0,"xy",""))</f>
        <v/>
      </c>
      <c r="Q2346" s="317" t="str">
        <f t="shared" si="640"/>
        <v/>
      </c>
      <c r="R2346" s="317" t="str">
        <f t="shared" si="641"/>
        <v/>
      </c>
      <c r="S2346" s="317" t="str">
        <f t="shared" si="642"/>
        <v/>
      </c>
      <c r="V2346" s="314">
        <f>SUM(ORÇAMENTO!N2346)</f>
        <v>0</v>
      </c>
      <c r="W2346" s="315">
        <f t="shared" si="639"/>
        <v>0</v>
      </c>
    </row>
    <row r="2347" spans="1:23" hidden="1">
      <c r="A2347" s="63" t="s">
        <v>124</v>
      </c>
      <c r="B2347" s="870" t="s">
        <v>124</v>
      </c>
      <c r="C2347" s="871" t="s">
        <v>184</v>
      </c>
      <c r="D2347" s="881" t="s">
        <v>138</v>
      </c>
      <c r="E2347" s="882"/>
      <c r="F2347" s="883"/>
      <c r="G2347" s="887">
        <f>SUM(G2348:G2350)</f>
        <v>630.46002065000005</v>
      </c>
      <c r="H2347" s="876">
        <v>3565.26</v>
      </c>
      <c r="I2347" s="876">
        <f>IF(ISBLANK(H2347),"",SUM(G2347:H2347))</f>
        <v>4195.7200206500002</v>
      </c>
      <c r="J2347" s="877">
        <f t="shared" si="632"/>
        <v>5128.01</v>
      </c>
      <c r="K2347" s="878" t="s">
        <v>15</v>
      </c>
      <c r="L2347" s="1013">
        <f>ROUND(SUM(ORÇAMENTO!L2347),2)</f>
        <v>0</v>
      </c>
      <c r="M2347" s="1013">
        <f t="shared" si="636"/>
        <v>0</v>
      </c>
      <c r="N2347" s="868">
        <f t="shared" si="637"/>
        <v>0</v>
      </c>
      <c r="O2347" s="880"/>
      <c r="Q2347" s="317" t="str">
        <f t="shared" si="640"/>
        <v/>
      </c>
      <c r="R2347" s="317" t="str">
        <f t="shared" si="641"/>
        <v/>
      </c>
      <c r="S2347" s="317" t="str">
        <f t="shared" si="642"/>
        <v/>
      </c>
      <c r="V2347" s="314">
        <f>SUM(ORÇAMENTO!N2347)</f>
        <v>0</v>
      </c>
      <c r="W2347" s="315">
        <f t="shared" si="639"/>
        <v>0</v>
      </c>
    </row>
    <row r="2348" spans="1:23" hidden="1">
      <c r="A2348" s="63" t="s">
        <v>147</v>
      </c>
      <c r="B2348" s="870" t="s">
        <v>147</v>
      </c>
      <c r="C2348" s="871"/>
      <c r="D2348" s="881" t="s">
        <v>190</v>
      </c>
      <c r="E2348" s="882">
        <f>DMT!$D$20</f>
        <v>445</v>
      </c>
      <c r="F2348" s="883">
        <f>VLOOKUP(D2347,'ENSAIOS DE ORÇAMENTO'!$C$5:$L$81,4,FALSE)</f>
        <v>0.43200000000000005</v>
      </c>
      <c r="G2348" s="884">
        <f>IF(E2348&lt;=30,(0.78*E2348+7.82)*F2348,((0.78*30+7.82)+0.78*(E2348-30))*F2348)</f>
        <v>153.32544000000001</v>
      </c>
      <c r="H2348" s="876"/>
      <c r="I2348" s="876"/>
      <c r="J2348" s="877">
        <f t="shared" si="632"/>
        <v>0</v>
      </c>
      <c r="K2348" s="878"/>
      <c r="L2348" s="1013">
        <f>ROUND(SUM(ORÇAMENTO!L2348),2)</f>
        <v>0</v>
      </c>
      <c r="M2348" s="1013">
        <f t="shared" si="636"/>
        <v>0</v>
      </c>
      <c r="N2348" s="868">
        <f t="shared" si="637"/>
        <v>0</v>
      </c>
      <c r="O2348" s="880"/>
      <c r="P2348" s="36" t="str">
        <f>IF(N2347&gt;0,"xx",IF(N2347&gt;0,"xy",""))</f>
        <v/>
      </c>
      <c r="Q2348" s="317" t="str">
        <f t="shared" si="640"/>
        <v/>
      </c>
      <c r="R2348" s="317" t="str">
        <f t="shared" si="641"/>
        <v/>
      </c>
      <c r="S2348" s="317" t="str">
        <f t="shared" si="642"/>
        <v/>
      </c>
      <c r="V2348" s="314">
        <f>SUM(ORÇAMENTO!N2348)</f>
        <v>0</v>
      </c>
      <c r="W2348" s="315">
        <f t="shared" si="639"/>
        <v>0</v>
      </c>
    </row>
    <row r="2349" spans="1:23" hidden="1">
      <c r="A2349" s="63" t="s">
        <v>147</v>
      </c>
      <c r="B2349" s="870" t="s">
        <v>147</v>
      </c>
      <c r="C2349" s="871"/>
      <c r="D2349" s="881" t="s">
        <v>229</v>
      </c>
      <c r="E2349" s="882">
        <f>DMT!$F$8</f>
        <v>290</v>
      </c>
      <c r="F2349" s="883">
        <f>VLOOKUP(D2347,'ENSAIOS DE ORÇAMENTO'!$C$5:$L$81,5,FALSE)</f>
        <v>1.28653</v>
      </c>
      <c r="G2349" s="923">
        <f t="shared" ref="G2349:G2350" si="648">IF(E2349&lt;=30,(1.07*E2349+2.68)*F2349,((1.07*30+2.68)+1.07*(E2349-30))*F2349)</f>
        <v>402.65815939999999</v>
      </c>
      <c r="H2349" s="876"/>
      <c r="I2349" s="876"/>
      <c r="J2349" s="877">
        <f t="shared" si="632"/>
        <v>0</v>
      </c>
      <c r="K2349" s="878"/>
      <c r="L2349" s="1013">
        <f>ROUND(SUM(ORÇAMENTO!L2349),2)</f>
        <v>0</v>
      </c>
      <c r="M2349" s="1013">
        <f t="shared" si="636"/>
        <v>0</v>
      </c>
      <c r="N2349" s="868">
        <f t="shared" si="637"/>
        <v>0</v>
      </c>
      <c r="O2349" s="880"/>
      <c r="P2349" s="36" t="str">
        <f>IF(N2347&gt;0,"xx",IF(N2347&gt;0,"xy",""))</f>
        <v/>
      </c>
      <c r="Q2349" s="317" t="str">
        <f t="shared" si="640"/>
        <v/>
      </c>
      <c r="R2349" s="317" t="str">
        <f t="shared" si="641"/>
        <v/>
      </c>
      <c r="S2349" s="317" t="str">
        <f t="shared" si="642"/>
        <v/>
      </c>
      <c r="V2349" s="314">
        <f>SUM(ORÇAMENTO!N2349)</f>
        <v>0</v>
      </c>
      <c r="W2349" s="315">
        <f t="shared" si="639"/>
        <v>0</v>
      </c>
    </row>
    <row r="2350" spans="1:23" hidden="1">
      <c r="A2350" s="63" t="s">
        <v>147</v>
      </c>
      <c r="B2350" s="870" t="s">
        <v>147</v>
      </c>
      <c r="C2350" s="871"/>
      <c r="D2350" s="881" t="s">
        <v>233</v>
      </c>
      <c r="E2350" s="882">
        <f>DMT!$F$10</f>
        <v>43.1</v>
      </c>
      <c r="F2350" s="883">
        <f>VLOOKUP(D2347,'ENSAIOS DE ORÇAMENTO'!$C$5:$L$81,6,FALSE)</f>
        <v>1.5262500000000001</v>
      </c>
      <c r="G2350" s="923">
        <f t="shared" si="648"/>
        <v>74.476421250000016</v>
      </c>
      <c r="H2350" s="876"/>
      <c r="I2350" s="876"/>
      <c r="J2350" s="877">
        <f t="shared" si="632"/>
        <v>0</v>
      </c>
      <c r="K2350" s="878"/>
      <c r="L2350" s="1013">
        <f>ROUND(SUM(ORÇAMENTO!L2350),2)</f>
        <v>0</v>
      </c>
      <c r="M2350" s="1013">
        <f t="shared" si="636"/>
        <v>0</v>
      </c>
      <c r="N2350" s="868">
        <f t="shared" si="637"/>
        <v>0</v>
      </c>
      <c r="O2350" s="880"/>
      <c r="P2350" s="36" t="str">
        <f>IF(N2347&gt;0,"xx",IF(N2347&gt;0,"xy",""))</f>
        <v/>
      </c>
      <c r="Q2350" s="317" t="str">
        <f t="shared" si="640"/>
        <v/>
      </c>
      <c r="R2350" s="317" t="str">
        <f t="shared" si="641"/>
        <v/>
      </c>
      <c r="S2350" s="317" t="str">
        <f t="shared" si="642"/>
        <v/>
      </c>
      <c r="V2350" s="314">
        <f>SUM(ORÇAMENTO!N2350)</f>
        <v>0</v>
      </c>
      <c r="W2350" s="315">
        <f t="shared" si="639"/>
        <v>0</v>
      </c>
    </row>
    <row r="2351" spans="1:23" hidden="1">
      <c r="A2351" s="63" t="s">
        <v>125</v>
      </c>
      <c r="B2351" s="870" t="s">
        <v>125</v>
      </c>
      <c r="C2351" s="871" t="s">
        <v>184</v>
      </c>
      <c r="D2351" s="881" t="s">
        <v>139</v>
      </c>
      <c r="E2351" s="882"/>
      <c r="F2351" s="883"/>
      <c r="G2351" s="887">
        <f>SUM(G2352:G2354)</f>
        <v>731.55944765000004</v>
      </c>
      <c r="H2351" s="876">
        <v>4078.7</v>
      </c>
      <c r="I2351" s="876">
        <f>IF(ISBLANK(H2351),"",SUM(G2351:H2351))</f>
        <v>4810.2594476499999</v>
      </c>
      <c r="J2351" s="877">
        <f t="shared" si="632"/>
        <v>5879.1</v>
      </c>
      <c r="K2351" s="878" t="s">
        <v>15</v>
      </c>
      <c r="L2351" s="1013">
        <f>ROUND(SUM(ORÇAMENTO!L2351),2)</f>
        <v>0</v>
      </c>
      <c r="M2351" s="1013">
        <f t="shared" si="636"/>
        <v>0</v>
      </c>
      <c r="N2351" s="868">
        <f t="shared" si="637"/>
        <v>0</v>
      </c>
      <c r="O2351" s="880"/>
      <c r="Q2351" s="317" t="str">
        <f t="shared" si="640"/>
        <v/>
      </c>
      <c r="R2351" s="317" t="str">
        <f t="shared" si="641"/>
        <v/>
      </c>
      <c r="S2351" s="317" t="str">
        <f t="shared" si="642"/>
        <v/>
      </c>
      <c r="V2351" s="314">
        <f>SUM(ORÇAMENTO!N2351)</f>
        <v>0</v>
      </c>
      <c r="W2351" s="315">
        <f t="shared" si="639"/>
        <v>0</v>
      </c>
    </row>
    <row r="2352" spans="1:23" hidden="1">
      <c r="A2352" s="63" t="s">
        <v>147</v>
      </c>
      <c r="B2352" s="870" t="s">
        <v>147</v>
      </c>
      <c r="C2352" s="871"/>
      <c r="D2352" s="881" t="s">
        <v>190</v>
      </c>
      <c r="E2352" s="882">
        <f>DMT!$D$20</f>
        <v>445</v>
      </c>
      <c r="F2352" s="883">
        <f>VLOOKUP(D2351,'ENSAIOS DE ORÇAMENTO'!$C$5:$L$81,4,FALSE)</f>
        <v>0.50459999999999994</v>
      </c>
      <c r="G2352" s="884">
        <f>IF(E2352&lt;=30,(0.78*E2352+7.82)*F2352,((0.78*30+7.82)+0.78*(E2352-30))*F2352)</f>
        <v>179.09263199999998</v>
      </c>
      <c r="H2352" s="876"/>
      <c r="I2352" s="876"/>
      <c r="J2352" s="877">
        <f t="shared" si="632"/>
        <v>0</v>
      </c>
      <c r="K2352" s="878"/>
      <c r="L2352" s="1013">
        <f>ROUND(SUM(ORÇAMENTO!L2352),2)</f>
        <v>0</v>
      </c>
      <c r="M2352" s="1013">
        <f t="shared" si="636"/>
        <v>0</v>
      </c>
      <c r="N2352" s="868">
        <f t="shared" si="637"/>
        <v>0</v>
      </c>
      <c r="O2352" s="880"/>
      <c r="P2352" s="36" t="str">
        <f>IF(N2351&gt;0,"xx",IF(N2351&gt;0,"xy",""))</f>
        <v/>
      </c>
      <c r="Q2352" s="317" t="str">
        <f t="shared" si="640"/>
        <v/>
      </c>
      <c r="R2352" s="317" t="str">
        <f t="shared" si="641"/>
        <v/>
      </c>
      <c r="S2352" s="317" t="str">
        <f t="shared" si="642"/>
        <v/>
      </c>
      <c r="V2352" s="314">
        <f>SUM(ORÇAMENTO!N2352)</f>
        <v>0</v>
      </c>
      <c r="W2352" s="315">
        <f t="shared" si="639"/>
        <v>0</v>
      </c>
    </row>
    <row r="2353" spans="1:23" hidden="1">
      <c r="A2353" s="63" t="s">
        <v>147</v>
      </c>
      <c r="B2353" s="870" t="s">
        <v>147</v>
      </c>
      <c r="C2353" s="871"/>
      <c r="D2353" s="881" t="s">
        <v>229</v>
      </c>
      <c r="E2353" s="882">
        <f>DMT!$F$8</f>
        <v>290</v>
      </c>
      <c r="F2353" s="883">
        <f>VLOOKUP(D2351,'ENSAIOS DE ORÇAMENTO'!$C$5:$L$81,5,FALSE)</f>
        <v>1.48915</v>
      </c>
      <c r="G2353" s="923">
        <f t="shared" ref="G2353:G2354" si="649">IF(E2353&lt;=30,(1.07*E2353+2.68)*F2353,((1.07*30+2.68)+1.07*(E2353-30))*F2353)</f>
        <v>466.07416700000005</v>
      </c>
      <c r="H2353" s="876"/>
      <c r="I2353" s="876"/>
      <c r="J2353" s="877">
        <f t="shared" si="632"/>
        <v>0</v>
      </c>
      <c r="K2353" s="878"/>
      <c r="L2353" s="1013">
        <f>ROUND(SUM(ORÇAMENTO!L2353),2)</f>
        <v>0</v>
      </c>
      <c r="M2353" s="1013">
        <f t="shared" si="636"/>
        <v>0</v>
      </c>
      <c r="N2353" s="868">
        <f t="shared" si="637"/>
        <v>0</v>
      </c>
      <c r="O2353" s="880"/>
      <c r="P2353" s="36" t="str">
        <f>IF(N2351&gt;0,"xx",IF(N2351&gt;0,"xy",""))</f>
        <v/>
      </c>
      <c r="Q2353" s="317" t="str">
        <f t="shared" si="640"/>
        <v/>
      </c>
      <c r="R2353" s="317" t="str">
        <f t="shared" si="641"/>
        <v/>
      </c>
      <c r="S2353" s="317" t="str">
        <f t="shared" si="642"/>
        <v/>
      </c>
      <c r="V2353" s="314">
        <f>SUM(ORÇAMENTO!N2353)</f>
        <v>0</v>
      </c>
      <c r="W2353" s="315">
        <f t="shared" si="639"/>
        <v>0</v>
      </c>
    </row>
    <row r="2354" spans="1:23" hidden="1">
      <c r="A2354" s="63" t="s">
        <v>147</v>
      </c>
      <c r="B2354" s="870" t="s">
        <v>147</v>
      </c>
      <c r="C2354" s="871"/>
      <c r="D2354" s="881" t="s">
        <v>233</v>
      </c>
      <c r="E2354" s="882">
        <f>DMT!$F$10</f>
        <v>43.1</v>
      </c>
      <c r="F2354" s="883">
        <f>VLOOKUP(D2351,'ENSAIOS DE ORÇAMENTO'!$C$5:$L$81,6,FALSE)</f>
        <v>1.7704500000000001</v>
      </c>
      <c r="G2354" s="923">
        <f t="shared" si="649"/>
        <v>86.392648650000012</v>
      </c>
      <c r="H2354" s="876"/>
      <c r="I2354" s="876"/>
      <c r="J2354" s="877">
        <f t="shared" si="632"/>
        <v>0</v>
      </c>
      <c r="K2354" s="878"/>
      <c r="L2354" s="1013">
        <f>ROUND(SUM(ORÇAMENTO!L2354),2)</f>
        <v>0</v>
      </c>
      <c r="M2354" s="1013">
        <f t="shared" si="636"/>
        <v>0</v>
      </c>
      <c r="N2354" s="868">
        <f t="shared" si="637"/>
        <v>0</v>
      </c>
      <c r="O2354" s="880"/>
      <c r="P2354" s="36" t="str">
        <f>IF(N2351&gt;0,"xx",IF(N2351&gt;0,"xy",""))</f>
        <v/>
      </c>
      <c r="Q2354" s="317" t="str">
        <f t="shared" si="640"/>
        <v/>
      </c>
      <c r="R2354" s="317" t="str">
        <f t="shared" si="641"/>
        <v/>
      </c>
      <c r="S2354" s="317" t="str">
        <f t="shared" si="642"/>
        <v/>
      </c>
      <c r="V2354" s="314">
        <f>SUM(ORÇAMENTO!N2354)</f>
        <v>0</v>
      </c>
      <c r="W2354" s="315">
        <f t="shared" si="639"/>
        <v>0</v>
      </c>
    </row>
    <row r="2355" spans="1:23" hidden="1">
      <c r="A2355" s="63" t="s">
        <v>40</v>
      </c>
      <c r="B2355" s="870" t="s">
        <v>40</v>
      </c>
      <c r="C2355" s="871" t="s">
        <v>184</v>
      </c>
      <c r="D2355" s="881" t="s">
        <v>140</v>
      </c>
      <c r="E2355" s="882"/>
      <c r="F2355" s="883"/>
      <c r="G2355" s="887">
        <f>SUM(G2356:G2358)</f>
        <v>926.62181440000018</v>
      </c>
      <c r="H2355" s="876">
        <v>4962.6000000000004</v>
      </c>
      <c r="I2355" s="876">
        <f>IF(ISBLANK(H2355),"",SUM(G2355:H2355))</f>
        <v>5889.2218144000008</v>
      </c>
      <c r="J2355" s="877">
        <f t="shared" ref="J2355:J2397" si="650">IF(ISBLANK(H2355),0,ROUND(I2355*(1+$E$10),2))</f>
        <v>7197.81</v>
      </c>
      <c r="K2355" s="878" t="s">
        <v>15</v>
      </c>
      <c r="L2355" s="1013">
        <f>ROUND(SUM(ORÇAMENTO!L2355),2)</f>
        <v>0</v>
      </c>
      <c r="M2355" s="1013">
        <f t="shared" si="636"/>
        <v>0</v>
      </c>
      <c r="N2355" s="868">
        <f t="shared" si="637"/>
        <v>0</v>
      </c>
      <c r="O2355" s="880"/>
      <c r="Q2355" s="317" t="str">
        <f t="shared" si="640"/>
        <v/>
      </c>
      <c r="R2355" s="317" t="str">
        <f t="shared" si="641"/>
        <v/>
      </c>
      <c r="S2355" s="317" t="str">
        <f t="shared" si="642"/>
        <v/>
      </c>
      <c r="V2355" s="314">
        <f>SUM(ORÇAMENTO!N2355)</f>
        <v>0</v>
      </c>
      <c r="W2355" s="315">
        <f t="shared" si="639"/>
        <v>0</v>
      </c>
    </row>
    <row r="2356" spans="1:23" hidden="1">
      <c r="A2356" s="63" t="s">
        <v>147</v>
      </c>
      <c r="B2356" s="870" t="s">
        <v>147</v>
      </c>
      <c r="C2356" s="871"/>
      <c r="D2356" s="881" t="s">
        <v>190</v>
      </c>
      <c r="E2356" s="882">
        <f>DMT!$D$20</f>
        <v>445</v>
      </c>
      <c r="F2356" s="883">
        <f>VLOOKUP(D2355,'ENSAIOS DE ORÇAMENTO'!$C$5:$L$81,4,FALSE)</f>
        <v>0.6411</v>
      </c>
      <c r="G2356" s="884">
        <f>IF(E2356&lt;=30,(0.78*E2356+7.82)*F2356,((0.78*30+7.82)+0.78*(E2356-30))*F2356)</f>
        <v>227.53921200000002</v>
      </c>
      <c r="H2356" s="876"/>
      <c r="I2356" s="876"/>
      <c r="J2356" s="877">
        <f t="shared" si="650"/>
        <v>0</v>
      </c>
      <c r="K2356" s="878"/>
      <c r="L2356" s="1013">
        <f>ROUND(SUM(ORÇAMENTO!L2356),2)</f>
        <v>0</v>
      </c>
      <c r="M2356" s="1013">
        <f t="shared" si="636"/>
        <v>0</v>
      </c>
      <c r="N2356" s="868">
        <f t="shared" si="637"/>
        <v>0</v>
      </c>
      <c r="O2356" s="880"/>
      <c r="P2356" s="36" t="str">
        <f>IF(N2355&gt;0,"xx",IF(N2355&gt;0,"xy",""))</f>
        <v/>
      </c>
      <c r="Q2356" s="317" t="str">
        <f t="shared" si="640"/>
        <v/>
      </c>
      <c r="R2356" s="317" t="str">
        <f t="shared" si="641"/>
        <v/>
      </c>
      <c r="S2356" s="317" t="str">
        <f t="shared" si="642"/>
        <v/>
      </c>
      <c r="V2356" s="314">
        <f>SUM(ORÇAMENTO!N2356)</f>
        <v>0</v>
      </c>
      <c r="W2356" s="315">
        <f t="shared" si="639"/>
        <v>0</v>
      </c>
    </row>
    <row r="2357" spans="1:23" hidden="1">
      <c r="A2357" s="63" t="s">
        <v>147</v>
      </c>
      <c r="B2357" s="870" t="s">
        <v>147</v>
      </c>
      <c r="C2357" s="871"/>
      <c r="D2357" s="881" t="s">
        <v>229</v>
      </c>
      <c r="E2357" s="882">
        <f>DMT!$F$8</f>
        <v>290</v>
      </c>
      <c r="F2357" s="883">
        <f>VLOOKUP(D2355,'ENSAIOS DE ORÇAMENTO'!$C$5:$L$81,5,FALSE)</f>
        <v>1.8840500000000002</v>
      </c>
      <c r="G2357" s="923">
        <f t="shared" ref="G2357:G2358" si="651">IF(E2357&lt;=30,(1.07*E2357+2.68)*F2357,((1.07*30+2.68)+1.07*(E2357-30))*F2357)</f>
        <v>589.66996900000015</v>
      </c>
      <c r="H2357" s="876"/>
      <c r="I2357" s="876"/>
      <c r="J2357" s="877">
        <f t="shared" si="650"/>
        <v>0</v>
      </c>
      <c r="K2357" s="878"/>
      <c r="L2357" s="1013">
        <f>ROUND(SUM(ORÇAMENTO!L2357),2)</f>
        <v>0</v>
      </c>
      <c r="M2357" s="1013">
        <f t="shared" si="636"/>
        <v>0</v>
      </c>
      <c r="N2357" s="868">
        <f t="shared" si="637"/>
        <v>0</v>
      </c>
      <c r="O2357" s="880"/>
      <c r="P2357" s="36" t="str">
        <f>IF(N2355&gt;0,"xx",IF(N2355&gt;0,"xy",""))</f>
        <v/>
      </c>
      <c r="Q2357" s="317" t="str">
        <f t="shared" si="640"/>
        <v/>
      </c>
      <c r="R2357" s="317" t="str">
        <f t="shared" si="641"/>
        <v/>
      </c>
      <c r="S2357" s="317" t="str">
        <f t="shared" si="642"/>
        <v/>
      </c>
      <c r="V2357" s="314">
        <f>SUM(ORÇAMENTO!N2357)</f>
        <v>0</v>
      </c>
      <c r="W2357" s="315">
        <f t="shared" si="639"/>
        <v>0</v>
      </c>
    </row>
    <row r="2358" spans="1:23" hidden="1">
      <c r="A2358" s="63" t="s">
        <v>147</v>
      </c>
      <c r="B2358" s="870" t="s">
        <v>147</v>
      </c>
      <c r="C2358" s="871"/>
      <c r="D2358" s="881" t="s">
        <v>233</v>
      </c>
      <c r="E2358" s="882">
        <f>DMT!$F$10</f>
        <v>43.1</v>
      </c>
      <c r="F2358" s="883">
        <f>VLOOKUP(D2355,'ENSAIOS DE ORÇAMENTO'!$C$5:$L$81,6,FALSE)</f>
        <v>2.2422</v>
      </c>
      <c r="G2358" s="923">
        <f t="shared" si="651"/>
        <v>109.4126334</v>
      </c>
      <c r="H2358" s="876"/>
      <c r="I2358" s="876"/>
      <c r="J2358" s="877">
        <f t="shared" si="650"/>
        <v>0</v>
      </c>
      <c r="K2358" s="878"/>
      <c r="L2358" s="1013">
        <f>ROUND(SUM(ORÇAMENTO!L2358),2)</f>
        <v>0</v>
      </c>
      <c r="M2358" s="1013">
        <f t="shared" si="636"/>
        <v>0</v>
      </c>
      <c r="N2358" s="868">
        <f t="shared" si="637"/>
        <v>0</v>
      </c>
      <c r="O2358" s="880"/>
      <c r="P2358" s="36" t="str">
        <f>IF(N2355&gt;0,"xx",IF(N2355&gt;0,"xy",""))</f>
        <v/>
      </c>
      <c r="Q2358" s="317" t="str">
        <f t="shared" si="640"/>
        <v/>
      </c>
      <c r="R2358" s="317" t="str">
        <f t="shared" si="641"/>
        <v/>
      </c>
      <c r="S2358" s="317" t="str">
        <f t="shared" si="642"/>
        <v/>
      </c>
      <c r="V2358" s="314">
        <f>SUM(ORÇAMENTO!N2358)</f>
        <v>0</v>
      </c>
      <c r="W2358" s="315">
        <f t="shared" si="639"/>
        <v>0</v>
      </c>
    </row>
    <row r="2359" spans="1:23" hidden="1">
      <c r="A2359" s="63" t="s">
        <v>126</v>
      </c>
      <c r="B2359" s="870" t="s">
        <v>126</v>
      </c>
      <c r="C2359" s="871" t="s">
        <v>184</v>
      </c>
      <c r="D2359" s="881" t="s">
        <v>141</v>
      </c>
      <c r="E2359" s="882"/>
      <c r="F2359" s="883"/>
      <c r="G2359" s="887">
        <f>SUM(G2360:G2362)</f>
        <v>1161.2438013699998</v>
      </c>
      <c r="H2359" s="876">
        <v>6034.4</v>
      </c>
      <c r="I2359" s="876">
        <f>IF(ISBLANK(H2359),"",SUM(G2359:H2359))</f>
        <v>7195.643801369999</v>
      </c>
      <c r="J2359" s="877">
        <f t="shared" si="650"/>
        <v>8794.52</v>
      </c>
      <c r="K2359" s="878" t="s">
        <v>15</v>
      </c>
      <c r="L2359" s="1013">
        <f>ROUND(SUM(ORÇAMENTO!L2359),2)</f>
        <v>0</v>
      </c>
      <c r="M2359" s="1013">
        <f t="shared" si="636"/>
        <v>0</v>
      </c>
      <c r="N2359" s="868">
        <f t="shared" si="637"/>
        <v>0</v>
      </c>
      <c r="O2359" s="880"/>
      <c r="Q2359" s="317" t="str">
        <f t="shared" si="640"/>
        <v/>
      </c>
      <c r="R2359" s="317" t="str">
        <f t="shared" si="641"/>
        <v/>
      </c>
      <c r="S2359" s="317" t="str">
        <f t="shared" si="642"/>
        <v/>
      </c>
      <c r="V2359" s="314">
        <f>SUM(ORÇAMENTO!N2359)</f>
        <v>0</v>
      </c>
      <c r="W2359" s="315">
        <f t="shared" si="639"/>
        <v>0</v>
      </c>
    </row>
    <row r="2360" spans="1:23" hidden="1">
      <c r="A2360" s="63" t="s">
        <v>147</v>
      </c>
      <c r="B2360" s="870" t="s">
        <v>147</v>
      </c>
      <c r="C2360" s="871"/>
      <c r="D2360" s="881" t="s">
        <v>190</v>
      </c>
      <c r="E2360" s="882">
        <f>DMT!$D$20</f>
        <v>445</v>
      </c>
      <c r="F2360" s="883">
        <f>VLOOKUP(D2359,'ENSAIOS DE ORÇAMENTO'!$C$5:$L$81,4,FALSE)</f>
        <v>0.80657999999999996</v>
      </c>
      <c r="G2360" s="884">
        <f>IF(E2360&lt;=30,(0.78*E2360+7.82)*F2360,((0.78*30+7.82)+0.78*(E2360-30))*F2360)</f>
        <v>286.2713736</v>
      </c>
      <c r="H2360" s="876"/>
      <c r="I2360" s="876"/>
      <c r="J2360" s="877">
        <f t="shared" si="650"/>
        <v>0</v>
      </c>
      <c r="K2360" s="878"/>
      <c r="L2360" s="1013">
        <f>ROUND(SUM(ORÇAMENTO!L2360),2)</f>
        <v>0</v>
      </c>
      <c r="M2360" s="1013">
        <f t="shared" si="636"/>
        <v>0</v>
      </c>
      <c r="N2360" s="868">
        <f t="shared" si="637"/>
        <v>0</v>
      </c>
      <c r="O2360" s="880"/>
      <c r="P2360" s="36" t="str">
        <f>IF(N2359&gt;0,"xx",IF(N2359&gt;0,"xy",""))</f>
        <v/>
      </c>
      <c r="Q2360" s="317" t="str">
        <f t="shared" si="640"/>
        <v/>
      </c>
      <c r="R2360" s="317" t="str">
        <f t="shared" si="641"/>
        <v/>
      </c>
      <c r="S2360" s="317" t="str">
        <f t="shared" si="642"/>
        <v/>
      </c>
      <c r="V2360" s="314">
        <f>SUM(ORÇAMENTO!N2360)</f>
        <v>0</v>
      </c>
      <c r="W2360" s="315">
        <f t="shared" si="639"/>
        <v>0</v>
      </c>
    </row>
    <row r="2361" spans="1:23" hidden="1">
      <c r="A2361" s="63" t="s">
        <v>147</v>
      </c>
      <c r="B2361" s="870" t="s">
        <v>147</v>
      </c>
      <c r="C2361" s="871"/>
      <c r="D2361" s="881" t="s">
        <v>229</v>
      </c>
      <c r="E2361" s="882">
        <f>DMT!$F$8</f>
        <v>290</v>
      </c>
      <c r="F2361" s="883">
        <f>VLOOKUP(D2359,'ENSAIOS DE ORÇAMENTO'!$C$5:$L$81,5,FALSE)</f>
        <v>2.3575999999999997</v>
      </c>
      <c r="G2361" s="923">
        <f t="shared" ref="G2361:G2362" si="652">IF(E2361&lt;=30,(1.07*E2361+2.68)*F2361,((1.07*30+2.68)+1.07*(E2361-30))*F2361)</f>
        <v>737.88164799999993</v>
      </c>
      <c r="H2361" s="876"/>
      <c r="I2361" s="876"/>
      <c r="J2361" s="877">
        <f t="shared" si="650"/>
        <v>0</v>
      </c>
      <c r="K2361" s="878"/>
      <c r="L2361" s="1013">
        <f>ROUND(SUM(ORÇAMENTO!L2361),2)</f>
        <v>0</v>
      </c>
      <c r="M2361" s="1013">
        <f t="shared" si="636"/>
        <v>0</v>
      </c>
      <c r="N2361" s="868">
        <f t="shared" si="637"/>
        <v>0</v>
      </c>
      <c r="O2361" s="880"/>
      <c r="P2361" s="36" t="str">
        <f>IF(N2359&gt;0,"xx",IF(N2359&gt;0,"xy",""))</f>
        <v/>
      </c>
      <c r="Q2361" s="317" t="str">
        <f t="shared" si="640"/>
        <v/>
      </c>
      <c r="R2361" s="317" t="str">
        <f t="shared" si="641"/>
        <v/>
      </c>
      <c r="S2361" s="317" t="str">
        <f t="shared" si="642"/>
        <v/>
      </c>
      <c r="V2361" s="314">
        <f>SUM(ORÇAMENTO!N2361)</f>
        <v>0</v>
      </c>
      <c r="W2361" s="315">
        <f t="shared" si="639"/>
        <v>0</v>
      </c>
    </row>
    <row r="2362" spans="1:23" hidden="1">
      <c r="A2362" s="63" t="s">
        <v>147</v>
      </c>
      <c r="B2362" s="870" t="s">
        <v>147</v>
      </c>
      <c r="C2362" s="871"/>
      <c r="D2362" s="881" t="s">
        <v>233</v>
      </c>
      <c r="E2362" s="882">
        <f>DMT!$F$10</f>
        <v>43.1</v>
      </c>
      <c r="F2362" s="883">
        <f>VLOOKUP(D2359,'ENSAIOS DE ORÇAMENTO'!$C$5:$L$81,6,FALSE)</f>
        <v>2.8094099999999997</v>
      </c>
      <c r="G2362" s="923">
        <f t="shared" si="652"/>
        <v>137.09077977000001</v>
      </c>
      <c r="H2362" s="876"/>
      <c r="I2362" s="876"/>
      <c r="J2362" s="877">
        <f t="shared" si="650"/>
        <v>0</v>
      </c>
      <c r="K2362" s="878"/>
      <c r="L2362" s="1013">
        <f>ROUND(SUM(ORÇAMENTO!L2362),2)</f>
        <v>0</v>
      </c>
      <c r="M2362" s="1013">
        <f t="shared" si="636"/>
        <v>0</v>
      </c>
      <c r="N2362" s="868">
        <f t="shared" si="637"/>
        <v>0</v>
      </c>
      <c r="O2362" s="880"/>
      <c r="P2362" s="36" t="str">
        <f>IF(N2359&gt;0,"xx",IF(N2359&gt;0,"xy",""))</f>
        <v/>
      </c>
      <c r="Q2362" s="317" t="str">
        <f t="shared" si="640"/>
        <v/>
      </c>
      <c r="R2362" s="317" t="str">
        <f t="shared" si="641"/>
        <v/>
      </c>
      <c r="S2362" s="317" t="str">
        <f t="shared" si="642"/>
        <v/>
      </c>
      <c r="V2362" s="314">
        <f>SUM(ORÇAMENTO!N2362)</f>
        <v>0</v>
      </c>
      <c r="W2362" s="315">
        <f t="shared" si="639"/>
        <v>0</v>
      </c>
    </row>
    <row r="2363" spans="1:23" hidden="1">
      <c r="A2363" s="63" t="s">
        <v>41</v>
      </c>
      <c r="B2363" s="870" t="s">
        <v>41</v>
      </c>
      <c r="C2363" s="871" t="s">
        <v>184</v>
      </c>
      <c r="D2363" s="881" t="s">
        <v>142</v>
      </c>
      <c r="E2363" s="882"/>
      <c r="F2363" s="883"/>
      <c r="G2363" s="887">
        <f>SUM(G2364:G2366)</f>
        <v>1293.6119722255</v>
      </c>
      <c r="H2363" s="876">
        <v>6626.99</v>
      </c>
      <c r="I2363" s="876">
        <f>IF(ISBLANK(H2363),"",SUM(G2363:H2363))</f>
        <v>7920.6019722254996</v>
      </c>
      <c r="J2363" s="877">
        <f t="shared" si="650"/>
        <v>9680.56</v>
      </c>
      <c r="K2363" s="878" t="s">
        <v>15</v>
      </c>
      <c r="L2363" s="1013">
        <f>ROUND(SUM(ORÇAMENTO!L2363),2)</f>
        <v>0</v>
      </c>
      <c r="M2363" s="1013">
        <f t="shared" si="636"/>
        <v>0</v>
      </c>
      <c r="N2363" s="868">
        <f t="shared" si="637"/>
        <v>0</v>
      </c>
      <c r="O2363" s="880"/>
      <c r="Q2363" s="317" t="str">
        <f t="shared" si="640"/>
        <v/>
      </c>
      <c r="R2363" s="317" t="str">
        <f t="shared" si="641"/>
        <v/>
      </c>
      <c r="S2363" s="317" t="str">
        <f t="shared" si="642"/>
        <v/>
      </c>
      <c r="V2363" s="314">
        <f>SUM(ORÇAMENTO!N2363)</f>
        <v>0</v>
      </c>
      <c r="W2363" s="315">
        <f t="shared" si="639"/>
        <v>0</v>
      </c>
    </row>
    <row r="2364" spans="1:23" hidden="1">
      <c r="A2364" s="63" t="s">
        <v>147</v>
      </c>
      <c r="B2364" s="870" t="s">
        <v>147</v>
      </c>
      <c r="C2364" s="871"/>
      <c r="D2364" s="881" t="s">
        <v>190</v>
      </c>
      <c r="E2364" s="882">
        <f>DMT!$D$20</f>
        <v>445</v>
      </c>
      <c r="F2364" s="883">
        <f>VLOOKUP(D2363,'ENSAIOS DE ORÇAMENTO'!$C$5:$L$81,4,FALSE)</f>
        <v>0.89753699999999992</v>
      </c>
      <c r="G2364" s="884">
        <f>IF(E2364&lt;=30,(0.78*E2364+7.82)*F2364,((0.78*30+7.82)+0.78*(E2364-30))*F2364)</f>
        <v>318.55383203999997</v>
      </c>
      <c r="H2364" s="876"/>
      <c r="I2364" s="876"/>
      <c r="J2364" s="877">
        <f t="shared" si="650"/>
        <v>0</v>
      </c>
      <c r="K2364" s="878"/>
      <c r="L2364" s="1013">
        <f>ROUND(SUM(ORÇAMENTO!L2364),2)</f>
        <v>0</v>
      </c>
      <c r="M2364" s="1013">
        <f t="shared" si="636"/>
        <v>0</v>
      </c>
      <c r="N2364" s="868">
        <f t="shared" si="637"/>
        <v>0</v>
      </c>
      <c r="O2364" s="880"/>
      <c r="P2364" s="36" t="str">
        <f>IF(N2363&gt;0,"xx",IF(N2363&gt;0,"xy",""))</f>
        <v/>
      </c>
      <c r="Q2364" s="317" t="str">
        <f t="shared" si="640"/>
        <v/>
      </c>
      <c r="R2364" s="317" t="str">
        <f t="shared" si="641"/>
        <v/>
      </c>
      <c r="S2364" s="317" t="str">
        <f t="shared" si="642"/>
        <v/>
      </c>
      <c r="V2364" s="314">
        <f>SUM(ORÇAMENTO!N2364)</f>
        <v>0</v>
      </c>
      <c r="W2364" s="315">
        <f t="shared" si="639"/>
        <v>0</v>
      </c>
    </row>
    <row r="2365" spans="1:23" hidden="1">
      <c r="A2365" s="63" t="s">
        <v>147</v>
      </c>
      <c r="B2365" s="870" t="s">
        <v>147</v>
      </c>
      <c r="C2365" s="871"/>
      <c r="D2365" s="881" t="s">
        <v>229</v>
      </c>
      <c r="E2365" s="882">
        <f>DMT!$F$8</f>
        <v>290</v>
      </c>
      <c r="F2365" s="883">
        <f>VLOOKUP(D2363,'ENSAIOS DE ORÇAMENTO'!$C$5:$L$81,5,FALSE)</f>
        <v>2.6274289999999998</v>
      </c>
      <c r="G2365" s="923">
        <f t="shared" ref="G2365:G2366" si="653">IF(E2365&lt;=30,(1.07*E2365+2.68)*F2365,((1.07*30+2.68)+1.07*(E2365-30))*F2365)</f>
        <v>822.33272841999997</v>
      </c>
      <c r="H2365" s="876"/>
      <c r="I2365" s="876"/>
      <c r="J2365" s="877">
        <f t="shared" si="650"/>
        <v>0</v>
      </c>
      <c r="K2365" s="878"/>
      <c r="L2365" s="1013">
        <f>ROUND(SUM(ORÇAMENTO!L2365),2)</f>
        <v>0</v>
      </c>
      <c r="M2365" s="1013">
        <f t="shared" si="636"/>
        <v>0</v>
      </c>
      <c r="N2365" s="868">
        <f t="shared" si="637"/>
        <v>0</v>
      </c>
      <c r="O2365" s="880"/>
      <c r="P2365" s="36" t="str">
        <f>IF(N2363&gt;0,"xx",IF(N2363&gt;0,"xy",""))</f>
        <v/>
      </c>
      <c r="Q2365" s="317" t="str">
        <f t="shared" si="640"/>
        <v/>
      </c>
      <c r="R2365" s="317" t="str">
        <f t="shared" si="641"/>
        <v/>
      </c>
      <c r="S2365" s="317" t="str">
        <f t="shared" si="642"/>
        <v/>
      </c>
      <c r="V2365" s="314">
        <f>SUM(ORÇAMENTO!N2365)</f>
        <v>0</v>
      </c>
      <c r="W2365" s="315">
        <f t="shared" si="639"/>
        <v>0</v>
      </c>
    </row>
    <row r="2366" spans="1:23" hidden="1">
      <c r="A2366" s="63" t="s">
        <v>147</v>
      </c>
      <c r="B2366" s="870" t="s">
        <v>147</v>
      </c>
      <c r="C2366" s="871"/>
      <c r="D2366" s="881" t="s">
        <v>233</v>
      </c>
      <c r="E2366" s="882">
        <f>DMT!$F$10</f>
        <v>43.1</v>
      </c>
      <c r="F2366" s="883">
        <f>VLOOKUP(D2363,'ENSAIOS DE ORÇAMENTO'!$C$5:$L$81,6,FALSE)</f>
        <v>3.1298114999999997</v>
      </c>
      <c r="G2366" s="923">
        <f t="shared" si="653"/>
        <v>152.72541176550001</v>
      </c>
      <c r="H2366" s="876"/>
      <c r="I2366" s="876"/>
      <c r="J2366" s="877">
        <f t="shared" si="650"/>
        <v>0</v>
      </c>
      <c r="K2366" s="878"/>
      <c r="L2366" s="1013">
        <f>ROUND(SUM(ORÇAMENTO!L2366),2)</f>
        <v>0</v>
      </c>
      <c r="M2366" s="1013">
        <f t="shared" si="636"/>
        <v>0</v>
      </c>
      <c r="N2366" s="868">
        <f t="shared" si="637"/>
        <v>0</v>
      </c>
      <c r="O2366" s="880"/>
      <c r="P2366" s="36" t="str">
        <f>IF(N2363&gt;0,"xx",IF(N2363&gt;0,"xy",""))</f>
        <v/>
      </c>
      <c r="Q2366" s="317" t="str">
        <f t="shared" si="640"/>
        <v/>
      </c>
      <c r="R2366" s="317" t="str">
        <f t="shared" si="641"/>
        <v/>
      </c>
      <c r="S2366" s="317" t="str">
        <f t="shared" si="642"/>
        <v/>
      </c>
      <c r="V2366" s="314">
        <f>SUM(ORÇAMENTO!N2366)</f>
        <v>0</v>
      </c>
      <c r="W2366" s="315">
        <f t="shared" si="639"/>
        <v>0</v>
      </c>
    </row>
    <row r="2367" spans="1:23" hidden="1">
      <c r="A2367" s="63" t="s">
        <v>42</v>
      </c>
      <c r="B2367" s="870" t="s">
        <v>42</v>
      </c>
      <c r="C2367" s="871" t="s">
        <v>184</v>
      </c>
      <c r="D2367" s="881" t="s">
        <v>143</v>
      </c>
      <c r="E2367" s="882"/>
      <c r="F2367" s="883"/>
      <c r="G2367" s="887">
        <f>SUM(G2368:G2370)</f>
        <v>1607.1349090593251</v>
      </c>
      <c r="H2367" s="876">
        <v>8092.02</v>
      </c>
      <c r="I2367" s="876">
        <f>IF(ISBLANK(H2367),"",SUM(G2367:H2367))</f>
        <v>9699.1549090593253</v>
      </c>
      <c r="J2367" s="877">
        <f t="shared" si="650"/>
        <v>11854.31</v>
      </c>
      <c r="K2367" s="878" t="s">
        <v>15</v>
      </c>
      <c r="L2367" s="1013">
        <f>ROUND(SUM(ORÇAMENTO!L2367),2)</f>
        <v>0</v>
      </c>
      <c r="M2367" s="1013">
        <f t="shared" si="636"/>
        <v>0</v>
      </c>
      <c r="N2367" s="868">
        <f t="shared" si="637"/>
        <v>0</v>
      </c>
      <c r="O2367" s="880"/>
      <c r="Q2367" s="317" t="str">
        <f t="shared" si="640"/>
        <v/>
      </c>
      <c r="R2367" s="317" t="str">
        <f t="shared" si="641"/>
        <v/>
      </c>
      <c r="S2367" s="317" t="str">
        <f t="shared" si="642"/>
        <v/>
      </c>
      <c r="V2367" s="314">
        <f>SUM(ORÇAMENTO!N2367)</f>
        <v>0</v>
      </c>
      <c r="W2367" s="315">
        <f t="shared" si="639"/>
        <v>0</v>
      </c>
    </row>
    <row r="2368" spans="1:23" hidden="1">
      <c r="A2368" s="63" t="s">
        <v>147</v>
      </c>
      <c r="B2368" s="870" t="s">
        <v>147</v>
      </c>
      <c r="C2368" s="871"/>
      <c r="D2368" s="881" t="s">
        <v>190</v>
      </c>
      <c r="E2368" s="882">
        <f>DMT!$D$20</f>
        <v>445</v>
      </c>
      <c r="F2368" s="883">
        <f>VLOOKUP(D2367,'ENSAIOS DE ORÇAMENTO'!$C$5:$L$81,4,FALSE)</f>
        <v>1.1179675499999999</v>
      </c>
      <c r="G2368" s="884">
        <f>IF(E2368&lt;=30,(0.78*E2368+7.82)*F2368,((0.78*30+7.82)+0.78*(E2368-30))*F2368)</f>
        <v>396.78904284599997</v>
      </c>
      <c r="H2368" s="876"/>
      <c r="I2368" s="876"/>
      <c r="J2368" s="877">
        <f t="shared" si="650"/>
        <v>0</v>
      </c>
      <c r="K2368" s="878"/>
      <c r="L2368" s="1013">
        <f>ROUND(SUM(ORÇAMENTO!L2368),2)</f>
        <v>0</v>
      </c>
      <c r="M2368" s="1013">
        <f t="shared" si="636"/>
        <v>0</v>
      </c>
      <c r="N2368" s="868">
        <f t="shared" si="637"/>
        <v>0</v>
      </c>
      <c r="O2368" s="880"/>
      <c r="P2368" s="36" t="str">
        <f>IF(N2367&gt;0,"xx",IF(N2367&gt;0,"xy",""))</f>
        <v/>
      </c>
      <c r="Q2368" s="317" t="str">
        <f t="shared" si="640"/>
        <v/>
      </c>
      <c r="R2368" s="317" t="str">
        <f t="shared" si="641"/>
        <v/>
      </c>
      <c r="S2368" s="317" t="str">
        <f t="shared" si="642"/>
        <v/>
      </c>
      <c r="V2368" s="314">
        <f>SUM(ORÇAMENTO!N2368)</f>
        <v>0</v>
      </c>
      <c r="W2368" s="315">
        <f t="shared" si="639"/>
        <v>0</v>
      </c>
    </row>
    <row r="2369" spans="1:23" hidden="1">
      <c r="A2369" s="63" t="s">
        <v>147</v>
      </c>
      <c r="B2369" s="870" t="s">
        <v>147</v>
      </c>
      <c r="C2369" s="871"/>
      <c r="D2369" s="881" t="s">
        <v>229</v>
      </c>
      <c r="E2369" s="882">
        <f>DMT!$F$8</f>
        <v>290</v>
      </c>
      <c r="F2369" s="883">
        <f>VLOOKUP(D2367,'ENSAIOS DE ORÇAMENTO'!$C$5:$L$81,5,FALSE)</f>
        <v>3.2610033499999997</v>
      </c>
      <c r="G2369" s="923">
        <f t="shared" ref="G2369:G2370" si="654">IF(E2369&lt;=30,(1.07*E2369+2.68)*F2369,((1.07*30+2.68)+1.07*(E2369-30))*F2369)</f>
        <v>1020.628828483</v>
      </c>
      <c r="H2369" s="876"/>
      <c r="I2369" s="876"/>
      <c r="J2369" s="877">
        <f t="shared" si="650"/>
        <v>0</v>
      </c>
      <c r="K2369" s="878"/>
      <c r="L2369" s="1013">
        <f>ROUND(SUM(ORÇAMENTO!L2369),2)</f>
        <v>0</v>
      </c>
      <c r="M2369" s="1013">
        <f t="shared" si="636"/>
        <v>0</v>
      </c>
      <c r="N2369" s="868">
        <f t="shared" si="637"/>
        <v>0</v>
      </c>
      <c r="O2369" s="880"/>
      <c r="P2369" s="36" t="str">
        <f>IF(N2367&gt;0,"xx",IF(N2367&gt;0,"xy",""))</f>
        <v/>
      </c>
      <c r="Q2369" s="317" t="str">
        <f t="shared" si="640"/>
        <v/>
      </c>
      <c r="R2369" s="317" t="str">
        <f t="shared" si="641"/>
        <v/>
      </c>
      <c r="S2369" s="317" t="str">
        <f t="shared" si="642"/>
        <v/>
      </c>
      <c r="V2369" s="314">
        <f>SUM(ORÇAMENTO!N2369)</f>
        <v>0</v>
      </c>
      <c r="W2369" s="315">
        <f t="shared" si="639"/>
        <v>0</v>
      </c>
    </row>
    <row r="2370" spans="1:23" hidden="1">
      <c r="A2370" s="63" t="s">
        <v>147</v>
      </c>
      <c r="B2370" s="870" t="s">
        <v>147</v>
      </c>
      <c r="C2370" s="871"/>
      <c r="D2370" s="881" t="s">
        <v>233</v>
      </c>
      <c r="E2370" s="882">
        <f>DMT!$F$10</f>
        <v>43.1</v>
      </c>
      <c r="F2370" s="883">
        <f>VLOOKUP(D2367,'ENSAIOS DE ORÇAMENTO'!$C$5:$L$81,6,FALSE)</f>
        <v>3.8878832249999999</v>
      </c>
      <c r="G2370" s="923">
        <f t="shared" si="654"/>
        <v>189.71703773032502</v>
      </c>
      <c r="H2370" s="876"/>
      <c r="I2370" s="876"/>
      <c r="J2370" s="877">
        <f t="shared" si="650"/>
        <v>0</v>
      </c>
      <c r="K2370" s="878"/>
      <c r="L2370" s="1013">
        <f>ROUND(SUM(ORÇAMENTO!L2370),2)</f>
        <v>0</v>
      </c>
      <c r="M2370" s="1013">
        <f t="shared" si="636"/>
        <v>0</v>
      </c>
      <c r="N2370" s="868">
        <f t="shared" si="637"/>
        <v>0</v>
      </c>
      <c r="O2370" s="880"/>
      <c r="P2370" s="36" t="str">
        <f>IF(N2367&gt;0,"xx",IF(N2367&gt;0,"xy",""))</f>
        <v/>
      </c>
      <c r="Q2370" s="317" t="str">
        <f t="shared" si="640"/>
        <v/>
      </c>
      <c r="R2370" s="317" t="str">
        <f t="shared" si="641"/>
        <v/>
      </c>
      <c r="S2370" s="317" t="str">
        <f t="shared" si="642"/>
        <v/>
      </c>
      <c r="V2370" s="314">
        <f>SUM(ORÇAMENTO!N2370)</f>
        <v>0</v>
      </c>
      <c r="W2370" s="315">
        <f t="shared" si="639"/>
        <v>0</v>
      </c>
    </row>
    <row r="2371" spans="1:23" hidden="1">
      <c r="A2371" s="63" t="s">
        <v>43</v>
      </c>
      <c r="B2371" s="870" t="s">
        <v>43</v>
      </c>
      <c r="C2371" s="871" t="s">
        <v>184</v>
      </c>
      <c r="D2371" s="881" t="s">
        <v>387</v>
      </c>
      <c r="E2371" s="882"/>
      <c r="F2371" s="883"/>
      <c r="G2371" s="887">
        <f>SUM(G2372:G2374)</f>
        <v>156.70411185000003</v>
      </c>
      <c r="H2371" s="876">
        <v>749.96</v>
      </c>
      <c r="I2371" s="876">
        <f>IF(ISBLANK(H2371),"",SUM(G2371:H2371))</f>
        <v>906.66411185000004</v>
      </c>
      <c r="J2371" s="877">
        <f t="shared" si="650"/>
        <v>1108.1199999999999</v>
      </c>
      <c r="K2371" s="878" t="s">
        <v>15</v>
      </c>
      <c r="L2371" s="1013">
        <f>ROUND(SUM(ORÇAMENTO!L2371),2)</f>
        <v>0</v>
      </c>
      <c r="M2371" s="1013">
        <f t="shared" si="636"/>
        <v>0</v>
      </c>
      <c r="N2371" s="868">
        <f t="shared" si="637"/>
        <v>0</v>
      </c>
      <c r="O2371" s="880"/>
      <c r="Q2371" s="317" t="str">
        <f t="shared" ref="Q2371:Q2415" si="655">IF(P2371="X","x",IF(P2371="xx","x",IF(P2371="xy","x",IF(P2371="y","x",IF(OR(N2371&gt;0,N2371&gt;0),"x","")))))</f>
        <v/>
      </c>
      <c r="R2371" s="317" t="str">
        <f t="shared" ref="R2371:R2415" si="656">IF(P2371="X","x",IF(P2371="y","x",IF(P2371="xx","x",IF(N2371&gt;0,"x",""))))</f>
        <v/>
      </c>
      <c r="S2371" s="317" t="str">
        <f t="shared" ref="S2371:S2415" si="657">IF(P2371="X","x",IF(N2371&gt;0,"x",""))</f>
        <v/>
      </c>
      <c r="V2371" s="314">
        <f>SUM(ORÇAMENTO!N2371)</f>
        <v>0</v>
      </c>
      <c r="W2371" s="315">
        <f t="shared" si="639"/>
        <v>0</v>
      </c>
    </row>
    <row r="2372" spans="1:23" hidden="1">
      <c r="A2372" s="63" t="s">
        <v>147</v>
      </c>
      <c r="B2372" s="870" t="s">
        <v>147</v>
      </c>
      <c r="C2372" s="871"/>
      <c r="D2372" s="881" t="s">
        <v>190</v>
      </c>
      <c r="E2372" s="882">
        <f>DMT!$D$20</f>
        <v>445</v>
      </c>
      <c r="F2372" s="883">
        <f>VLOOKUP(D2371,'ENSAIOS DE ORÇAMENTO'!$C$5:$L$81,4,FALSE)</f>
        <v>0.11253000000000002</v>
      </c>
      <c r="G2372" s="884">
        <f>IF(E2372&lt;=30,(0.78*E2372+7.82)*F2372,((0.78*30+7.82)+0.78*(E2372-30))*F2372)</f>
        <v>39.939147600000005</v>
      </c>
      <c r="H2372" s="876"/>
      <c r="I2372" s="876"/>
      <c r="J2372" s="877">
        <f t="shared" si="650"/>
        <v>0</v>
      </c>
      <c r="K2372" s="878"/>
      <c r="L2372" s="1013">
        <f>ROUND(SUM(ORÇAMENTO!L2372),2)</f>
        <v>0</v>
      </c>
      <c r="M2372" s="1013">
        <f t="shared" si="636"/>
        <v>0</v>
      </c>
      <c r="N2372" s="868">
        <f t="shared" si="637"/>
        <v>0</v>
      </c>
      <c r="O2372" s="880"/>
      <c r="P2372" s="36" t="str">
        <f>IF(N2371&gt;0,"xx",IF(N2371&gt;0,"xy",""))</f>
        <v/>
      </c>
      <c r="Q2372" s="317" t="str">
        <f t="shared" si="655"/>
        <v/>
      </c>
      <c r="R2372" s="317" t="str">
        <f t="shared" si="656"/>
        <v/>
      </c>
      <c r="S2372" s="317" t="str">
        <f t="shared" si="657"/>
        <v/>
      </c>
      <c r="V2372" s="314">
        <f>SUM(ORÇAMENTO!N2372)</f>
        <v>0</v>
      </c>
      <c r="W2372" s="315">
        <f t="shared" si="639"/>
        <v>0</v>
      </c>
    </row>
    <row r="2373" spans="1:23" hidden="1">
      <c r="A2373" s="63" t="s">
        <v>147</v>
      </c>
      <c r="B2373" s="870" t="s">
        <v>147</v>
      </c>
      <c r="C2373" s="871"/>
      <c r="D2373" s="881" t="s">
        <v>229</v>
      </c>
      <c r="E2373" s="882">
        <f>DMT!$F$8</f>
        <v>290</v>
      </c>
      <c r="F2373" s="883">
        <f>VLOOKUP(D2371,'ENSAIOS DE ORÇAMENTO'!$C$5:$L$81,5,FALSE)</f>
        <v>0.31406100000000003</v>
      </c>
      <c r="G2373" s="923">
        <f t="shared" ref="G2373:G2374" si="658">IF(E2373&lt;=30,(1.07*E2373+2.68)*F2373,((1.07*30+2.68)+1.07*(E2373-30))*F2373)</f>
        <v>98.294811780000018</v>
      </c>
      <c r="H2373" s="876"/>
      <c r="I2373" s="876"/>
      <c r="J2373" s="877">
        <f t="shared" si="650"/>
        <v>0</v>
      </c>
      <c r="K2373" s="878"/>
      <c r="L2373" s="1013">
        <f>ROUND(SUM(ORÇAMENTO!L2373),2)</f>
        <v>0</v>
      </c>
      <c r="M2373" s="1013">
        <f t="shared" si="636"/>
        <v>0</v>
      </c>
      <c r="N2373" s="868">
        <f t="shared" si="637"/>
        <v>0</v>
      </c>
      <c r="O2373" s="880"/>
      <c r="P2373" s="36" t="str">
        <f>IF(N2371&gt;0,"xx",IF(N2371&gt;0,"xy",""))</f>
        <v/>
      </c>
      <c r="Q2373" s="317" t="str">
        <f t="shared" si="655"/>
        <v/>
      </c>
      <c r="R2373" s="317" t="str">
        <f t="shared" si="656"/>
        <v/>
      </c>
      <c r="S2373" s="317" t="str">
        <f t="shared" si="657"/>
        <v/>
      </c>
      <c r="V2373" s="314">
        <f>SUM(ORÇAMENTO!N2373)</f>
        <v>0</v>
      </c>
      <c r="W2373" s="315">
        <f t="shared" si="639"/>
        <v>0</v>
      </c>
    </row>
    <row r="2374" spans="1:23" hidden="1">
      <c r="A2374" s="63" t="s">
        <v>147</v>
      </c>
      <c r="B2374" s="870" t="s">
        <v>147</v>
      </c>
      <c r="C2374" s="871"/>
      <c r="D2374" s="881" t="s">
        <v>233</v>
      </c>
      <c r="E2374" s="882">
        <f>DMT!$F$10</f>
        <v>43.1</v>
      </c>
      <c r="F2374" s="883">
        <f>VLOOKUP(D2371,'ENSAIOS DE ORÇAMENTO'!$C$5:$L$81,6,FALSE)</f>
        <v>0.37851000000000007</v>
      </c>
      <c r="G2374" s="923">
        <f t="shared" si="658"/>
        <v>18.470152470000006</v>
      </c>
      <c r="H2374" s="876"/>
      <c r="I2374" s="876"/>
      <c r="J2374" s="877">
        <f t="shared" si="650"/>
        <v>0</v>
      </c>
      <c r="K2374" s="878"/>
      <c r="L2374" s="1013">
        <f>ROUND(SUM(ORÇAMENTO!L2374),2)</f>
        <v>0</v>
      </c>
      <c r="M2374" s="1013">
        <f t="shared" si="636"/>
        <v>0</v>
      </c>
      <c r="N2374" s="868">
        <f t="shared" si="637"/>
        <v>0</v>
      </c>
      <c r="O2374" s="880"/>
      <c r="P2374" s="36" t="str">
        <f>IF(N2371&gt;0,"xx",IF(N2371&gt;0,"xy",""))</f>
        <v/>
      </c>
      <c r="Q2374" s="317" t="str">
        <f t="shared" si="655"/>
        <v/>
      </c>
      <c r="R2374" s="317" t="str">
        <f t="shared" si="656"/>
        <v/>
      </c>
      <c r="S2374" s="317" t="str">
        <f t="shared" si="657"/>
        <v/>
      </c>
      <c r="V2374" s="314">
        <f>SUM(ORÇAMENTO!N2374)</f>
        <v>0</v>
      </c>
      <c r="W2374" s="315">
        <f t="shared" si="639"/>
        <v>0</v>
      </c>
    </row>
    <row r="2375" spans="1:23" hidden="1">
      <c r="A2375" s="63" t="s">
        <v>44</v>
      </c>
      <c r="B2375" s="870" t="s">
        <v>44</v>
      </c>
      <c r="C2375" s="871" t="s">
        <v>184</v>
      </c>
      <c r="D2375" s="881" t="s">
        <v>388</v>
      </c>
      <c r="E2375" s="882"/>
      <c r="F2375" s="883"/>
      <c r="G2375" s="887">
        <f>SUM(G2376:G2378)</f>
        <v>170.49039735000005</v>
      </c>
      <c r="H2375" s="876">
        <v>850.96</v>
      </c>
      <c r="I2375" s="876">
        <f>IF(ISBLANK(H2375),"",SUM(G2375:H2375))</f>
        <v>1021.4503973500001</v>
      </c>
      <c r="J2375" s="877">
        <f t="shared" si="650"/>
        <v>1248.42</v>
      </c>
      <c r="K2375" s="878" t="s">
        <v>15</v>
      </c>
      <c r="L2375" s="1013">
        <f>ROUND(SUM(ORÇAMENTO!L2375),2)</f>
        <v>0</v>
      </c>
      <c r="M2375" s="1013">
        <f t="shared" si="636"/>
        <v>0</v>
      </c>
      <c r="N2375" s="868">
        <f t="shared" si="637"/>
        <v>0</v>
      </c>
      <c r="O2375" s="880"/>
      <c r="Q2375" s="317" t="str">
        <f t="shared" si="655"/>
        <v/>
      </c>
      <c r="R2375" s="317" t="str">
        <f t="shared" si="656"/>
        <v/>
      </c>
      <c r="S2375" s="317" t="str">
        <f t="shared" si="657"/>
        <v/>
      </c>
      <c r="V2375" s="314">
        <f>SUM(ORÇAMENTO!N2375)</f>
        <v>0</v>
      </c>
      <c r="W2375" s="315">
        <f t="shared" si="639"/>
        <v>0</v>
      </c>
    </row>
    <row r="2376" spans="1:23" hidden="1">
      <c r="A2376" s="63" t="s">
        <v>147</v>
      </c>
      <c r="B2376" s="870" t="s">
        <v>147</v>
      </c>
      <c r="C2376" s="871"/>
      <c r="D2376" s="881" t="s">
        <v>190</v>
      </c>
      <c r="E2376" s="882">
        <f>DMT!$D$20</f>
        <v>445</v>
      </c>
      <c r="F2376" s="883">
        <f>VLOOKUP(D2375,'ENSAIOS DE ORÇAMENTO'!$C$5:$L$81,4,FALSE)</f>
        <v>0.12243000000000002</v>
      </c>
      <c r="G2376" s="884">
        <f>IF(E2376&lt;=30,(0.78*E2376+7.82)*F2376,((0.78*30+7.82)+0.78*(E2376-30))*F2376)</f>
        <v>43.452855600000014</v>
      </c>
      <c r="H2376" s="876"/>
      <c r="I2376" s="876"/>
      <c r="J2376" s="877">
        <f t="shared" si="650"/>
        <v>0</v>
      </c>
      <c r="K2376" s="878"/>
      <c r="L2376" s="1013">
        <f>ROUND(SUM(ORÇAMENTO!L2376),2)</f>
        <v>0</v>
      </c>
      <c r="M2376" s="1013">
        <f t="shared" si="636"/>
        <v>0</v>
      </c>
      <c r="N2376" s="868">
        <f t="shared" si="637"/>
        <v>0</v>
      </c>
      <c r="O2376" s="880"/>
      <c r="P2376" s="36" t="str">
        <f>IF(N2375&gt;0,"xx",IF(N2375&gt;0,"xy",""))</f>
        <v/>
      </c>
      <c r="Q2376" s="317" t="str">
        <f t="shared" si="655"/>
        <v/>
      </c>
      <c r="R2376" s="317" t="str">
        <f t="shared" si="656"/>
        <v/>
      </c>
      <c r="S2376" s="317" t="str">
        <f t="shared" si="657"/>
        <v/>
      </c>
      <c r="V2376" s="314">
        <f>SUM(ORÇAMENTO!N2376)</f>
        <v>0</v>
      </c>
      <c r="W2376" s="315">
        <f t="shared" si="639"/>
        <v>0</v>
      </c>
    </row>
    <row r="2377" spans="1:23" hidden="1">
      <c r="A2377" s="63" t="s">
        <v>147</v>
      </c>
      <c r="B2377" s="870" t="s">
        <v>147</v>
      </c>
      <c r="C2377" s="871"/>
      <c r="D2377" s="881" t="s">
        <v>229</v>
      </c>
      <c r="E2377" s="882">
        <f>DMT!$F$8</f>
        <v>290</v>
      </c>
      <c r="F2377" s="883">
        <f>VLOOKUP(D2375,'ENSAIOS DE ORÇAMENTO'!$C$5:$L$81,5,FALSE)</f>
        <v>0.34169100000000008</v>
      </c>
      <c r="G2377" s="923">
        <f t="shared" ref="G2377:G2378" si="659">IF(E2377&lt;=30,(1.07*E2377+2.68)*F2377,((1.07*30+2.68)+1.07*(E2377-30))*F2377)</f>
        <v>106.94244918000003</v>
      </c>
      <c r="H2377" s="876"/>
      <c r="I2377" s="876"/>
      <c r="J2377" s="877">
        <f t="shared" si="650"/>
        <v>0</v>
      </c>
      <c r="K2377" s="878"/>
      <c r="L2377" s="1013">
        <f>ROUND(SUM(ORÇAMENTO!L2377),2)</f>
        <v>0</v>
      </c>
      <c r="M2377" s="1013">
        <f t="shared" si="636"/>
        <v>0</v>
      </c>
      <c r="N2377" s="868">
        <f t="shared" si="637"/>
        <v>0</v>
      </c>
      <c r="O2377" s="880"/>
      <c r="P2377" s="36" t="str">
        <f>IF(N2375&gt;0,"xx",IF(N2375&gt;0,"xy",""))</f>
        <v/>
      </c>
      <c r="Q2377" s="317" t="str">
        <f t="shared" si="655"/>
        <v/>
      </c>
      <c r="R2377" s="317" t="str">
        <f t="shared" si="656"/>
        <v/>
      </c>
      <c r="S2377" s="317" t="str">
        <f t="shared" si="657"/>
        <v/>
      </c>
      <c r="V2377" s="314">
        <f>SUM(ORÇAMENTO!N2377)</f>
        <v>0</v>
      </c>
      <c r="W2377" s="315">
        <f t="shared" si="639"/>
        <v>0</v>
      </c>
    </row>
    <row r="2378" spans="1:23" hidden="1">
      <c r="A2378" s="63" t="s">
        <v>147</v>
      </c>
      <c r="B2378" s="870" t="s">
        <v>147</v>
      </c>
      <c r="C2378" s="871"/>
      <c r="D2378" s="881" t="s">
        <v>233</v>
      </c>
      <c r="E2378" s="882">
        <f>DMT!$F$10</f>
        <v>43.1</v>
      </c>
      <c r="F2378" s="883">
        <f>VLOOKUP(D2375,'ENSAIOS DE ORÇAMENTO'!$C$5:$L$81,6,FALSE)</f>
        <v>0.41181000000000012</v>
      </c>
      <c r="G2378" s="923">
        <f t="shared" si="659"/>
        <v>20.095092570000009</v>
      </c>
      <c r="H2378" s="876"/>
      <c r="I2378" s="876"/>
      <c r="J2378" s="877">
        <f t="shared" si="650"/>
        <v>0</v>
      </c>
      <c r="K2378" s="878"/>
      <c r="L2378" s="1013">
        <f>ROUND(SUM(ORÇAMENTO!L2378),2)</f>
        <v>0</v>
      </c>
      <c r="M2378" s="1013">
        <f t="shared" si="636"/>
        <v>0</v>
      </c>
      <c r="N2378" s="868">
        <f t="shared" si="637"/>
        <v>0</v>
      </c>
      <c r="O2378" s="880"/>
      <c r="P2378" s="36" t="str">
        <f>IF(N2375&gt;0,"xx",IF(N2375&gt;0,"xy",""))</f>
        <v/>
      </c>
      <c r="Q2378" s="317" t="str">
        <f t="shared" si="655"/>
        <v/>
      </c>
      <c r="R2378" s="317" t="str">
        <f t="shared" si="656"/>
        <v/>
      </c>
      <c r="S2378" s="317" t="str">
        <f t="shared" si="657"/>
        <v/>
      </c>
      <c r="V2378" s="314">
        <f>SUM(ORÇAMENTO!N2378)</f>
        <v>0</v>
      </c>
      <c r="W2378" s="315">
        <f t="shared" si="639"/>
        <v>0</v>
      </c>
    </row>
    <row r="2379" spans="1:23" hidden="1">
      <c r="A2379" s="63" t="s">
        <v>45</v>
      </c>
      <c r="B2379" s="870" t="s">
        <v>45</v>
      </c>
      <c r="C2379" s="871" t="s">
        <v>184</v>
      </c>
      <c r="D2379" s="881" t="s">
        <v>389</v>
      </c>
      <c r="E2379" s="882"/>
      <c r="F2379" s="883"/>
      <c r="G2379" s="887">
        <f>SUM(G2380:G2382)</f>
        <v>184.27668285000001</v>
      </c>
      <c r="H2379" s="876">
        <v>971.4</v>
      </c>
      <c r="I2379" s="876">
        <f>IF(ISBLANK(H2379),"",SUM(G2379:H2379))</f>
        <v>1155.6766828499999</v>
      </c>
      <c r="J2379" s="877">
        <f t="shared" si="650"/>
        <v>1412.47</v>
      </c>
      <c r="K2379" s="878" t="s">
        <v>15</v>
      </c>
      <c r="L2379" s="1013">
        <f>ROUND(SUM(ORÇAMENTO!L2379),2)</f>
        <v>0</v>
      </c>
      <c r="M2379" s="1013">
        <f t="shared" si="636"/>
        <v>0</v>
      </c>
      <c r="N2379" s="868">
        <f t="shared" si="637"/>
        <v>0</v>
      </c>
      <c r="O2379" s="880"/>
      <c r="Q2379" s="317" t="str">
        <f t="shared" si="655"/>
        <v/>
      </c>
      <c r="R2379" s="317" t="str">
        <f t="shared" si="656"/>
        <v/>
      </c>
      <c r="S2379" s="317" t="str">
        <f t="shared" si="657"/>
        <v/>
      </c>
      <c r="V2379" s="314">
        <f>SUM(ORÇAMENTO!N2379)</f>
        <v>0</v>
      </c>
      <c r="W2379" s="315">
        <f t="shared" si="639"/>
        <v>0</v>
      </c>
    </row>
    <row r="2380" spans="1:23" hidden="1">
      <c r="A2380" s="63" t="s">
        <v>147</v>
      </c>
      <c r="B2380" s="870" t="s">
        <v>147</v>
      </c>
      <c r="C2380" s="871"/>
      <c r="D2380" s="881" t="s">
        <v>190</v>
      </c>
      <c r="E2380" s="882">
        <f>DMT!$D$20</f>
        <v>445</v>
      </c>
      <c r="F2380" s="883">
        <f>VLOOKUP(D2379,'ENSAIOS DE ORÇAMENTO'!$C$5:$L$81,4,FALSE)</f>
        <v>0.13233</v>
      </c>
      <c r="G2380" s="884">
        <f>IF(E2380&lt;=30,(0.78*E2380+7.82)*F2380,((0.78*30+7.82)+0.78*(E2380-30))*F2380)</f>
        <v>46.966563600000001</v>
      </c>
      <c r="H2380" s="876"/>
      <c r="I2380" s="876"/>
      <c r="J2380" s="877">
        <f t="shared" si="650"/>
        <v>0</v>
      </c>
      <c r="K2380" s="878"/>
      <c r="L2380" s="1013">
        <f>ROUND(SUM(ORÇAMENTO!L2380),2)</f>
        <v>0</v>
      </c>
      <c r="M2380" s="1013">
        <f t="shared" si="636"/>
        <v>0</v>
      </c>
      <c r="N2380" s="868">
        <f t="shared" si="637"/>
        <v>0</v>
      </c>
      <c r="O2380" s="880"/>
      <c r="P2380" s="36" t="str">
        <f>IF(N2379&gt;0,"xx",IF(N2379&gt;0,"xy",""))</f>
        <v/>
      </c>
      <c r="Q2380" s="317" t="str">
        <f t="shared" si="655"/>
        <v/>
      </c>
      <c r="R2380" s="317" t="str">
        <f t="shared" si="656"/>
        <v/>
      </c>
      <c r="S2380" s="317" t="str">
        <f t="shared" si="657"/>
        <v/>
      </c>
      <c r="V2380" s="314">
        <f>SUM(ORÇAMENTO!N2380)</f>
        <v>0</v>
      </c>
      <c r="W2380" s="315">
        <f t="shared" si="639"/>
        <v>0</v>
      </c>
    </row>
    <row r="2381" spans="1:23" hidden="1">
      <c r="A2381" s="63" t="s">
        <v>147</v>
      </c>
      <c r="B2381" s="870" t="s">
        <v>147</v>
      </c>
      <c r="C2381" s="871"/>
      <c r="D2381" s="881" t="s">
        <v>229</v>
      </c>
      <c r="E2381" s="882">
        <f>DMT!$F$8</f>
        <v>290</v>
      </c>
      <c r="F2381" s="883">
        <f>VLOOKUP(D2379,'ENSAIOS DE ORÇAMENTO'!$C$5:$L$81,5,FALSE)</f>
        <v>0.36932100000000001</v>
      </c>
      <c r="G2381" s="923">
        <f t="shared" ref="G2381:G2382" si="660">IF(E2381&lt;=30,(1.07*E2381+2.68)*F2381,((1.07*30+2.68)+1.07*(E2381-30))*F2381)</f>
        <v>115.59008658</v>
      </c>
      <c r="H2381" s="876"/>
      <c r="I2381" s="876"/>
      <c r="J2381" s="877">
        <f t="shared" si="650"/>
        <v>0</v>
      </c>
      <c r="K2381" s="878"/>
      <c r="L2381" s="1013">
        <f>ROUND(SUM(ORÇAMENTO!L2381),2)</f>
        <v>0</v>
      </c>
      <c r="M2381" s="1013">
        <f t="shared" si="636"/>
        <v>0</v>
      </c>
      <c r="N2381" s="868">
        <f t="shared" si="637"/>
        <v>0</v>
      </c>
      <c r="O2381" s="880"/>
      <c r="P2381" s="36" t="str">
        <f>IF(N2379&gt;0,"xx",IF(N2379&gt;0,"xy",""))</f>
        <v/>
      </c>
      <c r="Q2381" s="317" t="str">
        <f t="shared" si="655"/>
        <v/>
      </c>
      <c r="R2381" s="317" t="str">
        <f t="shared" si="656"/>
        <v/>
      </c>
      <c r="S2381" s="317" t="str">
        <f t="shared" si="657"/>
        <v/>
      </c>
      <c r="V2381" s="314">
        <f>SUM(ORÇAMENTO!N2381)</f>
        <v>0</v>
      </c>
      <c r="W2381" s="315">
        <f t="shared" si="639"/>
        <v>0</v>
      </c>
    </row>
    <row r="2382" spans="1:23" hidden="1">
      <c r="A2382" s="63" t="s">
        <v>147</v>
      </c>
      <c r="B2382" s="870" t="s">
        <v>147</v>
      </c>
      <c r="C2382" s="871"/>
      <c r="D2382" s="881" t="s">
        <v>233</v>
      </c>
      <c r="E2382" s="882">
        <f>DMT!$F$10</f>
        <v>43.1</v>
      </c>
      <c r="F2382" s="883">
        <f>VLOOKUP(D2379,'ENSAIOS DE ORÇAMENTO'!$C$5:$L$81,6,FALSE)</f>
        <v>0.44511000000000006</v>
      </c>
      <c r="G2382" s="923">
        <f t="shared" si="660"/>
        <v>21.720032670000005</v>
      </c>
      <c r="H2382" s="876"/>
      <c r="I2382" s="876"/>
      <c r="J2382" s="877">
        <f t="shared" si="650"/>
        <v>0</v>
      </c>
      <c r="K2382" s="878"/>
      <c r="L2382" s="1013">
        <f>ROUND(SUM(ORÇAMENTO!L2382),2)</f>
        <v>0</v>
      </c>
      <c r="M2382" s="1013">
        <f t="shared" si="636"/>
        <v>0</v>
      </c>
      <c r="N2382" s="868">
        <f t="shared" si="637"/>
        <v>0</v>
      </c>
      <c r="O2382" s="880"/>
      <c r="P2382" s="36" t="str">
        <f>IF(N2379&gt;0,"xx",IF(N2379&gt;0,"xy",""))</f>
        <v/>
      </c>
      <c r="Q2382" s="317" t="str">
        <f t="shared" si="655"/>
        <v/>
      </c>
      <c r="R2382" s="317" t="str">
        <f t="shared" si="656"/>
        <v/>
      </c>
      <c r="S2382" s="317" t="str">
        <f t="shared" si="657"/>
        <v/>
      </c>
      <c r="V2382" s="314">
        <f>SUM(ORÇAMENTO!N2382)</f>
        <v>0</v>
      </c>
      <c r="W2382" s="315">
        <f t="shared" si="639"/>
        <v>0</v>
      </c>
    </row>
    <row r="2383" spans="1:23" hidden="1">
      <c r="A2383" s="63" t="s">
        <v>46</v>
      </c>
      <c r="B2383" s="870" t="s">
        <v>46</v>
      </c>
      <c r="C2383" s="871" t="s">
        <v>184</v>
      </c>
      <c r="D2383" s="881" t="s">
        <v>390</v>
      </c>
      <c r="E2383" s="882"/>
      <c r="F2383" s="883"/>
      <c r="G2383" s="887">
        <f>SUM(G2384:G2386)</f>
        <v>764.72561377000011</v>
      </c>
      <c r="H2383" s="876">
        <v>968.15</v>
      </c>
      <c r="I2383" s="876">
        <f>IF(ISBLANK(H2383),"",SUM(G2383:H2383))</f>
        <v>1732.8756137700002</v>
      </c>
      <c r="J2383" s="877">
        <f t="shared" si="650"/>
        <v>2117.92</v>
      </c>
      <c r="K2383" s="878" t="s">
        <v>15</v>
      </c>
      <c r="L2383" s="1013">
        <f>ROUND(SUM(ORÇAMENTO!L2383),2)</f>
        <v>0</v>
      </c>
      <c r="M2383" s="1013">
        <f t="shared" si="636"/>
        <v>0</v>
      </c>
      <c r="N2383" s="868">
        <f t="shared" si="637"/>
        <v>0</v>
      </c>
      <c r="O2383" s="880"/>
      <c r="Q2383" s="317" t="str">
        <f t="shared" si="655"/>
        <v/>
      </c>
      <c r="R2383" s="317" t="str">
        <f t="shared" si="656"/>
        <v/>
      </c>
      <c r="S2383" s="317" t="str">
        <f t="shared" si="657"/>
        <v/>
      </c>
      <c r="V2383" s="314">
        <f>SUM(ORÇAMENTO!N2383)</f>
        <v>0</v>
      </c>
      <c r="W2383" s="315">
        <f t="shared" si="639"/>
        <v>0</v>
      </c>
    </row>
    <row r="2384" spans="1:23" hidden="1">
      <c r="A2384" s="63" t="s">
        <v>147</v>
      </c>
      <c r="B2384" s="870" t="s">
        <v>147</v>
      </c>
      <c r="C2384" s="871"/>
      <c r="D2384" s="881" t="s">
        <v>190</v>
      </c>
      <c r="E2384" s="882">
        <f>DMT!$D$20</f>
        <v>445</v>
      </c>
      <c r="F2384" s="883">
        <f>VLOOKUP(D2383,'ENSAIOS DE ORÇAMENTO'!$C$5:$L$81,4,FALSE)</f>
        <v>0.38417000000000001</v>
      </c>
      <c r="G2384" s="884">
        <f>IF(E2384&lt;=30,(0.78*E2384+7.82)*F2384,((0.78*30+7.82)+0.78*(E2384-30))*F2384)</f>
        <v>136.3496164</v>
      </c>
      <c r="H2384" s="876"/>
      <c r="I2384" s="876"/>
      <c r="J2384" s="877">
        <f t="shared" si="650"/>
        <v>0</v>
      </c>
      <c r="K2384" s="878"/>
      <c r="L2384" s="1013">
        <f>ROUND(SUM(ORÇAMENTO!L2384),2)</f>
        <v>0</v>
      </c>
      <c r="M2384" s="1013">
        <f t="shared" si="636"/>
        <v>0</v>
      </c>
      <c r="N2384" s="868">
        <f t="shared" si="637"/>
        <v>0</v>
      </c>
      <c r="O2384" s="880"/>
      <c r="P2384" s="36" t="str">
        <f>IF(N2383&gt;0,"xx",IF(N2383&gt;0,"xy",""))</f>
        <v/>
      </c>
      <c r="Q2384" s="317" t="str">
        <f t="shared" si="655"/>
        <v/>
      </c>
      <c r="R2384" s="317" t="str">
        <f t="shared" si="656"/>
        <v/>
      </c>
      <c r="S2384" s="317" t="str">
        <f t="shared" si="657"/>
        <v/>
      </c>
      <c r="V2384" s="314">
        <f>SUM(ORÇAMENTO!N2384)</f>
        <v>0</v>
      </c>
      <c r="W2384" s="315">
        <f t="shared" si="639"/>
        <v>0</v>
      </c>
    </row>
    <row r="2385" spans="1:23" hidden="1">
      <c r="A2385" s="63" t="s">
        <v>147</v>
      </c>
      <c r="B2385" s="870" t="s">
        <v>147</v>
      </c>
      <c r="C2385" s="871"/>
      <c r="D2385" s="881" t="s">
        <v>229</v>
      </c>
      <c r="E2385" s="882">
        <f>DMT!$F$8</f>
        <v>290</v>
      </c>
      <c r="F2385" s="883">
        <f>VLOOKUP(D2383,'ENSAIOS DE ORÇAMENTO'!$C$5:$L$81,5,FALSE)</f>
        <v>1.55436</v>
      </c>
      <c r="G2385" s="923">
        <f t="shared" ref="G2385:G2386" si="661">IF(E2385&lt;=30,(1.07*E2385+2.68)*F2385,((1.07*30+2.68)+1.07*(E2385-30))*F2385)</f>
        <v>486.4835928</v>
      </c>
      <c r="H2385" s="876"/>
      <c r="I2385" s="876"/>
      <c r="J2385" s="877">
        <f t="shared" si="650"/>
        <v>0</v>
      </c>
      <c r="K2385" s="878"/>
      <c r="L2385" s="1013">
        <f>ROUND(SUM(ORÇAMENTO!L2385),2)</f>
        <v>0</v>
      </c>
      <c r="M2385" s="1013">
        <f t="shared" si="636"/>
        <v>0</v>
      </c>
      <c r="N2385" s="868">
        <f t="shared" si="637"/>
        <v>0</v>
      </c>
      <c r="O2385" s="880"/>
      <c r="P2385" s="36" t="str">
        <f>IF(N2383&gt;0,"xx",IF(N2383&gt;0,"xy",""))</f>
        <v/>
      </c>
      <c r="Q2385" s="317" t="str">
        <f t="shared" si="655"/>
        <v/>
      </c>
      <c r="R2385" s="317" t="str">
        <f t="shared" si="656"/>
        <v/>
      </c>
      <c r="S2385" s="317" t="str">
        <f t="shared" si="657"/>
        <v/>
      </c>
      <c r="V2385" s="314">
        <f>SUM(ORÇAMENTO!N2385)</f>
        <v>0</v>
      </c>
      <c r="W2385" s="315">
        <f t="shared" si="639"/>
        <v>0</v>
      </c>
    </row>
    <row r="2386" spans="1:23" hidden="1">
      <c r="A2386" s="63" t="s">
        <v>147</v>
      </c>
      <c r="B2386" s="870" t="s">
        <v>147</v>
      </c>
      <c r="C2386" s="871"/>
      <c r="D2386" s="881" t="s">
        <v>233</v>
      </c>
      <c r="E2386" s="882">
        <f>DMT!$F$10</f>
        <v>43.1</v>
      </c>
      <c r="F2386" s="883">
        <f>VLOOKUP(D2383,'ENSAIOS DE ORÇAMENTO'!$C$5:$L$81,6,FALSE)</f>
        <v>2.9078100000000004</v>
      </c>
      <c r="G2386" s="923">
        <f t="shared" si="661"/>
        <v>141.89240457000002</v>
      </c>
      <c r="H2386" s="876"/>
      <c r="I2386" s="876"/>
      <c r="J2386" s="877">
        <f t="shared" si="650"/>
        <v>0</v>
      </c>
      <c r="K2386" s="878"/>
      <c r="L2386" s="1013">
        <f>ROUND(SUM(ORÇAMENTO!L2386),2)</f>
        <v>0</v>
      </c>
      <c r="M2386" s="1013">
        <f t="shared" ref="M2386:M2449" si="662">IF(L2386=0,0,ROUND(J2386,2))</f>
        <v>0</v>
      </c>
      <c r="N2386" s="868">
        <f t="shared" ref="N2386:N2449" si="663">IF(ISBLANK(L2386),0,ROUND(L2386*M2386,2))</f>
        <v>0</v>
      </c>
      <c r="O2386" s="880"/>
      <c r="P2386" s="36" t="str">
        <f>IF(N2383&gt;0,"xx",IF(N2383&gt;0,"xy",""))</f>
        <v/>
      </c>
      <c r="Q2386" s="317" t="str">
        <f t="shared" si="655"/>
        <v/>
      </c>
      <c r="R2386" s="317" t="str">
        <f t="shared" si="656"/>
        <v/>
      </c>
      <c r="S2386" s="317" t="str">
        <f t="shared" si="657"/>
        <v/>
      </c>
      <c r="V2386" s="314">
        <f>SUM(ORÇAMENTO!N2386)</f>
        <v>0</v>
      </c>
      <c r="W2386" s="315">
        <f t="shared" si="639"/>
        <v>0</v>
      </c>
    </row>
    <row r="2387" spans="1:23" hidden="1">
      <c r="A2387" s="63" t="s">
        <v>46</v>
      </c>
      <c r="B2387" s="870" t="s">
        <v>46</v>
      </c>
      <c r="C2387" s="871" t="s">
        <v>184</v>
      </c>
      <c r="D2387" s="881" t="s">
        <v>391</v>
      </c>
      <c r="E2387" s="882"/>
      <c r="F2387" s="883"/>
      <c r="G2387" s="887">
        <f>SUM(G2388:G2390)</f>
        <v>944.29800495000006</v>
      </c>
      <c r="H2387" s="876">
        <v>1174.8399999999999</v>
      </c>
      <c r="I2387" s="876">
        <f>IF(ISBLANK(H2387),"",SUM(G2387:H2387))</f>
        <v>2119.1380049499999</v>
      </c>
      <c r="J2387" s="877">
        <f t="shared" si="650"/>
        <v>2590.0100000000002</v>
      </c>
      <c r="K2387" s="878" t="s">
        <v>15</v>
      </c>
      <c r="L2387" s="1013">
        <f>ROUND(SUM(ORÇAMENTO!L2387),2)</f>
        <v>0</v>
      </c>
      <c r="M2387" s="1013">
        <f t="shared" si="662"/>
        <v>0</v>
      </c>
      <c r="N2387" s="868">
        <f t="shared" si="663"/>
        <v>0</v>
      </c>
      <c r="O2387" s="880"/>
      <c r="Q2387" s="317" t="str">
        <f t="shared" si="655"/>
        <v/>
      </c>
      <c r="R2387" s="317" t="str">
        <f t="shared" si="656"/>
        <v/>
      </c>
      <c r="S2387" s="317" t="str">
        <f t="shared" si="657"/>
        <v/>
      </c>
      <c r="V2387" s="314">
        <f>SUM(ORÇAMENTO!N2387)</f>
        <v>0</v>
      </c>
      <c r="W2387" s="315">
        <f t="shared" si="639"/>
        <v>0</v>
      </c>
    </row>
    <row r="2388" spans="1:23" hidden="1">
      <c r="A2388" s="63" t="s">
        <v>147</v>
      </c>
      <c r="B2388" s="870" t="s">
        <v>147</v>
      </c>
      <c r="C2388" s="871"/>
      <c r="D2388" s="881" t="s">
        <v>190</v>
      </c>
      <c r="E2388" s="882">
        <f>DMT!$D$20</f>
        <v>445</v>
      </c>
      <c r="F2388" s="883">
        <f>VLOOKUP(D2387,'ENSAIOS DE ORÇAMENTO'!$C$5:$L$81,4,FALSE)</f>
        <v>0.47295000000000004</v>
      </c>
      <c r="G2388" s="884">
        <f>IF(E2388&lt;=30,(0.78*E2388+7.82)*F2388,((0.78*30+7.82)+0.78*(E2388-30))*F2388)</f>
        <v>167.85941400000002</v>
      </c>
      <c r="H2388" s="876"/>
      <c r="I2388" s="876"/>
      <c r="J2388" s="877">
        <f t="shared" si="650"/>
        <v>0</v>
      </c>
      <c r="K2388" s="878"/>
      <c r="L2388" s="1013">
        <f>ROUND(SUM(ORÇAMENTO!L2388),2)</f>
        <v>0</v>
      </c>
      <c r="M2388" s="1013">
        <f t="shared" si="662"/>
        <v>0</v>
      </c>
      <c r="N2388" s="868">
        <f t="shared" si="663"/>
        <v>0</v>
      </c>
      <c r="O2388" s="880"/>
      <c r="P2388" s="36" t="str">
        <f>IF(N2387&gt;0,"xx",IF(N2387&gt;0,"xy",""))</f>
        <v/>
      </c>
      <c r="Q2388" s="317" t="str">
        <f t="shared" si="655"/>
        <v/>
      </c>
      <c r="R2388" s="317" t="str">
        <f t="shared" si="656"/>
        <v/>
      </c>
      <c r="S2388" s="317" t="str">
        <f t="shared" si="657"/>
        <v/>
      </c>
      <c r="V2388" s="314">
        <f>SUM(ORÇAMENTO!N2388)</f>
        <v>0</v>
      </c>
      <c r="W2388" s="315">
        <f t="shared" si="639"/>
        <v>0</v>
      </c>
    </row>
    <row r="2389" spans="1:23" hidden="1">
      <c r="A2389" s="63" t="s">
        <v>147</v>
      </c>
      <c r="B2389" s="870" t="s">
        <v>147</v>
      </c>
      <c r="C2389" s="871"/>
      <c r="D2389" s="881" t="s">
        <v>229</v>
      </c>
      <c r="E2389" s="882">
        <f>DMT!$F$8</f>
        <v>290</v>
      </c>
      <c r="F2389" s="883">
        <f>VLOOKUP(D2387,'ENSAIOS DE ORÇAMENTO'!$C$5:$L$81,5,FALSE)</f>
        <v>1.9178999999999999</v>
      </c>
      <c r="G2389" s="923">
        <f t="shared" ref="G2389:G2390" si="664">IF(E2389&lt;=30,(1.07*E2389+2.68)*F2389,((1.07*30+2.68)+1.07*(E2389-30))*F2389)</f>
        <v>600.26434200000006</v>
      </c>
      <c r="H2389" s="876"/>
      <c r="I2389" s="876"/>
      <c r="J2389" s="877">
        <f t="shared" si="650"/>
        <v>0</v>
      </c>
      <c r="K2389" s="878"/>
      <c r="L2389" s="1013">
        <f>ROUND(SUM(ORÇAMENTO!L2389),2)</f>
        <v>0</v>
      </c>
      <c r="M2389" s="1013">
        <f t="shared" si="662"/>
        <v>0</v>
      </c>
      <c r="N2389" s="868">
        <f t="shared" si="663"/>
        <v>0</v>
      </c>
      <c r="O2389" s="880"/>
      <c r="P2389" s="36" t="str">
        <f>IF(N2387&gt;0,"xx",IF(N2387&gt;0,"xy",""))</f>
        <v/>
      </c>
      <c r="Q2389" s="317" t="str">
        <f t="shared" si="655"/>
        <v/>
      </c>
      <c r="R2389" s="317" t="str">
        <f t="shared" si="656"/>
        <v/>
      </c>
      <c r="S2389" s="317" t="str">
        <f t="shared" si="657"/>
        <v/>
      </c>
      <c r="V2389" s="314">
        <f>SUM(ORÇAMENTO!N2389)</f>
        <v>0</v>
      </c>
      <c r="W2389" s="315">
        <f t="shared" ref="W2389:W2452" si="665">N2389-V2389</f>
        <v>0</v>
      </c>
    </row>
    <row r="2390" spans="1:23" hidden="1">
      <c r="A2390" s="63" t="s">
        <v>147</v>
      </c>
      <c r="B2390" s="870" t="s">
        <v>147</v>
      </c>
      <c r="C2390" s="871"/>
      <c r="D2390" s="881" t="s">
        <v>233</v>
      </c>
      <c r="E2390" s="882">
        <f>DMT!$F$10</f>
        <v>43.1</v>
      </c>
      <c r="F2390" s="883">
        <f>VLOOKUP(D2387,'ENSAIOS DE ORÇAMENTO'!$C$5:$L$81,6,FALSE)</f>
        <v>3.6103500000000004</v>
      </c>
      <c r="G2390" s="923">
        <f t="shared" si="664"/>
        <v>176.17424895000002</v>
      </c>
      <c r="H2390" s="876"/>
      <c r="I2390" s="876"/>
      <c r="J2390" s="877">
        <f t="shared" si="650"/>
        <v>0</v>
      </c>
      <c r="K2390" s="878"/>
      <c r="L2390" s="1013">
        <f>ROUND(SUM(ORÇAMENTO!L2390),2)</f>
        <v>0</v>
      </c>
      <c r="M2390" s="1013">
        <f t="shared" si="662"/>
        <v>0</v>
      </c>
      <c r="N2390" s="868">
        <f t="shared" si="663"/>
        <v>0</v>
      </c>
      <c r="O2390" s="880"/>
      <c r="P2390" s="36" t="str">
        <f>IF(N2387&gt;0,"xx",IF(N2387&gt;0,"xy",""))</f>
        <v/>
      </c>
      <c r="Q2390" s="317" t="str">
        <f t="shared" si="655"/>
        <v/>
      </c>
      <c r="R2390" s="317" t="str">
        <f t="shared" si="656"/>
        <v/>
      </c>
      <c r="S2390" s="317" t="str">
        <f t="shared" si="657"/>
        <v/>
      </c>
      <c r="V2390" s="314">
        <f>SUM(ORÇAMENTO!N2390)</f>
        <v>0</v>
      </c>
      <c r="W2390" s="315">
        <f t="shared" si="665"/>
        <v>0</v>
      </c>
    </row>
    <row r="2391" spans="1:23" hidden="1">
      <c r="A2391" s="63" t="s">
        <v>46</v>
      </c>
      <c r="B2391" s="870" t="s">
        <v>46</v>
      </c>
      <c r="C2391" s="871" t="s">
        <v>184</v>
      </c>
      <c r="D2391" s="881" t="s">
        <v>392</v>
      </c>
      <c r="E2391" s="882"/>
      <c r="F2391" s="883"/>
      <c r="G2391" s="887">
        <f>SUM(G2392:G2394)</f>
        <v>1511.2562207599999</v>
      </c>
      <c r="H2391" s="876">
        <v>1839.37</v>
      </c>
      <c r="I2391" s="876">
        <f>IF(ISBLANK(H2391),"",SUM(G2391:H2391))</f>
        <v>3350.6262207599998</v>
      </c>
      <c r="J2391" s="877">
        <f t="shared" si="650"/>
        <v>4095.14</v>
      </c>
      <c r="K2391" s="878" t="s">
        <v>15</v>
      </c>
      <c r="L2391" s="1013">
        <f>ROUND(SUM(ORÇAMENTO!L2391),2)</f>
        <v>0</v>
      </c>
      <c r="M2391" s="1013">
        <f t="shared" si="662"/>
        <v>0</v>
      </c>
      <c r="N2391" s="868">
        <f t="shared" si="663"/>
        <v>0</v>
      </c>
      <c r="O2391" s="880"/>
      <c r="Q2391" s="317" t="str">
        <f t="shared" si="655"/>
        <v/>
      </c>
      <c r="R2391" s="317" t="str">
        <f t="shared" si="656"/>
        <v/>
      </c>
      <c r="S2391" s="317" t="str">
        <f t="shared" si="657"/>
        <v/>
      </c>
      <c r="V2391" s="314">
        <f>SUM(ORÇAMENTO!N2391)</f>
        <v>0</v>
      </c>
      <c r="W2391" s="315">
        <f t="shared" si="665"/>
        <v>0</v>
      </c>
    </row>
    <row r="2392" spans="1:23" hidden="1">
      <c r="A2392" s="63" t="s">
        <v>147</v>
      </c>
      <c r="B2392" s="870" t="s">
        <v>147</v>
      </c>
      <c r="C2392" s="871"/>
      <c r="D2392" s="881" t="s">
        <v>190</v>
      </c>
      <c r="E2392" s="882">
        <f>DMT!$D$20</f>
        <v>445</v>
      </c>
      <c r="F2392" s="883">
        <f>VLOOKUP(D2391,'ENSAIOS DE ORÇAMENTO'!$C$5:$L$81,4,FALSE)</f>
        <v>0.75196000000000007</v>
      </c>
      <c r="G2392" s="884">
        <f>IF(E2392&lt;=30,(0.78*E2392+7.82)*F2392,((0.78*30+7.82)+0.78*(E2392-30))*F2392)</f>
        <v>266.88564320000006</v>
      </c>
      <c r="H2392" s="876"/>
      <c r="I2392" s="876"/>
      <c r="J2392" s="877">
        <f t="shared" si="650"/>
        <v>0</v>
      </c>
      <c r="K2392" s="878"/>
      <c r="L2392" s="1013">
        <f>ROUND(SUM(ORÇAMENTO!L2392),2)</f>
        <v>0</v>
      </c>
      <c r="M2392" s="1013">
        <f t="shared" si="662"/>
        <v>0</v>
      </c>
      <c r="N2392" s="868">
        <f t="shared" si="663"/>
        <v>0</v>
      </c>
      <c r="O2392" s="880"/>
      <c r="P2392" s="36" t="str">
        <f>IF(N2391&gt;0,"xx",IF(N2391&gt;0,"xy",""))</f>
        <v/>
      </c>
      <c r="Q2392" s="317" t="str">
        <f t="shared" si="655"/>
        <v/>
      </c>
      <c r="R2392" s="317" t="str">
        <f t="shared" si="656"/>
        <v/>
      </c>
      <c r="S2392" s="317" t="str">
        <f t="shared" si="657"/>
        <v/>
      </c>
      <c r="V2392" s="314">
        <f>SUM(ORÇAMENTO!N2392)</f>
        <v>0</v>
      </c>
      <c r="W2392" s="315">
        <f t="shared" si="665"/>
        <v>0</v>
      </c>
    </row>
    <row r="2393" spans="1:23" hidden="1">
      <c r="A2393" s="63" t="s">
        <v>147</v>
      </c>
      <c r="B2393" s="870" t="s">
        <v>147</v>
      </c>
      <c r="C2393" s="871"/>
      <c r="D2393" s="881" t="s">
        <v>229</v>
      </c>
      <c r="E2393" s="882">
        <f>DMT!$F$8</f>
        <v>290</v>
      </c>
      <c r="F2393" s="883">
        <f>VLOOKUP(D2391,'ENSAIOS DE ORÇAMENTO'!$C$5:$L$81,5,FALSE)</f>
        <v>3.0643799999999999</v>
      </c>
      <c r="G2393" s="923">
        <f t="shared" ref="G2393:G2394" si="666">IF(E2393&lt;=30,(1.07*E2393+2.68)*F2393,((1.07*30+2.68)+1.07*(E2393-30))*F2393)</f>
        <v>959.08965239999998</v>
      </c>
      <c r="H2393" s="876"/>
      <c r="I2393" s="876"/>
      <c r="J2393" s="877">
        <f t="shared" si="650"/>
        <v>0</v>
      </c>
      <c r="K2393" s="878"/>
      <c r="L2393" s="1013">
        <f>ROUND(SUM(ORÇAMENTO!L2393),2)</f>
        <v>0</v>
      </c>
      <c r="M2393" s="1013">
        <f t="shared" si="662"/>
        <v>0</v>
      </c>
      <c r="N2393" s="868">
        <f t="shared" si="663"/>
        <v>0</v>
      </c>
      <c r="O2393" s="880"/>
      <c r="P2393" s="36" t="str">
        <f>IF(N2391&gt;0,"xx",IF(N2391&gt;0,"xy",""))</f>
        <v/>
      </c>
      <c r="Q2393" s="317" t="str">
        <f t="shared" si="655"/>
        <v/>
      </c>
      <c r="R2393" s="317" t="str">
        <f t="shared" si="656"/>
        <v/>
      </c>
      <c r="S2393" s="317" t="str">
        <f t="shared" si="657"/>
        <v/>
      </c>
      <c r="V2393" s="314">
        <f>SUM(ORÇAMENTO!N2393)</f>
        <v>0</v>
      </c>
      <c r="W2393" s="315">
        <f t="shared" si="665"/>
        <v>0</v>
      </c>
    </row>
    <row r="2394" spans="1:23" hidden="1">
      <c r="A2394" s="63" t="s">
        <v>147</v>
      </c>
      <c r="B2394" s="870" t="s">
        <v>147</v>
      </c>
      <c r="C2394" s="871"/>
      <c r="D2394" s="881" t="s">
        <v>233</v>
      </c>
      <c r="E2394" s="882">
        <f>DMT!$F$10</f>
        <v>43.1</v>
      </c>
      <c r="F2394" s="883">
        <f>VLOOKUP(D2391,'ENSAIOS DE ORÇAMENTO'!$C$5:$L$81,6,FALSE)</f>
        <v>5.8462800000000001</v>
      </c>
      <c r="G2394" s="923">
        <f t="shared" si="666"/>
        <v>285.28092516000004</v>
      </c>
      <c r="H2394" s="876"/>
      <c r="I2394" s="876"/>
      <c r="J2394" s="877">
        <f t="shared" si="650"/>
        <v>0</v>
      </c>
      <c r="K2394" s="878"/>
      <c r="L2394" s="1013">
        <f>ROUND(SUM(ORÇAMENTO!L2394),2)</f>
        <v>0</v>
      </c>
      <c r="M2394" s="1013">
        <f t="shared" si="662"/>
        <v>0</v>
      </c>
      <c r="N2394" s="868">
        <f t="shared" si="663"/>
        <v>0</v>
      </c>
      <c r="O2394" s="880"/>
      <c r="P2394" s="36" t="str">
        <f>IF(N2391&gt;0,"xx",IF(N2391&gt;0,"xy",""))</f>
        <v/>
      </c>
      <c r="Q2394" s="317" t="str">
        <f t="shared" si="655"/>
        <v/>
      </c>
      <c r="R2394" s="317" t="str">
        <f t="shared" si="656"/>
        <v/>
      </c>
      <c r="S2394" s="317" t="str">
        <f t="shared" si="657"/>
        <v/>
      </c>
      <c r="V2394" s="314">
        <f>SUM(ORÇAMENTO!N2394)</f>
        <v>0</v>
      </c>
      <c r="W2394" s="315">
        <f t="shared" si="665"/>
        <v>0</v>
      </c>
    </row>
    <row r="2395" spans="1:23" hidden="1">
      <c r="A2395" s="63" t="s">
        <v>46</v>
      </c>
      <c r="B2395" s="870" t="s">
        <v>46</v>
      </c>
      <c r="C2395" s="871" t="s">
        <v>184</v>
      </c>
      <c r="D2395" s="881" t="s">
        <v>144</v>
      </c>
      <c r="E2395" s="882"/>
      <c r="F2395" s="883"/>
      <c r="G2395" s="887">
        <f>SUM(G2396:G2398)</f>
        <v>2192.2956658100002</v>
      </c>
      <c r="H2395" s="876">
        <v>2627.65</v>
      </c>
      <c r="I2395" s="876">
        <f>IF(ISBLANK(H2395),"",SUM(G2395:H2395))</f>
        <v>4819.9456658100007</v>
      </c>
      <c r="J2395" s="877">
        <f t="shared" si="650"/>
        <v>5890.94</v>
      </c>
      <c r="K2395" s="878" t="s">
        <v>15</v>
      </c>
      <c r="L2395" s="1013">
        <f>ROUND(SUM(ORÇAMENTO!L2395),2)</f>
        <v>0</v>
      </c>
      <c r="M2395" s="1013">
        <f t="shared" si="662"/>
        <v>0</v>
      </c>
      <c r="N2395" s="868">
        <f t="shared" si="663"/>
        <v>0</v>
      </c>
      <c r="O2395" s="880"/>
      <c r="Q2395" s="317" t="str">
        <f t="shared" si="655"/>
        <v/>
      </c>
      <c r="R2395" s="317" t="str">
        <f t="shared" si="656"/>
        <v/>
      </c>
      <c r="S2395" s="317" t="str">
        <f t="shared" si="657"/>
        <v/>
      </c>
      <c r="V2395" s="314">
        <f>SUM(ORÇAMENTO!N2395)</f>
        <v>0</v>
      </c>
      <c r="W2395" s="315">
        <f t="shared" si="665"/>
        <v>0</v>
      </c>
    </row>
    <row r="2396" spans="1:23" hidden="1">
      <c r="A2396" s="63" t="s">
        <v>147</v>
      </c>
      <c r="B2396" s="870" t="s">
        <v>147</v>
      </c>
      <c r="C2396" s="871"/>
      <c r="D2396" s="881" t="s">
        <v>190</v>
      </c>
      <c r="E2396" s="882">
        <f>DMT!$D$20</f>
        <v>445</v>
      </c>
      <c r="F2396" s="883">
        <f>VLOOKUP(D2395,'ENSAIOS DE ORÇAMENTO'!$C$5:$L$81,4,FALSE)</f>
        <v>1.08901</v>
      </c>
      <c r="G2396" s="884">
        <f>IF(E2396&lt;=30,(0.78*E2396+7.82)*F2396,((0.78*30+7.82)+0.78*(E2396-30))*F2396)</f>
        <v>386.51142920000001</v>
      </c>
      <c r="H2396" s="876"/>
      <c r="I2396" s="876"/>
      <c r="J2396" s="877">
        <f t="shared" si="650"/>
        <v>0</v>
      </c>
      <c r="K2396" s="878"/>
      <c r="L2396" s="1013">
        <f>ROUND(SUM(ORÇAMENTO!L2396),2)</f>
        <v>0</v>
      </c>
      <c r="M2396" s="1013">
        <f t="shared" si="662"/>
        <v>0</v>
      </c>
      <c r="N2396" s="868">
        <f t="shared" si="663"/>
        <v>0</v>
      </c>
      <c r="O2396" s="880"/>
      <c r="P2396" s="36" t="str">
        <f>IF(N2395&gt;0,"xx",IF(N2395&gt;0,"xy",""))</f>
        <v/>
      </c>
      <c r="Q2396" s="317" t="str">
        <f t="shared" si="655"/>
        <v/>
      </c>
      <c r="R2396" s="317" t="str">
        <f t="shared" si="656"/>
        <v/>
      </c>
      <c r="S2396" s="317" t="str">
        <f t="shared" si="657"/>
        <v/>
      </c>
      <c r="V2396" s="314">
        <f>SUM(ORÇAMENTO!N2396)</f>
        <v>0</v>
      </c>
      <c r="W2396" s="315">
        <f t="shared" si="665"/>
        <v>0</v>
      </c>
    </row>
    <row r="2397" spans="1:23" hidden="1">
      <c r="A2397" s="63" t="s">
        <v>147</v>
      </c>
      <c r="B2397" s="870" t="s">
        <v>147</v>
      </c>
      <c r="C2397" s="871"/>
      <c r="D2397" s="881" t="s">
        <v>229</v>
      </c>
      <c r="E2397" s="882">
        <f>DMT!$F$8</f>
        <v>290</v>
      </c>
      <c r="F2397" s="883">
        <f>VLOOKUP(D2395,'ENSAIOS DE ORÇAMENTO'!$C$5:$L$81,5,FALSE)</f>
        <v>4.4434800000000001</v>
      </c>
      <c r="G2397" s="923">
        <f t="shared" ref="G2397:G2398" si="667">IF(E2397&lt;=30,(1.07*E2397+2.68)*F2397,((1.07*30+2.68)+1.07*(E2397-30))*F2397)</f>
        <v>1390.7203704000001</v>
      </c>
      <c r="H2397" s="876"/>
      <c r="I2397" s="876"/>
      <c r="J2397" s="877">
        <f t="shared" si="650"/>
        <v>0</v>
      </c>
      <c r="K2397" s="878"/>
      <c r="L2397" s="1013">
        <f>ROUND(SUM(ORÇAMENTO!L2397),2)</f>
        <v>0</v>
      </c>
      <c r="M2397" s="1013">
        <f t="shared" si="662"/>
        <v>0</v>
      </c>
      <c r="N2397" s="868">
        <f t="shared" si="663"/>
        <v>0</v>
      </c>
      <c r="O2397" s="880"/>
      <c r="P2397" s="36" t="str">
        <f>IF(N2395&gt;0,"xx",IF(N2395&gt;0,"xy",""))</f>
        <v/>
      </c>
      <c r="Q2397" s="317" t="str">
        <f t="shared" si="655"/>
        <v/>
      </c>
      <c r="R2397" s="317" t="str">
        <f t="shared" si="656"/>
        <v/>
      </c>
      <c r="S2397" s="317" t="str">
        <f t="shared" si="657"/>
        <v/>
      </c>
      <c r="V2397" s="314">
        <f>SUM(ORÇAMENTO!N2397)</f>
        <v>0</v>
      </c>
      <c r="W2397" s="315">
        <f t="shared" si="665"/>
        <v>0</v>
      </c>
    </row>
    <row r="2398" spans="1:23" hidden="1">
      <c r="A2398" s="63" t="s">
        <v>147</v>
      </c>
      <c r="B2398" s="870" t="s">
        <v>147</v>
      </c>
      <c r="C2398" s="871"/>
      <c r="D2398" s="881" t="s">
        <v>233</v>
      </c>
      <c r="E2398" s="882">
        <f>DMT!$F$10</f>
        <v>43.1</v>
      </c>
      <c r="F2398" s="883">
        <f>VLOOKUP(D2395,'ENSAIOS DE ORÇAMENTO'!$C$5:$L$81,6,FALSE)</f>
        <v>8.5059300000000011</v>
      </c>
      <c r="G2398" s="923">
        <f t="shared" si="667"/>
        <v>415.06386621000007</v>
      </c>
      <c r="H2398" s="876"/>
      <c r="I2398" s="876"/>
      <c r="J2398" s="877">
        <f t="shared" ref="J2398:J2455" si="668">IF(ISBLANK(H2398),0,ROUND(I2398*(1+$E$10),2))</f>
        <v>0</v>
      </c>
      <c r="K2398" s="878"/>
      <c r="L2398" s="1013">
        <f>ROUND(SUM(ORÇAMENTO!L2398),2)</f>
        <v>0</v>
      </c>
      <c r="M2398" s="1013">
        <f t="shared" si="662"/>
        <v>0</v>
      </c>
      <c r="N2398" s="868">
        <f t="shared" si="663"/>
        <v>0</v>
      </c>
      <c r="O2398" s="880"/>
      <c r="P2398" s="36" t="str">
        <f>IF(N2395&gt;0,"xx",IF(N2395&gt;0,"xy",""))</f>
        <v/>
      </c>
      <c r="Q2398" s="317" t="str">
        <f t="shared" si="655"/>
        <v/>
      </c>
      <c r="R2398" s="317" t="str">
        <f t="shared" si="656"/>
        <v/>
      </c>
      <c r="S2398" s="317" t="str">
        <f t="shared" si="657"/>
        <v/>
      </c>
      <c r="V2398" s="314">
        <f>SUM(ORÇAMENTO!N2398)</f>
        <v>0</v>
      </c>
      <c r="W2398" s="315">
        <f t="shared" si="665"/>
        <v>0</v>
      </c>
    </row>
    <row r="2399" spans="1:23" hidden="1">
      <c r="A2399" s="63" t="s">
        <v>46</v>
      </c>
      <c r="B2399" s="870" t="s">
        <v>46</v>
      </c>
      <c r="C2399" s="871" t="s">
        <v>184</v>
      </c>
      <c r="D2399" s="881" t="s">
        <v>145</v>
      </c>
      <c r="E2399" s="882"/>
      <c r="F2399" s="883"/>
      <c r="G2399" s="887">
        <f>SUM(G2400:G2402)</f>
        <v>2978.7005148100002</v>
      </c>
      <c r="H2399" s="876">
        <v>3538.55</v>
      </c>
      <c r="I2399" s="876">
        <f>IF(ISBLANK(H2399),"",SUM(G2399:H2399))</f>
        <v>6517.2505148100008</v>
      </c>
      <c r="J2399" s="877">
        <f t="shared" si="668"/>
        <v>7965.38</v>
      </c>
      <c r="K2399" s="878" t="s">
        <v>15</v>
      </c>
      <c r="L2399" s="1013">
        <f>ROUND(SUM(ORÇAMENTO!L2399),2)</f>
        <v>0</v>
      </c>
      <c r="M2399" s="1013">
        <f t="shared" si="662"/>
        <v>0</v>
      </c>
      <c r="N2399" s="868">
        <f t="shared" si="663"/>
        <v>0</v>
      </c>
      <c r="O2399" s="880"/>
      <c r="Q2399" s="317" t="str">
        <f t="shared" si="655"/>
        <v/>
      </c>
      <c r="R2399" s="317" t="str">
        <f t="shared" si="656"/>
        <v/>
      </c>
      <c r="S2399" s="317" t="str">
        <f t="shared" si="657"/>
        <v/>
      </c>
      <c r="V2399" s="314">
        <f>SUM(ORÇAMENTO!N2399)</f>
        <v>0</v>
      </c>
      <c r="W2399" s="315">
        <f t="shared" si="665"/>
        <v>0</v>
      </c>
    </row>
    <row r="2400" spans="1:23" hidden="1">
      <c r="A2400" s="63" t="s">
        <v>147</v>
      </c>
      <c r="B2400" s="870" t="s">
        <v>147</v>
      </c>
      <c r="C2400" s="871"/>
      <c r="D2400" s="881" t="s">
        <v>190</v>
      </c>
      <c r="E2400" s="882">
        <f>DMT!$D$20</f>
        <v>445</v>
      </c>
      <c r="F2400" s="883">
        <f>VLOOKUP(D2399,'ENSAIOS DE ORÇAMENTO'!$C$5:$L$81,4,FALSE)</f>
        <v>1.4740100000000003</v>
      </c>
      <c r="G2400" s="884">
        <f>IF(E2400&lt;=30,(0.78*E2400+7.82)*F2400,((0.78*30+7.82)+0.78*(E2400-30))*F2400)</f>
        <v>523.15562920000013</v>
      </c>
      <c r="H2400" s="876"/>
      <c r="I2400" s="876"/>
      <c r="J2400" s="877">
        <f t="shared" si="668"/>
        <v>0</v>
      </c>
      <c r="K2400" s="878"/>
      <c r="L2400" s="1013">
        <f>ROUND(SUM(ORÇAMENTO!L2400),2)</f>
        <v>0</v>
      </c>
      <c r="M2400" s="1013">
        <f t="shared" si="662"/>
        <v>0</v>
      </c>
      <c r="N2400" s="868">
        <f t="shared" si="663"/>
        <v>0</v>
      </c>
      <c r="O2400" s="880"/>
      <c r="P2400" s="36" t="str">
        <f>IF(N2399&gt;0,"xx",IF(N2399&gt;0,"xy",""))</f>
        <v/>
      </c>
      <c r="Q2400" s="317" t="str">
        <f t="shared" si="655"/>
        <v/>
      </c>
      <c r="R2400" s="317" t="str">
        <f t="shared" si="656"/>
        <v/>
      </c>
      <c r="S2400" s="317" t="str">
        <f t="shared" si="657"/>
        <v/>
      </c>
      <c r="V2400" s="314">
        <f>SUM(ORÇAMENTO!N2400)</f>
        <v>0</v>
      </c>
      <c r="W2400" s="315">
        <f t="shared" si="665"/>
        <v>0</v>
      </c>
    </row>
    <row r="2401" spans="1:23" hidden="1">
      <c r="A2401" s="63" t="s">
        <v>147</v>
      </c>
      <c r="B2401" s="870" t="s">
        <v>147</v>
      </c>
      <c r="C2401" s="871"/>
      <c r="D2401" s="881" t="s">
        <v>229</v>
      </c>
      <c r="E2401" s="882">
        <f>DMT!$F$8</f>
        <v>290</v>
      </c>
      <c r="F2401" s="883">
        <f>VLOOKUP(D2399,'ENSAIOS DE ORÇAMENTO'!$C$5:$L$81,5,FALSE)</f>
        <v>6.0316799999999997</v>
      </c>
      <c r="G2401" s="923">
        <f t="shared" ref="G2401:G2402" si="669">IF(E2401&lt;=30,(1.07*E2401+2.68)*F2401,((1.07*30+2.68)+1.07*(E2401-30))*F2401)</f>
        <v>1887.7952064000001</v>
      </c>
      <c r="H2401" s="876"/>
      <c r="I2401" s="876"/>
      <c r="J2401" s="877">
        <f t="shared" si="668"/>
        <v>0</v>
      </c>
      <c r="K2401" s="878"/>
      <c r="L2401" s="1013">
        <f>ROUND(SUM(ORÇAMENTO!L2401),2)</f>
        <v>0</v>
      </c>
      <c r="M2401" s="1013">
        <f t="shared" si="662"/>
        <v>0</v>
      </c>
      <c r="N2401" s="868">
        <f t="shared" si="663"/>
        <v>0</v>
      </c>
      <c r="O2401" s="880"/>
      <c r="P2401" s="36" t="str">
        <f>IF(N2399&gt;0,"xx",IF(N2399&gt;0,"xy",""))</f>
        <v/>
      </c>
      <c r="Q2401" s="317" t="str">
        <f t="shared" si="655"/>
        <v/>
      </c>
      <c r="R2401" s="317" t="str">
        <f t="shared" si="656"/>
        <v/>
      </c>
      <c r="S2401" s="317" t="str">
        <f t="shared" si="657"/>
        <v/>
      </c>
      <c r="V2401" s="314">
        <f>SUM(ORÇAMENTO!N2401)</f>
        <v>0</v>
      </c>
      <c r="W2401" s="315">
        <f t="shared" si="665"/>
        <v>0</v>
      </c>
    </row>
    <row r="2402" spans="1:23" hidden="1">
      <c r="A2402" s="63" t="s">
        <v>147</v>
      </c>
      <c r="B2402" s="870" t="s">
        <v>147</v>
      </c>
      <c r="C2402" s="871"/>
      <c r="D2402" s="881" t="s">
        <v>233</v>
      </c>
      <c r="E2402" s="882">
        <f>DMT!$F$10</f>
        <v>43.1</v>
      </c>
      <c r="F2402" s="883">
        <f>VLOOKUP(D2399,'ENSAIOS DE ORÇAMENTO'!$C$5:$L$81,6,FALSE)</f>
        <v>11.634930000000001</v>
      </c>
      <c r="G2402" s="923">
        <f t="shared" si="669"/>
        <v>567.74967921000007</v>
      </c>
      <c r="H2402" s="876"/>
      <c r="I2402" s="876"/>
      <c r="J2402" s="877">
        <f t="shared" si="668"/>
        <v>0</v>
      </c>
      <c r="K2402" s="878"/>
      <c r="L2402" s="1013">
        <f>ROUND(SUM(ORÇAMENTO!L2402),2)</f>
        <v>0</v>
      </c>
      <c r="M2402" s="1013">
        <f t="shared" si="662"/>
        <v>0</v>
      </c>
      <c r="N2402" s="868">
        <f t="shared" si="663"/>
        <v>0</v>
      </c>
      <c r="O2402" s="880"/>
      <c r="P2402" s="36" t="str">
        <f>IF(N2399&gt;0,"xx",IF(N2399&gt;0,"xy",""))</f>
        <v/>
      </c>
      <c r="Q2402" s="317" t="str">
        <f t="shared" si="655"/>
        <v/>
      </c>
      <c r="R2402" s="317" t="str">
        <f t="shared" si="656"/>
        <v/>
      </c>
      <c r="S2402" s="317" t="str">
        <f t="shared" si="657"/>
        <v/>
      </c>
      <c r="V2402" s="314">
        <f>SUM(ORÇAMENTO!N2402)</f>
        <v>0</v>
      </c>
      <c r="W2402" s="315">
        <f t="shared" si="665"/>
        <v>0</v>
      </c>
    </row>
    <row r="2403" spans="1:23" hidden="1">
      <c r="A2403" s="63" t="s">
        <v>46</v>
      </c>
      <c r="B2403" s="870" t="s">
        <v>46</v>
      </c>
      <c r="C2403" s="871" t="s">
        <v>184</v>
      </c>
      <c r="D2403" s="881" t="s">
        <v>146</v>
      </c>
      <c r="E2403" s="882"/>
      <c r="F2403" s="883"/>
      <c r="G2403" s="887">
        <f>SUM(G2404:G2406)</f>
        <v>4924.7354652700005</v>
      </c>
      <c r="H2403" s="876">
        <v>5739.62</v>
      </c>
      <c r="I2403" s="876">
        <f>IF(ISBLANK(H2403),"",SUM(G2403:H2403))</f>
        <v>10664.35546527</v>
      </c>
      <c r="J2403" s="877">
        <f t="shared" si="668"/>
        <v>13033.98</v>
      </c>
      <c r="K2403" s="878" t="s">
        <v>15</v>
      </c>
      <c r="L2403" s="1013">
        <f>ROUND(SUM(ORÇAMENTO!L2403),2)</f>
        <v>0</v>
      </c>
      <c r="M2403" s="1013">
        <f t="shared" si="662"/>
        <v>0</v>
      </c>
      <c r="N2403" s="868">
        <f t="shared" si="663"/>
        <v>0</v>
      </c>
      <c r="O2403" s="880"/>
      <c r="Q2403" s="317" t="str">
        <f t="shared" si="655"/>
        <v/>
      </c>
      <c r="R2403" s="317" t="str">
        <f t="shared" si="656"/>
        <v/>
      </c>
      <c r="S2403" s="317" t="str">
        <f t="shared" si="657"/>
        <v/>
      </c>
      <c r="V2403" s="314">
        <f>SUM(ORÇAMENTO!N2403)</f>
        <v>0</v>
      </c>
      <c r="W2403" s="315">
        <f t="shared" si="665"/>
        <v>0</v>
      </c>
    </row>
    <row r="2404" spans="1:23" hidden="1">
      <c r="A2404" s="63" t="s">
        <v>147</v>
      </c>
      <c r="B2404" s="870" t="s">
        <v>147</v>
      </c>
      <c r="C2404" s="871"/>
      <c r="D2404" s="881" t="s">
        <v>190</v>
      </c>
      <c r="E2404" s="882">
        <f>DMT!$D$20</f>
        <v>445</v>
      </c>
      <c r="F2404" s="883">
        <f>VLOOKUP(D2403,'ENSAIOS DE ORÇAMENTO'!$C$5:$L$81,4,FALSE)</f>
        <v>2.41967</v>
      </c>
      <c r="G2404" s="884">
        <f>IF(E2404&lt;=30,(0.78*E2404+7.82)*F2404,((0.78*30+7.82)+0.78*(E2404-30))*F2404)</f>
        <v>858.78927640000006</v>
      </c>
      <c r="H2404" s="876"/>
      <c r="I2404" s="876"/>
      <c r="J2404" s="877">
        <f t="shared" si="668"/>
        <v>0</v>
      </c>
      <c r="K2404" s="878"/>
      <c r="L2404" s="1013">
        <f>ROUND(SUM(ORÇAMENTO!L2404),2)</f>
        <v>0</v>
      </c>
      <c r="M2404" s="1013">
        <f t="shared" si="662"/>
        <v>0</v>
      </c>
      <c r="N2404" s="868">
        <f t="shared" si="663"/>
        <v>0</v>
      </c>
      <c r="O2404" s="880"/>
      <c r="P2404" s="36" t="str">
        <f>IF(N2403&gt;0,"xx",IF(N2403&gt;0,"xy",""))</f>
        <v/>
      </c>
      <c r="Q2404" s="317" t="str">
        <f t="shared" si="655"/>
        <v/>
      </c>
      <c r="R2404" s="317" t="str">
        <f t="shared" si="656"/>
        <v/>
      </c>
      <c r="S2404" s="317" t="str">
        <f t="shared" si="657"/>
        <v/>
      </c>
      <c r="V2404" s="314">
        <f>SUM(ORÇAMENTO!N2404)</f>
        <v>0</v>
      </c>
      <c r="W2404" s="315">
        <f t="shared" si="665"/>
        <v>0</v>
      </c>
    </row>
    <row r="2405" spans="1:23" hidden="1">
      <c r="A2405" s="63" t="s">
        <v>147</v>
      </c>
      <c r="B2405" s="870" t="s">
        <v>147</v>
      </c>
      <c r="C2405" s="871"/>
      <c r="D2405" s="881" t="s">
        <v>229</v>
      </c>
      <c r="E2405" s="882">
        <f>DMT!$F$8</f>
        <v>290</v>
      </c>
      <c r="F2405" s="883">
        <f>VLOOKUP(D2403,'ENSAIOS DE ORÇAMENTO'!$C$5:$L$81,5,FALSE)</f>
        <v>9.9546600000000005</v>
      </c>
      <c r="G2405" s="923">
        <f t="shared" ref="G2405:G2406" si="670">IF(E2405&lt;=30,(1.07*E2405+2.68)*F2405,((1.07*30+2.68)+1.07*(E2405-30))*F2405)</f>
        <v>3115.6094868000005</v>
      </c>
      <c r="H2405" s="876"/>
      <c r="I2405" s="876"/>
      <c r="J2405" s="877">
        <f t="shared" si="668"/>
        <v>0</v>
      </c>
      <c r="K2405" s="878"/>
      <c r="L2405" s="1013">
        <f>ROUND(SUM(ORÇAMENTO!L2405),2)</f>
        <v>0</v>
      </c>
      <c r="M2405" s="1013">
        <f t="shared" si="662"/>
        <v>0</v>
      </c>
      <c r="N2405" s="868">
        <f t="shared" si="663"/>
        <v>0</v>
      </c>
      <c r="O2405" s="880"/>
      <c r="P2405" s="36" t="str">
        <f>IF(N2403&gt;0,"xx",IF(N2403&gt;0,"xy",""))</f>
        <v/>
      </c>
      <c r="Q2405" s="317" t="str">
        <f t="shared" si="655"/>
        <v/>
      </c>
      <c r="R2405" s="317" t="str">
        <f t="shared" si="656"/>
        <v/>
      </c>
      <c r="S2405" s="317" t="str">
        <f t="shared" si="657"/>
        <v/>
      </c>
      <c r="V2405" s="314">
        <f>SUM(ORÇAMENTO!N2405)</f>
        <v>0</v>
      </c>
      <c r="W2405" s="315">
        <f t="shared" si="665"/>
        <v>0</v>
      </c>
    </row>
    <row r="2406" spans="1:23" hidden="1">
      <c r="A2406" s="63" t="s">
        <v>147</v>
      </c>
      <c r="B2406" s="870" t="s">
        <v>147</v>
      </c>
      <c r="C2406" s="871"/>
      <c r="D2406" s="881" t="s">
        <v>233</v>
      </c>
      <c r="E2406" s="882">
        <f>DMT!$F$10</f>
        <v>43.1</v>
      </c>
      <c r="F2406" s="883">
        <f>VLOOKUP(D2403,'ENSAIOS DE ORÇAMENTO'!$C$5:$L$81,6,FALSE)</f>
        <v>19.47531</v>
      </c>
      <c r="G2406" s="923">
        <f t="shared" si="670"/>
        <v>950.33670207000011</v>
      </c>
      <c r="H2406" s="876"/>
      <c r="I2406" s="876"/>
      <c r="J2406" s="877">
        <f t="shared" si="668"/>
        <v>0</v>
      </c>
      <c r="K2406" s="878"/>
      <c r="L2406" s="1013">
        <f>ROUND(SUM(ORÇAMENTO!L2406),2)</f>
        <v>0</v>
      </c>
      <c r="M2406" s="1013">
        <f t="shared" si="662"/>
        <v>0</v>
      </c>
      <c r="N2406" s="868">
        <f t="shared" si="663"/>
        <v>0</v>
      </c>
      <c r="O2406" s="880"/>
      <c r="P2406" s="36" t="str">
        <f>IF(N2403&gt;0,"xx",IF(N2403&gt;0,"xy",""))</f>
        <v/>
      </c>
      <c r="Q2406" s="317" t="str">
        <f t="shared" si="655"/>
        <v/>
      </c>
      <c r="R2406" s="317" t="str">
        <f t="shared" si="656"/>
        <v/>
      </c>
      <c r="S2406" s="317" t="str">
        <f t="shared" si="657"/>
        <v/>
      </c>
      <c r="V2406" s="314">
        <f>SUM(ORÇAMENTO!N2406)</f>
        <v>0</v>
      </c>
      <c r="W2406" s="315">
        <f t="shared" si="665"/>
        <v>0</v>
      </c>
    </row>
    <row r="2407" spans="1:23" hidden="1">
      <c r="A2407" s="63" t="s">
        <v>393</v>
      </c>
      <c r="B2407" s="870" t="s">
        <v>393</v>
      </c>
      <c r="C2407" s="871" t="s">
        <v>184</v>
      </c>
      <c r="D2407" s="881" t="str">
        <f>'ENSAIOS DE ORÇAMENTO'!C72</f>
        <v>ENSAIO DE ORÇAMENTO 1</v>
      </c>
      <c r="E2407" s="882"/>
      <c r="F2407" s="883"/>
      <c r="G2407" s="887">
        <f>SUM(G2408:G2412)</f>
        <v>0</v>
      </c>
      <c r="H2407" s="876">
        <v>0</v>
      </c>
      <c r="I2407" s="876">
        <f t="shared" ref="I2407:I2425" si="671">IF(ISBLANK(H2407),"",SUM(G2407:H2407))</f>
        <v>0</v>
      </c>
      <c r="J2407" s="877">
        <f t="shared" si="668"/>
        <v>0</v>
      </c>
      <c r="K2407" s="878" t="s">
        <v>15</v>
      </c>
      <c r="L2407" s="1013">
        <f>ROUND(SUM(ORÇAMENTO!L2407),2)</f>
        <v>0</v>
      </c>
      <c r="M2407" s="1013">
        <f t="shared" si="662"/>
        <v>0</v>
      </c>
      <c r="N2407" s="868">
        <f t="shared" si="663"/>
        <v>0</v>
      </c>
      <c r="O2407" s="880"/>
      <c r="Q2407" s="317" t="str">
        <f t="shared" si="655"/>
        <v/>
      </c>
      <c r="R2407" s="317" t="str">
        <f t="shared" si="656"/>
        <v/>
      </c>
      <c r="S2407" s="317" t="str">
        <f t="shared" si="657"/>
        <v/>
      </c>
      <c r="V2407" s="314">
        <f>SUM(ORÇAMENTO!N2407)</f>
        <v>0</v>
      </c>
      <c r="W2407" s="315">
        <f t="shared" si="665"/>
        <v>0</v>
      </c>
    </row>
    <row r="2408" spans="1:23" hidden="1">
      <c r="A2408" s="63" t="s">
        <v>147</v>
      </c>
      <c r="B2408" s="870" t="s">
        <v>147</v>
      </c>
      <c r="C2408" s="871"/>
      <c r="D2408" s="931" t="s">
        <v>190</v>
      </c>
      <c r="E2408" s="882">
        <f>DMT!$D$20</f>
        <v>445</v>
      </c>
      <c r="F2408" s="883">
        <f>VLOOKUP(D2407,'ENSAIOS DE ORÇAMENTO'!$C$5:$L$81,4,FALSE)</f>
        <v>0</v>
      </c>
      <c r="G2408" s="884">
        <f>IF(E2408&lt;=30,(0.78*E2408+7.82)*F2408,((0.78*30+7.82)+0.78*(E2408-30))*F2408)</f>
        <v>0</v>
      </c>
      <c r="H2408" s="876"/>
      <c r="I2408" s="876" t="str">
        <f t="shared" si="671"/>
        <v/>
      </c>
      <c r="J2408" s="877">
        <f t="shared" si="668"/>
        <v>0</v>
      </c>
      <c r="K2408" s="932" t="s">
        <v>506</v>
      </c>
      <c r="L2408" s="1014">
        <f>ROUND(SUM(ORÇAMENTO!L2408),2)</f>
        <v>0</v>
      </c>
      <c r="M2408" s="1015">
        <f t="shared" si="662"/>
        <v>0</v>
      </c>
      <c r="N2408" s="868">
        <f t="shared" si="663"/>
        <v>0</v>
      </c>
      <c r="O2408" s="880"/>
      <c r="P2408" s="58" t="str">
        <f>IF(N2407&gt;0,"xx",IF(N2407&gt;0,"xy",""))</f>
        <v/>
      </c>
      <c r="Q2408" s="317" t="str">
        <f t="shared" si="655"/>
        <v/>
      </c>
      <c r="R2408" s="317" t="str">
        <f t="shared" si="656"/>
        <v/>
      </c>
      <c r="S2408" s="317" t="str">
        <f t="shared" si="657"/>
        <v/>
      </c>
      <c r="V2408" s="314">
        <f>SUM(ORÇAMENTO!N2408)</f>
        <v>0</v>
      </c>
      <c r="W2408" s="315">
        <f t="shared" si="665"/>
        <v>0</v>
      </c>
    </row>
    <row r="2409" spans="1:23" hidden="1">
      <c r="A2409" s="63" t="s">
        <v>147</v>
      </c>
      <c r="B2409" s="870" t="s">
        <v>147</v>
      </c>
      <c r="C2409" s="871"/>
      <c r="D2409" s="931" t="s">
        <v>229</v>
      </c>
      <c r="E2409" s="882">
        <f>DMT!$F$8</f>
        <v>290</v>
      </c>
      <c r="F2409" s="883">
        <f>VLOOKUP(D2407,'ENSAIOS DE ORÇAMENTO'!$C$5:$L$81,5,FALSE)</f>
        <v>0</v>
      </c>
      <c r="G2409" s="923">
        <f t="shared" ref="G2409:G2411" si="672">IF(E2409&lt;=30,(1.07*E2409+2.68)*F2409,((1.07*30+2.68)+1.07*(E2409-30))*F2409)</f>
        <v>0</v>
      </c>
      <c r="H2409" s="876"/>
      <c r="I2409" s="876" t="str">
        <f t="shared" si="671"/>
        <v/>
      </c>
      <c r="J2409" s="877">
        <f t="shared" si="668"/>
        <v>0</v>
      </c>
      <c r="K2409" s="932" t="s">
        <v>506</v>
      </c>
      <c r="L2409" s="1014">
        <f>ROUND(SUM(ORÇAMENTO!L2409),2)</f>
        <v>0</v>
      </c>
      <c r="M2409" s="1015">
        <f t="shared" si="662"/>
        <v>0</v>
      </c>
      <c r="N2409" s="868">
        <f t="shared" si="663"/>
        <v>0</v>
      </c>
      <c r="O2409" s="880"/>
      <c r="P2409" s="58" t="str">
        <f>IF(N2407&gt;0,"xx",IF(N2407&gt;0,"xy",""))</f>
        <v/>
      </c>
      <c r="Q2409" s="317" t="str">
        <f t="shared" si="655"/>
        <v/>
      </c>
      <c r="R2409" s="317" t="str">
        <f t="shared" si="656"/>
        <v/>
      </c>
      <c r="S2409" s="317" t="str">
        <f t="shared" si="657"/>
        <v/>
      </c>
      <c r="V2409" s="314">
        <f>SUM(ORÇAMENTO!N2409)</f>
        <v>0</v>
      </c>
      <c r="W2409" s="315">
        <f t="shared" si="665"/>
        <v>0</v>
      </c>
    </row>
    <row r="2410" spans="1:23" hidden="1">
      <c r="A2410" s="63" t="s">
        <v>147</v>
      </c>
      <c r="B2410" s="870" t="s">
        <v>147</v>
      </c>
      <c r="C2410" s="871"/>
      <c r="D2410" s="931" t="s">
        <v>233</v>
      </c>
      <c r="E2410" s="882">
        <f>DMT!$F$10</f>
        <v>43.1</v>
      </c>
      <c r="F2410" s="883">
        <f>VLOOKUP(D2407,'ENSAIOS DE ORÇAMENTO'!$C$5:$L$81,6,FALSE)</f>
        <v>0</v>
      </c>
      <c r="G2410" s="923">
        <f t="shared" si="672"/>
        <v>0</v>
      </c>
      <c r="H2410" s="876"/>
      <c r="I2410" s="876" t="str">
        <f t="shared" si="671"/>
        <v/>
      </c>
      <c r="J2410" s="877">
        <f t="shared" si="668"/>
        <v>0</v>
      </c>
      <c r="K2410" s="932" t="s">
        <v>506</v>
      </c>
      <c r="L2410" s="1014">
        <f>ROUND(SUM(ORÇAMENTO!L2410),2)</f>
        <v>0</v>
      </c>
      <c r="M2410" s="1015">
        <f t="shared" si="662"/>
        <v>0</v>
      </c>
      <c r="N2410" s="868">
        <f t="shared" si="663"/>
        <v>0</v>
      </c>
      <c r="O2410" s="880"/>
      <c r="P2410" s="58" t="str">
        <f>IF(N2407&gt;0,"xx",IF(N2407&gt;0,"xy",""))</f>
        <v/>
      </c>
      <c r="Q2410" s="317" t="str">
        <f t="shared" si="655"/>
        <v/>
      </c>
      <c r="R2410" s="317" t="str">
        <f t="shared" si="656"/>
        <v/>
      </c>
      <c r="S2410" s="317" t="str">
        <f t="shared" si="657"/>
        <v/>
      </c>
      <c r="V2410" s="314">
        <f>SUM(ORÇAMENTO!N2410)</f>
        <v>0</v>
      </c>
      <c r="W2410" s="315">
        <f t="shared" si="665"/>
        <v>0</v>
      </c>
    </row>
    <row r="2411" spans="1:23" hidden="1">
      <c r="A2411" s="63" t="s">
        <v>147</v>
      </c>
      <c r="B2411" s="870" t="s">
        <v>147</v>
      </c>
      <c r="C2411" s="871"/>
      <c r="D2411" s="931" t="s">
        <v>365</v>
      </c>
      <c r="E2411" s="882">
        <f>DMT!$F$32</f>
        <v>28</v>
      </c>
      <c r="F2411" s="883">
        <f>VLOOKUP(D2407,'ENSAIOS DE ORÇAMENTO'!$C$5:$L$81,3,FALSE)</f>
        <v>0</v>
      </c>
      <c r="G2411" s="923">
        <f t="shared" si="672"/>
        <v>0</v>
      </c>
      <c r="H2411" s="876"/>
      <c r="I2411" s="876" t="str">
        <f t="shared" si="671"/>
        <v/>
      </c>
      <c r="J2411" s="877">
        <f t="shared" si="668"/>
        <v>0</v>
      </c>
      <c r="K2411" s="932" t="s">
        <v>506</v>
      </c>
      <c r="L2411" s="1014">
        <f>ROUND(SUM(ORÇAMENTO!L2411),2)</f>
        <v>0</v>
      </c>
      <c r="M2411" s="1015">
        <f t="shared" si="662"/>
        <v>0</v>
      </c>
      <c r="N2411" s="868">
        <f t="shared" si="663"/>
        <v>0</v>
      </c>
      <c r="O2411" s="880"/>
      <c r="P2411" s="58" t="str">
        <f>IF(N2407&gt;0,"xx",IF(N2407&gt;0,"xy",""))</f>
        <v/>
      </c>
      <c r="Q2411" s="317" t="str">
        <f t="shared" si="655"/>
        <v/>
      </c>
      <c r="R2411" s="317" t="str">
        <f t="shared" si="656"/>
        <v/>
      </c>
      <c r="S2411" s="317" t="str">
        <f t="shared" si="657"/>
        <v/>
      </c>
      <c r="V2411" s="314">
        <f>SUM(ORÇAMENTO!N2411)</f>
        <v>0</v>
      </c>
      <c r="W2411" s="315">
        <f t="shared" si="665"/>
        <v>0</v>
      </c>
    </row>
    <row r="2412" spans="1:23" hidden="1">
      <c r="A2412" s="63" t="s">
        <v>147</v>
      </c>
      <c r="B2412" s="870" t="s">
        <v>147</v>
      </c>
      <c r="C2412" s="871"/>
      <c r="D2412" s="931" t="s">
        <v>366</v>
      </c>
      <c r="E2412" s="882">
        <f>DMT!$D$18</f>
        <v>440</v>
      </c>
      <c r="F2412" s="883">
        <f>VLOOKUP(D2407,'ENSAIOS DE ORÇAMENTO'!$C$5:$L$81,10,FALSE)</f>
        <v>0</v>
      </c>
      <c r="G2412" s="884">
        <f>IF(E2412&lt;=30,(0.78*E2412+7.82)*F2412,((0.78*30+7.82)+0.78*(E2412-30))*F2412)</f>
        <v>0</v>
      </c>
      <c r="H2412" s="876"/>
      <c r="I2412" s="876" t="str">
        <f t="shared" si="671"/>
        <v/>
      </c>
      <c r="J2412" s="877">
        <f t="shared" si="668"/>
        <v>0</v>
      </c>
      <c r="K2412" s="932" t="s">
        <v>506</v>
      </c>
      <c r="L2412" s="1014">
        <f>ROUND(SUM(ORÇAMENTO!L2412),2)</f>
        <v>0</v>
      </c>
      <c r="M2412" s="1015">
        <f t="shared" si="662"/>
        <v>0</v>
      </c>
      <c r="N2412" s="868">
        <f t="shared" si="663"/>
        <v>0</v>
      </c>
      <c r="O2412" s="880"/>
      <c r="P2412" s="58" t="str">
        <f>IF(N2407&gt;0,"xx",IF(N2407&gt;0,"xy",""))</f>
        <v/>
      </c>
      <c r="Q2412" s="317" t="str">
        <f t="shared" si="655"/>
        <v/>
      </c>
      <c r="R2412" s="317" t="str">
        <f t="shared" si="656"/>
        <v/>
      </c>
      <c r="S2412" s="317" t="str">
        <f t="shared" si="657"/>
        <v/>
      </c>
      <c r="V2412" s="314">
        <f>SUM(ORÇAMENTO!N2412)</f>
        <v>0</v>
      </c>
      <c r="W2412" s="315">
        <f t="shared" si="665"/>
        <v>0</v>
      </c>
    </row>
    <row r="2413" spans="1:23" hidden="1">
      <c r="A2413" s="63" t="s">
        <v>394</v>
      </c>
      <c r="B2413" s="870" t="s">
        <v>394</v>
      </c>
      <c r="C2413" s="871" t="s">
        <v>184</v>
      </c>
      <c r="D2413" s="881" t="str">
        <f>'ENSAIOS DE ORÇAMENTO'!C73</f>
        <v>ENSAIO DE ORÇAMENTO 2</v>
      </c>
      <c r="E2413" s="882"/>
      <c r="F2413" s="883"/>
      <c r="G2413" s="887">
        <f>SUM(G2414:G2418)</f>
        <v>0</v>
      </c>
      <c r="H2413" s="876">
        <v>0</v>
      </c>
      <c r="I2413" s="876">
        <f t="shared" si="671"/>
        <v>0</v>
      </c>
      <c r="J2413" s="877">
        <f t="shared" si="668"/>
        <v>0</v>
      </c>
      <c r="K2413" s="878" t="s">
        <v>15</v>
      </c>
      <c r="L2413" s="1013">
        <f>ROUND(SUM(ORÇAMENTO!L2413),2)</f>
        <v>0</v>
      </c>
      <c r="M2413" s="1013">
        <f t="shared" si="662"/>
        <v>0</v>
      </c>
      <c r="N2413" s="868">
        <f t="shared" si="663"/>
        <v>0</v>
      </c>
      <c r="O2413" s="880"/>
      <c r="Q2413" s="317" t="str">
        <f t="shared" si="655"/>
        <v/>
      </c>
      <c r="R2413" s="317" t="str">
        <f t="shared" si="656"/>
        <v/>
      </c>
      <c r="S2413" s="317" t="str">
        <f t="shared" si="657"/>
        <v/>
      </c>
      <c r="V2413" s="314">
        <f>SUM(ORÇAMENTO!N2413)</f>
        <v>0</v>
      </c>
      <c r="W2413" s="315">
        <f t="shared" si="665"/>
        <v>0</v>
      </c>
    </row>
    <row r="2414" spans="1:23" hidden="1">
      <c r="A2414" s="63" t="s">
        <v>147</v>
      </c>
      <c r="B2414" s="870" t="s">
        <v>147</v>
      </c>
      <c r="C2414" s="871"/>
      <c r="D2414" s="931" t="s">
        <v>190</v>
      </c>
      <c r="E2414" s="882">
        <f>DMT!$D$20</f>
        <v>445</v>
      </c>
      <c r="F2414" s="883">
        <f>VLOOKUP(D2413,'ENSAIOS DE ORÇAMENTO'!$C$5:$L$81,4,FALSE)</f>
        <v>0</v>
      </c>
      <c r="G2414" s="884">
        <f>IF(E2414&lt;=30,(0.78*E2414+7.82)*F2414,((0.78*30+7.82)+0.78*(E2414-30))*F2414)</f>
        <v>0</v>
      </c>
      <c r="H2414" s="876"/>
      <c r="I2414" s="876" t="str">
        <f t="shared" si="671"/>
        <v/>
      </c>
      <c r="J2414" s="877">
        <f t="shared" si="668"/>
        <v>0</v>
      </c>
      <c r="K2414" s="932" t="s">
        <v>506</v>
      </c>
      <c r="L2414" s="1014">
        <f>ROUND(SUM(ORÇAMENTO!L2414),2)</f>
        <v>0</v>
      </c>
      <c r="M2414" s="1015">
        <f t="shared" si="662"/>
        <v>0</v>
      </c>
      <c r="N2414" s="868">
        <f t="shared" si="663"/>
        <v>0</v>
      </c>
      <c r="O2414" s="880"/>
      <c r="P2414" s="58" t="str">
        <f>IF(N2413&gt;0,"xx",IF(N2413&gt;0,"xy",""))</f>
        <v/>
      </c>
      <c r="Q2414" s="317" t="str">
        <f t="shared" si="655"/>
        <v/>
      </c>
      <c r="R2414" s="317" t="str">
        <f t="shared" si="656"/>
        <v/>
      </c>
      <c r="S2414" s="317" t="str">
        <f t="shared" si="657"/>
        <v/>
      </c>
      <c r="V2414" s="314">
        <f>SUM(ORÇAMENTO!N2414)</f>
        <v>0</v>
      </c>
      <c r="W2414" s="315">
        <f t="shared" si="665"/>
        <v>0</v>
      </c>
    </row>
    <row r="2415" spans="1:23" hidden="1">
      <c r="A2415" s="63" t="s">
        <v>147</v>
      </c>
      <c r="B2415" s="870" t="s">
        <v>147</v>
      </c>
      <c r="C2415" s="871"/>
      <c r="D2415" s="931" t="s">
        <v>229</v>
      </c>
      <c r="E2415" s="882">
        <f>DMT!$F$8</f>
        <v>290</v>
      </c>
      <c r="F2415" s="883">
        <f>VLOOKUP(D2413,'ENSAIOS DE ORÇAMENTO'!$C$5:$L$81,5,FALSE)</f>
        <v>0</v>
      </c>
      <c r="G2415" s="923">
        <f t="shared" ref="G2415:G2417" si="673">IF(E2415&lt;=30,(1.07*E2415+2.68)*F2415,((1.07*30+2.68)+1.07*(E2415-30))*F2415)</f>
        <v>0</v>
      </c>
      <c r="H2415" s="876"/>
      <c r="I2415" s="876" t="str">
        <f t="shared" si="671"/>
        <v/>
      </c>
      <c r="J2415" s="877">
        <f t="shared" si="668"/>
        <v>0</v>
      </c>
      <c r="K2415" s="932" t="s">
        <v>506</v>
      </c>
      <c r="L2415" s="1014">
        <f>ROUND(SUM(ORÇAMENTO!L2415),2)</f>
        <v>0</v>
      </c>
      <c r="M2415" s="1015">
        <f t="shared" si="662"/>
        <v>0</v>
      </c>
      <c r="N2415" s="868">
        <f t="shared" si="663"/>
        <v>0</v>
      </c>
      <c r="O2415" s="880"/>
      <c r="P2415" s="58" t="str">
        <f>IF(N2413&gt;0,"xx",IF(N2413&gt;0,"xy",""))</f>
        <v/>
      </c>
      <c r="Q2415" s="317" t="str">
        <f t="shared" si="655"/>
        <v/>
      </c>
      <c r="R2415" s="317" t="str">
        <f t="shared" si="656"/>
        <v/>
      </c>
      <c r="S2415" s="317" t="str">
        <f t="shared" si="657"/>
        <v/>
      </c>
      <c r="V2415" s="314">
        <f>SUM(ORÇAMENTO!N2415)</f>
        <v>0</v>
      </c>
      <c r="W2415" s="315">
        <f t="shared" si="665"/>
        <v>0</v>
      </c>
    </row>
    <row r="2416" spans="1:23" hidden="1">
      <c r="A2416" s="63" t="s">
        <v>147</v>
      </c>
      <c r="B2416" s="870" t="s">
        <v>147</v>
      </c>
      <c r="C2416" s="871"/>
      <c r="D2416" s="931" t="s">
        <v>233</v>
      </c>
      <c r="E2416" s="882">
        <f>DMT!$F$10</f>
        <v>43.1</v>
      </c>
      <c r="F2416" s="883">
        <f>VLOOKUP(D2413,'ENSAIOS DE ORÇAMENTO'!$C$5:$L$81,6,FALSE)</f>
        <v>0</v>
      </c>
      <c r="G2416" s="923">
        <f t="shared" si="673"/>
        <v>0</v>
      </c>
      <c r="H2416" s="876"/>
      <c r="I2416" s="876" t="str">
        <f t="shared" si="671"/>
        <v/>
      </c>
      <c r="J2416" s="877">
        <f t="shared" si="668"/>
        <v>0</v>
      </c>
      <c r="K2416" s="932" t="s">
        <v>506</v>
      </c>
      <c r="L2416" s="1014">
        <f>ROUND(SUM(ORÇAMENTO!L2416),2)</f>
        <v>0</v>
      </c>
      <c r="M2416" s="1015">
        <f t="shared" si="662"/>
        <v>0</v>
      </c>
      <c r="N2416" s="868">
        <f t="shared" si="663"/>
        <v>0</v>
      </c>
      <c r="O2416" s="880"/>
      <c r="P2416" s="58" t="str">
        <f>IF(N2413&gt;0,"xx",IF(N2413&gt;0,"xy",""))</f>
        <v/>
      </c>
      <c r="Q2416" s="317" t="str">
        <f t="shared" ref="Q2416:Q2479" si="674">IF(P2416="X","x",IF(P2416="xx","x",IF(P2416="xy","x",IF(P2416="y","x",IF(OR(N2416&gt;0,N2416&gt;0),"x","")))))</f>
        <v/>
      </c>
      <c r="R2416" s="317" t="str">
        <f t="shared" ref="R2416:R2479" si="675">IF(P2416="X","x",IF(P2416="y","x",IF(P2416="xx","x",IF(N2416&gt;0,"x",""))))</f>
        <v/>
      </c>
      <c r="S2416" s="317" t="str">
        <f t="shared" ref="S2416:S2479" si="676">IF(P2416="X","x",IF(N2416&gt;0,"x",""))</f>
        <v/>
      </c>
      <c r="V2416" s="314">
        <f>SUM(ORÇAMENTO!N2416)</f>
        <v>0</v>
      </c>
      <c r="W2416" s="315">
        <f t="shared" si="665"/>
        <v>0</v>
      </c>
    </row>
    <row r="2417" spans="1:23" hidden="1">
      <c r="A2417" s="63" t="s">
        <v>147</v>
      </c>
      <c r="B2417" s="870" t="s">
        <v>147</v>
      </c>
      <c r="C2417" s="871"/>
      <c r="D2417" s="931" t="s">
        <v>365</v>
      </c>
      <c r="E2417" s="882">
        <f>DMT!$F$32</f>
        <v>28</v>
      </c>
      <c r="F2417" s="883">
        <f>VLOOKUP(D2413,'ENSAIOS DE ORÇAMENTO'!$C$5:$L$81,3,FALSE)</f>
        <v>0</v>
      </c>
      <c r="G2417" s="923">
        <f t="shared" si="673"/>
        <v>0</v>
      </c>
      <c r="H2417" s="876"/>
      <c r="I2417" s="876" t="str">
        <f t="shared" si="671"/>
        <v/>
      </c>
      <c r="J2417" s="877">
        <f t="shared" si="668"/>
        <v>0</v>
      </c>
      <c r="K2417" s="932" t="s">
        <v>506</v>
      </c>
      <c r="L2417" s="1014">
        <f>ROUND(SUM(ORÇAMENTO!L2417),2)</f>
        <v>0</v>
      </c>
      <c r="M2417" s="1015">
        <f t="shared" si="662"/>
        <v>0</v>
      </c>
      <c r="N2417" s="868">
        <f t="shared" si="663"/>
        <v>0</v>
      </c>
      <c r="O2417" s="880"/>
      <c r="P2417" s="58" t="str">
        <f>IF(N2413&gt;0,"xx",IF(N2413&gt;0,"xy",""))</f>
        <v/>
      </c>
      <c r="Q2417" s="317" t="str">
        <f t="shared" si="674"/>
        <v/>
      </c>
      <c r="R2417" s="317" t="str">
        <f t="shared" si="675"/>
        <v/>
      </c>
      <c r="S2417" s="317" t="str">
        <f t="shared" si="676"/>
        <v/>
      </c>
      <c r="V2417" s="314">
        <f>SUM(ORÇAMENTO!N2417)</f>
        <v>0</v>
      </c>
      <c r="W2417" s="315">
        <f t="shared" si="665"/>
        <v>0</v>
      </c>
    </row>
    <row r="2418" spans="1:23" hidden="1">
      <c r="A2418" s="63" t="s">
        <v>147</v>
      </c>
      <c r="B2418" s="870" t="s">
        <v>147</v>
      </c>
      <c r="C2418" s="871"/>
      <c r="D2418" s="931" t="s">
        <v>366</v>
      </c>
      <c r="E2418" s="882">
        <f>DMT!$D$18</f>
        <v>440</v>
      </c>
      <c r="F2418" s="883">
        <f>VLOOKUP(D2413,'ENSAIOS DE ORÇAMENTO'!$C$5:$L$81,10,FALSE)</f>
        <v>0</v>
      </c>
      <c r="G2418" s="884">
        <f>IF(E2418&lt;=30,(0.78*E2418+7.82)*F2418,((0.78*30+7.82)+0.78*(E2418-30))*F2418)</f>
        <v>0</v>
      </c>
      <c r="H2418" s="876"/>
      <c r="I2418" s="876" t="str">
        <f t="shared" si="671"/>
        <v/>
      </c>
      <c r="J2418" s="877">
        <f t="shared" si="668"/>
        <v>0</v>
      </c>
      <c r="K2418" s="932" t="s">
        <v>506</v>
      </c>
      <c r="L2418" s="1014">
        <f>ROUND(SUM(ORÇAMENTO!L2418),2)</f>
        <v>0</v>
      </c>
      <c r="M2418" s="1015">
        <f t="shared" si="662"/>
        <v>0</v>
      </c>
      <c r="N2418" s="868">
        <f t="shared" si="663"/>
        <v>0</v>
      </c>
      <c r="O2418" s="880"/>
      <c r="P2418" s="58" t="str">
        <f>IF(N2413&gt;0,"xx",IF(N2413&gt;0,"xy",""))</f>
        <v/>
      </c>
      <c r="Q2418" s="317" t="str">
        <f t="shared" si="674"/>
        <v/>
      </c>
      <c r="R2418" s="317" t="str">
        <f t="shared" si="675"/>
        <v/>
      </c>
      <c r="S2418" s="317" t="str">
        <f t="shared" si="676"/>
        <v/>
      </c>
      <c r="V2418" s="314">
        <f>SUM(ORÇAMENTO!N2418)</f>
        <v>0</v>
      </c>
      <c r="W2418" s="315">
        <f t="shared" si="665"/>
        <v>0</v>
      </c>
    </row>
    <row r="2419" spans="1:23" hidden="1">
      <c r="A2419" s="63" t="s">
        <v>395</v>
      </c>
      <c r="B2419" s="870" t="s">
        <v>395</v>
      </c>
      <c r="C2419" s="871" t="s">
        <v>184</v>
      </c>
      <c r="D2419" s="881" t="str">
        <f>'ENSAIOS DE ORÇAMENTO'!C74</f>
        <v>ENSAIO DE ORÇAMENTO 3</v>
      </c>
      <c r="E2419" s="882"/>
      <c r="F2419" s="883"/>
      <c r="G2419" s="887">
        <f>SUM(G2420:G2424)</f>
        <v>0</v>
      </c>
      <c r="H2419" s="876">
        <v>0</v>
      </c>
      <c r="I2419" s="876">
        <f t="shared" si="671"/>
        <v>0</v>
      </c>
      <c r="J2419" s="877">
        <f t="shared" si="668"/>
        <v>0</v>
      </c>
      <c r="K2419" s="878" t="s">
        <v>15</v>
      </c>
      <c r="L2419" s="1013">
        <f>ROUND(SUM(ORÇAMENTO!L2419),2)</f>
        <v>0</v>
      </c>
      <c r="M2419" s="1013">
        <f t="shared" si="662"/>
        <v>0</v>
      </c>
      <c r="N2419" s="868">
        <f t="shared" si="663"/>
        <v>0</v>
      </c>
      <c r="O2419" s="880"/>
      <c r="Q2419" s="317" t="str">
        <f t="shared" si="674"/>
        <v/>
      </c>
      <c r="R2419" s="317" t="str">
        <f t="shared" si="675"/>
        <v/>
      </c>
      <c r="S2419" s="317" t="str">
        <f t="shared" si="676"/>
        <v/>
      </c>
      <c r="V2419" s="314">
        <f>SUM(ORÇAMENTO!N2419)</f>
        <v>0</v>
      </c>
      <c r="W2419" s="315">
        <f t="shared" si="665"/>
        <v>0</v>
      </c>
    </row>
    <row r="2420" spans="1:23" hidden="1">
      <c r="A2420" s="63" t="s">
        <v>147</v>
      </c>
      <c r="B2420" s="870" t="s">
        <v>147</v>
      </c>
      <c r="C2420" s="871"/>
      <c r="D2420" s="931" t="s">
        <v>190</v>
      </c>
      <c r="E2420" s="882">
        <f>DMT!$D$20</f>
        <v>445</v>
      </c>
      <c r="F2420" s="883">
        <f>VLOOKUP(D2419,'ENSAIOS DE ORÇAMENTO'!$C$5:$L$81,4,FALSE)</f>
        <v>0</v>
      </c>
      <c r="G2420" s="884">
        <f>IF(E2420&lt;=30,(0.78*E2420+7.82)*F2420,((0.78*30+7.82)+0.78*(E2420-30))*F2420)</f>
        <v>0</v>
      </c>
      <c r="H2420" s="876"/>
      <c r="I2420" s="876" t="str">
        <f t="shared" si="671"/>
        <v/>
      </c>
      <c r="J2420" s="877">
        <f t="shared" si="668"/>
        <v>0</v>
      </c>
      <c r="K2420" s="932" t="s">
        <v>506</v>
      </c>
      <c r="L2420" s="1014">
        <f>ROUND(SUM(ORÇAMENTO!L2420),2)</f>
        <v>0</v>
      </c>
      <c r="M2420" s="1015">
        <f t="shared" si="662"/>
        <v>0</v>
      </c>
      <c r="N2420" s="868">
        <f t="shared" si="663"/>
        <v>0</v>
      </c>
      <c r="O2420" s="880"/>
      <c r="P2420" s="58" t="str">
        <f>IF(N2419&gt;0,"xx",IF(N2419&gt;0,"xy",""))</f>
        <v/>
      </c>
      <c r="Q2420" s="317" t="str">
        <f t="shared" si="674"/>
        <v/>
      </c>
      <c r="R2420" s="317" t="str">
        <f t="shared" si="675"/>
        <v/>
      </c>
      <c r="S2420" s="317" t="str">
        <f t="shared" si="676"/>
        <v/>
      </c>
      <c r="V2420" s="314">
        <f>SUM(ORÇAMENTO!N2420)</f>
        <v>0</v>
      </c>
      <c r="W2420" s="315">
        <f t="shared" si="665"/>
        <v>0</v>
      </c>
    </row>
    <row r="2421" spans="1:23" hidden="1">
      <c r="A2421" s="63" t="s">
        <v>147</v>
      </c>
      <c r="B2421" s="870" t="s">
        <v>147</v>
      </c>
      <c r="C2421" s="871"/>
      <c r="D2421" s="931" t="s">
        <v>229</v>
      </c>
      <c r="E2421" s="882">
        <f>DMT!$F$8</f>
        <v>290</v>
      </c>
      <c r="F2421" s="883">
        <f>VLOOKUP(D2419,'ENSAIOS DE ORÇAMENTO'!$C$5:$L$81,5,FALSE)</f>
        <v>0</v>
      </c>
      <c r="G2421" s="923">
        <f t="shared" ref="G2421:G2423" si="677">IF(E2421&lt;=30,(1.07*E2421+2.68)*F2421,((1.07*30+2.68)+1.07*(E2421-30))*F2421)</f>
        <v>0</v>
      </c>
      <c r="H2421" s="876"/>
      <c r="I2421" s="876" t="str">
        <f t="shared" si="671"/>
        <v/>
      </c>
      <c r="J2421" s="877">
        <f t="shared" si="668"/>
        <v>0</v>
      </c>
      <c r="K2421" s="932" t="s">
        <v>506</v>
      </c>
      <c r="L2421" s="1014">
        <f>ROUND(SUM(ORÇAMENTO!L2421),2)</f>
        <v>0</v>
      </c>
      <c r="M2421" s="1015">
        <f t="shared" si="662"/>
        <v>0</v>
      </c>
      <c r="N2421" s="868">
        <f t="shared" si="663"/>
        <v>0</v>
      </c>
      <c r="O2421" s="880"/>
      <c r="P2421" s="58" t="str">
        <f>IF(N2419&gt;0,"xx",IF(N2419&gt;0,"xy",""))</f>
        <v/>
      </c>
      <c r="Q2421" s="317" t="str">
        <f t="shared" si="674"/>
        <v/>
      </c>
      <c r="R2421" s="317" t="str">
        <f t="shared" si="675"/>
        <v/>
      </c>
      <c r="S2421" s="317" t="str">
        <f t="shared" si="676"/>
        <v/>
      </c>
      <c r="V2421" s="314">
        <f>SUM(ORÇAMENTO!N2421)</f>
        <v>0</v>
      </c>
      <c r="W2421" s="315">
        <f t="shared" si="665"/>
        <v>0</v>
      </c>
    </row>
    <row r="2422" spans="1:23" hidden="1">
      <c r="A2422" s="63" t="s">
        <v>147</v>
      </c>
      <c r="B2422" s="870" t="s">
        <v>147</v>
      </c>
      <c r="C2422" s="871"/>
      <c r="D2422" s="931" t="s">
        <v>233</v>
      </c>
      <c r="E2422" s="882">
        <f>DMT!$F$10</f>
        <v>43.1</v>
      </c>
      <c r="F2422" s="883">
        <f>VLOOKUP(D2419,'ENSAIOS DE ORÇAMENTO'!$C$5:$L$81,6,FALSE)</f>
        <v>0</v>
      </c>
      <c r="G2422" s="923">
        <f t="shared" si="677"/>
        <v>0</v>
      </c>
      <c r="H2422" s="876"/>
      <c r="I2422" s="876" t="str">
        <f t="shared" si="671"/>
        <v/>
      </c>
      <c r="J2422" s="877">
        <f t="shared" si="668"/>
        <v>0</v>
      </c>
      <c r="K2422" s="932" t="s">
        <v>506</v>
      </c>
      <c r="L2422" s="1014">
        <f>ROUND(SUM(ORÇAMENTO!L2422),2)</f>
        <v>0</v>
      </c>
      <c r="M2422" s="1015">
        <f t="shared" si="662"/>
        <v>0</v>
      </c>
      <c r="N2422" s="868">
        <f t="shared" si="663"/>
        <v>0</v>
      </c>
      <c r="O2422" s="880"/>
      <c r="P2422" s="58" t="str">
        <f>IF(N2419&gt;0,"xx",IF(N2419&gt;0,"xy",""))</f>
        <v/>
      </c>
      <c r="Q2422" s="317" t="str">
        <f t="shared" si="674"/>
        <v/>
      </c>
      <c r="R2422" s="317" t="str">
        <f t="shared" si="675"/>
        <v/>
      </c>
      <c r="S2422" s="317" t="str">
        <f t="shared" si="676"/>
        <v/>
      </c>
      <c r="V2422" s="314">
        <f>SUM(ORÇAMENTO!N2422)</f>
        <v>0</v>
      </c>
      <c r="W2422" s="315">
        <f t="shared" si="665"/>
        <v>0</v>
      </c>
    </row>
    <row r="2423" spans="1:23" hidden="1">
      <c r="A2423" s="63" t="s">
        <v>147</v>
      </c>
      <c r="B2423" s="870" t="s">
        <v>147</v>
      </c>
      <c r="C2423" s="871"/>
      <c r="D2423" s="931" t="s">
        <v>365</v>
      </c>
      <c r="E2423" s="882">
        <f>DMT!$F$32</f>
        <v>28</v>
      </c>
      <c r="F2423" s="883">
        <f>VLOOKUP(D2419,'ENSAIOS DE ORÇAMENTO'!$C$5:$L$81,3,FALSE)</f>
        <v>0</v>
      </c>
      <c r="G2423" s="923">
        <f t="shared" si="677"/>
        <v>0</v>
      </c>
      <c r="H2423" s="876"/>
      <c r="I2423" s="876" t="str">
        <f t="shared" si="671"/>
        <v/>
      </c>
      <c r="J2423" s="877">
        <f t="shared" si="668"/>
        <v>0</v>
      </c>
      <c r="K2423" s="932" t="s">
        <v>506</v>
      </c>
      <c r="L2423" s="1014">
        <f>ROUND(SUM(ORÇAMENTO!L2423),2)</f>
        <v>0</v>
      </c>
      <c r="M2423" s="1015">
        <f t="shared" si="662"/>
        <v>0</v>
      </c>
      <c r="N2423" s="868">
        <f t="shared" si="663"/>
        <v>0</v>
      </c>
      <c r="O2423" s="880"/>
      <c r="P2423" s="58" t="str">
        <f>IF(N2419&gt;0,"xx",IF(N2419&gt;0,"xy",""))</f>
        <v/>
      </c>
      <c r="Q2423" s="317" t="str">
        <f t="shared" si="674"/>
        <v/>
      </c>
      <c r="R2423" s="317" t="str">
        <f t="shared" si="675"/>
        <v/>
      </c>
      <c r="S2423" s="317" t="str">
        <f t="shared" si="676"/>
        <v/>
      </c>
      <c r="V2423" s="314">
        <f>SUM(ORÇAMENTO!N2423)</f>
        <v>0</v>
      </c>
      <c r="W2423" s="315">
        <f t="shared" si="665"/>
        <v>0</v>
      </c>
    </row>
    <row r="2424" spans="1:23" hidden="1">
      <c r="A2424" s="63" t="s">
        <v>147</v>
      </c>
      <c r="B2424" s="870" t="s">
        <v>147</v>
      </c>
      <c r="C2424" s="871"/>
      <c r="D2424" s="931" t="s">
        <v>366</v>
      </c>
      <c r="E2424" s="882">
        <f>DMT!$D$18</f>
        <v>440</v>
      </c>
      <c r="F2424" s="883">
        <f>VLOOKUP(D2419,'ENSAIOS DE ORÇAMENTO'!$C$5:$L$81,10,FALSE)</f>
        <v>0</v>
      </c>
      <c r="G2424" s="884">
        <f>IF(E2424&lt;=30,(0.78*E2424+7.82)*F2424,((0.78*30+7.82)+0.78*(E2424-30))*F2424)</f>
        <v>0</v>
      </c>
      <c r="H2424" s="876"/>
      <c r="I2424" s="876" t="str">
        <f t="shared" si="671"/>
        <v/>
      </c>
      <c r="J2424" s="877">
        <f t="shared" si="668"/>
        <v>0</v>
      </c>
      <c r="K2424" s="932" t="s">
        <v>506</v>
      </c>
      <c r="L2424" s="1014">
        <f>ROUND(SUM(ORÇAMENTO!L2424),2)</f>
        <v>0</v>
      </c>
      <c r="M2424" s="1015">
        <f t="shared" si="662"/>
        <v>0</v>
      </c>
      <c r="N2424" s="868">
        <f t="shared" si="663"/>
        <v>0</v>
      </c>
      <c r="O2424" s="880"/>
      <c r="P2424" s="58" t="str">
        <f>IF(N2419&gt;0,"xx",IF(N2419&gt;0,"xy",""))</f>
        <v/>
      </c>
      <c r="Q2424" s="317" t="str">
        <f t="shared" si="674"/>
        <v/>
      </c>
      <c r="R2424" s="317" t="str">
        <f t="shared" si="675"/>
        <v/>
      </c>
      <c r="S2424" s="317" t="str">
        <f t="shared" si="676"/>
        <v/>
      </c>
      <c r="V2424" s="314">
        <f>SUM(ORÇAMENTO!N2424)</f>
        <v>0</v>
      </c>
      <c r="W2424" s="315">
        <f t="shared" si="665"/>
        <v>0</v>
      </c>
    </row>
    <row r="2425" spans="1:23" hidden="1">
      <c r="A2425" s="63" t="s">
        <v>396</v>
      </c>
      <c r="B2425" s="870" t="s">
        <v>396</v>
      </c>
      <c r="C2425" s="871" t="s">
        <v>184</v>
      </c>
      <c r="D2425" s="881" t="str">
        <f>'ENSAIOS DE ORÇAMENTO'!C75</f>
        <v>ENSAIO DE ORÇAMENTO 4</v>
      </c>
      <c r="E2425" s="882"/>
      <c r="F2425" s="883"/>
      <c r="G2425" s="887">
        <f>SUM(G2426:G2430)</f>
        <v>0</v>
      </c>
      <c r="H2425" s="876">
        <v>0</v>
      </c>
      <c r="I2425" s="876">
        <f t="shared" si="671"/>
        <v>0</v>
      </c>
      <c r="J2425" s="877">
        <f t="shared" si="668"/>
        <v>0</v>
      </c>
      <c r="K2425" s="878" t="s">
        <v>15</v>
      </c>
      <c r="L2425" s="1013">
        <f>ROUND(SUM(ORÇAMENTO!L2425),2)</f>
        <v>0</v>
      </c>
      <c r="M2425" s="1013">
        <f t="shared" si="662"/>
        <v>0</v>
      </c>
      <c r="N2425" s="868">
        <f t="shared" si="663"/>
        <v>0</v>
      </c>
      <c r="O2425" s="880"/>
      <c r="Q2425" s="317" t="str">
        <f t="shared" si="674"/>
        <v/>
      </c>
      <c r="R2425" s="317" t="str">
        <f t="shared" si="675"/>
        <v/>
      </c>
      <c r="S2425" s="317" t="str">
        <f t="shared" si="676"/>
        <v/>
      </c>
      <c r="V2425" s="314">
        <f>SUM(ORÇAMENTO!N2425)</f>
        <v>0</v>
      </c>
      <c r="W2425" s="315">
        <f t="shared" si="665"/>
        <v>0</v>
      </c>
    </row>
    <row r="2426" spans="1:23" hidden="1">
      <c r="A2426" s="63" t="s">
        <v>147</v>
      </c>
      <c r="B2426" s="870" t="s">
        <v>147</v>
      </c>
      <c r="C2426" s="871"/>
      <c r="D2426" s="931" t="s">
        <v>190</v>
      </c>
      <c r="E2426" s="882">
        <f>DMT!$D$20</f>
        <v>445</v>
      </c>
      <c r="F2426" s="883">
        <f>VLOOKUP(D2425,'ENSAIOS DE ORÇAMENTO'!$C$5:$L$81,4,FALSE)</f>
        <v>0</v>
      </c>
      <c r="G2426" s="884">
        <f>IF(E2426&lt;=30,(0.78*E2426+7.82)*F2426,((0.78*30+7.82)+0.78*(E2426-30))*F2426)</f>
        <v>0</v>
      </c>
      <c r="H2426" s="876"/>
      <c r="I2426" s="876" t="str">
        <f t="shared" ref="I2426:I2465" si="678">IF(ISBLANK(H2426),"",SUM(G2426:H2426))</f>
        <v/>
      </c>
      <c r="J2426" s="877">
        <f t="shared" si="668"/>
        <v>0</v>
      </c>
      <c r="K2426" s="932" t="s">
        <v>506</v>
      </c>
      <c r="L2426" s="1014">
        <f>ROUND(SUM(ORÇAMENTO!L2426),2)</f>
        <v>0</v>
      </c>
      <c r="M2426" s="1015">
        <f t="shared" si="662"/>
        <v>0</v>
      </c>
      <c r="N2426" s="868">
        <f t="shared" si="663"/>
        <v>0</v>
      </c>
      <c r="O2426" s="880"/>
      <c r="P2426" s="58" t="str">
        <f>IF(N2425&gt;0,"xx",IF(N2425&gt;0,"xy",""))</f>
        <v/>
      </c>
      <c r="Q2426" s="317" t="str">
        <f t="shared" si="674"/>
        <v/>
      </c>
      <c r="R2426" s="317" t="str">
        <f t="shared" si="675"/>
        <v/>
      </c>
      <c r="S2426" s="317" t="str">
        <f t="shared" si="676"/>
        <v/>
      </c>
      <c r="V2426" s="314">
        <f>SUM(ORÇAMENTO!N2426)</f>
        <v>0</v>
      </c>
      <c r="W2426" s="315">
        <f t="shared" si="665"/>
        <v>0</v>
      </c>
    </row>
    <row r="2427" spans="1:23" hidden="1">
      <c r="A2427" s="63" t="s">
        <v>147</v>
      </c>
      <c r="B2427" s="870" t="s">
        <v>147</v>
      </c>
      <c r="C2427" s="871"/>
      <c r="D2427" s="931" t="s">
        <v>229</v>
      </c>
      <c r="E2427" s="882">
        <f>DMT!$F$8</f>
        <v>290</v>
      </c>
      <c r="F2427" s="883">
        <f>VLOOKUP(D2425,'ENSAIOS DE ORÇAMENTO'!$C$5:$L$81,5,FALSE)</f>
        <v>0</v>
      </c>
      <c r="G2427" s="923">
        <f t="shared" ref="G2427:G2429" si="679">IF(E2427&lt;=30,(1.07*E2427+2.68)*F2427,((1.07*30+2.68)+1.07*(E2427-30))*F2427)</f>
        <v>0</v>
      </c>
      <c r="H2427" s="876"/>
      <c r="I2427" s="876" t="str">
        <f t="shared" si="678"/>
        <v/>
      </c>
      <c r="J2427" s="877">
        <f t="shared" si="668"/>
        <v>0</v>
      </c>
      <c r="K2427" s="932" t="s">
        <v>506</v>
      </c>
      <c r="L2427" s="1014">
        <f>ROUND(SUM(ORÇAMENTO!L2427),2)</f>
        <v>0</v>
      </c>
      <c r="M2427" s="1015">
        <f t="shared" si="662"/>
        <v>0</v>
      </c>
      <c r="N2427" s="868">
        <f t="shared" si="663"/>
        <v>0</v>
      </c>
      <c r="O2427" s="880"/>
      <c r="P2427" s="58" t="str">
        <f>IF(N2425&gt;0,"xx",IF(N2425&gt;0,"xy",""))</f>
        <v/>
      </c>
      <c r="Q2427" s="317" t="str">
        <f t="shared" si="674"/>
        <v/>
      </c>
      <c r="R2427" s="317" t="str">
        <f t="shared" si="675"/>
        <v/>
      </c>
      <c r="S2427" s="317" t="str">
        <f t="shared" si="676"/>
        <v/>
      </c>
      <c r="V2427" s="314">
        <f>SUM(ORÇAMENTO!N2427)</f>
        <v>0</v>
      </c>
      <c r="W2427" s="315">
        <f t="shared" si="665"/>
        <v>0</v>
      </c>
    </row>
    <row r="2428" spans="1:23" hidden="1">
      <c r="A2428" s="63" t="s">
        <v>147</v>
      </c>
      <c r="B2428" s="870" t="s">
        <v>147</v>
      </c>
      <c r="C2428" s="871"/>
      <c r="D2428" s="931" t="s">
        <v>233</v>
      </c>
      <c r="E2428" s="882">
        <f>DMT!$F$10</f>
        <v>43.1</v>
      </c>
      <c r="F2428" s="883">
        <f>VLOOKUP(D2425,'ENSAIOS DE ORÇAMENTO'!$C$5:$L$81,6,FALSE)</f>
        <v>0</v>
      </c>
      <c r="G2428" s="923">
        <f t="shared" si="679"/>
        <v>0</v>
      </c>
      <c r="H2428" s="876"/>
      <c r="I2428" s="876" t="str">
        <f t="shared" si="678"/>
        <v/>
      </c>
      <c r="J2428" s="877">
        <f t="shared" si="668"/>
        <v>0</v>
      </c>
      <c r="K2428" s="932" t="s">
        <v>506</v>
      </c>
      <c r="L2428" s="1014">
        <f>ROUND(SUM(ORÇAMENTO!L2428),2)</f>
        <v>0</v>
      </c>
      <c r="M2428" s="1015">
        <f t="shared" si="662"/>
        <v>0</v>
      </c>
      <c r="N2428" s="868">
        <f t="shared" si="663"/>
        <v>0</v>
      </c>
      <c r="O2428" s="880"/>
      <c r="P2428" s="58" t="str">
        <f>IF(N2425&gt;0,"xx",IF(N2425&gt;0,"xy",""))</f>
        <v/>
      </c>
      <c r="Q2428" s="317" t="str">
        <f t="shared" si="674"/>
        <v/>
      </c>
      <c r="R2428" s="317" t="str">
        <f t="shared" si="675"/>
        <v/>
      </c>
      <c r="S2428" s="317" t="str">
        <f t="shared" si="676"/>
        <v/>
      </c>
      <c r="V2428" s="314">
        <f>SUM(ORÇAMENTO!N2428)</f>
        <v>0</v>
      </c>
      <c r="W2428" s="315">
        <f t="shared" si="665"/>
        <v>0</v>
      </c>
    </row>
    <row r="2429" spans="1:23" hidden="1">
      <c r="A2429" s="63" t="s">
        <v>147</v>
      </c>
      <c r="B2429" s="870" t="s">
        <v>147</v>
      </c>
      <c r="C2429" s="871"/>
      <c r="D2429" s="931" t="s">
        <v>365</v>
      </c>
      <c r="E2429" s="882">
        <f>DMT!$F$32</f>
        <v>28</v>
      </c>
      <c r="F2429" s="883">
        <f>VLOOKUP(D2425,'ENSAIOS DE ORÇAMENTO'!$C$5:$L$81,3,FALSE)</f>
        <v>0</v>
      </c>
      <c r="G2429" s="923">
        <f t="shared" si="679"/>
        <v>0</v>
      </c>
      <c r="H2429" s="876"/>
      <c r="I2429" s="876" t="str">
        <f t="shared" si="678"/>
        <v/>
      </c>
      <c r="J2429" s="877">
        <f t="shared" si="668"/>
        <v>0</v>
      </c>
      <c r="K2429" s="932" t="s">
        <v>506</v>
      </c>
      <c r="L2429" s="1014">
        <f>ROUND(SUM(ORÇAMENTO!L2429),2)</f>
        <v>0</v>
      </c>
      <c r="M2429" s="1015">
        <f t="shared" si="662"/>
        <v>0</v>
      </c>
      <c r="N2429" s="868">
        <f t="shared" si="663"/>
        <v>0</v>
      </c>
      <c r="O2429" s="880"/>
      <c r="P2429" s="58" t="str">
        <f>IF(N2425&gt;0,"xx",IF(N2425&gt;0,"xy",""))</f>
        <v/>
      </c>
      <c r="Q2429" s="317" t="str">
        <f t="shared" si="674"/>
        <v/>
      </c>
      <c r="R2429" s="317" t="str">
        <f t="shared" si="675"/>
        <v/>
      </c>
      <c r="S2429" s="317" t="str">
        <f t="shared" si="676"/>
        <v/>
      </c>
      <c r="V2429" s="314">
        <f>SUM(ORÇAMENTO!N2429)</f>
        <v>0</v>
      </c>
      <c r="W2429" s="315">
        <f t="shared" si="665"/>
        <v>0</v>
      </c>
    </row>
    <row r="2430" spans="1:23" hidden="1">
      <c r="A2430" s="63" t="s">
        <v>147</v>
      </c>
      <c r="B2430" s="870" t="s">
        <v>147</v>
      </c>
      <c r="C2430" s="871"/>
      <c r="D2430" s="931" t="s">
        <v>366</v>
      </c>
      <c r="E2430" s="882">
        <f>DMT!$D$18</f>
        <v>440</v>
      </c>
      <c r="F2430" s="883">
        <f>VLOOKUP(D2425,'ENSAIOS DE ORÇAMENTO'!$C$5:$L$81,10,FALSE)</f>
        <v>0</v>
      </c>
      <c r="G2430" s="884">
        <f>IF(E2430&lt;=30,(0.78*E2430+7.82)*F2430,((0.78*30+7.82)+0.78*(E2430-30))*F2430)</f>
        <v>0</v>
      </c>
      <c r="H2430" s="876"/>
      <c r="I2430" s="876" t="str">
        <f t="shared" si="678"/>
        <v/>
      </c>
      <c r="J2430" s="877">
        <f t="shared" si="668"/>
        <v>0</v>
      </c>
      <c r="K2430" s="932" t="s">
        <v>506</v>
      </c>
      <c r="L2430" s="1014">
        <f>ROUND(SUM(ORÇAMENTO!L2430),2)</f>
        <v>0</v>
      </c>
      <c r="M2430" s="1015">
        <f t="shared" si="662"/>
        <v>0</v>
      </c>
      <c r="N2430" s="868">
        <f t="shared" si="663"/>
        <v>0</v>
      </c>
      <c r="O2430" s="880"/>
      <c r="P2430" s="58" t="str">
        <f>IF(N2425&gt;0,"xx",IF(N2425&gt;0,"xy",""))</f>
        <v/>
      </c>
      <c r="Q2430" s="317" t="str">
        <f t="shared" si="674"/>
        <v/>
      </c>
      <c r="R2430" s="317" t="str">
        <f t="shared" si="675"/>
        <v/>
      </c>
      <c r="S2430" s="317" t="str">
        <f t="shared" si="676"/>
        <v/>
      </c>
      <c r="V2430" s="314">
        <f>SUM(ORÇAMENTO!N2430)</f>
        <v>0</v>
      </c>
      <c r="W2430" s="315">
        <f t="shared" si="665"/>
        <v>0</v>
      </c>
    </row>
    <row r="2431" spans="1:23" hidden="1">
      <c r="A2431" s="63" t="s">
        <v>397</v>
      </c>
      <c r="B2431" s="870" t="s">
        <v>397</v>
      </c>
      <c r="C2431" s="871" t="s">
        <v>184</v>
      </c>
      <c r="D2431" s="881" t="str">
        <f>'ENSAIOS DE ORÇAMENTO'!C76</f>
        <v>ENSAIO DE ORÇAMENTO 5</v>
      </c>
      <c r="E2431" s="882"/>
      <c r="F2431" s="883"/>
      <c r="G2431" s="887">
        <f>SUM(G2432:G2436)</f>
        <v>0</v>
      </c>
      <c r="H2431" s="876">
        <v>0</v>
      </c>
      <c r="I2431" s="876">
        <f t="shared" si="678"/>
        <v>0</v>
      </c>
      <c r="J2431" s="877">
        <f t="shared" si="668"/>
        <v>0</v>
      </c>
      <c r="K2431" s="878" t="s">
        <v>15</v>
      </c>
      <c r="L2431" s="1013">
        <f>ROUND(SUM(ORÇAMENTO!L2431),2)</f>
        <v>0</v>
      </c>
      <c r="M2431" s="1013">
        <f t="shared" si="662"/>
        <v>0</v>
      </c>
      <c r="N2431" s="868">
        <f t="shared" si="663"/>
        <v>0</v>
      </c>
      <c r="O2431" s="880"/>
      <c r="Q2431" s="317" t="str">
        <f t="shared" si="674"/>
        <v/>
      </c>
      <c r="R2431" s="317" t="str">
        <f t="shared" si="675"/>
        <v/>
      </c>
      <c r="S2431" s="317" t="str">
        <f t="shared" si="676"/>
        <v/>
      </c>
      <c r="V2431" s="314">
        <f>SUM(ORÇAMENTO!N2431)</f>
        <v>0</v>
      </c>
      <c r="W2431" s="315">
        <f t="shared" si="665"/>
        <v>0</v>
      </c>
    </row>
    <row r="2432" spans="1:23" hidden="1">
      <c r="A2432" s="63" t="s">
        <v>147</v>
      </c>
      <c r="B2432" s="870" t="s">
        <v>147</v>
      </c>
      <c r="C2432" s="871"/>
      <c r="D2432" s="931" t="s">
        <v>190</v>
      </c>
      <c r="E2432" s="882">
        <f>DMT!$D$20</f>
        <v>445</v>
      </c>
      <c r="F2432" s="883">
        <f>VLOOKUP(D2431,'ENSAIOS DE ORÇAMENTO'!$C$5:$L$81,4,FALSE)</f>
        <v>0</v>
      </c>
      <c r="G2432" s="884">
        <f>IF(E2432&lt;=30,(0.78*E2432+7.82)*F2432,((0.78*30+7.82)+0.78*(E2432-30))*F2432)</f>
        <v>0</v>
      </c>
      <c r="H2432" s="876"/>
      <c r="I2432" s="876" t="str">
        <f t="shared" si="678"/>
        <v/>
      </c>
      <c r="J2432" s="877">
        <f t="shared" si="668"/>
        <v>0</v>
      </c>
      <c r="K2432" s="932" t="s">
        <v>506</v>
      </c>
      <c r="L2432" s="1014">
        <f>ROUND(SUM(ORÇAMENTO!L2432),2)</f>
        <v>0</v>
      </c>
      <c r="M2432" s="1015">
        <f t="shared" si="662"/>
        <v>0</v>
      </c>
      <c r="N2432" s="868">
        <f t="shared" si="663"/>
        <v>0</v>
      </c>
      <c r="O2432" s="880"/>
      <c r="P2432" s="58" t="str">
        <f>IF(N2431&gt;0,"xx",IF(N2431&gt;0,"xy",""))</f>
        <v/>
      </c>
      <c r="Q2432" s="317" t="str">
        <f t="shared" si="674"/>
        <v/>
      </c>
      <c r="R2432" s="317" t="str">
        <f t="shared" si="675"/>
        <v/>
      </c>
      <c r="S2432" s="317" t="str">
        <f t="shared" si="676"/>
        <v/>
      </c>
      <c r="V2432" s="314">
        <f>SUM(ORÇAMENTO!N2432)</f>
        <v>0</v>
      </c>
      <c r="W2432" s="315">
        <f t="shared" si="665"/>
        <v>0</v>
      </c>
    </row>
    <row r="2433" spans="1:23" hidden="1">
      <c r="A2433" s="63" t="s">
        <v>147</v>
      </c>
      <c r="B2433" s="870" t="s">
        <v>147</v>
      </c>
      <c r="C2433" s="871"/>
      <c r="D2433" s="931" t="s">
        <v>229</v>
      </c>
      <c r="E2433" s="882">
        <f>DMT!$F$8</f>
        <v>290</v>
      </c>
      <c r="F2433" s="883">
        <f>VLOOKUP(D2431,'ENSAIOS DE ORÇAMENTO'!$C$5:$L$81,5,FALSE)</f>
        <v>0</v>
      </c>
      <c r="G2433" s="923">
        <f t="shared" ref="G2433:G2435" si="680">IF(E2433&lt;=30,(1.07*E2433+2.68)*F2433,((1.07*30+2.68)+1.07*(E2433-30))*F2433)</f>
        <v>0</v>
      </c>
      <c r="H2433" s="876"/>
      <c r="I2433" s="876" t="str">
        <f t="shared" si="678"/>
        <v/>
      </c>
      <c r="J2433" s="877">
        <f t="shared" si="668"/>
        <v>0</v>
      </c>
      <c r="K2433" s="932" t="s">
        <v>506</v>
      </c>
      <c r="L2433" s="1014">
        <f>ROUND(SUM(ORÇAMENTO!L2433),2)</f>
        <v>0</v>
      </c>
      <c r="M2433" s="1015">
        <f t="shared" si="662"/>
        <v>0</v>
      </c>
      <c r="N2433" s="868">
        <f t="shared" si="663"/>
        <v>0</v>
      </c>
      <c r="O2433" s="880"/>
      <c r="P2433" s="58" t="str">
        <f>IF(N2431&gt;0,"xx",IF(N2431&gt;0,"xy",""))</f>
        <v/>
      </c>
      <c r="Q2433" s="317" t="str">
        <f t="shared" si="674"/>
        <v/>
      </c>
      <c r="R2433" s="317" t="str">
        <f t="shared" si="675"/>
        <v/>
      </c>
      <c r="S2433" s="317" t="str">
        <f t="shared" si="676"/>
        <v/>
      </c>
      <c r="V2433" s="314">
        <f>SUM(ORÇAMENTO!N2433)</f>
        <v>0</v>
      </c>
      <c r="W2433" s="315">
        <f t="shared" si="665"/>
        <v>0</v>
      </c>
    </row>
    <row r="2434" spans="1:23" hidden="1">
      <c r="A2434" s="63" t="s">
        <v>147</v>
      </c>
      <c r="B2434" s="870" t="s">
        <v>147</v>
      </c>
      <c r="C2434" s="871"/>
      <c r="D2434" s="931" t="s">
        <v>233</v>
      </c>
      <c r="E2434" s="882">
        <f>DMT!$F$10</f>
        <v>43.1</v>
      </c>
      <c r="F2434" s="883">
        <f>VLOOKUP(D2431,'ENSAIOS DE ORÇAMENTO'!$C$5:$L$81,6,FALSE)</f>
        <v>0</v>
      </c>
      <c r="G2434" s="923">
        <f t="shared" si="680"/>
        <v>0</v>
      </c>
      <c r="H2434" s="876"/>
      <c r="I2434" s="876" t="str">
        <f t="shared" si="678"/>
        <v/>
      </c>
      <c r="J2434" s="877">
        <f t="shared" si="668"/>
        <v>0</v>
      </c>
      <c r="K2434" s="932" t="s">
        <v>506</v>
      </c>
      <c r="L2434" s="1014">
        <f>ROUND(SUM(ORÇAMENTO!L2434),2)</f>
        <v>0</v>
      </c>
      <c r="M2434" s="1015">
        <f t="shared" si="662"/>
        <v>0</v>
      </c>
      <c r="N2434" s="868">
        <f t="shared" si="663"/>
        <v>0</v>
      </c>
      <c r="O2434" s="880"/>
      <c r="P2434" s="58" t="str">
        <f>IF(N2431&gt;0,"xx",IF(N2431&gt;0,"xy",""))</f>
        <v/>
      </c>
      <c r="Q2434" s="317" t="str">
        <f t="shared" si="674"/>
        <v/>
      </c>
      <c r="R2434" s="317" t="str">
        <f t="shared" si="675"/>
        <v/>
      </c>
      <c r="S2434" s="317" t="str">
        <f t="shared" si="676"/>
        <v/>
      </c>
      <c r="V2434" s="314">
        <f>SUM(ORÇAMENTO!N2434)</f>
        <v>0</v>
      </c>
      <c r="W2434" s="315">
        <f t="shared" si="665"/>
        <v>0</v>
      </c>
    </row>
    <row r="2435" spans="1:23" hidden="1">
      <c r="A2435" s="63" t="s">
        <v>147</v>
      </c>
      <c r="B2435" s="870" t="s">
        <v>147</v>
      </c>
      <c r="C2435" s="871"/>
      <c r="D2435" s="931" t="s">
        <v>365</v>
      </c>
      <c r="E2435" s="882">
        <f>DMT!$F$32</f>
        <v>28</v>
      </c>
      <c r="F2435" s="883">
        <f>VLOOKUP(D2431,'ENSAIOS DE ORÇAMENTO'!$C$5:$L$81,3,FALSE)</f>
        <v>0</v>
      </c>
      <c r="G2435" s="923">
        <f t="shared" si="680"/>
        <v>0</v>
      </c>
      <c r="H2435" s="876"/>
      <c r="I2435" s="876" t="str">
        <f t="shared" si="678"/>
        <v/>
      </c>
      <c r="J2435" s="877">
        <f t="shared" si="668"/>
        <v>0</v>
      </c>
      <c r="K2435" s="878" t="s">
        <v>506</v>
      </c>
      <c r="L2435" s="1014">
        <f>ROUND(SUM(ORÇAMENTO!L2435),2)</f>
        <v>0</v>
      </c>
      <c r="M2435" s="1015">
        <f t="shared" si="662"/>
        <v>0</v>
      </c>
      <c r="N2435" s="868">
        <f t="shared" si="663"/>
        <v>0</v>
      </c>
      <c r="O2435" s="880"/>
      <c r="P2435" s="36" t="str">
        <f>IF(N2431&gt;0,"xx",IF(N2431&gt;0,"xy",""))</f>
        <v/>
      </c>
      <c r="Q2435" s="317" t="str">
        <f t="shared" si="674"/>
        <v/>
      </c>
      <c r="R2435" s="317" t="str">
        <f t="shared" si="675"/>
        <v/>
      </c>
      <c r="S2435" s="317" t="str">
        <f t="shared" si="676"/>
        <v/>
      </c>
      <c r="V2435" s="314">
        <f>SUM(ORÇAMENTO!N2435)</f>
        <v>0</v>
      </c>
      <c r="W2435" s="315">
        <f t="shared" si="665"/>
        <v>0</v>
      </c>
    </row>
    <row r="2436" spans="1:23" hidden="1">
      <c r="A2436" s="63" t="s">
        <v>147</v>
      </c>
      <c r="B2436" s="870" t="s">
        <v>147</v>
      </c>
      <c r="C2436" s="871"/>
      <c r="D2436" s="931" t="s">
        <v>366</v>
      </c>
      <c r="E2436" s="882">
        <f>DMT!$D$18</f>
        <v>440</v>
      </c>
      <c r="F2436" s="883">
        <f>VLOOKUP(D2431,'ENSAIOS DE ORÇAMENTO'!$C$5:$L$81,10,FALSE)</f>
        <v>0</v>
      </c>
      <c r="G2436" s="884">
        <f>IF(E2436&lt;=30,(0.78*E2436+7.82)*F2436,((0.78*30+7.82)+0.78*(E2436-30))*F2436)</f>
        <v>0</v>
      </c>
      <c r="H2436" s="876"/>
      <c r="I2436" s="876" t="str">
        <f t="shared" si="678"/>
        <v/>
      </c>
      <c r="J2436" s="877">
        <f t="shared" si="668"/>
        <v>0</v>
      </c>
      <c r="K2436" s="932" t="s">
        <v>506</v>
      </c>
      <c r="L2436" s="1014">
        <f>ROUND(SUM(ORÇAMENTO!L2436),2)</f>
        <v>0</v>
      </c>
      <c r="M2436" s="1015">
        <f t="shared" si="662"/>
        <v>0</v>
      </c>
      <c r="N2436" s="868">
        <f t="shared" si="663"/>
        <v>0</v>
      </c>
      <c r="O2436" s="880"/>
      <c r="P2436" s="58" t="str">
        <f>IF(N2431&gt;0,"xx",IF(N2431&gt;0,"xy",""))</f>
        <v/>
      </c>
      <c r="Q2436" s="317" t="str">
        <f t="shared" si="674"/>
        <v/>
      </c>
      <c r="R2436" s="317" t="str">
        <f t="shared" si="675"/>
        <v/>
      </c>
      <c r="S2436" s="317" t="str">
        <f t="shared" si="676"/>
        <v/>
      </c>
      <c r="V2436" s="314">
        <f>SUM(ORÇAMENTO!N2436)</f>
        <v>0</v>
      </c>
      <c r="W2436" s="315">
        <f t="shared" si="665"/>
        <v>0</v>
      </c>
    </row>
    <row r="2437" spans="1:23" hidden="1">
      <c r="A2437" s="63" t="s">
        <v>398</v>
      </c>
      <c r="B2437" s="870" t="s">
        <v>398</v>
      </c>
      <c r="C2437" s="871" t="s">
        <v>184</v>
      </c>
      <c r="D2437" s="881" t="str">
        <f>'ENSAIOS DE ORÇAMENTO'!C77</f>
        <v>ENSAIO DE ORÇAMENTO 6</v>
      </c>
      <c r="E2437" s="882"/>
      <c r="F2437" s="883"/>
      <c r="G2437" s="887">
        <f>SUM(G2438:G2442)</f>
        <v>0</v>
      </c>
      <c r="H2437" s="876">
        <v>0</v>
      </c>
      <c r="I2437" s="876">
        <f t="shared" si="678"/>
        <v>0</v>
      </c>
      <c r="J2437" s="877">
        <f t="shared" si="668"/>
        <v>0</v>
      </c>
      <c r="K2437" s="878" t="s">
        <v>15</v>
      </c>
      <c r="L2437" s="1013">
        <f>ROUND(SUM(ORÇAMENTO!L2437),2)</f>
        <v>0</v>
      </c>
      <c r="M2437" s="1013">
        <f t="shared" si="662"/>
        <v>0</v>
      </c>
      <c r="N2437" s="868">
        <f t="shared" si="663"/>
        <v>0</v>
      </c>
      <c r="O2437" s="880"/>
      <c r="Q2437" s="317" t="str">
        <f t="shared" si="674"/>
        <v/>
      </c>
      <c r="R2437" s="317" t="str">
        <f t="shared" si="675"/>
        <v/>
      </c>
      <c r="S2437" s="317" t="str">
        <f t="shared" si="676"/>
        <v/>
      </c>
      <c r="V2437" s="314">
        <f>SUM(ORÇAMENTO!N2437)</f>
        <v>0</v>
      </c>
      <c r="W2437" s="315">
        <f t="shared" si="665"/>
        <v>0</v>
      </c>
    </row>
    <row r="2438" spans="1:23" hidden="1">
      <c r="A2438" s="63" t="s">
        <v>147</v>
      </c>
      <c r="B2438" s="870" t="s">
        <v>147</v>
      </c>
      <c r="C2438" s="871"/>
      <c r="D2438" s="931" t="s">
        <v>190</v>
      </c>
      <c r="E2438" s="882">
        <f>DMT!$D$20</f>
        <v>445</v>
      </c>
      <c r="F2438" s="883">
        <f>VLOOKUP(D2437,'ENSAIOS DE ORÇAMENTO'!$C$5:$L$81,4,FALSE)</f>
        <v>0</v>
      </c>
      <c r="G2438" s="884">
        <f>IF(E2438&lt;=30,(0.78*E2438+7.82)*F2438,((0.78*30+7.82)+0.78*(E2438-30))*F2438)</f>
        <v>0</v>
      </c>
      <c r="H2438" s="876"/>
      <c r="I2438" s="876" t="str">
        <f t="shared" si="678"/>
        <v/>
      </c>
      <c r="J2438" s="877">
        <f t="shared" si="668"/>
        <v>0</v>
      </c>
      <c r="K2438" s="932" t="s">
        <v>506</v>
      </c>
      <c r="L2438" s="1014">
        <f>ROUND(SUM(ORÇAMENTO!L2438),2)</f>
        <v>0</v>
      </c>
      <c r="M2438" s="1015">
        <f t="shared" si="662"/>
        <v>0</v>
      </c>
      <c r="N2438" s="868">
        <f t="shared" si="663"/>
        <v>0</v>
      </c>
      <c r="O2438" s="880"/>
      <c r="P2438" s="58" t="str">
        <f>IF(N2437&gt;0,"xx",IF(N2437&gt;0,"xy",""))</f>
        <v/>
      </c>
      <c r="Q2438" s="317" t="str">
        <f t="shared" si="674"/>
        <v/>
      </c>
      <c r="R2438" s="317" t="str">
        <f t="shared" si="675"/>
        <v/>
      </c>
      <c r="S2438" s="317" t="str">
        <f t="shared" si="676"/>
        <v/>
      </c>
      <c r="V2438" s="314">
        <f>SUM(ORÇAMENTO!N2438)</f>
        <v>0</v>
      </c>
      <c r="W2438" s="315">
        <f t="shared" si="665"/>
        <v>0</v>
      </c>
    </row>
    <row r="2439" spans="1:23" hidden="1">
      <c r="A2439" s="63" t="s">
        <v>147</v>
      </c>
      <c r="B2439" s="870" t="s">
        <v>147</v>
      </c>
      <c r="C2439" s="871"/>
      <c r="D2439" s="931" t="s">
        <v>229</v>
      </c>
      <c r="E2439" s="882">
        <f>DMT!$F$8</f>
        <v>290</v>
      </c>
      <c r="F2439" s="883">
        <f>VLOOKUP(D2437,'ENSAIOS DE ORÇAMENTO'!$C$5:$L$81,5,FALSE)</f>
        <v>0</v>
      </c>
      <c r="G2439" s="923">
        <f t="shared" ref="G2439:G2441" si="681">IF(E2439&lt;=30,(1.07*E2439+2.68)*F2439,((1.07*30+2.68)+1.07*(E2439-30))*F2439)</f>
        <v>0</v>
      </c>
      <c r="H2439" s="876"/>
      <c r="I2439" s="876" t="str">
        <f t="shared" si="678"/>
        <v/>
      </c>
      <c r="J2439" s="877">
        <f t="shared" si="668"/>
        <v>0</v>
      </c>
      <c r="K2439" s="932" t="s">
        <v>506</v>
      </c>
      <c r="L2439" s="1014">
        <f>ROUND(SUM(ORÇAMENTO!L2439),2)</f>
        <v>0</v>
      </c>
      <c r="M2439" s="1015">
        <f t="shared" si="662"/>
        <v>0</v>
      </c>
      <c r="N2439" s="868">
        <f t="shared" si="663"/>
        <v>0</v>
      </c>
      <c r="O2439" s="880"/>
      <c r="P2439" s="58" t="str">
        <f>IF(N2437&gt;0,"xx",IF(N2437&gt;0,"xy",""))</f>
        <v/>
      </c>
      <c r="Q2439" s="317" t="str">
        <f t="shared" si="674"/>
        <v/>
      </c>
      <c r="R2439" s="317" t="str">
        <f t="shared" si="675"/>
        <v/>
      </c>
      <c r="S2439" s="317" t="str">
        <f t="shared" si="676"/>
        <v/>
      </c>
      <c r="V2439" s="314">
        <f>SUM(ORÇAMENTO!N2439)</f>
        <v>0</v>
      </c>
      <c r="W2439" s="315">
        <f t="shared" si="665"/>
        <v>0</v>
      </c>
    </row>
    <row r="2440" spans="1:23" hidden="1">
      <c r="A2440" s="63" t="s">
        <v>147</v>
      </c>
      <c r="B2440" s="870" t="s">
        <v>147</v>
      </c>
      <c r="C2440" s="871"/>
      <c r="D2440" s="931" t="s">
        <v>233</v>
      </c>
      <c r="E2440" s="882">
        <f>DMT!$F$10</f>
        <v>43.1</v>
      </c>
      <c r="F2440" s="883">
        <f>VLOOKUP(D2437,'ENSAIOS DE ORÇAMENTO'!$C$5:$L$81,6,FALSE)</f>
        <v>0</v>
      </c>
      <c r="G2440" s="923">
        <f t="shared" si="681"/>
        <v>0</v>
      </c>
      <c r="H2440" s="876"/>
      <c r="I2440" s="876" t="str">
        <f t="shared" si="678"/>
        <v/>
      </c>
      <c r="J2440" s="877">
        <f t="shared" si="668"/>
        <v>0</v>
      </c>
      <c r="K2440" s="932" t="s">
        <v>506</v>
      </c>
      <c r="L2440" s="1014">
        <f>ROUND(SUM(ORÇAMENTO!L2440),2)</f>
        <v>0</v>
      </c>
      <c r="M2440" s="1015">
        <f t="shared" si="662"/>
        <v>0</v>
      </c>
      <c r="N2440" s="868">
        <f t="shared" si="663"/>
        <v>0</v>
      </c>
      <c r="O2440" s="880"/>
      <c r="P2440" s="58" t="str">
        <f>IF(N2437&gt;0,"xx",IF(N2437&gt;0,"xy",""))</f>
        <v/>
      </c>
      <c r="Q2440" s="317" t="str">
        <f t="shared" si="674"/>
        <v/>
      </c>
      <c r="R2440" s="317" t="str">
        <f t="shared" si="675"/>
        <v/>
      </c>
      <c r="S2440" s="317" t="str">
        <f t="shared" si="676"/>
        <v/>
      </c>
      <c r="V2440" s="314">
        <f>SUM(ORÇAMENTO!N2440)</f>
        <v>0</v>
      </c>
      <c r="W2440" s="315">
        <f t="shared" si="665"/>
        <v>0</v>
      </c>
    </row>
    <row r="2441" spans="1:23" hidden="1">
      <c r="A2441" s="63" t="s">
        <v>147</v>
      </c>
      <c r="B2441" s="870" t="s">
        <v>147</v>
      </c>
      <c r="C2441" s="871"/>
      <c r="D2441" s="931" t="s">
        <v>365</v>
      </c>
      <c r="E2441" s="882">
        <f>DMT!$F$32</f>
        <v>28</v>
      </c>
      <c r="F2441" s="883">
        <f>VLOOKUP(D2437,'ENSAIOS DE ORÇAMENTO'!$C$5:$L$81,3,FALSE)</f>
        <v>0</v>
      </c>
      <c r="G2441" s="923">
        <f t="shared" si="681"/>
        <v>0</v>
      </c>
      <c r="H2441" s="876"/>
      <c r="I2441" s="876" t="str">
        <f t="shared" si="678"/>
        <v/>
      </c>
      <c r="J2441" s="877">
        <f t="shared" si="668"/>
        <v>0</v>
      </c>
      <c r="K2441" s="932" t="s">
        <v>506</v>
      </c>
      <c r="L2441" s="1014">
        <f>ROUND(SUM(ORÇAMENTO!L2441),2)</f>
        <v>0</v>
      </c>
      <c r="M2441" s="1015">
        <f t="shared" si="662"/>
        <v>0</v>
      </c>
      <c r="N2441" s="868">
        <f t="shared" si="663"/>
        <v>0</v>
      </c>
      <c r="O2441" s="880"/>
      <c r="P2441" s="58" t="str">
        <f>IF(N2437&gt;0,"xx",IF(N2437&gt;0,"xy",""))</f>
        <v/>
      </c>
      <c r="Q2441" s="317" t="str">
        <f t="shared" si="674"/>
        <v/>
      </c>
      <c r="R2441" s="317" t="str">
        <f t="shared" si="675"/>
        <v/>
      </c>
      <c r="S2441" s="317" t="str">
        <f t="shared" si="676"/>
        <v/>
      </c>
      <c r="V2441" s="314">
        <f>SUM(ORÇAMENTO!N2441)</f>
        <v>0</v>
      </c>
      <c r="W2441" s="315">
        <f t="shared" si="665"/>
        <v>0</v>
      </c>
    </row>
    <row r="2442" spans="1:23" hidden="1">
      <c r="A2442" s="63" t="s">
        <v>147</v>
      </c>
      <c r="B2442" s="870" t="s">
        <v>147</v>
      </c>
      <c r="C2442" s="871"/>
      <c r="D2442" s="931" t="s">
        <v>366</v>
      </c>
      <c r="E2442" s="882">
        <f>DMT!$D$18</f>
        <v>440</v>
      </c>
      <c r="F2442" s="883">
        <f>VLOOKUP(D2437,'ENSAIOS DE ORÇAMENTO'!$C$5:$L$81,10,FALSE)</f>
        <v>0</v>
      </c>
      <c r="G2442" s="884">
        <f>IF(E2442&lt;=30,(0.78*E2442+7.82)*F2442,((0.78*30+7.82)+0.78*(E2442-30))*F2442)</f>
        <v>0</v>
      </c>
      <c r="H2442" s="876"/>
      <c r="I2442" s="876" t="str">
        <f t="shared" si="678"/>
        <v/>
      </c>
      <c r="J2442" s="877">
        <f t="shared" si="668"/>
        <v>0</v>
      </c>
      <c r="K2442" s="932" t="s">
        <v>506</v>
      </c>
      <c r="L2442" s="1014">
        <f>ROUND(SUM(ORÇAMENTO!L2442),2)</f>
        <v>0</v>
      </c>
      <c r="M2442" s="1015">
        <f t="shared" si="662"/>
        <v>0</v>
      </c>
      <c r="N2442" s="868">
        <f t="shared" si="663"/>
        <v>0</v>
      </c>
      <c r="O2442" s="880"/>
      <c r="P2442" s="58" t="str">
        <f>IF(N2437&gt;0,"xx",IF(N2437&gt;0,"xy",""))</f>
        <v/>
      </c>
      <c r="Q2442" s="317" t="str">
        <f t="shared" si="674"/>
        <v/>
      </c>
      <c r="R2442" s="317" t="str">
        <f t="shared" si="675"/>
        <v/>
      </c>
      <c r="S2442" s="317" t="str">
        <f t="shared" si="676"/>
        <v/>
      </c>
      <c r="V2442" s="314">
        <f>SUM(ORÇAMENTO!N2442)</f>
        <v>0</v>
      </c>
      <c r="W2442" s="315">
        <f t="shared" si="665"/>
        <v>0</v>
      </c>
    </row>
    <row r="2443" spans="1:23" hidden="1">
      <c r="A2443" s="63" t="s">
        <v>399</v>
      </c>
      <c r="B2443" s="870" t="s">
        <v>399</v>
      </c>
      <c r="C2443" s="871" t="s">
        <v>184</v>
      </c>
      <c r="D2443" s="881" t="str">
        <f>'ENSAIOS DE ORÇAMENTO'!C78</f>
        <v>ENSAIO DE ORÇAMENTO 7</v>
      </c>
      <c r="E2443" s="882"/>
      <c r="F2443" s="883"/>
      <c r="G2443" s="887">
        <f>SUM(G2444:G2448)</f>
        <v>0</v>
      </c>
      <c r="H2443" s="876">
        <v>0</v>
      </c>
      <c r="I2443" s="876">
        <f t="shared" si="678"/>
        <v>0</v>
      </c>
      <c r="J2443" s="877">
        <f t="shared" si="668"/>
        <v>0</v>
      </c>
      <c r="K2443" s="878" t="s">
        <v>15</v>
      </c>
      <c r="L2443" s="1013">
        <f>ROUND(SUM(ORÇAMENTO!L2443),2)</f>
        <v>0</v>
      </c>
      <c r="M2443" s="1013">
        <f t="shared" si="662"/>
        <v>0</v>
      </c>
      <c r="N2443" s="868">
        <f t="shared" si="663"/>
        <v>0</v>
      </c>
      <c r="O2443" s="880"/>
      <c r="Q2443" s="317" t="str">
        <f t="shared" si="674"/>
        <v/>
      </c>
      <c r="R2443" s="317" t="str">
        <f t="shared" si="675"/>
        <v/>
      </c>
      <c r="S2443" s="317" t="str">
        <f t="shared" si="676"/>
        <v/>
      </c>
      <c r="V2443" s="314">
        <f>SUM(ORÇAMENTO!N2443)</f>
        <v>0</v>
      </c>
      <c r="W2443" s="315">
        <f t="shared" si="665"/>
        <v>0</v>
      </c>
    </row>
    <row r="2444" spans="1:23" hidden="1">
      <c r="A2444" s="63" t="s">
        <v>147</v>
      </c>
      <c r="B2444" s="870" t="s">
        <v>147</v>
      </c>
      <c r="C2444" s="871"/>
      <c r="D2444" s="931" t="s">
        <v>190</v>
      </c>
      <c r="E2444" s="882">
        <f>DMT!$D$20</f>
        <v>445</v>
      </c>
      <c r="F2444" s="883">
        <f>VLOOKUP(D2443,'ENSAIOS DE ORÇAMENTO'!$C$5:$L$81,4,FALSE)</f>
        <v>0</v>
      </c>
      <c r="G2444" s="884">
        <f>IF(E2444&lt;=30,(0.78*E2444+7.82)*F2444,((0.78*30+7.82)+0.78*(E2444-30))*F2444)</f>
        <v>0</v>
      </c>
      <c r="H2444" s="876"/>
      <c r="I2444" s="876" t="str">
        <f t="shared" si="678"/>
        <v/>
      </c>
      <c r="J2444" s="877">
        <f t="shared" si="668"/>
        <v>0</v>
      </c>
      <c r="K2444" s="932" t="s">
        <v>506</v>
      </c>
      <c r="L2444" s="1014">
        <f>ROUND(SUM(ORÇAMENTO!L2444),2)</f>
        <v>0</v>
      </c>
      <c r="M2444" s="1015">
        <f t="shared" si="662"/>
        <v>0</v>
      </c>
      <c r="N2444" s="868">
        <f t="shared" si="663"/>
        <v>0</v>
      </c>
      <c r="O2444" s="880"/>
      <c r="P2444" s="58" t="str">
        <f>IF(N2443&gt;0,"xx",IF(N2443&gt;0,"xy",""))</f>
        <v/>
      </c>
      <c r="Q2444" s="317" t="str">
        <f t="shared" si="674"/>
        <v/>
      </c>
      <c r="R2444" s="317" t="str">
        <f t="shared" si="675"/>
        <v/>
      </c>
      <c r="S2444" s="317" t="str">
        <f t="shared" si="676"/>
        <v/>
      </c>
      <c r="V2444" s="314">
        <f>SUM(ORÇAMENTO!N2444)</f>
        <v>0</v>
      </c>
      <c r="W2444" s="315">
        <f t="shared" si="665"/>
        <v>0</v>
      </c>
    </row>
    <row r="2445" spans="1:23" hidden="1">
      <c r="A2445" s="63" t="s">
        <v>147</v>
      </c>
      <c r="B2445" s="870" t="s">
        <v>147</v>
      </c>
      <c r="C2445" s="871"/>
      <c r="D2445" s="931" t="s">
        <v>229</v>
      </c>
      <c r="E2445" s="882">
        <f>DMT!$F$8</f>
        <v>290</v>
      </c>
      <c r="F2445" s="883">
        <f>VLOOKUP(D2443,'ENSAIOS DE ORÇAMENTO'!$C$5:$L$81,5,FALSE)</f>
        <v>0</v>
      </c>
      <c r="G2445" s="923">
        <f t="shared" ref="G2445:G2447" si="682">IF(E2445&lt;=30,(1.07*E2445+2.68)*F2445,((1.07*30+2.68)+1.07*(E2445-30))*F2445)</f>
        <v>0</v>
      </c>
      <c r="H2445" s="876"/>
      <c r="I2445" s="876" t="str">
        <f t="shared" si="678"/>
        <v/>
      </c>
      <c r="J2445" s="877">
        <f t="shared" si="668"/>
        <v>0</v>
      </c>
      <c r="K2445" s="932" t="s">
        <v>506</v>
      </c>
      <c r="L2445" s="1014">
        <f>ROUND(SUM(ORÇAMENTO!L2445),2)</f>
        <v>0</v>
      </c>
      <c r="M2445" s="1015">
        <f t="shared" si="662"/>
        <v>0</v>
      </c>
      <c r="N2445" s="868">
        <f t="shared" si="663"/>
        <v>0</v>
      </c>
      <c r="O2445" s="880"/>
      <c r="P2445" s="58" t="str">
        <f>IF(N2443&gt;0,"xx",IF(N2443&gt;0,"xy",""))</f>
        <v/>
      </c>
      <c r="Q2445" s="317" t="str">
        <f t="shared" si="674"/>
        <v/>
      </c>
      <c r="R2445" s="317" t="str">
        <f t="shared" si="675"/>
        <v/>
      </c>
      <c r="S2445" s="317" t="str">
        <f t="shared" si="676"/>
        <v/>
      </c>
      <c r="V2445" s="314">
        <f>SUM(ORÇAMENTO!N2445)</f>
        <v>0</v>
      </c>
      <c r="W2445" s="315">
        <f t="shared" si="665"/>
        <v>0</v>
      </c>
    </row>
    <row r="2446" spans="1:23" hidden="1">
      <c r="A2446" s="63" t="s">
        <v>147</v>
      </c>
      <c r="B2446" s="870" t="s">
        <v>147</v>
      </c>
      <c r="C2446" s="871"/>
      <c r="D2446" s="931" t="s">
        <v>233</v>
      </c>
      <c r="E2446" s="882">
        <f>DMT!$F$10</f>
        <v>43.1</v>
      </c>
      <c r="F2446" s="883">
        <f>VLOOKUP(D2443,'ENSAIOS DE ORÇAMENTO'!$C$5:$L$81,6,FALSE)</f>
        <v>0</v>
      </c>
      <c r="G2446" s="923">
        <f t="shared" si="682"/>
        <v>0</v>
      </c>
      <c r="H2446" s="876"/>
      <c r="I2446" s="876" t="str">
        <f t="shared" si="678"/>
        <v/>
      </c>
      <c r="J2446" s="877">
        <f t="shared" si="668"/>
        <v>0</v>
      </c>
      <c r="K2446" s="932" t="s">
        <v>506</v>
      </c>
      <c r="L2446" s="1014">
        <f>ROUND(SUM(ORÇAMENTO!L2446),2)</f>
        <v>0</v>
      </c>
      <c r="M2446" s="1015">
        <f t="shared" si="662"/>
        <v>0</v>
      </c>
      <c r="N2446" s="868">
        <f t="shared" si="663"/>
        <v>0</v>
      </c>
      <c r="O2446" s="880"/>
      <c r="P2446" s="58" t="str">
        <f>IF(N2443&gt;0,"xx",IF(N2443&gt;0,"xy",""))</f>
        <v/>
      </c>
      <c r="Q2446" s="317" t="str">
        <f t="shared" si="674"/>
        <v/>
      </c>
      <c r="R2446" s="317" t="str">
        <f t="shared" si="675"/>
        <v/>
      </c>
      <c r="S2446" s="317" t="str">
        <f t="shared" si="676"/>
        <v/>
      </c>
      <c r="V2446" s="314">
        <f>SUM(ORÇAMENTO!N2446)</f>
        <v>0</v>
      </c>
      <c r="W2446" s="315">
        <f t="shared" si="665"/>
        <v>0</v>
      </c>
    </row>
    <row r="2447" spans="1:23" hidden="1">
      <c r="A2447" s="63" t="s">
        <v>147</v>
      </c>
      <c r="B2447" s="870" t="s">
        <v>147</v>
      </c>
      <c r="C2447" s="871"/>
      <c r="D2447" s="931" t="s">
        <v>365</v>
      </c>
      <c r="E2447" s="882">
        <f>DMT!$F$32</f>
        <v>28</v>
      </c>
      <c r="F2447" s="883">
        <f>VLOOKUP(D2443,'ENSAIOS DE ORÇAMENTO'!$C$5:$L$81,3,FALSE)</f>
        <v>0</v>
      </c>
      <c r="G2447" s="923">
        <f t="shared" si="682"/>
        <v>0</v>
      </c>
      <c r="H2447" s="876"/>
      <c r="I2447" s="876" t="str">
        <f t="shared" si="678"/>
        <v/>
      </c>
      <c r="J2447" s="877">
        <f t="shared" si="668"/>
        <v>0</v>
      </c>
      <c r="K2447" s="932" t="s">
        <v>506</v>
      </c>
      <c r="L2447" s="1014">
        <f>ROUND(SUM(ORÇAMENTO!L2447),2)</f>
        <v>0</v>
      </c>
      <c r="M2447" s="1015">
        <f t="shared" si="662"/>
        <v>0</v>
      </c>
      <c r="N2447" s="868">
        <f t="shared" si="663"/>
        <v>0</v>
      </c>
      <c r="O2447" s="880"/>
      <c r="P2447" s="58" t="str">
        <f>IF(N2443&gt;0,"xx",IF(N2443&gt;0,"xy",""))</f>
        <v/>
      </c>
      <c r="Q2447" s="317" t="str">
        <f t="shared" si="674"/>
        <v/>
      </c>
      <c r="R2447" s="317" t="str">
        <f t="shared" si="675"/>
        <v/>
      </c>
      <c r="S2447" s="317" t="str">
        <f t="shared" si="676"/>
        <v/>
      </c>
      <c r="V2447" s="314">
        <f>SUM(ORÇAMENTO!N2447)</f>
        <v>0</v>
      </c>
      <c r="W2447" s="315">
        <f t="shared" si="665"/>
        <v>0</v>
      </c>
    </row>
    <row r="2448" spans="1:23" hidden="1">
      <c r="A2448" s="63" t="s">
        <v>147</v>
      </c>
      <c r="B2448" s="870" t="s">
        <v>147</v>
      </c>
      <c r="C2448" s="871"/>
      <c r="D2448" s="931" t="s">
        <v>366</v>
      </c>
      <c r="E2448" s="882">
        <f>DMT!$D$18</f>
        <v>440</v>
      </c>
      <c r="F2448" s="883">
        <f>VLOOKUP(D2443,'ENSAIOS DE ORÇAMENTO'!$C$5:$L$81,10,FALSE)</f>
        <v>0</v>
      </c>
      <c r="G2448" s="884">
        <f>IF(E2448&lt;=30,(0.78*E2448+7.82)*F2448,((0.78*30+7.82)+0.78*(E2448-30))*F2448)</f>
        <v>0</v>
      </c>
      <c r="H2448" s="876"/>
      <c r="I2448" s="876" t="str">
        <f t="shared" si="678"/>
        <v/>
      </c>
      <c r="J2448" s="877">
        <f t="shared" si="668"/>
        <v>0</v>
      </c>
      <c r="K2448" s="932" t="s">
        <v>506</v>
      </c>
      <c r="L2448" s="1014">
        <f>ROUND(SUM(ORÇAMENTO!L2448),2)</f>
        <v>0</v>
      </c>
      <c r="M2448" s="1015">
        <f t="shared" si="662"/>
        <v>0</v>
      </c>
      <c r="N2448" s="868">
        <f t="shared" si="663"/>
        <v>0</v>
      </c>
      <c r="O2448" s="880"/>
      <c r="P2448" s="58" t="str">
        <f>IF(N2443&gt;0,"xx",IF(N2443&gt;0,"xy",""))</f>
        <v/>
      </c>
      <c r="Q2448" s="317" t="str">
        <f t="shared" si="674"/>
        <v/>
      </c>
      <c r="R2448" s="317" t="str">
        <f t="shared" si="675"/>
        <v/>
      </c>
      <c r="S2448" s="317" t="str">
        <f t="shared" si="676"/>
        <v/>
      </c>
      <c r="V2448" s="314">
        <f>SUM(ORÇAMENTO!N2448)</f>
        <v>0</v>
      </c>
      <c r="W2448" s="315">
        <f t="shared" si="665"/>
        <v>0</v>
      </c>
    </row>
    <row r="2449" spans="1:23" hidden="1">
      <c r="A2449" s="63" t="s">
        <v>400</v>
      </c>
      <c r="B2449" s="870" t="s">
        <v>400</v>
      </c>
      <c r="C2449" s="871" t="s">
        <v>184</v>
      </c>
      <c r="D2449" s="881" t="str">
        <f>'ENSAIOS DE ORÇAMENTO'!C79</f>
        <v>ENSAIO DE ORÇAMENTO 8</v>
      </c>
      <c r="E2449" s="882"/>
      <c r="F2449" s="883"/>
      <c r="G2449" s="887">
        <f>SUM(G2450:G2454)</f>
        <v>0</v>
      </c>
      <c r="H2449" s="876">
        <v>0</v>
      </c>
      <c r="I2449" s="876">
        <f t="shared" si="678"/>
        <v>0</v>
      </c>
      <c r="J2449" s="877">
        <f t="shared" si="668"/>
        <v>0</v>
      </c>
      <c r="K2449" s="878" t="s">
        <v>15</v>
      </c>
      <c r="L2449" s="1013">
        <f>ROUND(SUM(ORÇAMENTO!L2449),2)</f>
        <v>0</v>
      </c>
      <c r="M2449" s="1013">
        <f t="shared" si="662"/>
        <v>0</v>
      </c>
      <c r="N2449" s="868">
        <f t="shared" si="663"/>
        <v>0</v>
      </c>
      <c r="O2449" s="880"/>
      <c r="Q2449" s="317" t="str">
        <f t="shared" si="674"/>
        <v/>
      </c>
      <c r="R2449" s="317" t="str">
        <f t="shared" si="675"/>
        <v/>
      </c>
      <c r="S2449" s="317" t="str">
        <f t="shared" si="676"/>
        <v/>
      </c>
      <c r="V2449" s="314">
        <f>SUM(ORÇAMENTO!N2449)</f>
        <v>0</v>
      </c>
      <c r="W2449" s="315">
        <f t="shared" si="665"/>
        <v>0</v>
      </c>
    </row>
    <row r="2450" spans="1:23" hidden="1">
      <c r="A2450" s="63" t="s">
        <v>147</v>
      </c>
      <c r="B2450" s="870" t="s">
        <v>147</v>
      </c>
      <c r="C2450" s="871"/>
      <c r="D2450" s="931" t="s">
        <v>190</v>
      </c>
      <c r="E2450" s="882">
        <f>DMT!$D$20</f>
        <v>445</v>
      </c>
      <c r="F2450" s="883">
        <f>VLOOKUP(D2449,'ENSAIOS DE ORÇAMENTO'!$C$5:$L$81,4,FALSE)</f>
        <v>0</v>
      </c>
      <c r="G2450" s="884">
        <f>IF(E2450&lt;=30,(0.78*E2450+7.82)*F2450,((0.78*30+7.82)+0.78*(E2450-30))*F2450)</f>
        <v>0</v>
      </c>
      <c r="H2450" s="876"/>
      <c r="I2450" s="876" t="str">
        <f t="shared" si="678"/>
        <v/>
      </c>
      <c r="J2450" s="877">
        <f t="shared" si="668"/>
        <v>0</v>
      </c>
      <c r="K2450" s="932" t="s">
        <v>506</v>
      </c>
      <c r="L2450" s="1014">
        <f>ROUND(SUM(ORÇAMENTO!L2450),2)</f>
        <v>0</v>
      </c>
      <c r="M2450" s="1015">
        <f t="shared" ref="M2450:M2499" si="683">IF(L2450=0,0,ROUND(J2450,2))</f>
        <v>0</v>
      </c>
      <c r="N2450" s="868">
        <f t="shared" ref="N2450:N2499" si="684">IF(ISBLANK(L2450),0,ROUND(L2450*M2450,2))</f>
        <v>0</v>
      </c>
      <c r="O2450" s="880"/>
      <c r="P2450" s="58" t="str">
        <f>IF(N2449&gt;0,"xx",IF(N2449&gt;0,"xy",""))</f>
        <v/>
      </c>
      <c r="Q2450" s="317" t="str">
        <f t="shared" si="674"/>
        <v/>
      </c>
      <c r="R2450" s="317" t="str">
        <f t="shared" si="675"/>
        <v/>
      </c>
      <c r="S2450" s="317" t="str">
        <f t="shared" si="676"/>
        <v/>
      </c>
      <c r="V2450" s="314">
        <f>SUM(ORÇAMENTO!N2450)</f>
        <v>0</v>
      </c>
      <c r="W2450" s="315">
        <f t="shared" si="665"/>
        <v>0</v>
      </c>
    </row>
    <row r="2451" spans="1:23" hidden="1">
      <c r="A2451" s="63" t="s">
        <v>147</v>
      </c>
      <c r="B2451" s="870" t="s">
        <v>147</v>
      </c>
      <c r="C2451" s="871"/>
      <c r="D2451" s="931" t="s">
        <v>229</v>
      </c>
      <c r="E2451" s="882">
        <f>DMT!$F$8</f>
        <v>290</v>
      </c>
      <c r="F2451" s="883">
        <f>VLOOKUP(D2449,'ENSAIOS DE ORÇAMENTO'!$C$5:$L$81,5,FALSE)</f>
        <v>0</v>
      </c>
      <c r="G2451" s="923">
        <f t="shared" ref="G2451:G2453" si="685">IF(E2451&lt;=30,(1.07*E2451+2.68)*F2451,((1.07*30+2.68)+1.07*(E2451-30))*F2451)</f>
        <v>0</v>
      </c>
      <c r="H2451" s="876"/>
      <c r="I2451" s="876" t="str">
        <f t="shared" si="678"/>
        <v/>
      </c>
      <c r="J2451" s="877">
        <f t="shared" si="668"/>
        <v>0</v>
      </c>
      <c r="K2451" s="932" t="s">
        <v>506</v>
      </c>
      <c r="L2451" s="1014">
        <f>ROUND(SUM(ORÇAMENTO!L2451),2)</f>
        <v>0</v>
      </c>
      <c r="M2451" s="1015">
        <f t="shared" si="683"/>
        <v>0</v>
      </c>
      <c r="N2451" s="868">
        <f t="shared" si="684"/>
        <v>0</v>
      </c>
      <c r="O2451" s="880"/>
      <c r="P2451" s="58" t="str">
        <f>IF(N2449&gt;0,"xx",IF(N2449&gt;0,"xy",""))</f>
        <v/>
      </c>
      <c r="Q2451" s="317" t="str">
        <f t="shared" si="674"/>
        <v/>
      </c>
      <c r="R2451" s="317" t="str">
        <f t="shared" si="675"/>
        <v/>
      </c>
      <c r="S2451" s="317" t="str">
        <f t="shared" si="676"/>
        <v/>
      </c>
      <c r="V2451" s="314">
        <f>SUM(ORÇAMENTO!N2451)</f>
        <v>0</v>
      </c>
      <c r="W2451" s="315">
        <f t="shared" si="665"/>
        <v>0</v>
      </c>
    </row>
    <row r="2452" spans="1:23" hidden="1">
      <c r="A2452" s="63" t="s">
        <v>147</v>
      </c>
      <c r="B2452" s="870" t="s">
        <v>147</v>
      </c>
      <c r="C2452" s="871"/>
      <c r="D2452" s="931" t="s">
        <v>233</v>
      </c>
      <c r="E2452" s="882">
        <f>DMT!$F$10</f>
        <v>43.1</v>
      </c>
      <c r="F2452" s="883">
        <f>VLOOKUP(D2449,'ENSAIOS DE ORÇAMENTO'!$C$5:$L$81,6,FALSE)</f>
        <v>0</v>
      </c>
      <c r="G2452" s="923">
        <f t="shared" si="685"/>
        <v>0</v>
      </c>
      <c r="H2452" s="876"/>
      <c r="I2452" s="876" t="str">
        <f t="shared" si="678"/>
        <v/>
      </c>
      <c r="J2452" s="877">
        <f t="shared" si="668"/>
        <v>0</v>
      </c>
      <c r="K2452" s="932" t="s">
        <v>506</v>
      </c>
      <c r="L2452" s="1014">
        <f>ROUND(SUM(ORÇAMENTO!L2452),2)</f>
        <v>0</v>
      </c>
      <c r="M2452" s="1015">
        <f t="shared" si="683"/>
        <v>0</v>
      </c>
      <c r="N2452" s="868">
        <f t="shared" si="684"/>
        <v>0</v>
      </c>
      <c r="O2452" s="880"/>
      <c r="P2452" s="58" t="str">
        <f>IF(N2449&gt;0,"xx",IF(N2449&gt;0,"xy",""))</f>
        <v/>
      </c>
      <c r="Q2452" s="317" t="str">
        <f t="shared" si="674"/>
        <v/>
      </c>
      <c r="R2452" s="317" t="str">
        <f t="shared" si="675"/>
        <v/>
      </c>
      <c r="S2452" s="317" t="str">
        <f t="shared" si="676"/>
        <v/>
      </c>
      <c r="V2452" s="314">
        <f>SUM(ORÇAMENTO!N2452)</f>
        <v>0</v>
      </c>
      <c r="W2452" s="315">
        <f t="shared" si="665"/>
        <v>0</v>
      </c>
    </row>
    <row r="2453" spans="1:23" hidden="1">
      <c r="A2453" s="63" t="s">
        <v>147</v>
      </c>
      <c r="B2453" s="870" t="s">
        <v>147</v>
      </c>
      <c r="C2453" s="871"/>
      <c r="D2453" s="931" t="s">
        <v>365</v>
      </c>
      <c r="E2453" s="882">
        <f>DMT!$F$32</f>
        <v>28</v>
      </c>
      <c r="F2453" s="883">
        <f>VLOOKUP(D2449,'ENSAIOS DE ORÇAMENTO'!$C$5:$L$81,3,FALSE)</f>
        <v>0</v>
      </c>
      <c r="G2453" s="923">
        <f t="shared" si="685"/>
        <v>0</v>
      </c>
      <c r="H2453" s="876"/>
      <c r="I2453" s="876" t="str">
        <f t="shared" si="678"/>
        <v/>
      </c>
      <c r="J2453" s="877">
        <f t="shared" si="668"/>
        <v>0</v>
      </c>
      <c r="K2453" s="932" t="s">
        <v>506</v>
      </c>
      <c r="L2453" s="1014">
        <f>ROUND(SUM(ORÇAMENTO!L2453),2)</f>
        <v>0</v>
      </c>
      <c r="M2453" s="1015">
        <f t="shared" si="683"/>
        <v>0</v>
      </c>
      <c r="N2453" s="868">
        <f t="shared" si="684"/>
        <v>0</v>
      </c>
      <c r="O2453" s="880"/>
      <c r="P2453" s="58" t="str">
        <f>IF(N2449&gt;0,"xx",IF(N2449&gt;0,"xy",""))</f>
        <v/>
      </c>
      <c r="Q2453" s="317" t="str">
        <f t="shared" si="674"/>
        <v/>
      </c>
      <c r="R2453" s="317" t="str">
        <f t="shared" si="675"/>
        <v/>
      </c>
      <c r="S2453" s="317" t="str">
        <f t="shared" si="676"/>
        <v/>
      </c>
      <c r="V2453" s="314">
        <f>SUM(ORÇAMENTO!N2453)</f>
        <v>0</v>
      </c>
      <c r="W2453" s="315">
        <f t="shared" ref="W2453:W2516" si="686">N2453-V2453</f>
        <v>0</v>
      </c>
    </row>
    <row r="2454" spans="1:23" hidden="1">
      <c r="A2454" s="63" t="s">
        <v>147</v>
      </c>
      <c r="B2454" s="870" t="s">
        <v>147</v>
      </c>
      <c r="C2454" s="871"/>
      <c r="D2454" s="931" t="s">
        <v>366</v>
      </c>
      <c r="E2454" s="882">
        <f>DMT!$D$18</f>
        <v>440</v>
      </c>
      <c r="F2454" s="883">
        <f>VLOOKUP(D2449,'ENSAIOS DE ORÇAMENTO'!$C$5:$L$81,10,FALSE)</f>
        <v>0</v>
      </c>
      <c r="G2454" s="884">
        <f>IF(E2454&lt;=30,(0.78*E2454+7.82)*F2454,((0.78*30+7.82)+0.78*(E2454-30))*F2454)</f>
        <v>0</v>
      </c>
      <c r="H2454" s="876"/>
      <c r="I2454" s="876" t="str">
        <f t="shared" si="678"/>
        <v/>
      </c>
      <c r="J2454" s="877">
        <f t="shared" si="668"/>
        <v>0</v>
      </c>
      <c r="K2454" s="932" t="s">
        <v>506</v>
      </c>
      <c r="L2454" s="1014">
        <f>ROUND(SUM(ORÇAMENTO!L2454),2)</f>
        <v>0</v>
      </c>
      <c r="M2454" s="1015">
        <f t="shared" si="683"/>
        <v>0</v>
      </c>
      <c r="N2454" s="868">
        <f t="shared" si="684"/>
        <v>0</v>
      </c>
      <c r="O2454" s="880"/>
      <c r="P2454" s="58" t="str">
        <f>IF(N2449&gt;0,"xx",IF(N2449&gt;0,"xy",""))</f>
        <v/>
      </c>
      <c r="Q2454" s="317" t="str">
        <f t="shared" si="674"/>
        <v/>
      </c>
      <c r="R2454" s="317" t="str">
        <f t="shared" si="675"/>
        <v/>
      </c>
      <c r="S2454" s="317" t="str">
        <f t="shared" si="676"/>
        <v/>
      </c>
      <c r="V2454" s="314">
        <f>SUM(ORÇAMENTO!N2454)</f>
        <v>0</v>
      </c>
      <c r="W2454" s="315">
        <f t="shared" si="686"/>
        <v>0</v>
      </c>
    </row>
    <row r="2455" spans="1:23" hidden="1">
      <c r="A2455" s="63" t="s">
        <v>401</v>
      </c>
      <c r="B2455" s="870" t="s">
        <v>401</v>
      </c>
      <c r="C2455" s="871" t="s">
        <v>184</v>
      </c>
      <c r="D2455" s="881" t="str">
        <f>'ENSAIOS DE ORÇAMENTO'!C80</f>
        <v>ENSAIO DE ORÇAMENTO 9</v>
      </c>
      <c r="E2455" s="882"/>
      <c r="F2455" s="883"/>
      <c r="G2455" s="887">
        <f>SUM(G2456:G2460)</f>
        <v>0</v>
      </c>
      <c r="H2455" s="876">
        <v>0</v>
      </c>
      <c r="I2455" s="876">
        <f t="shared" si="678"/>
        <v>0</v>
      </c>
      <c r="J2455" s="877">
        <f t="shared" si="668"/>
        <v>0</v>
      </c>
      <c r="K2455" s="878" t="s">
        <v>15</v>
      </c>
      <c r="L2455" s="1013">
        <f>ROUND(SUM(ORÇAMENTO!L2455),2)</f>
        <v>0</v>
      </c>
      <c r="M2455" s="1013">
        <f t="shared" si="683"/>
        <v>0</v>
      </c>
      <c r="N2455" s="868">
        <f t="shared" si="684"/>
        <v>0</v>
      </c>
      <c r="O2455" s="880"/>
      <c r="Q2455" s="317" t="str">
        <f t="shared" si="674"/>
        <v/>
      </c>
      <c r="R2455" s="317" t="str">
        <f t="shared" si="675"/>
        <v/>
      </c>
      <c r="S2455" s="317" t="str">
        <f t="shared" si="676"/>
        <v/>
      </c>
      <c r="V2455" s="314">
        <f>SUM(ORÇAMENTO!N2455)</f>
        <v>0</v>
      </c>
      <c r="W2455" s="315">
        <f t="shared" si="686"/>
        <v>0</v>
      </c>
    </row>
    <row r="2456" spans="1:23" hidden="1">
      <c r="A2456" s="63" t="s">
        <v>147</v>
      </c>
      <c r="B2456" s="870" t="s">
        <v>147</v>
      </c>
      <c r="C2456" s="871"/>
      <c r="D2456" s="931" t="s">
        <v>190</v>
      </c>
      <c r="E2456" s="882">
        <f>DMT!$D$20</f>
        <v>445</v>
      </c>
      <c r="F2456" s="883">
        <f>VLOOKUP(D2455,'ENSAIOS DE ORÇAMENTO'!$C$5:$L$81,4,FALSE)</f>
        <v>0</v>
      </c>
      <c r="G2456" s="884">
        <f>IF(E2456&lt;=30,(0.78*E2456+7.82)*F2456,((0.78*30+7.82)+0.78*(E2456-30))*F2456)</f>
        <v>0</v>
      </c>
      <c r="H2456" s="876"/>
      <c r="I2456" s="876" t="str">
        <f t="shared" si="678"/>
        <v/>
      </c>
      <c r="J2456" s="877">
        <f t="shared" ref="J2456:J2498" si="687">IF(ISBLANK(H2456),0,ROUND(I2456*(1+$E$10),2))</f>
        <v>0</v>
      </c>
      <c r="K2456" s="932" t="s">
        <v>506</v>
      </c>
      <c r="L2456" s="1014">
        <f>ROUND(SUM(ORÇAMENTO!L2456),2)</f>
        <v>0</v>
      </c>
      <c r="M2456" s="1015">
        <f t="shared" si="683"/>
        <v>0</v>
      </c>
      <c r="N2456" s="868">
        <f t="shared" si="684"/>
        <v>0</v>
      </c>
      <c r="O2456" s="880"/>
      <c r="P2456" s="58" t="str">
        <f>IF(N2455&gt;0,"xx",IF(N2455&gt;0,"xy",""))</f>
        <v/>
      </c>
      <c r="Q2456" s="317" t="str">
        <f t="shared" si="674"/>
        <v/>
      </c>
      <c r="R2456" s="317" t="str">
        <f t="shared" si="675"/>
        <v/>
      </c>
      <c r="S2456" s="317" t="str">
        <f t="shared" si="676"/>
        <v/>
      </c>
      <c r="V2456" s="314">
        <f>SUM(ORÇAMENTO!N2456)</f>
        <v>0</v>
      </c>
      <c r="W2456" s="315">
        <f t="shared" si="686"/>
        <v>0</v>
      </c>
    </row>
    <row r="2457" spans="1:23" hidden="1">
      <c r="A2457" s="63" t="s">
        <v>147</v>
      </c>
      <c r="B2457" s="870" t="s">
        <v>147</v>
      </c>
      <c r="C2457" s="871"/>
      <c r="D2457" s="931" t="s">
        <v>229</v>
      </c>
      <c r="E2457" s="882">
        <f>DMT!$F$8</f>
        <v>290</v>
      </c>
      <c r="F2457" s="883">
        <f>VLOOKUP(D2455,'ENSAIOS DE ORÇAMENTO'!$C$5:$L$81,5,FALSE)</f>
        <v>0</v>
      </c>
      <c r="G2457" s="923">
        <f t="shared" ref="G2457:G2459" si="688">IF(E2457&lt;=30,(1.07*E2457+2.68)*F2457,((1.07*30+2.68)+1.07*(E2457-30))*F2457)</f>
        <v>0</v>
      </c>
      <c r="H2457" s="876"/>
      <c r="I2457" s="876" t="str">
        <f t="shared" si="678"/>
        <v/>
      </c>
      <c r="J2457" s="877">
        <f t="shared" si="687"/>
        <v>0</v>
      </c>
      <c r="K2457" s="932" t="s">
        <v>506</v>
      </c>
      <c r="L2457" s="1014">
        <f>ROUND(SUM(ORÇAMENTO!L2457),2)</f>
        <v>0</v>
      </c>
      <c r="M2457" s="1015">
        <f t="shared" si="683"/>
        <v>0</v>
      </c>
      <c r="N2457" s="868">
        <f t="shared" si="684"/>
        <v>0</v>
      </c>
      <c r="O2457" s="880"/>
      <c r="P2457" s="58" t="str">
        <f>IF(N2455&gt;0,"xx",IF(N2455&gt;0,"xy",""))</f>
        <v/>
      </c>
      <c r="Q2457" s="317" t="str">
        <f t="shared" si="674"/>
        <v/>
      </c>
      <c r="R2457" s="317" t="str">
        <f t="shared" si="675"/>
        <v/>
      </c>
      <c r="S2457" s="317" t="str">
        <f t="shared" si="676"/>
        <v/>
      </c>
      <c r="V2457" s="314">
        <f>SUM(ORÇAMENTO!N2457)</f>
        <v>0</v>
      </c>
      <c r="W2457" s="315">
        <f t="shared" si="686"/>
        <v>0</v>
      </c>
    </row>
    <row r="2458" spans="1:23" hidden="1">
      <c r="A2458" s="63" t="s">
        <v>147</v>
      </c>
      <c r="B2458" s="870" t="s">
        <v>147</v>
      </c>
      <c r="C2458" s="871"/>
      <c r="D2458" s="931" t="s">
        <v>233</v>
      </c>
      <c r="E2458" s="882">
        <f>DMT!$F$10</f>
        <v>43.1</v>
      </c>
      <c r="F2458" s="883">
        <f>VLOOKUP(D2455,'ENSAIOS DE ORÇAMENTO'!$C$5:$L$81,6,FALSE)</f>
        <v>0</v>
      </c>
      <c r="G2458" s="923">
        <f t="shared" si="688"/>
        <v>0</v>
      </c>
      <c r="H2458" s="876"/>
      <c r="I2458" s="876" t="str">
        <f t="shared" si="678"/>
        <v/>
      </c>
      <c r="J2458" s="877">
        <f t="shared" si="687"/>
        <v>0</v>
      </c>
      <c r="K2458" s="932" t="s">
        <v>506</v>
      </c>
      <c r="L2458" s="1014">
        <f>ROUND(SUM(ORÇAMENTO!L2458),2)</f>
        <v>0</v>
      </c>
      <c r="M2458" s="1015">
        <f t="shared" si="683"/>
        <v>0</v>
      </c>
      <c r="N2458" s="868">
        <f t="shared" si="684"/>
        <v>0</v>
      </c>
      <c r="O2458" s="880"/>
      <c r="P2458" s="58" t="str">
        <f>IF(N2455&gt;0,"xx",IF(N2455&gt;0,"xy",""))</f>
        <v/>
      </c>
      <c r="Q2458" s="317" t="str">
        <f t="shared" si="674"/>
        <v/>
      </c>
      <c r="R2458" s="317" t="str">
        <f t="shared" si="675"/>
        <v/>
      </c>
      <c r="S2458" s="317" t="str">
        <f t="shared" si="676"/>
        <v/>
      </c>
      <c r="V2458" s="314">
        <f>SUM(ORÇAMENTO!N2458)</f>
        <v>0</v>
      </c>
      <c r="W2458" s="315">
        <f t="shared" si="686"/>
        <v>0</v>
      </c>
    </row>
    <row r="2459" spans="1:23" hidden="1">
      <c r="A2459" s="63" t="s">
        <v>147</v>
      </c>
      <c r="B2459" s="870" t="s">
        <v>147</v>
      </c>
      <c r="C2459" s="871"/>
      <c r="D2459" s="931" t="s">
        <v>365</v>
      </c>
      <c r="E2459" s="882">
        <f>DMT!$F$32</f>
        <v>28</v>
      </c>
      <c r="F2459" s="883">
        <f>VLOOKUP(D2455,'ENSAIOS DE ORÇAMENTO'!$C$5:$L$81,3,FALSE)</f>
        <v>0</v>
      </c>
      <c r="G2459" s="923">
        <f t="shared" si="688"/>
        <v>0</v>
      </c>
      <c r="H2459" s="876"/>
      <c r="I2459" s="876" t="str">
        <f t="shared" si="678"/>
        <v/>
      </c>
      <c r="J2459" s="877">
        <f t="shared" si="687"/>
        <v>0</v>
      </c>
      <c r="K2459" s="932" t="s">
        <v>506</v>
      </c>
      <c r="L2459" s="1014">
        <f>ROUND(SUM(ORÇAMENTO!L2459),2)</f>
        <v>0</v>
      </c>
      <c r="M2459" s="1015">
        <f t="shared" si="683"/>
        <v>0</v>
      </c>
      <c r="N2459" s="868">
        <f t="shared" si="684"/>
        <v>0</v>
      </c>
      <c r="O2459" s="880"/>
      <c r="P2459" s="58" t="str">
        <f>IF(N2455&gt;0,"xx",IF(N2455&gt;0,"xy",""))</f>
        <v/>
      </c>
      <c r="Q2459" s="317" t="str">
        <f t="shared" si="674"/>
        <v/>
      </c>
      <c r="R2459" s="317" t="str">
        <f t="shared" si="675"/>
        <v/>
      </c>
      <c r="S2459" s="317" t="str">
        <f t="shared" si="676"/>
        <v/>
      </c>
      <c r="V2459" s="314">
        <f>SUM(ORÇAMENTO!N2459)</f>
        <v>0</v>
      </c>
      <c r="W2459" s="315">
        <f t="shared" si="686"/>
        <v>0</v>
      </c>
    </row>
    <row r="2460" spans="1:23" hidden="1">
      <c r="A2460" s="63" t="s">
        <v>147</v>
      </c>
      <c r="B2460" s="870" t="s">
        <v>147</v>
      </c>
      <c r="C2460" s="871"/>
      <c r="D2460" s="931" t="s">
        <v>366</v>
      </c>
      <c r="E2460" s="882">
        <f>DMT!$D$18</f>
        <v>440</v>
      </c>
      <c r="F2460" s="883">
        <f>VLOOKUP(D2455,'ENSAIOS DE ORÇAMENTO'!$C$5:$L$81,10,FALSE)</f>
        <v>0</v>
      </c>
      <c r="G2460" s="884">
        <f>IF(E2460&lt;=30,(0.78*E2460+7.82)*F2460,((0.78*30+7.82)+0.78*(E2460-30))*F2460)</f>
        <v>0</v>
      </c>
      <c r="H2460" s="876"/>
      <c r="I2460" s="876" t="str">
        <f t="shared" si="678"/>
        <v/>
      </c>
      <c r="J2460" s="877">
        <f t="shared" si="687"/>
        <v>0</v>
      </c>
      <c r="K2460" s="932" t="s">
        <v>506</v>
      </c>
      <c r="L2460" s="1014">
        <f>ROUND(SUM(ORÇAMENTO!L2460),2)</f>
        <v>0</v>
      </c>
      <c r="M2460" s="1015">
        <f t="shared" si="683"/>
        <v>0</v>
      </c>
      <c r="N2460" s="868">
        <f t="shared" si="684"/>
        <v>0</v>
      </c>
      <c r="O2460" s="880"/>
      <c r="P2460" s="58" t="str">
        <f>IF(N2455&gt;0,"xx",IF(N2455&gt;0,"xy",""))</f>
        <v/>
      </c>
      <c r="Q2460" s="317" t="str">
        <f t="shared" si="674"/>
        <v/>
      </c>
      <c r="R2460" s="317" t="str">
        <f t="shared" si="675"/>
        <v/>
      </c>
      <c r="S2460" s="317" t="str">
        <f t="shared" si="676"/>
        <v/>
      </c>
      <c r="V2460" s="314">
        <f>SUM(ORÇAMENTO!N2460)</f>
        <v>0</v>
      </c>
      <c r="W2460" s="315">
        <f t="shared" si="686"/>
        <v>0</v>
      </c>
    </row>
    <row r="2461" spans="1:23" hidden="1">
      <c r="A2461" s="63" t="s">
        <v>402</v>
      </c>
      <c r="B2461" s="870" t="s">
        <v>402</v>
      </c>
      <c r="C2461" s="871" t="s">
        <v>184</v>
      </c>
      <c r="D2461" s="881" t="str">
        <f>'ENSAIOS DE ORÇAMENTO'!C81</f>
        <v>ENSAIO DE ORÇAMENTO 10</v>
      </c>
      <c r="E2461" s="882"/>
      <c r="F2461" s="883"/>
      <c r="G2461" s="887">
        <f>SUM(G2462:G2466)</f>
        <v>0</v>
      </c>
      <c r="H2461" s="876">
        <v>0</v>
      </c>
      <c r="I2461" s="876">
        <f t="shared" si="678"/>
        <v>0</v>
      </c>
      <c r="J2461" s="877">
        <f t="shared" si="687"/>
        <v>0</v>
      </c>
      <c r="K2461" s="878" t="s">
        <v>15</v>
      </c>
      <c r="L2461" s="1013">
        <f>ROUND(SUM(ORÇAMENTO!L2461),2)</f>
        <v>0</v>
      </c>
      <c r="M2461" s="1013">
        <f t="shared" si="683"/>
        <v>0</v>
      </c>
      <c r="N2461" s="868">
        <f t="shared" si="684"/>
        <v>0</v>
      </c>
      <c r="O2461" s="880"/>
      <c r="Q2461" s="317" t="str">
        <f t="shared" si="674"/>
        <v/>
      </c>
      <c r="R2461" s="317" t="str">
        <f t="shared" si="675"/>
        <v/>
      </c>
      <c r="S2461" s="317" t="str">
        <f t="shared" si="676"/>
        <v/>
      </c>
      <c r="V2461" s="314">
        <f>SUM(ORÇAMENTO!N2461)</f>
        <v>0</v>
      </c>
      <c r="W2461" s="315">
        <f t="shared" si="686"/>
        <v>0</v>
      </c>
    </row>
    <row r="2462" spans="1:23" hidden="1">
      <c r="A2462" s="63" t="s">
        <v>147</v>
      </c>
      <c r="B2462" s="870" t="s">
        <v>147</v>
      </c>
      <c r="C2462" s="871"/>
      <c r="D2462" s="931" t="s">
        <v>190</v>
      </c>
      <c r="E2462" s="882">
        <f>DMT!$D$20</f>
        <v>445</v>
      </c>
      <c r="F2462" s="883">
        <f>VLOOKUP(D2461,'ENSAIOS DE ORÇAMENTO'!$C$5:$L$81,4,FALSE)</f>
        <v>0</v>
      </c>
      <c r="G2462" s="884">
        <f>IF(E2462&lt;=30,(0.78*E2462+7.82)*F2462,((0.78*30+7.82)+0.78*(E2462-30))*F2462)</f>
        <v>0</v>
      </c>
      <c r="H2462" s="876"/>
      <c r="I2462" s="876" t="str">
        <f t="shared" si="678"/>
        <v/>
      </c>
      <c r="J2462" s="877">
        <f t="shared" si="687"/>
        <v>0</v>
      </c>
      <c r="K2462" s="932" t="s">
        <v>506</v>
      </c>
      <c r="L2462" s="1014">
        <f>ROUND(SUM(ORÇAMENTO!L2462),2)</f>
        <v>0</v>
      </c>
      <c r="M2462" s="1015">
        <f t="shared" si="683"/>
        <v>0</v>
      </c>
      <c r="N2462" s="868">
        <f t="shared" si="684"/>
        <v>0</v>
      </c>
      <c r="O2462" s="880"/>
      <c r="P2462" s="58" t="str">
        <f>IF(N2461&gt;0,"xx",IF(N2461&gt;0,"xy",""))</f>
        <v/>
      </c>
      <c r="Q2462" s="317" t="str">
        <f t="shared" si="674"/>
        <v/>
      </c>
      <c r="R2462" s="317" t="str">
        <f t="shared" si="675"/>
        <v/>
      </c>
      <c r="S2462" s="317" t="str">
        <f t="shared" si="676"/>
        <v/>
      </c>
      <c r="V2462" s="314">
        <f>SUM(ORÇAMENTO!N2462)</f>
        <v>0</v>
      </c>
      <c r="W2462" s="315">
        <f t="shared" si="686"/>
        <v>0</v>
      </c>
    </row>
    <row r="2463" spans="1:23" hidden="1">
      <c r="A2463" s="63" t="s">
        <v>147</v>
      </c>
      <c r="B2463" s="870" t="s">
        <v>147</v>
      </c>
      <c r="C2463" s="871"/>
      <c r="D2463" s="931" t="s">
        <v>229</v>
      </c>
      <c r="E2463" s="882">
        <f>DMT!$F$8</f>
        <v>290</v>
      </c>
      <c r="F2463" s="883">
        <f>VLOOKUP(D2461,'ENSAIOS DE ORÇAMENTO'!$C$5:$L$81,5,FALSE)</f>
        <v>0</v>
      </c>
      <c r="G2463" s="923">
        <f t="shared" ref="G2463:G2465" si="689">IF(E2463&lt;=30,(1.07*E2463+2.68)*F2463,((1.07*30+2.68)+1.07*(E2463-30))*F2463)</f>
        <v>0</v>
      </c>
      <c r="H2463" s="876"/>
      <c r="I2463" s="876" t="str">
        <f t="shared" si="678"/>
        <v/>
      </c>
      <c r="J2463" s="877">
        <f t="shared" si="687"/>
        <v>0</v>
      </c>
      <c r="K2463" s="932" t="s">
        <v>506</v>
      </c>
      <c r="L2463" s="1014">
        <f>ROUND(SUM(ORÇAMENTO!L2463),2)</f>
        <v>0</v>
      </c>
      <c r="M2463" s="1015">
        <f t="shared" si="683"/>
        <v>0</v>
      </c>
      <c r="N2463" s="868">
        <f t="shared" si="684"/>
        <v>0</v>
      </c>
      <c r="O2463" s="880"/>
      <c r="P2463" s="58" t="str">
        <f>IF(N2461&gt;0,"xx",IF(N2461&gt;0,"xy",""))</f>
        <v/>
      </c>
      <c r="Q2463" s="317" t="str">
        <f t="shared" si="674"/>
        <v/>
      </c>
      <c r="R2463" s="317" t="str">
        <f t="shared" si="675"/>
        <v/>
      </c>
      <c r="S2463" s="317" t="str">
        <f t="shared" si="676"/>
        <v/>
      </c>
      <c r="V2463" s="314">
        <f>SUM(ORÇAMENTO!N2463)</f>
        <v>0</v>
      </c>
      <c r="W2463" s="315">
        <f t="shared" si="686"/>
        <v>0</v>
      </c>
    </row>
    <row r="2464" spans="1:23" hidden="1">
      <c r="A2464" s="63" t="s">
        <v>147</v>
      </c>
      <c r="B2464" s="870" t="s">
        <v>147</v>
      </c>
      <c r="C2464" s="871"/>
      <c r="D2464" s="931" t="s">
        <v>233</v>
      </c>
      <c r="E2464" s="882">
        <f>DMT!$F$10</f>
        <v>43.1</v>
      </c>
      <c r="F2464" s="883">
        <f>VLOOKUP(D2461,'ENSAIOS DE ORÇAMENTO'!$C$5:$L$81,6,FALSE)</f>
        <v>0</v>
      </c>
      <c r="G2464" s="923">
        <f t="shared" si="689"/>
        <v>0</v>
      </c>
      <c r="H2464" s="876"/>
      <c r="I2464" s="876" t="str">
        <f t="shared" si="678"/>
        <v/>
      </c>
      <c r="J2464" s="877">
        <f t="shared" si="687"/>
        <v>0</v>
      </c>
      <c r="K2464" s="932" t="s">
        <v>506</v>
      </c>
      <c r="L2464" s="1014">
        <f>ROUND(SUM(ORÇAMENTO!L2464),2)</f>
        <v>0</v>
      </c>
      <c r="M2464" s="1015">
        <f t="shared" si="683"/>
        <v>0</v>
      </c>
      <c r="N2464" s="868">
        <f t="shared" si="684"/>
        <v>0</v>
      </c>
      <c r="O2464" s="880"/>
      <c r="P2464" s="58" t="str">
        <f>IF(N2461&gt;0,"xx",IF(N2461&gt;0,"xy",""))</f>
        <v/>
      </c>
      <c r="Q2464" s="317" t="str">
        <f t="shared" si="674"/>
        <v/>
      </c>
      <c r="R2464" s="317" t="str">
        <f t="shared" si="675"/>
        <v/>
      </c>
      <c r="S2464" s="317" t="str">
        <f t="shared" si="676"/>
        <v/>
      </c>
      <c r="V2464" s="314">
        <f>SUM(ORÇAMENTO!N2464)</f>
        <v>0</v>
      </c>
      <c r="W2464" s="315">
        <f t="shared" si="686"/>
        <v>0</v>
      </c>
    </row>
    <row r="2465" spans="1:23" hidden="1">
      <c r="A2465" s="63" t="s">
        <v>147</v>
      </c>
      <c r="B2465" s="870" t="s">
        <v>147</v>
      </c>
      <c r="C2465" s="871"/>
      <c r="D2465" s="931" t="s">
        <v>365</v>
      </c>
      <c r="E2465" s="882">
        <f>DMT!$F$32</f>
        <v>28</v>
      </c>
      <c r="F2465" s="883">
        <f>VLOOKUP(D2461,'ENSAIOS DE ORÇAMENTO'!$C$5:$L$81,3,FALSE)</f>
        <v>0</v>
      </c>
      <c r="G2465" s="923">
        <f t="shared" si="689"/>
        <v>0</v>
      </c>
      <c r="H2465" s="876"/>
      <c r="I2465" s="876" t="str">
        <f t="shared" si="678"/>
        <v/>
      </c>
      <c r="J2465" s="877">
        <f t="shared" si="687"/>
        <v>0</v>
      </c>
      <c r="K2465" s="932" t="s">
        <v>506</v>
      </c>
      <c r="L2465" s="1014">
        <f>ROUND(SUM(ORÇAMENTO!L2465),2)</f>
        <v>0</v>
      </c>
      <c r="M2465" s="1015">
        <f t="shared" si="683"/>
        <v>0</v>
      </c>
      <c r="N2465" s="868">
        <f t="shared" si="684"/>
        <v>0</v>
      </c>
      <c r="O2465" s="880"/>
      <c r="P2465" s="58" t="str">
        <f>IF(N2461&gt;0,"xx",IF(N2461&gt;0,"xy",""))</f>
        <v/>
      </c>
      <c r="Q2465" s="317" t="str">
        <f t="shared" si="674"/>
        <v/>
      </c>
      <c r="R2465" s="317" t="str">
        <f t="shared" si="675"/>
        <v/>
      </c>
      <c r="S2465" s="317" t="str">
        <f t="shared" si="676"/>
        <v/>
      </c>
      <c r="V2465" s="314">
        <f>SUM(ORÇAMENTO!N2465)</f>
        <v>0</v>
      </c>
      <c r="W2465" s="315">
        <f t="shared" si="686"/>
        <v>0</v>
      </c>
    </row>
    <row r="2466" spans="1:23" hidden="1">
      <c r="A2466" s="63" t="s">
        <v>147</v>
      </c>
      <c r="B2466" s="969" t="s">
        <v>147</v>
      </c>
      <c r="C2466" s="970"/>
      <c r="D2466" s="988" t="s">
        <v>366</v>
      </c>
      <c r="E2466" s="940">
        <f>DMT!$D$18</f>
        <v>440</v>
      </c>
      <c r="F2466" s="971">
        <f>VLOOKUP(D2461,'ENSAIOS DE ORÇAMENTO'!$C$5:$L$81,10,FALSE)</f>
        <v>0</v>
      </c>
      <c r="G2466" s="1267">
        <f>IF(E2466&lt;=30,(0.78*E2466+7.82)*F2466,((0.78*30+7.82)+0.78*(E2466-30))*F2466)</f>
        <v>0</v>
      </c>
      <c r="H2466" s="914"/>
      <c r="I2466" s="914" t="str">
        <f>IF(ISBLANK(H2466),"",SUM(G2466:H2466))</f>
        <v/>
      </c>
      <c r="J2466" s="943">
        <f t="shared" si="687"/>
        <v>0</v>
      </c>
      <c r="K2466" s="1296" t="s">
        <v>506</v>
      </c>
      <c r="L2466" s="1297">
        <f>ROUND(SUM(ORÇAMENTO!L2466),2)</f>
        <v>0</v>
      </c>
      <c r="M2466" s="1298">
        <f t="shared" si="683"/>
        <v>0</v>
      </c>
      <c r="N2466" s="916">
        <f t="shared" si="684"/>
        <v>0</v>
      </c>
      <c r="O2466" s="880"/>
      <c r="P2466" s="58" t="str">
        <f>IF(N2461&gt;0,"xx",IF(N2461&gt;0,"xy",""))</f>
        <v/>
      </c>
      <c r="Q2466" s="317" t="str">
        <f t="shared" si="674"/>
        <v/>
      </c>
      <c r="R2466" s="317" t="str">
        <f t="shared" si="675"/>
        <v/>
      </c>
      <c r="S2466" s="317" t="str">
        <f t="shared" si="676"/>
        <v/>
      </c>
      <c r="V2466" s="314">
        <f>SUM(ORÇAMENTO!N2466)</f>
        <v>0</v>
      </c>
      <c r="W2466" s="315">
        <f t="shared" si="686"/>
        <v>0</v>
      </c>
    </row>
    <row r="2467" spans="1:23">
      <c r="A2467" s="560" t="s">
        <v>165</v>
      </c>
      <c r="B2467" s="1386" t="s">
        <v>165</v>
      </c>
      <c r="C2467" s="1387"/>
      <c r="D2467" s="993" t="s">
        <v>413</v>
      </c>
      <c r="E2467" s="1388"/>
      <c r="F2467" s="1389"/>
      <c r="G2467" s="1390"/>
      <c r="H2467" s="1391"/>
      <c r="I2467" s="1391"/>
      <c r="J2467" s="1391">
        <v>0</v>
      </c>
      <c r="K2467" s="1392" t="s">
        <v>506</v>
      </c>
      <c r="L2467" s="1393">
        <f>ROUND(SUM(ORÇAMENTO!L2467),2)</f>
        <v>0</v>
      </c>
      <c r="M2467" s="1394">
        <f t="shared" si="683"/>
        <v>0</v>
      </c>
      <c r="N2467" s="1395">
        <f t="shared" si="684"/>
        <v>0</v>
      </c>
      <c r="O2467" s="869"/>
      <c r="P2467" s="58" t="str">
        <f>IF(OR(SUM(N2468:N2498)&gt;0,SUM(N2468:N2498)&gt;0),"y","")</f>
        <v>y</v>
      </c>
      <c r="Q2467" s="317" t="str">
        <f t="shared" si="674"/>
        <v>x</v>
      </c>
      <c r="R2467" s="317" t="str">
        <f t="shared" si="675"/>
        <v>x</v>
      </c>
      <c r="S2467" s="317" t="str">
        <f t="shared" si="676"/>
        <v/>
      </c>
      <c r="V2467" s="314">
        <f>SUM(ORÇAMENTO!N2467)</f>
        <v>0</v>
      </c>
      <c r="W2467" s="315">
        <f t="shared" si="686"/>
        <v>0</v>
      </c>
    </row>
    <row r="2468" spans="1:23">
      <c r="A2468" s="560" t="s">
        <v>165</v>
      </c>
      <c r="B2468" s="899" t="s">
        <v>2273</v>
      </c>
      <c r="C2468" s="900" t="s">
        <v>184</v>
      </c>
      <c r="D2468" s="906" t="s">
        <v>2274</v>
      </c>
      <c r="E2468" s="902"/>
      <c r="F2468" s="903"/>
      <c r="G2468" s="904"/>
      <c r="H2468" s="905">
        <v>130.34</v>
      </c>
      <c r="I2468" s="876">
        <f t="shared" ref="I2468:I2498" si="690">IF(ISBLANK(H2468),"",SUM(G2468:H2468))</f>
        <v>130.34</v>
      </c>
      <c r="J2468" s="865">
        <f t="shared" si="687"/>
        <v>159.30000000000001</v>
      </c>
      <c r="K2468" s="903" t="s">
        <v>13</v>
      </c>
      <c r="L2468" s="1016">
        <f>ROUND(SUM(ORÇAMENTO!L2468),2)</f>
        <v>2838</v>
      </c>
      <c r="M2468" s="1017">
        <f t="shared" si="683"/>
        <v>159.30000000000001</v>
      </c>
      <c r="N2468" s="868">
        <f t="shared" si="684"/>
        <v>452093.4</v>
      </c>
      <c r="O2468" s="880"/>
      <c r="Q2468" s="317" t="str">
        <f t="shared" si="674"/>
        <v>x</v>
      </c>
      <c r="R2468" s="317" t="str">
        <f t="shared" si="675"/>
        <v>x</v>
      </c>
      <c r="S2468" s="317" t="str">
        <f t="shared" si="676"/>
        <v>x</v>
      </c>
      <c r="V2468" s="314">
        <f>SUM(ORÇAMENTO!N2468)</f>
        <v>452093.4</v>
      </c>
      <c r="W2468" s="315">
        <f t="shared" si="686"/>
        <v>0</v>
      </c>
    </row>
    <row r="2469" spans="1:23">
      <c r="A2469" s="560" t="s">
        <v>165</v>
      </c>
      <c r="B2469" s="899" t="s">
        <v>2275</v>
      </c>
      <c r="C2469" s="900" t="s">
        <v>184</v>
      </c>
      <c r="D2469" s="906" t="s">
        <v>2276</v>
      </c>
      <c r="E2469" s="902"/>
      <c r="F2469" s="903"/>
      <c r="G2469" s="904"/>
      <c r="H2469" s="905">
        <v>182</v>
      </c>
      <c r="I2469" s="876">
        <f t="shared" si="690"/>
        <v>182</v>
      </c>
      <c r="J2469" s="865">
        <f t="shared" si="687"/>
        <v>222.44</v>
      </c>
      <c r="K2469" s="903" t="s">
        <v>13</v>
      </c>
      <c r="L2469" s="1013">
        <f>ROUND(SUM(ORÇAMENTO!L2469),2)</f>
        <v>1860</v>
      </c>
      <c r="M2469" s="1013">
        <f t="shared" si="683"/>
        <v>222.44</v>
      </c>
      <c r="N2469" s="907">
        <f t="shared" si="684"/>
        <v>413738.4</v>
      </c>
      <c r="O2469" s="880"/>
      <c r="Q2469" s="317" t="str">
        <f t="shared" si="674"/>
        <v>x</v>
      </c>
      <c r="R2469" s="317" t="str">
        <f t="shared" si="675"/>
        <v>x</v>
      </c>
      <c r="S2469" s="317" t="str">
        <f t="shared" si="676"/>
        <v>x</v>
      </c>
      <c r="V2469" s="314">
        <f>SUM(ORÇAMENTO!N2469)</f>
        <v>413738.4</v>
      </c>
      <c r="W2469" s="315">
        <f t="shared" si="686"/>
        <v>0</v>
      </c>
    </row>
    <row r="2470" spans="1:23">
      <c r="A2470" s="560" t="s">
        <v>165</v>
      </c>
      <c r="B2470" s="870" t="s">
        <v>1770</v>
      </c>
      <c r="C2470" s="871" t="s">
        <v>184</v>
      </c>
      <c r="D2470" s="881" t="s">
        <v>194</v>
      </c>
      <c r="E2470" s="873">
        <v>43.1</v>
      </c>
      <c r="F2470" s="883">
        <v>2.4</v>
      </c>
      <c r="G2470" s="884">
        <f t="shared" ref="G2470" si="691">IF(E2470&lt;=30,(1.07*E2470+2.68)*F2470,((1.07*30+2.68)+1.07*(E2470-30))*F2470)</f>
        <v>117.11280000000001</v>
      </c>
      <c r="H2470" s="876">
        <v>132.22999999999999</v>
      </c>
      <c r="I2470" s="876">
        <f>IF(ISBLANK(H2470),"",SUM(G2470:H2470))</f>
        <v>249.34280000000001</v>
      </c>
      <c r="J2470" s="877">
        <f t="shared" si="687"/>
        <v>304.75</v>
      </c>
      <c r="K2470" s="878" t="s">
        <v>10</v>
      </c>
      <c r="L2470" s="1013">
        <f>ROUND(SUM(ORÇAMENTO!L2470),2)</f>
        <v>14.77</v>
      </c>
      <c r="M2470" s="879">
        <f t="shared" si="683"/>
        <v>304.75</v>
      </c>
      <c r="N2470" s="868">
        <f t="shared" si="684"/>
        <v>4501.16</v>
      </c>
      <c r="O2470" s="880"/>
      <c r="Q2470" s="317" t="str">
        <f t="shared" si="674"/>
        <v>x</v>
      </c>
      <c r="R2470" s="317" t="str">
        <f t="shared" si="675"/>
        <v>x</v>
      </c>
      <c r="S2470" s="317" t="str">
        <f t="shared" si="676"/>
        <v>x</v>
      </c>
      <c r="V2470" s="314">
        <f>SUM(ORÇAMENTO!N2470)</f>
        <v>4501.16</v>
      </c>
      <c r="W2470" s="315">
        <f t="shared" si="686"/>
        <v>0</v>
      </c>
    </row>
    <row r="2471" spans="1:23">
      <c r="A2471" s="560" t="s">
        <v>165</v>
      </c>
      <c r="B2471" s="870">
        <v>531300</v>
      </c>
      <c r="C2471" s="871" t="s">
        <v>184</v>
      </c>
      <c r="D2471" s="881" t="s">
        <v>198</v>
      </c>
      <c r="E2471" s="873"/>
      <c r="F2471" s="874"/>
      <c r="G2471" s="927">
        <v>99.057910000000007</v>
      </c>
      <c r="H2471" s="876">
        <v>108.49</v>
      </c>
      <c r="I2471" s="876">
        <v>207.54791</v>
      </c>
      <c r="J2471" s="877">
        <f t="shared" si="687"/>
        <v>253.67</v>
      </c>
      <c r="K2471" s="878" t="s">
        <v>10</v>
      </c>
      <c r="L2471" s="1013">
        <f>ROUND(SUM(ORÇAMENTO!L2471),2)</f>
        <v>24.96</v>
      </c>
      <c r="M2471" s="879">
        <f t="shared" si="683"/>
        <v>253.67</v>
      </c>
      <c r="N2471" s="868">
        <f t="shared" si="684"/>
        <v>6331.6</v>
      </c>
      <c r="O2471" s="880"/>
      <c r="Q2471" s="317" t="str">
        <f t="shared" si="674"/>
        <v>x</v>
      </c>
      <c r="R2471" s="317" t="str">
        <f t="shared" si="675"/>
        <v>x</v>
      </c>
      <c r="S2471" s="317" t="str">
        <f t="shared" si="676"/>
        <v>x</v>
      </c>
      <c r="V2471" s="314">
        <f>SUM(ORÇAMENTO!N2471)</f>
        <v>6331.6</v>
      </c>
      <c r="W2471" s="315">
        <f t="shared" si="686"/>
        <v>0</v>
      </c>
    </row>
    <row r="2472" spans="1:23">
      <c r="A2472" s="560" t="s">
        <v>165</v>
      </c>
      <c r="B2472" s="870" t="s">
        <v>147</v>
      </c>
      <c r="C2472" s="871"/>
      <c r="D2472" s="931" t="s">
        <v>196</v>
      </c>
      <c r="E2472" s="873">
        <v>43.1</v>
      </c>
      <c r="F2472" s="874">
        <v>1.35</v>
      </c>
      <c r="G2472" s="884">
        <v>65.875950000000003</v>
      </c>
      <c r="H2472" s="876">
        <v>0</v>
      </c>
      <c r="I2472" s="876"/>
      <c r="J2472" s="877">
        <f t="shared" si="687"/>
        <v>0</v>
      </c>
      <c r="K2472" s="878" t="s">
        <v>506</v>
      </c>
      <c r="L2472" s="933">
        <f>ROUND(SUM(ORÇAMENTO!L2472),2)</f>
        <v>0</v>
      </c>
      <c r="M2472" s="934">
        <f t="shared" si="683"/>
        <v>0</v>
      </c>
      <c r="N2472" s="868">
        <f t="shared" si="684"/>
        <v>0</v>
      </c>
      <c r="O2472" s="880"/>
      <c r="Q2472" s="317" t="s">
        <v>152</v>
      </c>
      <c r="R2472" s="317" t="s">
        <v>152</v>
      </c>
      <c r="S2472" s="317" t="s">
        <v>152</v>
      </c>
      <c r="V2472" s="314">
        <f>SUM(ORÇAMENTO!N2472)</f>
        <v>0</v>
      </c>
      <c r="W2472" s="315">
        <f t="shared" si="686"/>
        <v>0</v>
      </c>
    </row>
    <row r="2473" spans="1:23">
      <c r="A2473" s="560" t="s">
        <v>165</v>
      </c>
      <c r="B2473" s="870" t="s">
        <v>147</v>
      </c>
      <c r="C2473" s="871"/>
      <c r="D2473" s="931" t="s">
        <v>197</v>
      </c>
      <c r="E2473" s="873">
        <v>43.1</v>
      </c>
      <c r="F2473" s="874">
        <v>0.68</v>
      </c>
      <c r="G2473" s="884">
        <v>33.181960000000004</v>
      </c>
      <c r="H2473" s="876">
        <v>0</v>
      </c>
      <c r="I2473" s="876"/>
      <c r="J2473" s="877">
        <f t="shared" si="687"/>
        <v>0</v>
      </c>
      <c r="K2473" s="878" t="s">
        <v>506</v>
      </c>
      <c r="L2473" s="933">
        <f>ROUND(SUM(ORÇAMENTO!L2473),2)</f>
        <v>0</v>
      </c>
      <c r="M2473" s="934">
        <f t="shared" si="683"/>
        <v>0</v>
      </c>
      <c r="N2473" s="868">
        <f t="shared" si="684"/>
        <v>0</v>
      </c>
      <c r="O2473" s="880"/>
      <c r="Q2473" s="317" t="s">
        <v>152</v>
      </c>
      <c r="R2473" s="317" t="s">
        <v>152</v>
      </c>
      <c r="S2473" s="317" t="s">
        <v>152</v>
      </c>
      <c r="V2473" s="314">
        <f>SUM(ORÇAMENTO!N2473)</f>
        <v>0</v>
      </c>
      <c r="W2473" s="315">
        <f t="shared" si="686"/>
        <v>0</v>
      </c>
    </row>
    <row r="2474" spans="1:23" ht="13.5" thickBot="1">
      <c r="A2474" s="560" t="s">
        <v>165</v>
      </c>
      <c r="B2474" s="978" t="s">
        <v>1552</v>
      </c>
      <c r="C2474" s="958" t="s">
        <v>184</v>
      </c>
      <c r="D2474" s="959" t="s">
        <v>181</v>
      </c>
      <c r="E2474" s="1378"/>
      <c r="F2474" s="980">
        <v>0</v>
      </c>
      <c r="G2474" s="1396">
        <v>0</v>
      </c>
      <c r="H2474" s="962">
        <v>4.25</v>
      </c>
      <c r="I2474" s="962">
        <v>4.25</v>
      </c>
      <c r="J2474" s="963">
        <f t="shared" si="687"/>
        <v>5.19</v>
      </c>
      <c r="K2474" s="964" t="s">
        <v>12</v>
      </c>
      <c r="L2474" s="1385">
        <v>138</v>
      </c>
      <c r="M2474" s="966">
        <f t="shared" si="683"/>
        <v>5.19</v>
      </c>
      <c r="N2474" s="967">
        <f t="shared" si="684"/>
        <v>716.22</v>
      </c>
      <c r="O2474" s="1372"/>
      <c r="Q2474" s="317" t="str">
        <f t="shared" si="674"/>
        <v>x</v>
      </c>
      <c r="R2474" s="317" t="str">
        <f t="shared" si="675"/>
        <v>x</v>
      </c>
      <c r="S2474" s="317" t="str">
        <f t="shared" si="676"/>
        <v>x</v>
      </c>
      <c r="V2474" s="314">
        <f>SUM(ORÇAMENTO!N2474)</f>
        <v>716.22</v>
      </c>
      <c r="W2474" s="315">
        <f t="shared" si="686"/>
        <v>0</v>
      </c>
    </row>
    <row r="2475" spans="1:23" ht="13.5" hidden="1" thickBot="1">
      <c r="A2475" s="560" t="s">
        <v>165</v>
      </c>
      <c r="B2475" s="1315"/>
      <c r="C2475" s="1316"/>
      <c r="D2475" s="906"/>
      <c r="E2475" s="1314"/>
      <c r="F2475" s="1317"/>
      <c r="G2475" s="1318"/>
      <c r="H2475" s="1319"/>
      <c r="I2475" s="864"/>
      <c r="J2475" s="865">
        <f t="shared" si="687"/>
        <v>0</v>
      </c>
      <c r="K2475" s="1317"/>
      <c r="L2475" s="1013"/>
      <c r="M2475" s="1013">
        <f t="shared" si="683"/>
        <v>0</v>
      </c>
      <c r="N2475" s="907">
        <f t="shared" si="684"/>
        <v>0</v>
      </c>
      <c r="O2475" s="880"/>
      <c r="Q2475" s="317" t="str">
        <f t="shared" si="674"/>
        <v/>
      </c>
      <c r="R2475" s="317" t="str">
        <f t="shared" si="675"/>
        <v/>
      </c>
      <c r="S2475" s="317" t="str">
        <f t="shared" si="676"/>
        <v/>
      </c>
      <c r="V2475" s="314">
        <f>SUM(ORÇAMENTO!N2475)</f>
        <v>0</v>
      </c>
      <c r="W2475" s="315">
        <f t="shared" si="686"/>
        <v>0</v>
      </c>
    </row>
    <row r="2476" spans="1:23" ht="13.5" hidden="1" thickBot="1">
      <c r="A2476" s="560" t="s">
        <v>165</v>
      </c>
      <c r="B2476" s="899" t="s">
        <v>165</v>
      </c>
      <c r="C2476" s="900" t="s">
        <v>165</v>
      </c>
      <c r="D2476" s="906"/>
      <c r="E2476" s="902"/>
      <c r="F2476" s="903"/>
      <c r="G2476" s="904"/>
      <c r="H2476" s="905"/>
      <c r="I2476" s="876" t="str">
        <f t="shared" si="690"/>
        <v/>
      </c>
      <c r="J2476" s="865">
        <f t="shared" si="687"/>
        <v>0</v>
      </c>
      <c r="K2476" s="903" t="s">
        <v>506</v>
      </c>
      <c r="L2476" s="1013">
        <f>ROUND(SUM(ORÇAMENTO!L2476),2)</f>
        <v>0</v>
      </c>
      <c r="M2476" s="1013">
        <f t="shared" si="683"/>
        <v>0</v>
      </c>
      <c r="N2476" s="868">
        <f t="shared" si="684"/>
        <v>0</v>
      </c>
      <c r="O2476" s="880"/>
      <c r="Q2476" s="317" t="str">
        <f t="shared" si="674"/>
        <v/>
      </c>
      <c r="R2476" s="317" t="str">
        <f t="shared" si="675"/>
        <v/>
      </c>
      <c r="S2476" s="317" t="str">
        <f t="shared" si="676"/>
        <v/>
      </c>
      <c r="V2476" s="314">
        <f>SUM(ORÇAMENTO!N2476)</f>
        <v>0</v>
      </c>
      <c r="W2476" s="315">
        <f t="shared" si="686"/>
        <v>0</v>
      </c>
    </row>
    <row r="2477" spans="1:23" ht="13.5" hidden="1" thickBot="1">
      <c r="A2477" s="560" t="s">
        <v>165</v>
      </c>
      <c r="B2477" s="899" t="s">
        <v>165</v>
      </c>
      <c r="C2477" s="900" t="s">
        <v>165</v>
      </c>
      <c r="D2477" s="906"/>
      <c r="E2477" s="902"/>
      <c r="F2477" s="903"/>
      <c r="G2477" s="904"/>
      <c r="H2477" s="905"/>
      <c r="I2477" s="876" t="str">
        <f t="shared" si="690"/>
        <v/>
      </c>
      <c r="J2477" s="865">
        <f t="shared" si="687"/>
        <v>0</v>
      </c>
      <c r="K2477" s="903" t="s">
        <v>506</v>
      </c>
      <c r="L2477" s="1013">
        <f>ROUND(SUM(ORÇAMENTO!L2477),2)</f>
        <v>0</v>
      </c>
      <c r="M2477" s="1013">
        <f t="shared" si="683"/>
        <v>0</v>
      </c>
      <c r="N2477" s="868">
        <f t="shared" si="684"/>
        <v>0</v>
      </c>
      <c r="O2477" s="880"/>
      <c r="Q2477" s="317" t="str">
        <f t="shared" si="674"/>
        <v/>
      </c>
      <c r="R2477" s="317" t="str">
        <f t="shared" si="675"/>
        <v/>
      </c>
      <c r="S2477" s="317" t="str">
        <f t="shared" si="676"/>
        <v/>
      </c>
      <c r="V2477" s="314">
        <f>SUM(ORÇAMENTO!N2477)</f>
        <v>0</v>
      </c>
      <c r="W2477" s="315">
        <f t="shared" si="686"/>
        <v>0</v>
      </c>
    </row>
    <row r="2478" spans="1:23" ht="13.5" hidden="1" thickBot="1">
      <c r="A2478" s="560" t="s">
        <v>165</v>
      </c>
      <c r="B2478" s="899" t="s">
        <v>165</v>
      </c>
      <c r="C2478" s="900" t="s">
        <v>165</v>
      </c>
      <c r="D2478" s="906"/>
      <c r="E2478" s="902"/>
      <c r="F2478" s="903"/>
      <c r="G2478" s="904"/>
      <c r="H2478" s="905"/>
      <c r="I2478" s="876" t="str">
        <f t="shared" si="690"/>
        <v/>
      </c>
      <c r="J2478" s="865">
        <f t="shared" si="687"/>
        <v>0</v>
      </c>
      <c r="K2478" s="903" t="s">
        <v>506</v>
      </c>
      <c r="L2478" s="1013">
        <f>ROUND(SUM(ORÇAMENTO!L2478),2)</f>
        <v>0</v>
      </c>
      <c r="M2478" s="1013">
        <f t="shared" si="683"/>
        <v>0</v>
      </c>
      <c r="N2478" s="868">
        <f t="shared" si="684"/>
        <v>0</v>
      </c>
      <c r="O2478" s="880"/>
      <c r="Q2478" s="317" t="str">
        <f t="shared" si="674"/>
        <v/>
      </c>
      <c r="R2478" s="317" t="str">
        <f t="shared" si="675"/>
        <v/>
      </c>
      <c r="S2478" s="317" t="str">
        <f t="shared" si="676"/>
        <v/>
      </c>
      <c r="V2478" s="314">
        <f>SUM(ORÇAMENTO!N2478)</f>
        <v>0</v>
      </c>
      <c r="W2478" s="315">
        <f t="shared" si="686"/>
        <v>0</v>
      </c>
    </row>
    <row r="2479" spans="1:23" ht="13.5" hidden="1" thickBot="1">
      <c r="A2479" s="560" t="s">
        <v>165</v>
      </c>
      <c r="B2479" s="899" t="s">
        <v>165</v>
      </c>
      <c r="C2479" s="900" t="s">
        <v>165</v>
      </c>
      <c r="D2479" s="906"/>
      <c r="E2479" s="902"/>
      <c r="F2479" s="903"/>
      <c r="G2479" s="904"/>
      <c r="H2479" s="905"/>
      <c r="I2479" s="876" t="str">
        <f t="shared" si="690"/>
        <v/>
      </c>
      <c r="J2479" s="865">
        <f t="shared" si="687"/>
        <v>0</v>
      </c>
      <c r="K2479" s="903" t="s">
        <v>506</v>
      </c>
      <c r="L2479" s="1013">
        <f>ROUND(SUM(ORÇAMENTO!L2479),2)</f>
        <v>0</v>
      </c>
      <c r="M2479" s="1013">
        <f t="shared" si="683"/>
        <v>0</v>
      </c>
      <c r="N2479" s="868">
        <f t="shared" si="684"/>
        <v>0</v>
      </c>
      <c r="O2479" s="880"/>
      <c r="Q2479" s="317" t="str">
        <f t="shared" si="674"/>
        <v/>
      </c>
      <c r="R2479" s="317" t="str">
        <f t="shared" si="675"/>
        <v/>
      </c>
      <c r="S2479" s="317" t="str">
        <f t="shared" si="676"/>
        <v/>
      </c>
      <c r="V2479" s="314">
        <f>SUM(ORÇAMENTO!N2479)</f>
        <v>0</v>
      </c>
      <c r="W2479" s="315">
        <f t="shared" si="686"/>
        <v>0</v>
      </c>
    </row>
    <row r="2480" spans="1:23" ht="13.5" hidden="1" thickBot="1">
      <c r="A2480" s="560" t="s">
        <v>165</v>
      </c>
      <c r="B2480" s="899" t="s">
        <v>165</v>
      </c>
      <c r="C2480" s="900" t="s">
        <v>165</v>
      </c>
      <c r="D2480" s="906"/>
      <c r="E2480" s="902"/>
      <c r="F2480" s="903"/>
      <c r="G2480" s="904"/>
      <c r="H2480" s="905"/>
      <c r="I2480" s="876" t="str">
        <f t="shared" si="690"/>
        <v/>
      </c>
      <c r="J2480" s="865">
        <f t="shared" si="687"/>
        <v>0</v>
      </c>
      <c r="K2480" s="903" t="s">
        <v>506</v>
      </c>
      <c r="L2480" s="1013">
        <f>ROUND(SUM(ORÇAMENTO!L2480),2)</f>
        <v>0</v>
      </c>
      <c r="M2480" s="1013">
        <f t="shared" si="683"/>
        <v>0</v>
      </c>
      <c r="N2480" s="868">
        <f t="shared" si="684"/>
        <v>0</v>
      </c>
      <c r="O2480" s="880"/>
      <c r="Q2480" s="317" t="str">
        <f t="shared" ref="Q2480:Q2543" si="692">IF(P2480="X","x",IF(P2480="xx","x",IF(P2480="xy","x",IF(P2480="y","x",IF(OR(N2480&gt;0,N2480&gt;0),"x","")))))</f>
        <v/>
      </c>
      <c r="R2480" s="317" t="str">
        <f t="shared" ref="R2480:R2543" si="693">IF(P2480="X","x",IF(P2480="y","x",IF(P2480="xx","x",IF(N2480&gt;0,"x",""))))</f>
        <v/>
      </c>
      <c r="S2480" s="317" t="str">
        <f t="shared" ref="S2480:S2543" si="694">IF(P2480="X","x",IF(N2480&gt;0,"x",""))</f>
        <v/>
      </c>
      <c r="V2480" s="314">
        <f>SUM(ORÇAMENTO!N2480)</f>
        <v>0</v>
      </c>
      <c r="W2480" s="315">
        <f t="shared" si="686"/>
        <v>0</v>
      </c>
    </row>
    <row r="2481" spans="1:23" ht="13.5" hidden="1" thickBot="1">
      <c r="A2481" s="560" t="s">
        <v>165</v>
      </c>
      <c r="B2481" s="899" t="s">
        <v>165</v>
      </c>
      <c r="C2481" s="900" t="s">
        <v>165</v>
      </c>
      <c r="D2481" s="906"/>
      <c r="E2481" s="902"/>
      <c r="F2481" s="903"/>
      <c r="G2481" s="904"/>
      <c r="H2481" s="905"/>
      <c r="I2481" s="876" t="str">
        <f t="shared" si="690"/>
        <v/>
      </c>
      <c r="J2481" s="865">
        <f t="shared" si="687"/>
        <v>0</v>
      </c>
      <c r="K2481" s="903" t="s">
        <v>506</v>
      </c>
      <c r="L2481" s="1013">
        <f>ROUND(SUM(ORÇAMENTO!L2481),2)</f>
        <v>0</v>
      </c>
      <c r="M2481" s="1013">
        <f t="shared" si="683"/>
        <v>0</v>
      </c>
      <c r="N2481" s="868">
        <f t="shared" si="684"/>
        <v>0</v>
      </c>
      <c r="O2481" s="880"/>
      <c r="Q2481" s="317" t="str">
        <f t="shared" si="692"/>
        <v/>
      </c>
      <c r="R2481" s="317" t="str">
        <f t="shared" si="693"/>
        <v/>
      </c>
      <c r="S2481" s="317" t="str">
        <f t="shared" si="694"/>
        <v/>
      </c>
      <c r="V2481" s="314">
        <f>SUM(ORÇAMENTO!N2481)</f>
        <v>0</v>
      </c>
      <c r="W2481" s="315">
        <f t="shared" si="686"/>
        <v>0</v>
      </c>
    </row>
    <row r="2482" spans="1:23" ht="13.5" hidden="1" thickBot="1">
      <c r="A2482" s="560" t="s">
        <v>165</v>
      </c>
      <c r="B2482" s="899" t="s">
        <v>165</v>
      </c>
      <c r="C2482" s="900" t="s">
        <v>165</v>
      </c>
      <c r="D2482" s="906"/>
      <c r="E2482" s="902"/>
      <c r="F2482" s="903"/>
      <c r="G2482" s="904"/>
      <c r="H2482" s="905"/>
      <c r="I2482" s="876" t="str">
        <f t="shared" si="690"/>
        <v/>
      </c>
      <c r="J2482" s="865">
        <f t="shared" si="687"/>
        <v>0</v>
      </c>
      <c r="K2482" s="903" t="s">
        <v>506</v>
      </c>
      <c r="L2482" s="1013">
        <f>ROUND(SUM(ORÇAMENTO!L2482),2)</f>
        <v>0</v>
      </c>
      <c r="M2482" s="1013">
        <f t="shared" si="683"/>
        <v>0</v>
      </c>
      <c r="N2482" s="868">
        <f t="shared" si="684"/>
        <v>0</v>
      </c>
      <c r="O2482" s="880"/>
      <c r="Q2482" s="317" t="str">
        <f t="shared" si="692"/>
        <v/>
      </c>
      <c r="R2482" s="317" t="str">
        <f t="shared" si="693"/>
        <v/>
      </c>
      <c r="S2482" s="317" t="str">
        <f t="shared" si="694"/>
        <v/>
      </c>
      <c r="V2482" s="314">
        <f>SUM(ORÇAMENTO!N2482)</f>
        <v>0</v>
      </c>
      <c r="W2482" s="315">
        <f t="shared" si="686"/>
        <v>0</v>
      </c>
    </row>
    <row r="2483" spans="1:23" ht="13.5" hidden="1" thickBot="1">
      <c r="A2483" s="560" t="s">
        <v>165</v>
      </c>
      <c r="B2483" s="899" t="s">
        <v>165</v>
      </c>
      <c r="C2483" s="900" t="s">
        <v>165</v>
      </c>
      <c r="D2483" s="906"/>
      <c r="E2483" s="902"/>
      <c r="F2483" s="903"/>
      <c r="G2483" s="904"/>
      <c r="H2483" s="905"/>
      <c r="I2483" s="876" t="str">
        <f t="shared" si="690"/>
        <v/>
      </c>
      <c r="J2483" s="865">
        <f t="shared" si="687"/>
        <v>0</v>
      </c>
      <c r="K2483" s="903" t="s">
        <v>506</v>
      </c>
      <c r="L2483" s="1013">
        <f>ROUND(SUM(ORÇAMENTO!L2483),2)</f>
        <v>0</v>
      </c>
      <c r="M2483" s="1013">
        <f t="shared" si="683"/>
        <v>0</v>
      </c>
      <c r="N2483" s="868">
        <f t="shared" si="684"/>
        <v>0</v>
      </c>
      <c r="O2483" s="880"/>
      <c r="Q2483" s="317" t="str">
        <f t="shared" si="692"/>
        <v/>
      </c>
      <c r="R2483" s="317" t="str">
        <f t="shared" si="693"/>
        <v/>
      </c>
      <c r="S2483" s="317" t="str">
        <f t="shared" si="694"/>
        <v/>
      </c>
      <c r="V2483" s="314">
        <f>SUM(ORÇAMENTO!N2483)</f>
        <v>0</v>
      </c>
      <c r="W2483" s="315">
        <f t="shared" si="686"/>
        <v>0</v>
      </c>
    </row>
    <row r="2484" spans="1:23" ht="13.5" hidden="1" thickBot="1">
      <c r="A2484" s="560" t="s">
        <v>165</v>
      </c>
      <c r="B2484" s="899" t="s">
        <v>165</v>
      </c>
      <c r="C2484" s="900" t="s">
        <v>165</v>
      </c>
      <c r="D2484" s="906"/>
      <c r="E2484" s="902"/>
      <c r="F2484" s="903"/>
      <c r="G2484" s="904"/>
      <c r="H2484" s="905"/>
      <c r="I2484" s="876" t="str">
        <f t="shared" si="690"/>
        <v/>
      </c>
      <c r="J2484" s="865">
        <f t="shared" si="687"/>
        <v>0</v>
      </c>
      <c r="K2484" s="903" t="s">
        <v>506</v>
      </c>
      <c r="L2484" s="1013">
        <f>ROUND(SUM(ORÇAMENTO!L2484),2)</f>
        <v>0</v>
      </c>
      <c r="M2484" s="1013">
        <f t="shared" si="683"/>
        <v>0</v>
      </c>
      <c r="N2484" s="868">
        <f t="shared" si="684"/>
        <v>0</v>
      </c>
      <c r="O2484" s="880"/>
      <c r="Q2484" s="317" t="str">
        <f t="shared" si="692"/>
        <v/>
      </c>
      <c r="R2484" s="317" t="str">
        <f t="shared" si="693"/>
        <v/>
      </c>
      <c r="S2484" s="317" t="str">
        <f t="shared" si="694"/>
        <v/>
      </c>
      <c r="V2484" s="314">
        <f>SUM(ORÇAMENTO!N2484)</f>
        <v>0</v>
      </c>
      <c r="W2484" s="315">
        <f t="shared" si="686"/>
        <v>0</v>
      </c>
    </row>
    <row r="2485" spans="1:23" ht="13.5" hidden="1" thickBot="1">
      <c r="A2485" s="560" t="s">
        <v>165</v>
      </c>
      <c r="B2485" s="899" t="s">
        <v>165</v>
      </c>
      <c r="C2485" s="900" t="s">
        <v>165</v>
      </c>
      <c r="D2485" s="906"/>
      <c r="E2485" s="902"/>
      <c r="F2485" s="903"/>
      <c r="G2485" s="904"/>
      <c r="H2485" s="905"/>
      <c r="I2485" s="876" t="str">
        <f t="shared" si="690"/>
        <v/>
      </c>
      <c r="J2485" s="865">
        <f t="shared" si="687"/>
        <v>0</v>
      </c>
      <c r="K2485" s="903" t="s">
        <v>506</v>
      </c>
      <c r="L2485" s="1013">
        <f>ROUND(SUM(ORÇAMENTO!L2485),2)</f>
        <v>0</v>
      </c>
      <c r="M2485" s="1013">
        <f t="shared" si="683"/>
        <v>0</v>
      </c>
      <c r="N2485" s="868">
        <f t="shared" si="684"/>
        <v>0</v>
      </c>
      <c r="O2485" s="880"/>
      <c r="Q2485" s="317" t="str">
        <f t="shared" si="692"/>
        <v/>
      </c>
      <c r="R2485" s="317" t="str">
        <f t="shared" si="693"/>
        <v/>
      </c>
      <c r="S2485" s="317" t="str">
        <f t="shared" si="694"/>
        <v/>
      </c>
      <c r="V2485" s="314">
        <f>SUM(ORÇAMENTO!N2485)</f>
        <v>0</v>
      </c>
      <c r="W2485" s="315">
        <f t="shared" si="686"/>
        <v>0</v>
      </c>
    </row>
    <row r="2486" spans="1:23" ht="13.5" hidden="1" thickBot="1">
      <c r="A2486" s="560" t="s">
        <v>165</v>
      </c>
      <c r="B2486" s="899" t="s">
        <v>165</v>
      </c>
      <c r="C2486" s="900" t="s">
        <v>165</v>
      </c>
      <c r="D2486" s="906"/>
      <c r="E2486" s="902"/>
      <c r="F2486" s="903"/>
      <c r="G2486" s="904"/>
      <c r="H2486" s="905"/>
      <c r="I2486" s="876" t="str">
        <f t="shared" si="690"/>
        <v/>
      </c>
      <c r="J2486" s="865">
        <f t="shared" si="687"/>
        <v>0</v>
      </c>
      <c r="K2486" s="903" t="s">
        <v>506</v>
      </c>
      <c r="L2486" s="1013">
        <f>ROUND(SUM(ORÇAMENTO!L2486),2)</f>
        <v>0</v>
      </c>
      <c r="M2486" s="1013">
        <f t="shared" si="683"/>
        <v>0</v>
      </c>
      <c r="N2486" s="868">
        <f t="shared" si="684"/>
        <v>0</v>
      </c>
      <c r="O2486" s="880"/>
      <c r="Q2486" s="317" t="str">
        <f t="shared" si="692"/>
        <v/>
      </c>
      <c r="R2486" s="317" t="str">
        <f t="shared" si="693"/>
        <v/>
      </c>
      <c r="S2486" s="317" t="str">
        <f t="shared" si="694"/>
        <v/>
      </c>
      <c r="V2486" s="314">
        <f>SUM(ORÇAMENTO!N2486)</f>
        <v>0</v>
      </c>
      <c r="W2486" s="315">
        <f t="shared" si="686"/>
        <v>0</v>
      </c>
    </row>
    <row r="2487" spans="1:23" ht="13.5" hidden="1" thickBot="1">
      <c r="A2487" s="560" t="s">
        <v>165</v>
      </c>
      <c r="B2487" s="899" t="s">
        <v>165</v>
      </c>
      <c r="C2487" s="900" t="s">
        <v>165</v>
      </c>
      <c r="D2487" s="906"/>
      <c r="E2487" s="902"/>
      <c r="F2487" s="903"/>
      <c r="G2487" s="904"/>
      <c r="H2487" s="905"/>
      <c r="I2487" s="876" t="str">
        <f t="shared" si="690"/>
        <v/>
      </c>
      <c r="J2487" s="865">
        <f t="shared" si="687"/>
        <v>0</v>
      </c>
      <c r="K2487" s="903" t="s">
        <v>506</v>
      </c>
      <c r="L2487" s="1013">
        <f>ROUND(SUM(ORÇAMENTO!L2487),2)</f>
        <v>0</v>
      </c>
      <c r="M2487" s="1013">
        <f t="shared" si="683"/>
        <v>0</v>
      </c>
      <c r="N2487" s="868">
        <f t="shared" si="684"/>
        <v>0</v>
      </c>
      <c r="O2487" s="880"/>
      <c r="Q2487" s="317" t="str">
        <f t="shared" si="692"/>
        <v/>
      </c>
      <c r="R2487" s="317" t="str">
        <f t="shared" si="693"/>
        <v/>
      </c>
      <c r="S2487" s="317" t="str">
        <f t="shared" si="694"/>
        <v/>
      </c>
      <c r="V2487" s="314">
        <f>SUM(ORÇAMENTO!N2487)</f>
        <v>0</v>
      </c>
      <c r="W2487" s="315">
        <f t="shared" si="686"/>
        <v>0</v>
      </c>
    </row>
    <row r="2488" spans="1:23" ht="13.5" hidden="1" thickBot="1">
      <c r="A2488" s="560" t="s">
        <v>165</v>
      </c>
      <c r="B2488" s="899" t="s">
        <v>165</v>
      </c>
      <c r="C2488" s="900" t="s">
        <v>165</v>
      </c>
      <c r="D2488" s="906"/>
      <c r="E2488" s="902"/>
      <c r="F2488" s="903"/>
      <c r="G2488" s="904"/>
      <c r="H2488" s="905"/>
      <c r="I2488" s="876" t="str">
        <f t="shared" si="690"/>
        <v/>
      </c>
      <c r="J2488" s="865">
        <f t="shared" si="687"/>
        <v>0</v>
      </c>
      <c r="K2488" s="903" t="s">
        <v>506</v>
      </c>
      <c r="L2488" s="1013">
        <f>ROUND(SUM(ORÇAMENTO!L2488),2)</f>
        <v>0</v>
      </c>
      <c r="M2488" s="1013">
        <f t="shared" si="683"/>
        <v>0</v>
      </c>
      <c r="N2488" s="868">
        <f t="shared" si="684"/>
        <v>0</v>
      </c>
      <c r="O2488" s="880"/>
      <c r="Q2488" s="317" t="str">
        <f t="shared" si="692"/>
        <v/>
      </c>
      <c r="R2488" s="317" t="str">
        <f t="shared" si="693"/>
        <v/>
      </c>
      <c r="S2488" s="317" t="str">
        <f t="shared" si="694"/>
        <v/>
      </c>
      <c r="V2488" s="314">
        <f>SUM(ORÇAMENTO!N2488)</f>
        <v>0</v>
      </c>
      <c r="W2488" s="315">
        <f t="shared" si="686"/>
        <v>0</v>
      </c>
    </row>
    <row r="2489" spans="1:23" ht="13.5" hidden="1" thickBot="1">
      <c r="A2489" s="560" t="s">
        <v>165</v>
      </c>
      <c r="B2489" s="899" t="s">
        <v>165</v>
      </c>
      <c r="C2489" s="900" t="s">
        <v>165</v>
      </c>
      <c r="D2489" s="906"/>
      <c r="E2489" s="902"/>
      <c r="F2489" s="903"/>
      <c r="G2489" s="904"/>
      <c r="H2489" s="905"/>
      <c r="I2489" s="876" t="str">
        <f t="shared" si="690"/>
        <v/>
      </c>
      <c r="J2489" s="865">
        <f t="shared" si="687"/>
        <v>0</v>
      </c>
      <c r="K2489" s="903" t="s">
        <v>506</v>
      </c>
      <c r="L2489" s="1013">
        <f>ROUND(SUM(ORÇAMENTO!L2489),2)</f>
        <v>0</v>
      </c>
      <c r="M2489" s="1013">
        <f t="shared" si="683"/>
        <v>0</v>
      </c>
      <c r="N2489" s="868">
        <f t="shared" si="684"/>
        <v>0</v>
      </c>
      <c r="O2489" s="880"/>
      <c r="Q2489" s="317" t="str">
        <f t="shared" si="692"/>
        <v/>
      </c>
      <c r="R2489" s="317" t="str">
        <f t="shared" si="693"/>
        <v/>
      </c>
      <c r="S2489" s="317" t="str">
        <f t="shared" si="694"/>
        <v/>
      </c>
      <c r="V2489" s="314">
        <f>SUM(ORÇAMENTO!N2489)</f>
        <v>0</v>
      </c>
      <c r="W2489" s="315">
        <f t="shared" si="686"/>
        <v>0</v>
      </c>
    </row>
    <row r="2490" spans="1:23" ht="13.5" hidden="1" thickBot="1">
      <c r="A2490" s="560" t="s">
        <v>165</v>
      </c>
      <c r="B2490" s="899" t="s">
        <v>165</v>
      </c>
      <c r="C2490" s="900" t="s">
        <v>165</v>
      </c>
      <c r="D2490" s="906"/>
      <c r="E2490" s="902"/>
      <c r="F2490" s="903"/>
      <c r="G2490" s="904"/>
      <c r="H2490" s="905"/>
      <c r="I2490" s="876" t="str">
        <f t="shared" si="690"/>
        <v/>
      </c>
      <c r="J2490" s="865">
        <f t="shared" si="687"/>
        <v>0</v>
      </c>
      <c r="K2490" s="903" t="s">
        <v>506</v>
      </c>
      <c r="L2490" s="1013">
        <f>ROUND(SUM(ORÇAMENTO!L2490),2)</f>
        <v>0</v>
      </c>
      <c r="M2490" s="1013">
        <f t="shared" si="683"/>
        <v>0</v>
      </c>
      <c r="N2490" s="868">
        <f t="shared" si="684"/>
        <v>0</v>
      </c>
      <c r="O2490" s="880"/>
      <c r="Q2490" s="317" t="str">
        <f t="shared" si="692"/>
        <v/>
      </c>
      <c r="R2490" s="317" t="str">
        <f t="shared" si="693"/>
        <v/>
      </c>
      <c r="S2490" s="317" t="str">
        <f t="shared" si="694"/>
        <v/>
      </c>
      <c r="V2490" s="314">
        <f>SUM(ORÇAMENTO!N2490)</f>
        <v>0</v>
      </c>
      <c r="W2490" s="315">
        <f t="shared" si="686"/>
        <v>0</v>
      </c>
    </row>
    <row r="2491" spans="1:23" ht="13.5" hidden="1" thickBot="1">
      <c r="A2491" s="560" t="s">
        <v>165</v>
      </c>
      <c r="B2491" s="899" t="s">
        <v>165</v>
      </c>
      <c r="C2491" s="900" t="s">
        <v>165</v>
      </c>
      <c r="D2491" s="906"/>
      <c r="E2491" s="902"/>
      <c r="F2491" s="903"/>
      <c r="G2491" s="904"/>
      <c r="H2491" s="905"/>
      <c r="I2491" s="876" t="str">
        <f t="shared" si="690"/>
        <v/>
      </c>
      <c r="J2491" s="865">
        <f t="shared" si="687"/>
        <v>0</v>
      </c>
      <c r="K2491" s="903" t="s">
        <v>506</v>
      </c>
      <c r="L2491" s="1013">
        <f>ROUND(SUM(ORÇAMENTO!L2491),2)</f>
        <v>0</v>
      </c>
      <c r="M2491" s="1013">
        <f t="shared" si="683"/>
        <v>0</v>
      </c>
      <c r="N2491" s="868">
        <f t="shared" si="684"/>
        <v>0</v>
      </c>
      <c r="O2491" s="880"/>
      <c r="Q2491" s="317" t="str">
        <f t="shared" si="692"/>
        <v/>
      </c>
      <c r="R2491" s="317" t="str">
        <f t="shared" si="693"/>
        <v/>
      </c>
      <c r="S2491" s="317" t="str">
        <f t="shared" si="694"/>
        <v/>
      </c>
      <c r="V2491" s="314">
        <f>SUM(ORÇAMENTO!N2491)</f>
        <v>0</v>
      </c>
      <c r="W2491" s="315">
        <f t="shared" si="686"/>
        <v>0</v>
      </c>
    </row>
    <row r="2492" spans="1:23" ht="13.5" hidden="1" thickBot="1">
      <c r="A2492" s="560" t="s">
        <v>165</v>
      </c>
      <c r="B2492" s="899" t="s">
        <v>165</v>
      </c>
      <c r="C2492" s="900" t="s">
        <v>165</v>
      </c>
      <c r="D2492" s="906"/>
      <c r="E2492" s="902"/>
      <c r="F2492" s="903"/>
      <c r="G2492" s="904"/>
      <c r="H2492" s="905"/>
      <c r="I2492" s="876" t="str">
        <f t="shared" si="690"/>
        <v/>
      </c>
      <c r="J2492" s="865">
        <f t="shared" si="687"/>
        <v>0</v>
      </c>
      <c r="K2492" s="903" t="s">
        <v>506</v>
      </c>
      <c r="L2492" s="1013">
        <f>ROUND(SUM(ORÇAMENTO!L2492),2)</f>
        <v>0</v>
      </c>
      <c r="M2492" s="1013">
        <f t="shared" si="683"/>
        <v>0</v>
      </c>
      <c r="N2492" s="868">
        <f t="shared" si="684"/>
        <v>0</v>
      </c>
      <c r="O2492" s="880"/>
      <c r="Q2492" s="317" t="str">
        <f t="shared" si="692"/>
        <v/>
      </c>
      <c r="R2492" s="317" t="str">
        <f t="shared" si="693"/>
        <v/>
      </c>
      <c r="S2492" s="317" t="str">
        <f t="shared" si="694"/>
        <v/>
      </c>
      <c r="V2492" s="314">
        <f>SUM(ORÇAMENTO!N2492)</f>
        <v>0</v>
      </c>
      <c r="W2492" s="315">
        <f t="shared" si="686"/>
        <v>0</v>
      </c>
    </row>
    <row r="2493" spans="1:23" ht="13.5" hidden="1" thickBot="1">
      <c r="A2493" s="560" t="s">
        <v>165</v>
      </c>
      <c r="B2493" s="899" t="s">
        <v>165</v>
      </c>
      <c r="C2493" s="900" t="s">
        <v>165</v>
      </c>
      <c r="D2493" s="906"/>
      <c r="E2493" s="902"/>
      <c r="F2493" s="903"/>
      <c r="G2493" s="904"/>
      <c r="H2493" s="905"/>
      <c r="I2493" s="876" t="str">
        <f t="shared" si="690"/>
        <v/>
      </c>
      <c r="J2493" s="865">
        <f t="shared" si="687"/>
        <v>0</v>
      </c>
      <c r="K2493" s="903" t="s">
        <v>506</v>
      </c>
      <c r="L2493" s="1013">
        <f>ROUND(SUM(ORÇAMENTO!L2493),2)</f>
        <v>0</v>
      </c>
      <c r="M2493" s="1013">
        <f t="shared" si="683"/>
        <v>0</v>
      </c>
      <c r="N2493" s="868">
        <f t="shared" si="684"/>
        <v>0</v>
      </c>
      <c r="O2493" s="880"/>
      <c r="Q2493" s="317" t="str">
        <f t="shared" si="692"/>
        <v/>
      </c>
      <c r="R2493" s="317" t="str">
        <f t="shared" si="693"/>
        <v/>
      </c>
      <c r="S2493" s="317" t="str">
        <f t="shared" si="694"/>
        <v/>
      </c>
      <c r="V2493" s="314">
        <f>SUM(ORÇAMENTO!N2493)</f>
        <v>0</v>
      </c>
      <c r="W2493" s="315">
        <f t="shared" si="686"/>
        <v>0</v>
      </c>
    </row>
    <row r="2494" spans="1:23" ht="13.5" hidden="1" thickBot="1">
      <c r="A2494" s="560" t="s">
        <v>165</v>
      </c>
      <c r="B2494" s="899" t="s">
        <v>165</v>
      </c>
      <c r="C2494" s="900" t="s">
        <v>165</v>
      </c>
      <c r="D2494" s="906"/>
      <c r="E2494" s="902"/>
      <c r="F2494" s="903"/>
      <c r="G2494" s="904"/>
      <c r="H2494" s="905"/>
      <c r="I2494" s="876" t="str">
        <f t="shared" si="690"/>
        <v/>
      </c>
      <c r="J2494" s="865">
        <f t="shared" si="687"/>
        <v>0</v>
      </c>
      <c r="K2494" s="903" t="s">
        <v>506</v>
      </c>
      <c r="L2494" s="1013">
        <f>ROUND(SUM(ORÇAMENTO!L2494),2)</f>
        <v>0</v>
      </c>
      <c r="M2494" s="1013">
        <f t="shared" si="683"/>
        <v>0</v>
      </c>
      <c r="N2494" s="868">
        <f t="shared" si="684"/>
        <v>0</v>
      </c>
      <c r="O2494" s="880"/>
      <c r="Q2494" s="317" t="str">
        <f t="shared" si="692"/>
        <v/>
      </c>
      <c r="R2494" s="317" t="str">
        <f t="shared" si="693"/>
        <v/>
      </c>
      <c r="S2494" s="317" t="str">
        <f t="shared" si="694"/>
        <v/>
      </c>
      <c r="V2494" s="314">
        <f>SUM(ORÇAMENTO!N2494)</f>
        <v>0</v>
      </c>
      <c r="W2494" s="315">
        <f t="shared" si="686"/>
        <v>0</v>
      </c>
    </row>
    <row r="2495" spans="1:23" ht="13.5" hidden="1" thickBot="1">
      <c r="A2495" s="560" t="s">
        <v>165</v>
      </c>
      <c r="B2495" s="899" t="s">
        <v>165</v>
      </c>
      <c r="C2495" s="900" t="s">
        <v>165</v>
      </c>
      <c r="D2495" s="906"/>
      <c r="E2495" s="902"/>
      <c r="F2495" s="903"/>
      <c r="G2495" s="904"/>
      <c r="H2495" s="905"/>
      <c r="I2495" s="876" t="str">
        <f t="shared" si="690"/>
        <v/>
      </c>
      <c r="J2495" s="865">
        <f t="shared" si="687"/>
        <v>0</v>
      </c>
      <c r="K2495" s="903" t="s">
        <v>506</v>
      </c>
      <c r="L2495" s="1013">
        <f>ROUND(SUM(ORÇAMENTO!L2495),2)</f>
        <v>0</v>
      </c>
      <c r="M2495" s="1013">
        <f t="shared" si="683"/>
        <v>0</v>
      </c>
      <c r="N2495" s="868">
        <f t="shared" si="684"/>
        <v>0</v>
      </c>
      <c r="O2495" s="880"/>
      <c r="Q2495" s="317" t="str">
        <f t="shared" si="692"/>
        <v/>
      </c>
      <c r="R2495" s="317" t="str">
        <f t="shared" si="693"/>
        <v/>
      </c>
      <c r="S2495" s="317" t="str">
        <f t="shared" si="694"/>
        <v/>
      </c>
      <c r="V2495" s="314">
        <f>SUM(ORÇAMENTO!N2495)</f>
        <v>0</v>
      </c>
      <c r="W2495" s="315">
        <f t="shared" si="686"/>
        <v>0</v>
      </c>
    </row>
    <row r="2496" spans="1:23" ht="13.5" hidden="1" thickBot="1">
      <c r="A2496" s="560" t="s">
        <v>165</v>
      </c>
      <c r="B2496" s="899" t="s">
        <v>165</v>
      </c>
      <c r="C2496" s="900" t="s">
        <v>165</v>
      </c>
      <c r="D2496" s="906"/>
      <c r="E2496" s="902"/>
      <c r="F2496" s="903"/>
      <c r="G2496" s="904"/>
      <c r="H2496" s="905"/>
      <c r="I2496" s="876" t="str">
        <f t="shared" si="690"/>
        <v/>
      </c>
      <c r="J2496" s="865">
        <f t="shared" si="687"/>
        <v>0</v>
      </c>
      <c r="K2496" s="903" t="s">
        <v>506</v>
      </c>
      <c r="L2496" s="1013">
        <f>ROUND(SUM(ORÇAMENTO!L2496),2)</f>
        <v>0</v>
      </c>
      <c r="M2496" s="1013">
        <f t="shared" si="683"/>
        <v>0</v>
      </c>
      <c r="N2496" s="868">
        <f t="shared" si="684"/>
        <v>0</v>
      </c>
      <c r="O2496" s="880"/>
      <c r="Q2496" s="317" t="str">
        <f t="shared" si="692"/>
        <v/>
      </c>
      <c r="R2496" s="317" t="str">
        <f t="shared" si="693"/>
        <v/>
      </c>
      <c r="S2496" s="317" t="str">
        <f t="shared" si="694"/>
        <v/>
      </c>
      <c r="V2496" s="314">
        <f>SUM(ORÇAMENTO!N2496)</f>
        <v>0</v>
      </c>
      <c r="W2496" s="315">
        <f t="shared" si="686"/>
        <v>0</v>
      </c>
    </row>
    <row r="2497" spans="1:29" ht="13.5" hidden="1" thickBot="1">
      <c r="A2497" s="560" t="s">
        <v>165</v>
      </c>
      <c r="B2497" s="899" t="s">
        <v>165</v>
      </c>
      <c r="C2497" s="900" t="s">
        <v>165</v>
      </c>
      <c r="D2497" s="906"/>
      <c r="E2497" s="902"/>
      <c r="F2497" s="903"/>
      <c r="G2497" s="904"/>
      <c r="H2497" s="905"/>
      <c r="I2497" s="876" t="str">
        <f t="shared" si="690"/>
        <v/>
      </c>
      <c r="J2497" s="865">
        <f t="shared" si="687"/>
        <v>0</v>
      </c>
      <c r="K2497" s="903" t="s">
        <v>506</v>
      </c>
      <c r="L2497" s="1013">
        <f>ROUND(SUM(ORÇAMENTO!L2497),2)</f>
        <v>0</v>
      </c>
      <c r="M2497" s="1013">
        <f t="shared" si="683"/>
        <v>0</v>
      </c>
      <c r="N2497" s="868">
        <f t="shared" si="684"/>
        <v>0</v>
      </c>
      <c r="O2497" s="880"/>
      <c r="Q2497" s="317" t="str">
        <f t="shared" si="692"/>
        <v/>
      </c>
      <c r="R2497" s="317" t="str">
        <f t="shared" si="693"/>
        <v/>
      </c>
      <c r="S2497" s="317" t="str">
        <f t="shared" si="694"/>
        <v/>
      </c>
      <c r="V2497" s="314">
        <f>SUM(ORÇAMENTO!N2497)</f>
        <v>0</v>
      </c>
      <c r="W2497" s="315">
        <f t="shared" si="686"/>
        <v>0</v>
      </c>
    </row>
    <row r="2498" spans="1:29" ht="13.5" hidden="1" thickBot="1">
      <c r="A2498" s="560" t="s">
        <v>165</v>
      </c>
      <c r="B2498" s="1274" t="s">
        <v>165</v>
      </c>
      <c r="C2498" s="1275" t="s">
        <v>165</v>
      </c>
      <c r="D2498" s="1276"/>
      <c r="E2498" s="910"/>
      <c r="F2498" s="911"/>
      <c r="G2498" s="912"/>
      <c r="H2498" s="913"/>
      <c r="I2498" s="914" t="str">
        <f t="shared" si="690"/>
        <v/>
      </c>
      <c r="J2498" s="915">
        <f t="shared" si="687"/>
        <v>0</v>
      </c>
      <c r="K2498" s="911" t="s">
        <v>506</v>
      </c>
      <c r="L2498" s="1295">
        <f>ROUND(SUM(ORÇAMENTO!L2498),2)</f>
        <v>0</v>
      </c>
      <c r="M2498" s="1295">
        <f t="shared" si="683"/>
        <v>0</v>
      </c>
      <c r="N2498" s="916">
        <f t="shared" si="684"/>
        <v>0</v>
      </c>
      <c r="O2498" s="880"/>
      <c r="Q2498" s="317" t="str">
        <f t="shared" si="692"/>
        <v/>
      </c>
      <c r="R2498" s="317" t="str">
        <f t="shared" si="693"/>
        <v/>
      </c>
      <c r="S2498" s="317" t="str">
        <f t="shared" si="694"/>
        <v/>
      </c>
      <c r="V2498" s="314">
        <f>SUM(ORÇAMENTO!N2498)</f>
        <v>0</v>
      </c>
      <c r="W2498" s="315">
        <f t="shared" si="686"/>
        <v>0</v>
      </c>
    </row>
    <row r="2499" spans="1:29">
      <c r="A2499" s="560">
        <v>11</v>
      </c>
      <c r="B2499" s="1020" t="s">
        <v>487</v>
      </c>
      <c r="C2499" s="1021"/>
      <c r="D2499" s="1022" t="s">
        <v>524</v>
      </c>
      <c r="E2499" s="1023"/>
      <c r="F2499" s="1024"/>
      <c r="G2499" s="1025"/>
      <c r="H2499" s="1026"/>
      <c r="I2499" s="1026"/>
      <c r="J2499" s="1026"/>
      <c r="K2499" s="1027" t="s">
        <v>506</v>
      </c>
      <c r="L2499" s="1028">
        <f>ROUND(SUM(ORÇAMENTO!L2499),2)</f>
        <v>0</v>
      </c>
      <c r="M2499" s="1029">
        <f t="shared" si="683"/>
        <v>0</v>
      </c>
      <c r="N2499" s="1030">
        <f t="shared" si="684"/>
        <v>0</v>
      </c>
      <c r="O2499" s="1031">
        <f>SUM(N2501:N2546)</f>
        <v>135836.03</v>
      </c>
      <c r="P2499" s="58" t="str">
        <f>IF(OR(O2499&gt;0,O2499&gt;0),"X","")</f>
        <v>X</v>
      </c>
      <c r="Q2499" s="317" t="str">
        <f t="shared" si="692"/>
        <v>x</v>
      </c>
      <c r="R2499" s="317" t="str">
        <f t="shared" si="693"/>
        <v>x</v>
      </c>
      <c r="S2499" s="317" t="str">
        <f t="shared" si="694"/>
        <v>x</v>
      </c>
      <c r="V2499" s="314">
        <f>SUM(ORÇAMENTO!N2499)</f>
        <v>0</v>
      </c>
      <c r="W2499" s="315">
        <f t="shared" si="686"/>
        <v>0</v>
      </c>
    </row>
    <row r="2500" spans="1:29" ht="34.5" thickBot="1">
      <c r="A2500" s="560"/>
      <c r="B2500" s="1032"/>
      <c r="C2500" s="1033"/>
      <c r="D2500" s="1034" t="s">
        <v>1994</v>
      </c>
      <c r="E2500" s="1035"/>
      <c r="F2500" s="1036"/>
      <c r="G2500" s="1037"/>
      <c r="H2500" s="1038"/>
      <c r="I2500" s="1038"/>
      <c r="J2500" s="1038"/>
      <c r="K2500" s="1039"/>
      <c r="L2500" s="1040">
        <f>ROUND(SUM(ORÇAMENTO!L2500),2)</f>
        <v>0</v>
      </c>
      <c r="M2500" s="1040">
        <v>0</v>
      </c>
      <c r="N2500" s="1041">
        <v>0</v>
      </c>
      <c r="O2500" s="1042"/>
      <c r="P2500" s="572" t="str">
        <f>P2499</f>
        <v>X</v>
      </c>
      <c r="Q2500" s="317" t="str">
        <f t="shared" si="692"/>
        <v>x</v>
      </c>
      <c r="R2500" s="317" t="str">
        <f t="shared" si="693"/>
        <v>x</v>
      </c>
      <c r="S2500" s="317" t="str">
        <f t="shared" si="694"/>
        <v>x</v>
      </c>
      <c r="V2500" s="314">
        <f>SUM(ORÇAMENTO!N2500)</f>
        <v>0</v>
      </c>
      <c r="W2500" s="315">
        <f t="shared" si="686"/>
        <v>0</v>
      </c>
    </row>
    <row r="2501" spans="1:29" s="77" customFormat="1" ht="22.5" hidden="1">
      <c r="A2501" s="560" t="s">
        <v>165</v>
      </c>
      <c r="B2501" s="858" t="s">
        <v>2268</v>
      </c>
      <c r="C2501" s="859" t="s">
        <v>502</v>
      </c>
      <c r="D2501" s="920" t="s">
        <v>488</v>
      </c>
      <c r="E2501" s="1005"/>
      <c r="F2501" s="921"/>
      <c r="G2501" s="923"/>
      <c r="H2501" s="864">
        <v>143.56</v>
      </c>
      <c r="I2501" s="864">
        <f>IF(ISBLANK(H2501),"",SUM(G2501:H2501))</f>
        <v>143.56</v>
      </c>
      <c r="J2501" s="865">
        <f>IF(ISBLANK(H2501),0,ROUND(I2501*(1+$E$10),2))</f>
        <v>175.46</v>
      </c>
      <c r="K2501" s="866" t="s">
        <v>15</v>
      </c>
      <c r="L2501" s="1013">
        <f>ROUND(SUM(ORÇAMENTO!L2501),2)</f>
        <v>0</v>
      </c>
      <c r="M2501" s="1013">
        <f t="shared" ref="M2501:M2546" si="695">IF(L2501=0,0,ROUND(J2501,2))</f>
        <v>0</v>
      </c>
      <c r="N2501" s="907">
        <f t="shared" ref="N2501:N2546" si="696">IF(ISBLANK(L2501),0,ROUND(L2501*M2501,2))</f>
        <v>0</v>
      </c>
      <c r="O2501" s="880"/>
      <c r="P2501" s="76"/>
      <c r="Q2501" s="317" t="str">
        <f t="shared" si="692"/>
        <v/>
      </c>
      <c r="R2501" s="317" t="str">
        <f t="shared" si="693"/>
        <v/>
      </c>
      <c r="S2501" s="317" t="str">
        <f t="shared" si="694"/>
        <v/>
      </c>
      <c r="T2501"/>
      <c r="V2501" s="314">
        <f>SUM(ORÇAMENTO!N2501)</f>
        <v>0</v>
      </c>
      <c r="W2501" s="315">
        <f t="shared" si="686"/>
        <v>0</v>
      </c>
    </row>
    <row r="2502" spans="1:29" s="77" customFormat="1" ht="22.5" hidden="1">
      <c r="A2502" s="560" t="s">
        <v>165</v>
      </c>
      <c r="B2502" s="870" t="s">
        <v>2268</v>
      </c>
      <c r="C2502" s="871" t="s">
        <v>502</v>
      </c>
      <c r="D2502" s="881" t="s">
        <v>489</v>
      </c>
      <c r="E2502" s="882"/>
      <c r="F2502" s="883"/>
      <c r="G2502" s="887"/>
      <c r="H2502" s="876">
        <v>143.56</v>
      </c>
      <c r="I2502" s="876">
        <f t="shared" ref="I2502:I2546" si="697">IF(ISBLANK(H2502),"",SUM(G2502:H2502))</f>
        <v>143.56</v>
      </c>
      <c r="J2502" s="877">
        <f t="shared" ref="J2502:J2546" si="698">IF(ISBLANK(H2502),0,ROUND(I2502*(1+$E$10),2))</f>
        <v>175.46</v>
      </c>
      <c r="K2502" s="878" t="s">
        <v>15</v>
      </c>
      <c r="L2502" s="1013">
        <f>ROUND(SUM(ORÇAMENTO!L2502),2)</f>
        <v>0</v>
      </c>
      <c r="M2502" s="1013">
        <f t="shared" si="695"/>
        <v>0</v>
      </c>
      <c r="N2502" s="868">
        <f t="shared" si="696"/>
        <v>0</v>
      </c>
      <c r="O2502" s="880"/>
      <c r="P2502" s="76"/>
      <c r="Q2502" s="317" t="str">
        <f t="shared" si="692"/>
        <v/>
      </c>
      <c r="R2502" s="317" t="str">
        <f t="shared" si="693"/>
        <v/>
      </c>
      <c r="S2502" s="317" t="str">
        <f t="shared" si="694"/>
        <v/>
      </c>
      <c r="T2502"/>
      <c r="V2502" s="314">
        <f>SUM(ORÇAMENTO!N2502)</f>
        <v>0</v>
      </c>
      <c r="W2502" s="315">
        <f t="shared" si="686"/>
        <v>0</v>
      </c>
    </row>
    <row r="2503" spans="1:29" s="77" customFormat="1" ht="22.5" hidden="1">
      <c r="A2503" s="560" t="s">
        <v>165</v>
      </c>
      <c r="B2503" s="870" t="s">
        <v>2268</v>
      </c>
      <c r="C2503" s="871" t="s">
        <v>502</v>
      </c>
      <c r="D2503" s="881" t="s">
        <v>490</v>
      </c>
      <c r="E2503" s="882"/>
      <c r="F2503" s="883"/>
      <c r="G2503" s="887"/>
      <c r="H2503" s="876">
        <v>143.56</v>
      </c>
      <c r="I2503" s="876">
        <f t="shared" si="697"/>
        <v>143.56</v>
      </c>
      <c r="J2503" s="877">
        <f t="shared" si="698"/>
        <v>175.46</v>
      </c>
      <c r="K2503" s="878" t="s">
        <v>15</v>
      </c>
      <c r="L2503" s="1013">
        <f>ROUND(SUM(ORÇAMENTO!L2503),2)</f>
        <v>0</v>
      </c>
      <c r="M2503" s="1013">
        <f t="shared" si="695"/>
        <v>0</v>
      </c>
      <c r="N2503" s="868">
        <f t="shared" si="696"/>
        <v>0</v>
      </c>
      <c r="O2503" s="880"/>
      <c r="P2503" s="76"/>
      <c r="Q2503" s="317" t="str">
        <f t="shared" si="692"/>
        <v/>
      </c>
      <c r="R2503" s="317" t="str">
        <f t="shared" si="693"/>
        <v/>
      </c>
      <c r="S2503" s="317" t="str">
        <f t="shared" si="694"/>
        <v/>
      </c>
      <c r="T2503"/>
      <c r="V2503" s="314">
        <f>SUM(ORÇAMENTO!N2503)</f>
        <v>0</v>
      </c>
      <c r="W2503" s="315">
        <f t="shared" si="686"/>
        <v>0</v>
      </c>
    </row>
    <row r="2504" spans="1:29" s="77" customFormat="1" ht="22.5" hidden="1">
      <c r="A2504" s="560" t="s">
        <v>165</v>
      </c>
      <c r="B2504" s="870" t="s">
        <v>2268</v>
      </c>
      <c r="C2504" s="871" t="s">
        <v>502</v>
      </c>
      <c r="D2504" s="881" t="s">
        <v>2269</v>
      </c>
      <c r="E2504" s="882"/>
      <c r="F2504" s="883"/>
      <c r="G2504" s="887"/>
      <c r="H2504" s="876">
        <v>143.56</v>
      </c>
      <c r="I2504" s="876">
        <f t="shared" si="697"/>
        <v>143.56</v>
      </c>
      <c r="J2504" s="877">
        <f t="shared" si="698"/>
        <v>175.46</v>
      </c>
      <c r="K2504" s="878" t="s">
        <v>15</v>
      </c>
      <c r="L2504" s="1013">
        <f>ROUND(SUM(ORÇAMENTO!L2504),2)</f>
        <v>0</v>
      </c>
      <c r="M2504" s="1013">
        <f t="shared" si="695"/>
        <v>0</v>
      </c>
      <c r="N2504" s="868">
        <f t="shared" si="696"/>
        <v>0</v>
      </c>
      <c r="O2504" s="880"/>
      <c r="P2504" s="76"/>
      <c r="Q2504" s="317" t="str">
        <f t="shared" si="692"/>
        <v/>
      </c>
      <c r="R2504" s="317" t="str">
        <f t="shared" si="693"/>
        <v/>
      </c>
      <c r="S2504" s="317" t="str">
        <f t="shared" si="694"/>
        <v/>
      </c>
      <c r="T2504"/>
      <c r="V2504" s="314">
        <f>SUM(ORÇAMENTO!N2504)</f>
        <v>0</v>
      </c>
      <c r="W2504" s="315">
        <f t="shared" si="686"/>
        <v>0</v>
      </c>
    </row>
    <row r="2505" spans="1:29" s="77" customFormat="1" ht="22.5" hidden="1">
      <c r="A2505" s="560" t="s">
        <v>165</v>
      </c>
      <c r="B2505" s="969" t="s">
        <v>2268</v>
      </c>
      <c r="C2505" s="970" t="s">
        <v>502</v>
      </c>
      <c r="D2505" s="939" t="s">
        <v>1983</v>
      </c>
      <c r="E2505" s="940"/>
      <c r="F2505" s="971"/>
      <c r="G2505" s="942"/>
      <c r="H2505" s="914">
        <v>143.56</v>
      </c>
      <c r="I2505" s="914">
        <f t="shared" si="697"/>
        <v>143.56</v>
      </c>
      <c r="J2505" s="943">
        <f t="shared" si="698"/>
        <v>175.46</v>
      </c>
      <c r="K2505" s="944" t="s">
        <v>15</v>
      </c>
      <c r="L2505" s="1295">
        <f>ROUND(SUM(ORÇAMENTO!L2505),2)</f>
        <v>0</v>
      </c>
      <c r="M2505" s="1295">
        <f t="shared" si="695"/>
        <v>0</v>
      </c>
      <c r="N2505" s="916">
        <f t="shared" si="696"/>
        <v>0</v>
      </c>
      <c r="O2505" s="880"/>
      <c r="P2505" s="76"/>
      <c r="Q2505" s="317" t="str">
        <f t="shared" si="692"/>
        <v/>
      </c>
      <c r="R2505" s="317" t="str">
        <f t="shared" si="693"/>
        <v/>
      </c>
      <c r="S2505" s="317" t="str">
        <f t="shared" si="694"/>
        <v/>
      </c>
      <c r="T2505"/>
      <c r="V2505" s="314">
        <f>SUM(ORÇAMENTO!N2505)</f>
        <v>0</v>
      </c>
      <c r="W2505" s="315">
        <f t="shared" si="686"/>
        <v>0</v>
      </c>
    </row>
    <row r="2506" spans="1:29" s="77" customFormat="1" ht="15" customHeight="1">
      <c r="A2506" s="560" t="s">
        <v>165</v>
      </c>
      <c r="B2506" s="973" t="s">
        <v>2223</v>
      </c>
      <c r="C2506" s="974" t="s">
        <v>502</v>
      </c>
      <c r="D2506" s="947" t="s">
        <v>491</v>
      </c>
      <c r="E2506" s="948"/>
      <c r="F2506" s="949"/>
      <c r="G2506" s="950"/>
      <c r="H2506" s="951">
        <v>148.02000000000001</v>
      </c>
      <c r="I2506" s="951">
        <f t="shared" si="697"/>
        <v>148.02000000000001</v>
      </c>
      <c r="J2506" s="952">
        <f t="shared" si="698"/>
        <v>180.91</v>
      </c>
      <c r="K2506" s="953" t="s">
        <v>15</v>
      </c>
      <c r="L2506" s="1384">
        <f>ROUND(SUM(ORÇAMENTO!L2506),2)</f>
        <v>130</v>
      </c>
      <c r="M2506" s="1384">
        <f t="shared" si="695"/>
        <v>180.91</v>
      </c>
      <c r="N2506" s="956">
        <f t="shared" si="696"/>
        <v>23518.3</v>
      </c>
      <c r="O2506" s="869"/>
      <c r="P2506" s="76"/>
      <c r="Q2506" s="317" t="str">
        <f t="shared" si="692"/>
        <v>x</v>
      </c>
      <c r="R2506" s="317" t="str">
        <f t="shared" si="693"/>
        <v>x</v>
      </c>
      <c r="S2506" s="317" t="str">
        <f t="shared" si="694"/>
        <v>x</v>
      </c>
      <c r="T2506"/>
      <c r="V2506" s="314">
        <f>SUM(ORÇAMENTO!N2506)</f>
        <v>23518.3</v>
      </c>
      <c r="W2506" s="315">
        <f t="shared" si="686"/>
        <v>0</v>
      </c>
    </row>
    <row r="2507" spans="1:29" s="77" customFormat="1" ht="15" customHeight="1" thickBot="1">
      <c r="A2507" s="560" t="s">
        <v>165</v>
      </c>
      <c r="B2507" s="978" t="s">
        <v>492</v>
      </c>
      <c r="C2507" s="958" t="s">
        <v>590</v>
      </c>
      <c r="D2507" s="986" t="s">
        <v>493</v>
      </c>
      <c r="E2507" s="979"/>
      <c r="F2507" s="980"/>
      <c r="G2507" s="1002"/>
      <c r="H2507" s="962">
        <v>104.8</v>
      </c>
      <c r="I2507" s="962">
        <f t="shared" si="697"/>
        <v>104.8</v>
      </c>
      <c r="J2507" s="963">
        <f t="shared" si="698"/>
        <v>128.09</v>
      </c>
      <c r="K2507" s="964" t="s">
        <v>15</v>
      </c>
      <c r="L2507" s="1385">
        <f>ROUND(SUM(ORÇAMENTO!L2507),2)</f>
        <v>130</v>
      </c>
      <c r="M2507" s="1385">
        <f t="shared" si="695"/>
        <v>128.09</v>
      </c>
      <c r="N2507" s="967">
        <f t="shared" si="696"/>
        <v>16651.7</v>
      </c>
      <c r="O2507" s="1372"/>
      <c r="P2507" s="76"/>
      <c r="Q2507" s="317" t="str">
        <f t="shared" si="692"/>
        <v>x</v>
      </c>
      <c r="R2507" s="317" t="str">
        <f t="shared" si="693"/>
        <v>x</v>
      </c>
      <c r="S2507" s="317" t="str">
        <f t="shared" si="694"/>
        <v>x</v>
      </c>
      <c r="T2507"/>
      <c r="V2507" s="314">
        <f>SUM(ORÇAMENTO!N2507)</f>
        <v>16651.7</v>
      </c>
      <c r="W2507" s="315">
        <f t="shared" si="686"/>
        <v>0</v>
      </c>
    </row>
    <row r="2508" spans="1:29" s="77" customFormat="1" ht="15" hidden="1" customHeight="1">
      <c r="A2508" s="560" t="s">
        <v>165</v>
      </c>
      <c r="B2508" s="1328" t="s">
        <v>494</v>
      </c>
      <c r="C2508" s="1329" t="s">
        <v>590</v>
      </c>
      <c r="D2508" s="1334" t="s">
        <v>495</v>
      </c>
      <c r="E2508" s="1284"/>
      <c r="F2508" s="1331"/>
      <c r="G2508" s="1282"/>
      <c r="H2508" s="1268">
        <v>74.86</v>
      </c>
      <c r="I2508" s="1268">
        <f t="shared" si="697"/>
        <v>74.86</v>
      </c>
      <c r="J2508" s="915">
        <f t="shared" si="698"/>
        <v>91.49</v>
      </c>
      <c r="K2508" s="1332" t="s">
        <v>15</v>
      </c>
      <c r="L2508" s="1295">
        <f>ROUND(SUM(ORÇAMENTO!L2508),2)</f>
        <v>0</v>
      </c>
      <c r="M2508" s="1295">
        <f t="shared" si="695"/>
        <v>0</v>
      </c>
      <c r="N2508" s="1333">
        <f t="shared" si="696"/>
        <v>0</v>
      </c>
      <c r="O2508" s="880"/>
      <c r="P2508" s="76"/>
      <c r="Q2508" s="317" t="str">
        <f t="shared" si="692"/>
        <v/>
      </c>
      <c r="R2508" s="317" t="str">
        <f t="shared" si="693"/>
        <v/>
      </c>
      <c r="S2508" s="317" t="str">
        <f t="shared" si="694"/>
        <v/>
      </c>
      <c r="T2508"/>
      <c r="V2508" s="314">
        <f>SUM(ORÇAMENTO!N2508)</f>
        <v>0</v>
      </c>
      <c r="W2508" s="315">
        <f t="shared" si="686"/>
        <v>0</v>
      </c>
    </row>
    <row r="2509" spans="1:29" s="77" customFormat="1" ht="15" customHeight="1">
      <c r="A2509" s="560" t="s">
        <v>165</v>
      </c>
      <c r="B2509" s="973" t="s">
        <v>2221</v>
      </c>
      <c r="C2509" s="974" t="s">
        <v>502</v>
      </c>
      <c r="D2509" s="1397" t="s">
        <v>496</v>
      </c>
      <c r="E2509" s="948"/>
      <c r="F2509" s="949"/>
      <c r="G2509" s="950"/>
      <c r="H2509" s="951">
        <v>175.82</v>
      </c>
      <c r="I2509" s="951">
        <f t="shared" si="697"/>
        <v>175.82</v>
      </c>
      <c r="J2509" s="952">
        <f t="shared" si="698"/>
        <v>214.89</v>
      </c>
      <c r="K2509" s="953" t="s">
        <v>15</v>
      </c>
      <c r="L2509" s="1384">
        <f>ROUND(SUM(ORÇAMENTO!L2509),2)</f>
        <v>130</v>
      </c>
      <c r="M2509" s="1384">
        <f t="shared" si="695"/>
        <v>214.89</v>
      </c>
      <c r="N2509" s="956">
        <f t="shared" si="696"/>
        <v>27935.7</v>
      </c>
      <c r="O2509" s="869"/>
      <c r="P2509" s="76"/>
      <c r="Q2509" s="317" t="str">
        <f t="shared" si="692"/>
        <v>x</v>
      </c>
      <c r="R2509" s="317" t="str">
        <f t="shared" si="693"/>
        <v>x</v>
      </c>
      <c r="S2509" s="317" t="str">
        <f t="shared" si="694"/>
        <v>x</v>
      </c>
      <c r="T2509"/>
      <c r="V2509" s="314">
        <f>SUM(ORÇAMENTO!N2509)</f>
        <v>27935.7</v>
      </c>
      <c r="W2509" s="315">
        <f t="shared" si="686"/>
        <v>0</v>
      </c>
    </row>
    <row r="2510" spans="1:29" s="77" customFormat="1" ht="15" customHeight="1">
      <c r="A2510" s="560" t="s">
        <v>165</v>
      </c>
      <c r="B2510" s="870" t="s">
        <v>497</v>
      </c>
      <c r="C2510" s="871" t="s">
        <v>590</v>
      </c>
      <c r="D2510" s="881" t="s">
        <v>498</v>
      </c>
      <c r="E2510" s="882"/>
      <c r="F2510" s="883"/>
      <c r="G2510" s="887"/>
      <c r="H2510" s="876">
        <v>134.76</v>
      </c>
      <c r="I2510" s="876">
        <f t="shared" si="697"/>
        <v>134.76</v>
      </c>
      <c r="J2510" s="877">
        <f t="shared" si="698"/>
        <v>164.7</v>
      </c>
      <c r="K2510" s="878" t="s">
        <v>15</v>
      </c>
      <c r="L2510" s="1013">
        <f>ROUND(SUM(ORÇAMENTO!L2510),2)</f>
        <v>130</v>
      </c>
      <c r="M2510" s="1013">
        <f t="shared" si="695"/>
        <v>164.7</v>
      </c>
      <c r="N2510" s="868">
        <f t="shared" si="696"/>
        <v>21411</v>
      </c>
      <c r="O2510" s="880"/>
      <c r="P2510" s="76"/>
      <c r="Q2510" s="317" t="str">
        <f t="shared" si="692"/>
        <v>x</v>
      </c>
      <c r="R2510" s="317" t="str">
        <f t="shared" si="693"/>
        <v>x</v>
      </c>
      <c r="S2510" s="317" t="str">
        <f t="shared" si="694"/>
        <v>x</v>
      </c>
      <c r="T2510"/>
      <c r="V2510" s="314">
        <f>SUM(ORÇAMENTO!N2510)</f>
        <v>21411</v>
      </c>
      <c r="W2510" s="315">
        <f t="shared" si="686"/>
        <v>0</v>
      </c>
    </row>
    <row r="2511" spans="1:29" s="77" customFormat="1" ht="15" customHeight="1">
      <c r="A2511" s="560" t="s">
        <v>165</v>
      </c>
      <c r="B2511" s="870" t="s">
        <v>2222</v>
      </c>
      <c r="C2511" s="871" t="s">
        <v>502</v>
      </c>
      <c r="D2511" s="881" t="s">
        <v>499</v>
      </c>
      <c r="E2511" s="882"/>
      <c r="F2511" s="883"/>
      <c r="G2511" s="887"/>
      <c r="H2511" s="876">
        <v>48.16</v>
      </c>
      <c r="I2511" s="876">
        <f t="shared" si="697"/>
        <v>48.16</v>
      </c>
      <c r="J2511" s="877">
        <f t="shared" si="698"/>
        <v>58.86</v>
      </c>
      <c r="K2511" s="878" t="s">
        <v>15</v>
      </c>
      <c r="L2511" s="1013">
        <f>ROUND(SUM(ORÇAMENTO!L2511),2)</f>
        <v>130</v>
      </c>
      <c r="M2511" s="1013">
        <f t="shared" si="695"/>
        <v>58.86</v>
      </c>
      <c r="N2511" s="868">
        <f t="shared" si="696"/>
        <v>7651.8</v>
      </c>
      <c r="O2511" s="880"/>
      <c r="P2511" s="76"/>
      <c r="Q2511" s="317" t="str">
        <f t="shared" si="692"/>
        <v>x</v>
      </c>
      <c r="R2511" s="317" t="str">
        <f t="shared" si="693"/>
        <v>x</v>
      </c>
      <c r="S2511" s="317" t="str">
        <f t="shared" si="694"/>
        <v>x</v>
      </c>
      <c r="T2511"/>
      <c r="V2511" s="314">
        <f>SUM(ORÇAMENTO!N2511)</f>
        <v>7651.8</v>
      </c>
      <c r="W2511" s="315">
        <f t="shared" si="686"/>
        <v>0</v>
      </c>
    </row>
    <row r="2512" spans="1:29" s="77" customFormat="1" ht="15" customHeight="1">
      <c r="A2512" s="560" t="s">
        <v>165</v>
      </c>
      <c r="B2512" s="870" t="s">
        <v>2219</v>
      </c>
      <c r="C2512" s="871" t="s">
        <v>502</v>
      </c>
      <c r="D2512" s="881" t="s">
        <v>786</v>
      </c>
      <c r="E2512" s="882"/>
      <c r="F2512" s="883"/>
      <c r="G2512" s="887"/>
      <c r="H2512" s="876">
        <v>99.15</v>
      </c>
      <c r="I2512" s="876">
        <f t="shared" si="697"/>
        <v>99.15</v>
      </c>
      <c r="J2512" s="877">
        <f t="shared" si="698"/>
        <v>121.18</v>
      </c>
      <c r="K2512" s="878" t="s">
        <v>15</v>
      </c>
      <c r="L2512" s="1013">
        <f>ROUND(SUM(ORÇAMENTO!L2512),2)</f>
        <v>130</v>
      </c>
      <c r="M2512" s="1013">
        <f t="shared" si="695"/>
        <v>121.18</v>
      </c>
      <c r="N2512" s="868">
        <f t="shared" si="696"/>
        <v>15753.4</v>
      </c>
      <c r="O2512" s="880"/>
      <c r="P2512" s="76"/>
      <c r="Q2512" s="317" t="str">
        <f t="shared" si="692"/>
        <v>x</v>
      </c>
      <c r="R2512" s="317" t="str">
        <f t="shared" si="693"/>
        <v>x</v>
      </c>
      <c r="S2512" s="317" t="str">
        <f t="shared" si="694"/>
        <v>x</v>
      </c>
      <c r="T2512"/>
      <c r="V2512" s="314">
        <f>SUM(ORÇAMENTO!N2512)</f>
        <v>15753.4</v>
      </c>
      <c r="W2512" s="315">
        <f t="shared" si="686"/>
        <v>0</v>
      </c>
    </row>
    <row r="2513" spans="1:29" s="77" customFormat="1" ht="15" customHeight="1">
      <c r="A2513" s="560" t="s">
        <v>165</v>
      </c>
      <c r="B2513" s="1043" t="s">
        <v>2220</v>
      </c>
      <c r="C2513" s="871" t="s">
        <v>502</v>
      </c>
      <c r="D2513" s="881" t="s">
        <v>504</v>
      </c>
      <c r="E2513" s="882"/>
      <c r="F2513" s="883"/>
      <c r="G2513" s="887"/>
      <c r="H2513" s="876">
        <v>97.91</v>
      </c>
      <c r="I2513" s="876">
        <f t="shared" si="697"/>
        <v>97.91</v>
      </c>
      <c r="J2513" s="877">
        <f t="shared" si="698"/>
        <v>119.67</v>
      </c>
      <c r="K2513" s="878" t="s">
        <v>15</v>
      </c>
      <c r="L2513" s="1013">
        <f>ROUND(SUM(ORÇAMENTO!L2513),2)</f>
        <v>130</v>
      </c>
      <c r="M2513" s="1013">
        <f t="shared" si="695"/>
        <v>119.67</v>
      </c>
      <c r="N2513" s="868">
        <f t="shared" si="696"/>
        <v>15557.1</v>
      </c>
      <c r="O2513" s="880"/>
      <c r="P2513" s="76"/>
      <c r="Q2513" s="317" t="str">
        <f t="shared" si="692"/>
        <v>x</v>
      </c>
      <c r="R2513" s="317" t="str">
        <f t="shared" si="693"/>
        <v>x</v>
      </c>
      <c r="S2513" s="317" t="str">
        <f t="shared" si="694"/>
        <v>x</v>
      </c>
      <c r="T2513"/>
      <c r="V2513" s="314">
        <f>SUM(ORÇAMENTO!N2513)</f>
        <v>15557.1</v>
      </c>
      <c r="W2513" s="315">
        <f t="shared" si="686"/>
        <v>0</v>
      </c>
    </row>
    <row r="2514" spans="1:29" s="77" customFormat="1" ht="23.25" thickBot="1">
      <c r="A2514" s="560" t="s">
        <v>165</v>
      </c>
      <c r="B2514" s="978" t="s">
        <v>2270</v>
      </c>
      <c r="C2514" s="958" t="s">
        <v>502</v>
      </c>
      <c r="D2514" s="959" t="s">
        <v>505</v>
      </c>
      <c r="E2514" s="979"/>
      <c r="F2514" s="980"/>
      <c r="G2514" s="1382"/>
      <c r="H2514" s="962">
        <v>6019.5</v>
      </c>
      <c r="I2514" s="962">
        <f t="shared" si="697"/>
        <v>6019.5</v>
      </c>
      <c r="J2514" s="963">
        <f t="shared" si="698"/>
        <v>7357.03</v>
      </c>
      <c r="K2514" s="964" t="s">
        <v>501</v>
      </c>
      <c r="L2514" s="1385">
        <f>ROUND(SUM(ORÇAMENTO!L2514),2)</f>
        <v>1</v>
      </c>
      <c r="M2514" s="1385">
        <f t="shared" si="695"/>
        <v>7357.03</v>
      </c>
      <c r="N2514" s="967">
        <f t="shared" si="696"/>
        <v>7357.03</v>
      </c>
      <c r="O2514" s="1372"/>
      <c r="P2514" s="76"/>
      <c r="Q2514" s="317" t="str">
        <f t="shared" si="692"/>
        <v>x</v>
      </c>
      <c r="R2514" s="317" t="str">
        <f t="shared" si="693"/>
        <v>x</v>
      </c>
      <c r="S2514" s="317" t="str">
        <f t="shared" si="694"/>
        <v>x</v>
      </c>
      <c r="T2514"/>
      <c r="V2514" s="314">
        <f>SUM(ORÇAMENTO!N2514)</f>
        <v>7357.03</v>
      </c>
      <c r="W2514" s="315">
        <f t="shared" si="686"/>
        <v>0</v>
      </c>
    </row>
    <row r="2515" spans="1:29" ht="15" hidden="1" customHeight="1">
      <c r="A2515" s="560" t="s">
        <v>165</v>
      </c>
      <c r="B2515" s="1335" t="s">
        <v>165</v>
      </c>
      <c r="C2515" s="1336"/>
      <c r="D2515" s="1337" t="s">
        <v>500</v>
      </c>
      <c r="E2515" s="1338"/>
      <c r="F2515" s="1339"/>
      <c r="G2515" s="1340"/>
      <c r="H2515" s="1341"/>
      <c r="I2515" s="1341"/>
      <c r="J2515" s="1341"/>
      <c r="K2515" s="1341" t="s">
        <v>506</v>
      </c>
      <c r="L2515" s="1342">
        <f>ROUND(SUM(ORÇAMENTO!L2515),2)</f>
        <v>0</v>
      </c>
      <c r="M2515" s="1343">
        <f t="shared" si="695"/>
        <v>0</v>
      </c>
      <c r="N2515" s="1344">
        <f t="shared" si="696"/>
        <v>0</v>
      </c>
      <c r="O2515" s="880"/>
      <c r="P2515" s="58" t="str">
        <f>IF(OR(SUM(N2516:N2546)&gt;0,SUM(N2516:N2546)&gt;0),"y","")</f>
        <v/>
      </c>
      <c r="Q2515" s="317" t="str">
        <f t="shared" si="692"/>
        <v/>
      </c>
      <c r="R2515" s="317" t="str">
        <f t="shared" si="693"/>
        <v/>
      </c>
      <c r="S2515" s="317" t="str">
        <f t="shared" si="694"/>
        <v/>
      </c>
      <c r="V2515" s="314">
        <f>SUM(ORÇAMENTO!N2515)</f>
        <v>0</v>
      </c>
      <c r="W2515" s="315">
        <f t="shared" si="686"/>
        <v>0</v>
      </c>
    </row>
    <row r="2516" spans="1:29" ht="15" hidden="1" customHeight="1">
      <c r="A2516" s="560" t="s">
        <v>165</v>
      </c>
      <c r="B2516" s="1010" t="s">
        <v>1984</v>
      </c>
      <c r="C2516" s="1045" t="s">
        <v>502</v>
      </c>
      <c r="D2516" s="1046" t="s">
        <v>1985</v>
      </c>
      <c r="E2516" s="882"/>
      <c r="F2516" s="883"/>
      <c r="G2516" s="1047"/>
      <c r="H2516" s="876">
        <v>310.23</v>
      </c>
      <c r="I2516" s="876">
        <f t="shared" si="697"/>
        <v>310.23</v>
      </c>
      <c r="J2516" s="877">
        <f t="shared" si="698"/>
        <v>379.16</v>
      </c>
      <c r="K2516" s="883" t="s">
        <v>15</v>
      </c>
      <c r="L2516" s="1016">
        <f>ROUND(SUM(ORÇAMENTO!L2516),2)</f>
        <v>0</v>
      </c>
      <c r="M2516" s="1017">
        <f t="shared" si="695"/>
        <v>0</v>
      </c>
      <c r="N2516" s="868">
        <f t="shared" si="696"/>
        <v>0</v>
      </c>
      <c r="O2516" s="880"/>
      <c r="Q2516" s="317" t="str">
        <f t="shared" si="692"/>
        <v/>
      </c>
      <c r="R2516" s="317" t="str">
        <f t="shared" si="693"/>
        <v/>
      </c>
      <c r="S2516" s="317" t="str">
        <f t="shared" si="694"/>
        <v/>
      </c>
      <c r="V2516" s="314">
        <f>SUM(ORÇAMENTO!N2516)</f>
        <v>0</v>
      </c>
      <c r="W2516" s="315">
        <f t="shared" si="686"/>
        <v>0</v>
      </c>
    </row>
    <row r="2517" spans="1:29" ht="15" hidden="1" customHeight="1">
      <c r="A2517" s="560" t="s">
        <v>165</v>
      </c>
      <c r="B2517" s="1010" t="s">
        <v>1986</v>
      </c>
      <c r="C2517" s="1045" t="s">
        <v>502</v>
      </c>
      <c r="D2517" s="1046" t="s">
        <v>1987</v>
      </c>
      <c r="E2517" s="882"/>
      <c r="F2517" s="883"/>
      <c r="G2517" s="1047"/>
      <c r="H2517" s="876">
        <v>310.23</v>
      </c>
      <c r="I2517" s="876">
        <f t="shared" si="697"/>
        <v>310.23</v>
      </c>
      <c r="J2517" s="877">
        <f t="shared" si="698"/>
        <v>379.16</v>
      </c>
      <c r="K2517" s="883" t="s">
        <v>15</v>
      </c>
      <c r="L2517" s="1013">
        <f>ROUND(SUM(ORÇAMENTO!L2517),2)</f>
        <v>0</v>
      </c>
      <c r="M2517" s="1013">
        <f t="shared" si="695"/>
        <v>0</v>
      </c>
      <c r="N2517" s="907">
        <f t="shared" si="696"/>
        <v>0</v>
      </c>
      <c r="O2517" s="880"/>
      <c r="Q2517" s="317" t="str">
        <f t="shared" si="692"/>
        <v/>
      </c>
      <c r="R2517" s="317" t="str">
        <f t="shared" si="693"/>
        <v/>
      </c>
      <c r="S2517" s="317" t="str">
        <f t="shared" si="694"/>
        <v/>
      </c>
      <c r="V2517" s="314">
        <f>SUM(ORÇAMENTO!N2517)</f>
        <v>0</v>
      </c>
      <c r="W2517" s="315">
        <f t="shared" ref="W2517:W2546" si="699">N2517-V2517</f>
        <v>0</v>
      </c>
    </row>
    <row r="2518" spans="1:29" ht="15" hidden="1" customHeight="1">
      <c r="A2518" s="560" t="s">
        <v>165</v>
      </c>
      <c r="B2518" s="1010" t="s">
        <v>1988</v>
      </c>
      <c r="C2518" s="1045" t="s">
        <v>502</v>
      </c>
      <c r="D2518" s="1046" t="s">
        <v>1989</v>
      </c>
      <c r="E2518" s="882"/>
      <c r="F2518" s="883"/>
      <c r="G2518" s="1047"/>
      <c r="H2518" s="876">
        <v>82.89</v>
      </c>
      <c r="I2518" s="876">
        <f t="shared" si="697"/>
        <v>82.89</v>
      </c>
      <c r="J2518" s="877">
        <f t="shared" si="698"/>
        <v>101.31</v>
      </c>
      <c r="K2518" s="883" t="s">
        <v>154</v>
      </c>
      <c r="L2518" s="1013">
        <f>ROUND(SUM(ORÇAMENTO!L2518),2)</f>
        <v>0</v>
      </c>
      <c r="M2518" s="1013">
        <f t="shared" si="695"/>
        <v>0</v>
      </c>
      <c r="N2518" s="868">
        <f t="shared" si="696"/>
        <v>0</v>
      </c>
      <c r="O2518" s="880"/>
      <c r="Q2518" s="317" t="str">
        <f t="shared" si="692"/>
        <v/>
      </c>
      <c r="R2518" s="317" t="str">
        <f t="shared" si="693"/>
        <v/>
      </c>
      <c r="S2518" s="317" t="str">
        <f t="shared" si="694"/>
        <v/>
      </c>
      <c r="V2518" s="314">
        <f>SUM(ORÇAMENTO!N2518)</f>
        <v>0</v>
      </c>
      <c r="W2518" s="315">
        <f t="shared" si="699"/>
        <v>0</v>
      </c>
    </row>
    <row r="2519" spans="1:29" ht="30" hidden="1" customHeight="1">
      <c r="A2519" s="560" t="s">
        <v>165</v>
      </c>
      <c r="B2519" s="1048" t="s">
        <v>2131</v>
      </c>
      <c r="C2519" s="1049" t="s">
        <v>2132</v>
      </c>
      <c r="D2519" s="1046" t="s">
        <v>2127</v>
      </c>
      <c r="E2519" s="882"/>
      <c r="F2519" s="883"/>
      <c r="G2519" s="1047"/>
      <c r="H2519" s="905"/>
      <c r="I2519" s="876" t="str">
        <f t="shared" si="697"/>
        <v/>
      </c>
      <c r="J2519" s="877">
        <f t="shared" si="698"/>
        <v>0</v>
      </c>
      <c r="K2519" s="903" t="s">
        <v>15</v>
      </c>
      <c r="L2519" s="1013">
        <f>ROUND(SUM(ORÇAMENTO!L2519),2)</f>
        <v>0</v>
      </c>
      <c r="M2519" s="1013">
        <f t="shared" si="695"/>
        <v>0</v>
      </c>
      <c r="N2519" s="868">
        <f t="shared" si="696"/>
        <v>0</v>
      </c>
      <c r="O2519" s="880"/>
      <c r="Q2519" s="317" t="str">
        <f t="shared" si="692"/>
        <v/>
      </c>
      <c r="R2519" s="317" t="str">
        <f t="shared" si="693"/>
        <v/>
      </c>
      <c r="S2519" s="317" t="str">
        <f t="shared" si="694"/>
        <v/>
      </c>
      <c r="V2519" s="314">
        <f>SUM(ORÇAMENTO!N2519)</f>
        <v>0</v>
      </c>
      <c r="W2519" s="315">
        <f t="shared" si="699"/>
        <v>0</v>
      </c>
    </row>
    <row r="2520" spans="1:29" ht="30" hidden="1" customHeight="1">
      <c r="A2520" s="560" t="s">
        <v>165</v>
      </c>
      <c r="B2520" s="1048" t="s">
        <v>2131</v>
      </c>
      <c r="C2520" s="1049" t="s">
        <v>2132</v>
      </c>
      <c r="D2520" s="1046" t="s">
        <v>2128</v>
      </c>
      <c r="E2520" s="882"/>
      <c r="F2520" s="883"/>
      <c r="G2520" s="1047"/>
      <c r="H2520" s="905"/>
      <c r="I2520" s="876" t="str">
        <f t="shared" si="697"/>
        <v/>
      </c>
      <c r="J2520" s="877">
        <f t="shared" si="698"/>
        <v>0</v>
      </c>
      <c r="K2520" s="903" t="s">
        <v>15</v>
      </c>
      <c r="L2520" s="1013">
        <f>ROUND(SUM(ORÇAMENTO!L2520),2)</f>
        <v>0</v>
      </c>
      <c r="M2520" s="1013">
        <f t="shared" si="695"/>
        <v>0</v>
      </c>
      <c r="N2520" s="868">
        <f t="shared" si="696"/>
        <v>0</v>
      </c>
      <c r="O2520" s="880"/>
      <c r="Q2520" s="317" t="str">
        <f t="shared" si="692"/>
        <v/>
      </c>
      <c r="R2520" s="317" t="str">
        <f t="shared" si="693"/>
        <v/>
      </c>
      <c r="S2520" s="317" t="str">
        <f t="shared" si="694"/>
        <v/>
      </c>
      <c r="V2520" s="314">
        <f>SUM(ORÇAMENTO!N2520)</f>
        <v>0</v>
      </c>
      <c r="W2520" s="315">
        <f t="shared" si="699"/>
        <v>0</v>
      </c>
    </row>
    <row r="2521" spans="1:29" ht="30" hidden="1" customHeight="1">
      <c r="A2521" s="560" t="s">
        <v>165</v>
      </c>
      <c r="B2521" s="1048" t="s">
        <v>2131</v>
      </c>
      <c r="C2521" s="1049" t="s">
        <v>2132</v>
      </c>
      <c r="D2521" s="1046" t="s">
        <v>2129</v>
      </c>
      <c r="E2521" s="882"/>
      <c r="F2521" s="883"/>
      <c r="G2521" s="1047"/>
      <c r="H2521" s="905"/>
      <c r="I2521" s="876" t="str">
        <f t="shared" si="697"/>
        <v/>
      </c>
      <c r="J2521" s="877">
        <f t="shared" si="698"/>
        <v>0</v>
      </c>
      <c r="K2521" s="903" t="s">
        <v>15</v>
      </c>
      <c r="L2521" s="1013">
        <f>ROUND(SUM(ORÇAMENTO!L2521),2)</f>
        <v>0</v>
      </c>
      <c r="M2521" s="1013">
        <f t="shared" si="695"/>
        <v>0</v>
      </c>
      <c r="N2521" s="868">
        <f t="shared" si="696"/>
        <v>0</v>
      </c>
      <c r="O2521" s="880"/>
      <c r="Q2521" s="317" t="str">
        <f t="shared" si="692"/>
        <v/>
      </c>
      <c r="R2521" s="317" t="str">
        <f t="shared" si="693"/>
        <v/>
      </c>
      <c r="S2521" s="317" t="str">
        <f t="shared" si="694"/>
        <v/>
      </c>
      <c r="V2521" s="314">
        <f>SUM(ORÇAMENTO!N2521)</f>
        <v>0</v>
      </c>
      <c r="W2521" s="315">
        <f t="shared" si="699"/>
        <v>0</v>
      </c>
    </row>
    <row r="2522" spans="1:29" ht="39" hidden="1" customHeight="1">
      <c r="A2522" s="560" t="s">
        <v>165</v>
      </c>
      <c r="B2522" s="1048" t="s">
        <v>2131</v>
      </c>
      <c r="C2522" s="1049" t="s">
        <v>2132</v>
      </c>
      <c r="D2522" s="1046" t="s">
        <v>2130</v>
      </c>
      <c r="E2522" s="882"/>
      <c r="F2522" s="883"/>
      <c r="G2522" s="1047"/>
      <c r="H2522" s="905"/>
      <c r="I2522" s="876" t="str">
        <f t="shared" si="697"/>
        <v/>
      </c>
      <c r="J2522" s="877">
        <f t="shared" si="698"/>
        <v>0</v>
      </c>
      <c r="K2522" s="903" t="s">
        <v>501</v>
      </c>
      <c r="L2522" s="1013">
        <f>ROUND(SUM(ORÇAMENTO!L2522),2)</f>
        <v>0</v>
      </c>
      <c r="M2522" s="1013">
        <f t="shared" si="695"/>
        <v>0</v>
      </c>
      <c r="N2522" s="868">
        <f t="shared" si="696"/>
        <v>0</v>
      </c>
      <c r="O2522" s="880"/>
      <c r="Q2522" s="317" t="str">
        <f t="shared" si="692"/>
        <v/>
      </c>
      <c r="R2522" s="317" t="str">
        <f t="shared" si="693"/>
        <v/>
      </c>
      <c r="S2522" s="317" t="str">
        <f t="shared" si="694"/>
        <v/>
      </c>
      <c r="V2522" s="314">
        <f>SUM(ORÇAMENTO!N2522)</f>
        <v>0</v>
      </c>
      <c r="W2522" s="315">
        <f t="shared" si="699"/>
        <v>0</v>
      </c>
    </row>
    <row r="2523" spans="1:29" ht="13.5" hidden="1" thickBot="1">
      <c r="A2523" s="560" t="s">
        <v>165</v>
      </c>
      <c r="B2523" s="1048"/>
      <c r="C2523" s="1049"/>
      <c r="D2523" s="906"/>
      <c r="E2523" s="902"/>
      <c r="F2523" s="903"/>
      <c r="G2523" s="1050"/>
      <c r="H2523" s="905"/>
      <c r="I2523" s="876" t="str">
        <f t="shared" si="697"/>
        <v/>
      </c>
      <c r="J2523" s="877">
        <f t="shared" si="698"/>
        <v>0</v>
      </c>
      <c r="K2523" s="903"/>
      <c r="L2523" s="1013">
        <f>ROUND(SUM(ORÇAMENTO!L2523),2)</f>
        <v>0</v>
      </c>
      <c r="M2523" s="1013">
        <f t="shared" si="695"/>
        <v>0</v>
      </c>
      <c r="N2523" s="868">
        <f t="shared" si="696"/>
        <v>0</v>
      </c>
      <c r="O2523" s="880"/>
      <c r="Q2523" s="317" t="str">
        <f t="shared" si="692"/>
        <v/>
      </c>
      <c r="R2523" s="317" t="str">
        <f t="shared" si="693"/>
        <v/>
      </c>
      <c r="S2523" s="317" t="str">
        <f t="shared" si="694"/>
        <v/>
      </c>
      <c r="V2523" s="314">
        <f>SUM(ORÇAMENTO!N2523)</f>
        <v>0</v>
      </c>
      <c r="W2523" s="315">
        <f t="shared" si="699"/>
        <v>0</v>
      </c>
    </row>
    <row r="2524" spans="1:29" ht="13.5" hidden="1" thickBot="1">
      <c r="A2524" s="560" t="s">
        <v>165</v>
      </c>
      <c r="B2524" s="1048"/>
      <c r="C2524" s="1049"/>
      <c r="D2524" s="906"/>
      <c r="E2524" s="902"/>
      <c r="F2524" s="903"/>
      <c r="G2524" s="1050"/>
      <c r="H2524" s="905"/>
      <c r="I2524" s="876" t="str">
        <f t="shared" si="697"/>
        <v/>
      </c>
      <c r="J2524" s="877">
        <f t="shared" si="698"/>
        <v>0</v>
      </c>
      <c r="K2524" s="903"/>
      <c r="L2524" s="1013">
        <f>ROUND(SUM(ORÇAMENTO!L2524),2)</f>
        <v>0</v>
      </c>
      <c r="M2524" s="1013">
        <f t="shared" si="695"/>
        <v>0</v>
      </c>
      <c r="N2524" s="868">
        <f t="shared" si="696"/>
        <v>0</v>
      </c>
      <c r="O2524" s="880"/>
      <c r="Q2524" s="317" t="str">
        <f t="shared" si="692"/>
        <v/>
      </c>
      <c r="R2524" s="317" t="str">
        <f t="shared" si="693"/>
        <v/>
      </c>
      <c r="S2524" s="317" t="str">
        <f t="shared" si="694"/>
        <v/>
      </c>
      <c r="V2524" s="314">
        <f>SUM(ORÇAMENTO!N2524)</f>
        <v>0</v>
      </c>
      <c r="W2524" s="315">
        <f t="shared" si="699"/>
        <v>0</v>
      </c>
    </row>
    <row r="2525" spans="1:29" ht="13.5" hidden="1" thickBot="1">
      <c r="A2525" s="560" t="s">
        <v>165</v>
      </c>
      <c r="B2525" s="1048" t="s">
        <v>165</v>
      </c>
      <c r="C2525" s="1049" t="s">
        <v>165</v>
      </c>
      <c r="D2525" s="906"/>
      <c r="E2525" s="902"/>
      <c r="F2525" s="903"/>
      <c r="G2525" s="1050"/>
      <c r="H2525" s="905"/>
      <c r="I2525" s="876" t="str">
        <f t="shared" si="697"/>
        <v/>
      </c>
      <c r="J2525" s="877">
        <f t="shared" si="698"/>
        <v>0</v>
      </c>
      <c r="K2525" s="903" t="s">
        <v>506</v>
      </c>
      <c r="L2525" s="1013">
        <f>ROUND(SUM(ORÇAMENTO!L2525),2)</f>
        <v>0</v>
      </c>
      <c r="M2525" s="1013">
        <f t="shared" si="695"/>
        <v>0</v>
      </c>
      <c r="N2525" s="868">
        <f t="shared" si="696"/>
        <v>0</v>
      </c>
      <c r="O2525" s="880"/>
      <c r="Q2525" s="317" t="str">
        <f t="shared" si="692"/>
        <v/>
      </c>
      <c r="R2525" s="317" t="str">
        <f t="shared" si="693"/>
        <v/>
      </c>
      <c r="S2525" s="317" t="str">
        <f t="shared" si="694"/>
        <v/>
      </c>
      <c r="V2525" s="314">
        <f>SUM(ORÇAMENTO!N2525)</f>
        <v>0</v>
      </c>
      <c r="W2525" s="315">
        <f t="shared" si="699"/>
        <v>0</v>
      </c>
    </row>
    <row r="2526" spans="1:29" ht="13.5" hidden="1" thickBot="1">
      <c r="A2526" s="560" t="s">
        <v>165</v>
      </c>
      <c r="B2526" s="1048" t="s">
        <v>165</v>
      </c>
      <c r="C2526" s="1049" t="s">
        <v>165</v>
      </c>
      <c r="D2526" s="906"/>
      <c r="E2526" s="902"/>
      <c r="F2526" s="903"/>
      <c r="G2526" s="1050"/>
      <c r="H2526" s="905"/>
      <c r="I2526" s="876" t="str">
        <f t="shared" si="697"/>
        <v/>
      </c>
      <c r="J2526" s="877">
        <f t="shared" si="698"/>
        <v>0</v>
      </c>
      <c r="K2526" s="903" t="s">
        <v>506</v>
      </c>
      <c r="L2526" s="1013">
        <f>ROUND(SUM(ORÇAMENTO!L2526),2)</f>
        <v>0</v>
      </c>
      <c r="M2526" s="1013">
        <f t="shared" si="695"/>
        <v>0</v>
      </c>
      <c r="N2526" s="868">
        <f t="shared" si="696"/>
        <v>0</v>
      </c>
      <c r="O2526" s="880"/>
      <c r="Q2526" s="317" t="str">
        <f t="shared" si="692"/>
        <v/>
      </c>
      <c r="R2526" s="317" t="str">
        <f t="shared" si="693"/>
        <v/>
      </c>
      <c r="S2526" s="317" t="str">
        <f t="shared" si="694"/>
        <v/>
      </c>
      <c r="V2526" s="314">
        <f>SUM(ORÇAMENTO!N2526)</f>
        <v>0</v>
      </c>
      <c r="W2526" s="315">
        <f t="shared" si="699"/>
        <v>0</v>
      </c>
    </row>
    <row r="2527" spans="1:29" ht="13.5" hidden="1" thickBot="1">
      <c r="A2527" s="561" t="s">
        <v>152</v>
      </c>
      <c r="B2527" s="1048" t="s">
        <v>165</v>
      </c>
      <c r="C2527" s="1049" t="s">
        <v>165</v>
      </c>
      <c r="D2527" s="906"/>
      <c r="E2527" s="902"/>
      <c r="F2527" s="903"/>
      <c r="G2527" s="1050"/>
      <c r="H2527" s="905"/>
      <c r="I2527" s="876" t="str">
        <f t="shared" si="697"/>
        <v/>
      </c>
      <c r="J2527" s="877">
        <f t="shared" si="698"/>
        <v>0</v>
      </c>
      <c r="K2527" s="903" t="s">
        <v>506</v>
      </c>
      <c r="L2527" s="1013">
        <f>ROUND(SUM(ORÇAMENTO!L2527),2)</f>
        <v>0</v>
      </c>
      <c r="M2527" s="1013">
        <f t="shared" si="695"/>
        <v>0</v>
      </c>
      <c r="N2527" s="868">
        <f t="shared" si="696"/>
        <v>0</v>
      </c>
      <c r="O2527" s="880"/>
      <c r="Q2527" s="317" t="str">
        <f t="shared" si="692"/>
        <v/>
      </c>
      <c r="R2527" s="317" t="str">
        <f t="shared" si="693"/>
        <v/>
      </c>
      <c r="S2527" s="317" t="str">
        <f t="shared" si="694"/>
        <v/>
      </c>
      <c r="V2527" s="314">
        <f>SUM(ORÇAMENTO!N2527)</f>
        <v>0</v>
      </c>
      <c r="W2527" s="315">
        <f t="shared" si="699"/>
        <v>0</v>
      </c>
    </row>
    <row r="2528" spans="1:29" ht="13.5" hidden="1" thickBot="1">
      <c r="A2528" s="561" t="s">
        <v>152</v>
      </c>
      <c r="B2528" s="1048" t="s">
        <v>165</v>
      </c>
      <c r="C2528" s="1049" t="s">
        <v>165</v>
      </c>
      <c r="D2528" s="906"/>
      <c r="E2528" s="902"/>
      <c r="F2528" s="903"/>
      <c r="G2528" s="1050"/>
      <c r="H2528" s="905"/>
      <c r="I2528" s="876" t="str">
        <f t="shared" si="697"/>
        <v/>
      </c>
      <c r="J2528" s="877">
        <f t="shared" si="698"/>
        <v>0</v>
      </c>
      <c r="K2528" s="903" t="s">
        <v>506</v>
      </c>
      <c r="L2528" s="1013">
        <f>ROUND(SUM(ORÇAMENTO!L2528),2)</f>
        <v>0</v>
      </c>
      <c r="M2528" s="1013">
        <f t="shared" si="695"/>
        <v>0</v>
      </c>
      <c r="N2528" s="868">
        <f t="shared" si="696"/>
        <v>0</v>
      </c>
      <c r="O2528" s="880"/>
      <c r="Q2528" s="317" t="str">
        <f t="shared" si="692"/>
        <v/>
      </c>
      <c r="R2528" s="317" t="str">
        <f t="shared" si="693"/>
        <v/>
      </c>
      <c r="S2528" s="317" t="str">
        <f t="shared" si="694"/>
        <v/>
      </c>
      <c r="V2528" s="314">
        <f>SUM(ORÇAMENTO!N2528)</f>
        <v>0</v>
      </c>
      <c r="W2528" s="315">
        <f t="shared" si="699"/>
        <v>0</v>
      </c>
    </row>
    <row r="2529" spans="1:23" ht="13.5" hidden="1" thickBot="1">
      <c r="A2529" s="561" t="s">
        <v>152</v>
      </c>
      <c r="B2529" s="1048" t="s">
        <v>165</v>
      </c>
      <c r="C2529" s="1049" t="s">
        <v>165</v>
      </c>
      <c r="D2529" s="906"/>
      <c r="E2529" s="902"/>
      <c r="F2529" s="903"/>
      <c r="G2529" s="1050"/>
      <c r="H2529" s="905"/>
      <c r="I2529" s="876" t="str">
        <f t="shared" si="697"/>
        <v/>
      </c>
      <c r="J2529" s="877">
        <f t="shared" si="698"/>
        <v>0</v>
      </c>
      <c r="K2529" s="903" t="s">
        <v>506</v>
      </c>
      <c r="L2529" s="1013">
        <f>ROUND(SUM(ORÇAMENTO!L2529),2)</f>
        <v>0</v>
      </c>
      <c r="M2529" s="1013">
        <f t="shared" si="695"/>
        <v>0</v>
      </c>
      <c r="N2529" s="868">
        <f t="shared" si="696"/>
        <v>0</v>
      </c>
      <c r="O2529" s="880"/>
      <c r="Q2529" s="317" t="str">
        <f t="shared" si="692"/>
        <v/>
      </c>
      <c r="R2529" s="317" t="str">
        <f t="shared" si="693"/>
        <v/>
      </c>
      <c r="S2529" s="317" t="str">
        <f t="shared" si="694"/>
        <v/>
      </c>
      <c r="V2529" s="314">
        <f>SUM(ORÇAMENTO!N2529)</f>
        <v>0</v>
      </c>
      <c r="W2529" s="315">
        <f t="shared" si="699"/>
        <v>0</v>
      </c>
    </row>
    <row r="2530" spans="1:23" ht="13.5" hidden="1" thickBot="1">
      <c r="A2530" s="561" t="s">
        <v>152</v>
      </c>
      <c r="B2530" s="1048" t="s">
        <v>165</v>
      </c>
      <c r="C2530" s="1049" t="s">
        <v>165</v>
      </c>
      <c r="D2530" s="906"/>
      <c r="E2530" s="902"/>
      <c r="F2530" s="903"/>
      <c r="G2530" s="1050"/>
      <c r="H2530" s="905"/>
      <c r="I2530" s="876" t="str">
        <f t="shared" si="697"/>
        <v/>
      </c>
      <c r="J2530" s="877">
        <f t="shared" si="698"/>
        <v>0</v>
      </c>
      <c r="K2530" s="903" t="s">
        <v>506</v>
      </c>
      <c r="L2530" s="1013">
        <f>ROUND(SUM(ORÇAMENTO!L2530),2)</f>
        <v>0</v>
      </c>
      <c r="M2530" s="1013">
        <f t="shared" si="695"/>
        <v>0</v>
      </c>
      <c r="N2530" s="868">
        <f t="shared" si="696"/>
        <v>0</v>
      </c>
      <c r="O2530" s="880"/>
      <c r="Q2530" s="317" t="str">
        <f t="shared" si="692"/>
        <v/>
      </c>
      <c r="R2530" s="317" t="str">
        <f t="shared" si="693"/>
        <v/>
      </c>
      <c r="S2530" s="317" t="str">
        <f t="shared" si="694"/>
        <v/>
      </c>
      <c r="V2530" s="314">
        <f>SUM(ORÇAMENTO!N2530)</f>
        <v>0</v>
      </c>
      <c r="W2530" s="315">
        <f t="shared" si="699"/>
        <v>0</v>
      </c>
    </row>
    <row r="2531" spans="1:23" ht="13.5" hidden="1" thickBot="1">
      <c r="A2531" s="561" t="s">
        <v>152</v>
      </c>
      <c r="B2531" s="1048" t="s">
        <v>165</v>
      </c>
      <c r="C2531" s="1049" t="s">
        <v>165</v>
      </c>
      <c r="D2531" s="906"/>
      <c r="E2531" s="902"/>
      <c r="F2531" s="903"/>
      <c r="G2531" s="1050"/>
      <c r="H2531" s="905"/>
      <c r="I2531" s="876" t="str">
        <f t="shared" si="697"/>
        <v/>
      </c>
      <c r="J2531" s="877">
        <f t="shared" si="698"/>
        <v>0</v>
      </c>
      <c r="K2531" s="903" t="s">
        <v>506</v>
      </c>
      <c r="L2531" s="1013">
        <f>ROUND(SUM(ORÇAMENTO!L2531),2)</f>
        <v>0</v>
      </c>
      <c r="M2531" s="1013">
        <f t="shared" si="695"/>
        <v>0</v>
      </c>
      <c r="N2531" s="868">
        <f t="shared" si="696"/>
        <v>0</v>
      </c>
      <c r="O2531" s="880"/>
      <c r="Q2531" s="317" t="str">
        <f t="shared" si="692"/>
        <v/>
      </c>
      <c r="R2531" s="317" t="str">
        <f t="shared" si="693"/>
        <v/>
      </c>
      <c r="S2531" s="317" t="str">
        <f t="shared" si="694"/>
        <v/>
      </c>
      <c r="V2531" s="314">
        <f>SUM(ORÇAMENTO!N2531)</f>
        <v>0</v>
      </c>
      <c r="W2531" s="315">
        <f t="shared" si="699"/>
        <v>0</v>
      </c>
    </row>
    <row r="2532" spans="1:23" ht="13.5" hidden="1" thickBot="1">
      <c r="A2532" s="561" t="s">
        <v>152</v>
      </c>
      <c r="B2532" s="1048" t="s">
        <v>165</v>
      </c>
      <c r="C2532" s="1049" t="s">
        <v>165</v>
      </c>
      <c r="D2532" s="906"/>
      <c r="E2532" s="902"/>
      <c r="F2532" s="903"/>
      <c r="G2532" s="1050"/>
      <c r="H2532" s="905"/>
      <c r="I2532" s="876" t="str">
        <f t="shared" si="697"/>
        <v/>
      </c>
      <c r="J2532" s="877">
        <f t="shared" si="698"/>
        <v>0</v>
      </c>
      <c r="K2532" s="903" t="s">
        <v>506</v>
      </c>
      <c r="L2532" s="1013">
        <f>ROUND(SUM(ORÇAMENTO!L2532),2)</f>
        <v>0</v>
      </c>
      <c r="M2532" s="1013">
        <f t="shared" si="695"/>
        <v>0</v>
      </c>
      <c r="N2532" s="868">
        <f t="shared" si="696"/>
        <v>0</v>
      </c>
      <c r="O2532" s="880"/>
      <c r="Q2532" s="317" t="str">
        <f t="shared" si="692"/>
        <v/>
      </c>
      <c r="R2532" s="317" t="str">
        <f t="shared" si="693"/>
        <v/>
      </c>
      <c r="S2532" s="317" t="str">
        <f t="shared" si="694"/>
        <v/>
      </c>
      <c r="V2532" s="314">
        <f>SUM(ORÇAMENTO!N2532)</f>
        <v>0</v>
      </c>
      <c r="W2532" s="315">
        <f t="shared" si="699"/>
        <v>0</v>
      </c>
    </row>
    <row r="2533" spans="1:23" ht="13.5" hidden="1" thickBot="1">
      <c r="A2533" s="561" t="s">
        <v>152</v>
      </c>
      <c r="B2533" s="1048" t="s">
        <v>165</v>
      </c>
      <c r="C2533" s="1049" t="s">
        <v>165</v>
      </c>
      <c r="D2533" s="906"/>
      <c r="E2533" s="902"/>
      <c r="F2533" s="903"/>
      <c r="G2533" s="1050"/>
      <c r="H2533" s="905"/>
      <c r="I2533" s="876" t="str">
        <f t="shared" si="697"/>
        <v/>
      </c>
      <c r="J2533" s="877">
        <f t="shared" si="698"/>
        <v>0</v>
      </c>
      <c r="K2533" s="903" t="s">
        <v>506</v>
      </c>
      <c r="L2533" s="1013">
        <f>ROUND(SUM(ORÇAMENTO!L2533),2)</f>
        <v>0</v>
      </c>
      <c r="M2533" s="1013">
        <f t="shared" si="695"/>
        <v>0</v>
      </c>
      <c r="N2533" s="868">
        <f t="shared" si="696"/>
        <v>0</v>
      </c>
      <c r="O2533" s="880"/>
      <c r="Q2533" s="317" t="str">
        <f t="shared" si="692"/>
        <v/>
      </c>
      <c r="R2533" s="317" t="str">
        <f t="shared" si="693"/>
        <v/>
      </c>
      <c r="S2533" s="317" t="str">
        <f t="shared" si="694"/>
        <v/>
      </c>
      <c r="V2533" s="314">
        <f>SUM(ORÇAMENTO!N2533)</f>
        <v>0</v>
      </c>
      <c r="W2533" s="315">
        <f t="shared" si="699"/>
        <v>0</v>
      </c>
    </row>
    <row r="2534" spans="1:23" ht="13.5" hidden="1" thickBot="1">
      <c r="A2534" s="561" t="s">
        <v>152</v>
      </c>
      <c r="B2534" s="1048" t="s">
        <v>165</v>
      </c>
      <c r="C2534" s="1049" t="s">
        <v>165</v>
      </c>
      <c r="D2534" s="906"/>
      <c r="E2534" s="902"/>
      <c r="F2534" s="903"/>
      <c r="G2534" s="1050"/>
      <c r="H2534" s="905"/>
      <c r="I2534" s="876" t="str">
        <f t="shared" si="697"/>
        <v/>
      </c>
      <c r="J2534" s="877">
        <f t="shared" si="698"/>
        <v>0</v>
      </c>
      <c r="K2534" s="903" t="s">
        <v>506</v>
      </c>
      <c r="L2534" s="1013">
        <f>ROUND(SUM(ORÇAMENTO!L2534),2)</f>
        <v>0</v>
      </c>
      <c r="M2534" s="1013">
        <f t="shared" si="695"/>
        <v>0</v>
      </c>
      <c r="N2534" s="868">
        <f t="shared" si="696"/>
        <v>0</v>
      </c>
      <c r="O2534" s="880"/>
      <c r="Q2534" s="317" t="str">
        <f t="shared" si="692"/>
        <v/>
      </c>
      <c r="R2534" s="317" t="str">
        <f t="shared" si="693"/>
        <v/>
      </c>
      <c r="S2534" s="317" t="str">
        <f t="shared" si="694"/>
        <v/>
      </c>
      <c r="V2534" s="314">
        <f>SUM(ORÇAMENTO!N2534)</f>
        <v>0</v>
      </c>
      <c r="W2534" s="315">
        <f t="shared" si="699"/>
        <v>0</v>
      </c>
    </row>
    <row r="2535" spans="1:23" ht="13.5" hidden="1" thickBot="1">
      <c r="A2535" s="561" t="s">
        <v>152</v>
      </c>
      <c r="B2535" s="1048" t="s">
        <v>165</v>
      </c>
      <c r="C2535" s="1049" t="s">
        <v>165</v>
      </c>
      <c r="D2535" s="906"/>
      <c r="E2535" s="902"/>
      <c r="F2535" s="903"/>
      <c r="G2535" s="1050"/>
      <c r="H2535" s="905"/>
      <c r="I2535" s="876" t="str">
        <f t="shared" si="697"/>
        <v/>
      </c>
      <c r="J2535" s="877">
        <f t="shared" si="698"/>
        <v>0</v>
      </c>
      <c r="K2535" s="903" t="s">
        <v>506</v>
      </c>
      <c r="L2535" s="1013">
        <f>ROUND(SUM(ORÇAMENTO!L2535),2)</f>
        <v>0</v>
      </c>
      <c r="M2535" s="1013">
        <f t="shared" si="695"/>
        <v>0</v>
      </c>
      <c r="N2535" s="868">
        <f t="shared" si="696"/>
        <v>0</v>
      </c>
      <c r="O2535" s="880"/>
      <c r="Q2535" s="317" t="str">
        <f t="shared" si="692"/>
        <v/>
      </c>
      <c r="R2535" s="317" t="str">
        <f t="shared" si="693"/>
        <v/>
      </c>
      <c r="S2535" s="317" t="str">
        <f t="shared" si="694"/>
        <v/>
      </c>
      <c r="V2535" s="314">
        <f>SUM(ORÇAMENTO!N2535)</f>
        <v>0</v>
      </c>
      <c r="W2535" s="315">
        <f t="shared" si="699"/>
        <v>0</v>
      </c>
    </row>
    <row r="2536" spans="1:23" ht="13.5" hidden="1" thickBot="1">
      <c r="A2536" s="561" t="s">
        <v>152</v>
      </c>
      <c r="B2536" s="1048" t="s">
        <v>165</v>
      </c>
      <c r="C2536" s="1049" t="s">
        <v>165</v>
      </c>
      <c r="D2536" s="906"/>
      <c r="E2536" s="902"/>
      <c r="F2536" s="903"/>
      <c r="G2536" s="1050"/>
      <c r="H2536" s="905"/>
      <c r="I2536" s="876" t="str">
        <f t="shared" si="697"/>
        <v/>
      </c>
      <c r="J2536" s="877">
        <f t="shared" si="698"/>
        <v>0</v>
      </c>
      <c r="K2536" s="903" t="s">
        <v>506</v>
      </c>
      <c r="L2536" s="1013">
        <f>ROUND(SUM(ORÇAMENTO!L2536),2)</f>
        <v>0</v>
      </c>
      <c r="M2536" s="1013">
        <f t="shared" si="695"/>
        <v>0</v>
      </c>
      <c r="N2536" s="868">
        <f t="shared" si="696"/>
        <v>0</v>
      </c>
      <c r="O2536" s="880"/>
      <c r="Q2536" s="317" t="str">
        <f t="shared" si="692"/>
        <v/>
      </c>
      <c r="R2536" s="317" t="str">
        <f t="shared" si="693"/>
        <v/>
      </c>
      <c r="S2536" s="317" t="str">
        <f t="shared" si="694"/>
        <v/>
      </c>
      <c r="V2536" s="314">
        <f>SUM(ORÇAMENTO!N2536)</f>
        <v>0</v>
      </c>
      <c r="W2536" s="315">
        <f t="shared" si="699"/>
        <v>0</v>
      </c>
    </row>
    <row r="2537" spans="1:23" ht="13.5" hidden="1" thickBot="1">
      <c r="A2537" s="561" t="s">
        <v>152</v>
      </c>
      <c r="B2537" s="1048" t="s">
        <v>165</v>
      </c>
      <c r="C2537" s="1049" t="s">
        <v>165</v>
      </c>
      <c r="D2537" s="906"/>
      <c r="E2537" s="902"/>
      <c r="F2537" s="903"/>
      <c r="G2537" s="1050"/>
      <c r="H2537" s="905"/>
      <c r="I2537" s="876" t="str">
        <f t="shared" si="697"/>
        <v/>
      </c>
      <c r="J2537" s="877">
        <f t="shared" si="698"/>
        <v>0</v>
      </c>
      <c r="K2537" s="903" t="s">
        <v>506</v>
      </c>
      <c r="L2537" s="1013">
        <f>ROUND(SUM(ORÇAMENTO!L2537),2)</f>
        <v>0</v>
      </c>
      <c r="M2537" s="1013">
        <f t="shared" si="695"/>
        <v>0</v>
      </c>
      <c r="N2537" s="868">
        <f t="shared" si="696"/>
        <v>0</v>
      </c>
      <c r="O2537" s="880"/>
      <c r="Q2537" s="317" t="str">
        <f t="shared" si="692"/>
        <v/>
      </c>
      <c r="R2537" s="317" t="str">
        <f t="shared" si="693"/>
        <v/>
      </c>
      <c r="S2537" s="317" t="str">
        <f t="shared" si="694"/>
        <v/>
      </c>
      <c r="V2537" s="314">
        <f>SUM(ORÇAMENTO!N2537)</f>
        <v>0</v>
      </c>
      <c r="W2537" s="315">
        <f t="shared" si="699"/>
        <v>0</v>
      </c>
    </row>
    <row r="2538" spans="1:23" ht="13.5" hidden="1" thickBot="1">
      <c r="A2538" s="560" t="s">
        <v>165</v>
      </c>
      <c r="B2538" s="1048" t="s">
        <v>165</v>
      </c>
      <c r="C2538" s="1049" t="s">
        <v>165</v>
      </c>
      <c r="D2538" s="906"/>
      <c r="E2538" s="902"/>
      <c r="F2538" s="903"/>
      <c r="G2538" s="1050"/>
      <c r="H2538" s="905"/>
      <c r="I2538" s="876" t="str">
        <f t="shared" si="697"/>
        <v/>
      </c>
      <c r="J2538" s="877">
        <f t="shared" si="698"/>
        <v>0</v>
      </c>
      <c r="K2538" s="903" t="s">
        <v>506</v>
      </c>
      <c r="L2538" s="1013">
        <f>ROUND(SUM(ORÇAMENTO!L2538),2)</f>
        <v>0</v>
      </c>
      <c r="M2538" s="1013">
        <f t="shared" si="695"/>
        <v>0</v>
      </c>
      <c r="N2538" s="868">
        <f t="shared" si="696"/>
        <v>0</v>
      </c>
      <c r="O2538" s="880"/>
      <c r="Q2538" s="317" t="str">
        <f t="shared" si="692"/>
        <v/>
      </c>
      <c r="R2538" s="317" t="str">
        <f t="shared" si="693"/>
        <v/>
      </c>
      <c r="S2538" s="317" t="str">
        <f t="shared" si="694"/>
        <v/>
      </c>
      <c r="V2538" s="314">
        <f>SUM(ORÇAMENTO!N2538)</f>
        <v>0</v>
      </c>
      <c r="W2538" s="315">
        <f t="shared" si="699"/>
        <v>0</v>
      </c>
    </row>
    <row r="2539" spans="1:23" ht="13.5" hidden="1" thickBot="1">
      <c r="A2539" s="560" t="s">
        <v>165</v>
      </c>
      <c r="B2539" s="1048" t="s">
        <v>165</v>
      </c>
      <c r="C2539" s="1049" t="s">
        <v>165</v>
      </c>
      <c r="D2539" s="906"/>
      <c r="E2539" s="902"/>
      <c r="F2539" s="903"/>
      <c r="G2539" s="1050"/>
      <c r="H2539" s="905"/>
      <c r="I2539" s="876" t="str">
        <f t="shared" si="697"/>
        <v/>
      </c>
      <c r="J2539" s="877">
        <f t="shared" si="698"/>
        <v>0</v>
      </c>
      <c r="K2539" s="903" t="s">
        <v>506</v>
      </c>
      <c r="L2539" s="1013">
        <f>ROUND(SUM(ORÇAMENTO!L2539),2)</f>
        <v>0</v>
      </c>
      <c r="M2539" s="1013">
        <f t="shared" si="695"/>
        <v>0</v>
      </c>
      <c r="N2539" s="868">
        <f t="shared" si="696"/>
        <v>0</v>
      </c>
      <c r="O2539" s="880"/>
      <c r="Q2539" s="317" t="str">
        <f t="shared" si="692"/>
        <v/>
      </c>
      <c r="R2539" s="317" t="str">
        <f t="shared" si="693"/>
        <v/>
      </c>
      <c r="S2539" s="317" t="str">
        <f t="shared" si="694"/>
        <v/>
      </c>
      <c r="V2539" s="314">
        <f>SUM(ORÇAMENTO!N2539)</f>
        <v>0</v>
      </c>
      <c r="W2539" s="315">
        <f t="shared" si="699"/>
        <v>0</v>
      </c>
    </row>
    <row r="2540" spans="1:23" ht="13.5" hidden="1" thickBot="1">
      <c r="A2540" s="560" t="s">
        <v>165</v>
      </c>
      <c r="B2540" s="1048" t="s">
        <v>165</v>
      </c>
      <c r="C2540" s="1049" t="s">
        <v>165</v>
      </c>
      <c r="D2540" s="906"/>
      <c r="E2540" s="902"/>
      <c r="F2540" s="903"/>
      <c r="G2540" s="1050"/>
      <c r="H2540" s="905"/>
      <c r="I2540" s="876" t="str">
        <f t="shared" si="697"/>
        <v/>
      </c>
      <c r="J2540" s="877">
        <f t="shared" si="698"/>
        <v>0</v>
      </c>
      <c r="K2540" s="903" t="s">
        <v>506</v>
      </c>
      <c r="L2540" s="1013">
        <f>ROUND(SUM(ORÇAMENTO!L2540),2)</f>
        <v>0</v>
      </c>
      <c r="M2540" s="1013">
        <f t="shared" si="695"/>
        <v>0</v>
      </c>
      <c r="N2540" s="868">
        <f t="shared" si="696"/>
        <v>0</v>
      </c>
      <c r="O2540" s="880"/>
      <c r="Q2540" s="317" t="str">
        <f t="shared" si="692"/>
        <v/>
      </c>
      <c r="R2540" s="317" t="str">
        <f t="shared" si="693"/>
        <v/>
      </c>
      <c r="S2540" s="317" t="str">
        <f t="shared" si="694"/>
        <v/>
      </c>
      <c r="V2540" s="314">
        <f>SUM(ORÇAMENTO!N2540)</f>
        <v>0</v>
      </c>
      <c r="W2540" s="315">
        <f t="shared" si="699"/>
        <v>0</v>
      </c>
    </row>
    <row r="2541" spans="1:23" ht="13.5" hidden="1" thickBot="1">
      <c r="A2541" s="560" t="s">
        <v>165</v>
      </c>
      <c r="B2541" s="1048" t="s">
        <v>165</v>
      </c>
      <c r="C2541" s="1049" t="s">
        <v>165</v>
      </c>
      <c r="D2541" s="906"/>
      <c r="E2541" s="902"/>
      <c r="F2541" s="903"/>
      <c r="G2541" s="1050"/>
      <c r="H2541" s="905"/>
      <c r="I2541" s="876" t="str">
        <f t="shared" si="697"/>
        <v/>
      </c>
      <c r="J2541" s="877">
        <f t="shared" si="698"/>
        <v>0</v>
      </c>
      <c r="K2541" s="903" t="s">
        <v>506</v>
      </c>
      <c r="L2541" s="1013">
        <f>ROUND(SUM(ORÇAMENTO!L2541),2)</f>
        <v>0</v>
      </c>
      <c r="M2541" s="1013">
        <f t="shared" si="695"/>
        <v>0</v>
      </c>
      <c r="N2541" s="868">
        <f t="shared" si="696"/>
        <v>0</v>
      </c>
      <c r="O2541" s="880"/>
      <c r="Q2541" s="317" t="str">
        <f t="shared" si="692"/>
        <v/>
      </c>
      <c r="R2541" s="317" t="str">
        <f t="shared" si="693"/>
        <v/>
      </c>
      <c r="S2541" s="317" t="str">
        <f t="shared" si="694"/>
        <v/>
      </c>
      <c r="V2541" s="314">
        <f>SUM(ORÇAMENTO!N2541)</f>
        <v>0</v>
      </c>
      <c r="W2541" s="315">
        <f t="shared" si="699"/>
        <v>0</v>
      </c>
    </row>
    <row r="2542" spans="1:23" ht="13.5" hidden="1" thickBot="1">
      <c r="A2542" s="560" t="s">
        <v>165</v>
      </c>
      <c r="B2542" s="1048" t="s">
        <v>165</v>
      </c>
      <c r="C2542" s="1049" t="s">
        <v>165</v>
      </c>
      <c r="D2542" s="906"/>
      <c r="E2542" s="902"/>
      <c r="F2542" s="903"/>
      <c r="G2542" s="1050"/>
      <c r="H2542" s="905"/>
      <c r="I2542" s="876" t="str">
        <f t="shared" si="697"/>
        <v/>
      </c>
      <c r="J2542" s="877">
        <f t="shared" si="698"/>
        <v>0</v>
      </c>
      <c r="K2542" s="903" t="s">
        <v>506</v>
      </c>
      <c r="L2542" s="1013">
        <f>ROUND(SUM(ORÇAMENTO!L2542),2)</f>
        <v>0</v>
      </c>
      <c r="M2542" s="1013">
        <f t="shared" si="695"/>
        <v>0</v>
      </c>
      <c r="N2542" s="868">
        <f t="shared" si="696"/>
        <v>0</v>
      </c>
      <c r="O2542" s="880"/>
      <c r="Q2542" s="317" t="str">
        <f t="shared" si="692"/>
        <v/>
      </c>
      <c r="R2542" s="317" t="str">
        <f t="shared" si="693"/>
        <v/>
      </c>
      <c r="S2542" s="317" t="str">
        <f t="shared" si="694"/>
        <v/>
      </c>
      <c r="V2542" s="314">
        <f>SUM(ORÇAMENTO!N2542)</f>
        <v>0</v>
      </c>
      <c r="W2542" s="315">
        <f t="shared" si="699"/>
        <v>0</v>
      </c>
    </row>
    <row r="2543" spans="1:23" ht="13.5" hidden="1" thickBot="1">
      <c r="A2543" s="560" t="s">
        <v>165</v>
      </c>
      <c r="B2543" s="1048" t="s">
        <v>165</v>
      </c>
      <c r="C2543" s="1049" t="s">
        <v>165</v>
      </c>
      <c r="D2543" s="906"/>
      <c r="E2543" s="902"/>
      <c r="F2543" s="903"/>
      <c r="G2543" s="1050"/>
      <c r="H2543" s="905"/>
      <c r="I2543" s="876" t="str">
        <f t="shared" si="697"/>
        <v/>
      </c>
      <c r="J2543" s="877">
        <f t="shared" si="698"/>
        <v>0</v>
      </c>
      <c r="K2543" s="903" t="s">
        <v>506</v>
      </c>
      <c r="L2543" s="1013">
        <f>ROUND(SUM(ORÇAMENTO!L2543),2)</f>
        <v>0</v>
      </c>
      <c r="M2543" s="1013">
        <f t="shared" si="695"/>
        <v>0</v>
      </c>
      <c r="N2543" s="868">
        <f t="shared" si="696"/>
        <v>0</v>
      </c>
      <c r="O2543" s="880"/>
      <c r="Q2543" s="317" t="str">
        <f t="shared" si="692"/>
        <v/>
      </c>
      <c r="R2543" s="317" t="str">
        <f t="shared" si="693"/>
        <v/>
      </c>
      <c r="S2543" s="317" t="str">
        <f t="shared" si="694"/>
        <v/>
      </c>
      <c r="V2543" s="314">
        <f>SUM(ORÇAMENTO!N2543)</f>
        <v>0</v>
      </c>
      <c r="W2543" s="315">
        <f t="shared" si="699"/>
        <v>0</v>
      </c>
    </row>
    <row r="2544" spans="1:23" ht="13.5" hidden="1" thickBot="1">
      <c r="A2544" s="560" t="s">
        <v>165</v>
      </c>
      <c r="B2544" s="1048" t="s">
        <v>165</v>
      </c>
      <c r="C2544" s="1049" t="s">
        <v>165</v>
      </c>
      <c r="D2544" s="906"/>
      <c r="E2544" s="902"/>
      <c r="F2544" s="903"/>
      <c r="G2544" s="1050"/>
      <c r="H2544" s="905"/>
      <c r="I2544" s="876" t="str">
        <f t="shared" si="697"/>
        <v/>
      </c>
      <c r="J2544" s="877">
        <f t="shared" si="698"/>
        <v>0</v>
      </c>
      <c r="K2544" s="903" t="s">
        <v>506</v>
      </c>
      <c r="L2544" s="1013">
        <f>ROUND(SUM(ORÇAMENTO!L2544),2)</f>
        <v>0</v>
      </c>
      <c r="M2544" s="1013">
        <f t="shared" si="695"/>
        <v>0</v>
      </c>
      <c r="N2544" s="868">
        <f t="shared" si="696"/>
        <v>0</v>
      </c>
      <c r="O2544" s="880"/>
      <c r="Q2544" s="317" t="str">
        <f t="shared" ref="Q2544:Q2547" si="700">IF(P2544="X","x",IF(P2544="xx","x",IF(P2544="xy","x",IF(P2544="y","x",IF(OR(N2544&gt;0,N2544&gt;0),"x","")))))</f>
        <v/>
      </c>
      <c r="R2544" s="317" t="str">
        <f t="shared" ref="R2544:R2547" si="701">IF(P2544="X","x",IF(P2544="y","x",IF(P2544="xx","x",IF(N2544&gt;0,"x",""))))</f>
        <v/>
      </c>
      <c r="S2544" s="317" t="str">
        <f t="shared" ref="S2544:S2547" si="702">IF(P2544="X","x",IF(N2544&gt;0,"x",""))</f>
        <v/>
      </c>
      <c r="V2544" s="314">
        <f>SUM(ORÇAMENTO!N2544)</f>
        <v>0</v>
      </c>
      <c r="W2544" s="315">
        <f t="shared" si="699"/>
        <v>0</v>
      </c>
    </row>
    <row r="2545" spans="1:23" ht="13.5" hidden="1" thickBot="1">
      <c r="A2545" s="560" t="s">
        <v>165</v>
      </c>
      <c r="B2545" s="1048" t="s">
        <v>165</v>
      </c>
      <c r="C2545" s="1049" t="s">
        <v>165</v>
      </c>
      <c r="D2545" s="906"/>
      <c r="E2545" s="902"/>
      <c r="F2545" s="903"/>
      <c r="G2545" s="1050"/>
      <c r="H2545" s="905"/>
      <c r="I2545" s="876" t="str">
        <f t="shared" si="697"/>
        <v/>
      </c>
      <c r="J2545" s="877">
        <f t="shared" si="698"/>
        <v>0</v>
      </c>
      <c r="K2545" s="903" t="s">
        <v>506</v>
      </c>
      <c r="L2545" s="1013">
        <f>ROUND(SUM(ORÇAMENTO!L2545),2)</f>
        <v>0</v>
      </c>
      <c r="M2545" s="1013">
        <f t="shared" si="695"/>
        <v>0</v>
      </c>
      <c r="N2545" s="868">
        <f t="shared" si="696"/>
        <v>0</v>
      </c>
      <c r="O2545" s="880"/>
      <c r="Q2545" s="317" t="str">
        <f t="shared" si="700"/>
        <v/>
      </c>
      <c r="R2545" s="317" t="str">
        <f t="shared" si="701"/>
        <v/>
      </c>
      <c r="S2545" s="317" t="str">
        <f t="shared" si="702"/>
        <v/>
      </c>
      <c r="V2545" s="314">
        <f>SUM(ORÇAMENTO!N2545)</f>
        <v>0</v>
      </c>
      <c r="W2545" s="315">
        <f t="shared" si="699"/>
        <v>0</v>
      </c>
    </row>
    <row r="2546" spans="1:23" ht="13.5" hidden="1" thickBot="1">
      <c r="A2546" s="560" t="s">
        <v>165</v>
      </c>
      <c r="B2546" s="1299" t="s">
        <v>165</v>
      </c>
      <c r="C2546" s="1300" t="s">
        <v>165</v>
      </c>
      <c r="D2546" s="1276"/>
      <c r="E2546" s="910"/>
      <c r="F2546" s="911"/>
      <c r="G2546" s="1301"/>
      <c r="H2546" s="913"/>
      <c r="I2546" s="914" t="str">
        <f t="shared" si="697"/>
        <v/>
      </c>
      <c r="J2546" s="943">
        <f t="shared" si="698"/>
        <v>0</v>
      </c>
      <c r="K2546" s="911" t="s">
        <v>506</v>
      </c>
      <c r="L2546" s="1295">
        <f>ROUND(SUM(ORÇAMENTO!L2546),2)</f>
        <v>0</v>
      </c>
      <c r="M2546" s="1295">
        <f t="shared" si="695"/>
        <v>0</v>
      </c>
      <c r="N2546" s="916">
        <f t="shared" si="696"/>
        <v>0</v>
      </c>
      <c r="O2546" s="880"/>
      <c r="Q2546" s="317" t="str">
        <f t="shared" si="700"/>
        <v/>
      </c>
      <c r="R2546" s="317" t="str">
        <f t="shared" si="701"/>
        <v/>
      </c>
      <c r="S2546" s="317" t="str">
        <f t="shared" si="702"/>
        <v/>
      </c>
      <c r="V2546" s="314">
        <f>SUM(ORÇAMENTO!N2546)</f>
        <v>0</v>
      </c>
      <c r="W2546" s="315">
        <f t="shared" si="699"/>
        <v>0</v>
      </c>
    </row>
    <row r="2547" spans="1:23" ht="9.75" customHeight="1" thickBot="1">
      <c r="A2547" s="560" t="s">
        <v>165</v>
      </c>
      <c r="B2547" s="1051" t="s">
        <v>152</v>
      </c>
      <c r="C2547" s="1052"/>
      <c r="D2547" s="1053"/>
      <c r="E2547" s="1054"/>
      <c r="F2547" s="1055"/>
      <c r="G2547" s="1056"/>
      <c r="H2547" s="1056"/>
      <c r="I2547" s="1056"/>
      <c r="J2547" s="1057"/>
      <c r="K2547" s="1054"/>
      <c r="L2547" s="1058"/>
      <c r="M2547" s="1058"/>
      <c r="N2547" s="1059"/>
      <c r="O2547" s="1060"/>
      <c r="P2547" s="60" t="s">
        <v>152</v>
      </c>
      <c r="Q2547" s="317" t="str">
        <f t="shared" si="700"/>
        <v>x</v>
      </c>
      <c r="R2547" s="317" t="str">
        <f t="shared" si="701"/>
        <v>x</v>
      </c>
      <c r="S2547" s="317" t="str">
        <f t="shared" si="702"/>
        <v>x</v>
      </c>
    </row>
    <row r="2548" spans="1:23" ht="21" customHeight="1" thickBot="1">
      <c r="A2548" s="560" t="s">
        <v>165</v>
      </c>
      <c r="B2548" s="1061" t="str">
        <f ca="1">CONCATENATE(N16," ",DAY(O16),"/",MONTH(O16),"/",YEAR(O16))</f>
        <v>Data Base da aprovação do Orçamento (Decreto 10.086/22 do Paraná, que regulamenta a Lei 14.133/21):  9/4/2024</v>
      </c>
      <c r="C2548" s="1062"/>
      <c r="D2548" s="1063"/>
      <c r="E2548" s="1064"/>
      <c r="F2548" s="1065"/>
      <c r="G2548" s="1066"/>
      <c r="H2548" s="1066"/>
      <c r="I2548" s="1066"/>
      <c r="J2548" s="1066"/>
      <c r="K2548" s="1064"/>
      <c r="L2548" s="855"/>
      <c r="M2548" s="855"/>
      <c r="N2548" s="1067" t="s">
        <v>2126</v>
      </c>
      <c r="O2548" s="857">
        <f>SUBTOTAL(9,O19:O2546)</f>
        <v>16924557.140000001</v>
      </c>
      <c r="P2548" s="60" t="s">
        <v>152</v>
      </c>
      <c r="Q2548" s="317" t="s">
        <v>152</v>
      </c>
      <c r="R2548" s="317" t="s">
        <v>152</v>
      </c>
      <c r="S2548" s="317" t="s">
        <v>152</v>
      </c>
    </row>
    <row r="2549" spans="1:23" ht="15" customHeight="1" thickBot="1">
      <c r="A2549" s="560" t="s">
        <v>165</v>
      </c>
      <c r="B2549" s="1398" t="s">
        <v>152</v>
      </c>
      <c r="C2549" s="1062"/>
      <c r="D2549" s="1399"/>
      <c r="E2549" s="1054"/>
      <c r="F2549" s="1055"/>
      <c r="G2549" s="1056"/>
      <c r="H2549" s="1056"/>
      <c r="I2549" s="1056"/>
      <c r="J2549" s="1057"/>
      <c r="K2549" s="1054"/>
      <c r="L2549" s="1058"/>
      <c r="M2549" s="1058"/>
      <c r="N2549" s="1059"/>
      <c r="O2549" s="1060"/>
      <c r="P2549" s="60" t="s">
        <v>152</v>
      </c>
      <c r="Q2549" s="635" t="s">
        <v>152</v>
      </c>
      <c r="R2549" s="635" t="s">
        <v>152</v>
      </c>
      <c r="S2549" s="635" t="s">
        <v>152</v>
      </c>
    </row>
    <row r="2550" spans="1:23" ht="15" hidden="1" customHeight="1" thickBot="1">
      <c r="A2550" s="560"/>
      <c r="B2550" s="1302"/>
      <c r="C2550" s="1303"/>
      <c r="D2550" s="1304"/>
      <c r="E2550" s="1305"/>
      <c r="F2550" s="1306"/>
      <c r="G2550" s="1307"/>
      <c r="H2550" s="1307"/>
      <c r="I2550" s="1307"/>
      <c r="J2550" s="1308"/>
      <c r="K2550" s="1305"/>
      <c r="L2550" s="1309"/>
      <c r="M2550" s="1309"/>
      <c r="N2550" s="1310">
        <f>SUBTOTAL(9,N19:N2546)</f>
        <v>16924557.139999997</v>
      </c>
      <c r="O2550" s="1311"/>
      <c r="P2550" s="60"/>
      <c r="Q2550" s="635"/>
      <c r="R2550" s="635"/>
      <c r="S2550" s="635"/>
    </row>
    <row r="2551" spans="1:23" ht="18" customHeight="1" thickBot="1">
      <c r="A2551" s="560" t="s">
        <v>165</v>
      </c>
      <c r="B2551" s="564" t="s">
        <v>152</v>
      </c>
      <c r="C2551" s="71"/>
      <c r="D2551" s="75" t="s">
        <v>477</v>
      </c>
      <c r="E2551" s="62"/>
      <c r="F2551" s="70"/>
      <c r="G2551" s="320"/>
      <c r="H2551" s="320"/>
      <c r="I2551" s="320" t="str">
        <f t="shared" ref="I2551:I2556" si="703">IF(ISBLANK(H2551),"",SUM(G2551:H2551))</f>
        <v/>
      </c>
      <c r="J2551" s="320"/>
      <c r="K2551" s="62"/>
      <c r="L2551" s="528"/>
      <c r="M2551" s="529"/>
      <c r="N2551" s="530">
        <f>SUM(N19:N643)</f>
        <v>14929218.699999999</v>
      </c>
      <c r="O2551" s="530">
        <f>SUM(O19:O643)</f>
        <v>14929218.700000001</v>
      </c>
      <c r="P2551" s="60"/>
      <c r="Q2551" s="635" t="s">
        <v>152</v>
      </c>
      <c r="R2551" s="635" t="s">
        <v>152</v>
      </c>
      <c r="S2551" s="635" t="s">
        <v>152</v>
      </c>
    </row>
    <row r="2552" spans="1:23" ht="18" customHeight="1" thickBot="1">
      <c r="A2552" s="560" t="s">
        <v>165</v>
      </c>
      <c r="B2552" s="564" t="s">
        <v>152</v>
      </c>
      <c r="C2552" s="71"/>
      <c r="D2552" s="75" t="s">
        <v>481</v>
      </c>
      <c r="E2552" s="62"/>
      <c r="F2552" s="70"/>
      <c r="G2552" s="320"/>
      <c r="H2552" s="320"/>
      <c r="I2552" s="320" t="str">
        <f t="shared" si="703"/>
        <v/>
      </c>
      <c r="J2552" s="320"/>
      <c r="K2552" s="62"/>
      <c r="L2552" s="528"/>
      <c r="M2552" s="529"/>
      <c r="N2552" s="530">
        <f>SUM(N644:N912)</f>
        <v>733766.36</v>
      </c>
      <c r="O2552" s="530">
        <f>SUM(O644:O912)</f>
        <v>733766.36</v>
      </c>
      <c r="P2552" s="60" t="s">
        <v>152</v>
      </c>
      <c r="Q2552" s="317" t="s">
        <v>152</v>
      </c>
      <c r="R2552" s="317" t="s">
        <v>152</v>
      </c>
      <c r="S2552" s="317" t="s">
        <v>152</v>
      </c>
    </row>
    <row r="2553" spans="1:23" ht="18" customHeight="1" thickBot="1">
      <c r="A2553" s="560" t="s">
        <v>165</v>
      </c>
      <c r="B2553" s="564" t="s">
        <v>152</v>
      </c>
      <c r="C2553" s="71"/>
      <c r="D2553" s="75" t="s">
        <v>478</v>
      </c>
      <c r="E2553" s="62"/>
      <c r="F2553" s="70"/>
      <c r="G2553" s="320"/>
      <c r="H2553" s="320"/>
      <c r="I2553" s="320" t="str">
        <f t="shared" si="703"/>
        <v/>
      </c>
      <c r="J2553" s="320"/>
      <c r="K2553" s="62"/>
      <c r="L2553" s="528"/>
      <c r="M2553" s="529"/>
      <c r="N2553" s="530">
        <f>SUM(N913:N1624)</f>
        <v>0</v>
      </c>
      <c r="O2553" s="530">
        <f>SUM(O913:O1624)</f>
        <v>0</v>
      </c>
      <c r="P2553" s="60" t="s">
        <v>152</v>
      </c>
      <c r="Q2553" s="317" t="s">
        <v>152</v>
      </c>
      <c r="R2553" s="317" t="s">
        <v>152</v>
      </c>
      <c r="S2553" s="317" t="s">
        <v>152</v>
      </c>
    </row>
    <row r="2554" spans="1:23" ht="18" customHeight="1" thickBot="1">
      <c r="A2554" s="560" t="s">
        <v>165</v>
      </c>
      <c r="B2554" s="564" t="s">
        <v>152</v>
      </c>
      <c r="C2554" s="71"/>
      <c r="D2554" s="75" t="s">
        <v>479</v>
      </c>
      <c r="E2554" s="62"/>
      <c r="F2554" s="70"/>
      <c r="G2554" s="320"/>
      <c r="H2554" s="320"/>
      <c r="I2554" s="320" t="str">
        <f t="shared" si="703"/>
        <v/>
      </c>
      <c r="J2554" s="320"/>
      <c r="K2554" s="62"/>
      <c r="L2554" s="528"/>
      <c r="M2554" s="529"/>
      <c r="N2554" s="530">
        <f>SUM(N1625:N1719)</f>
        <v>32567.4</v>
      </c>
      <c r="O2554" s="530">
        <f>SUM(O1625:O1719)</f>
        <v>32567.4</v>
      </c>
      <c r="P2554" s="60" t="s">
        <v>152</v>
      </c>
      <c r="Q2554" s="317" t="s">
        <v>152</v>
      </c>
      <c r="R2554" s="317" t="s">
        <v>152</v>
      </c>
      <c r="S2554" s="317" t="s">
        <v>152</v>
      </c>
    </row>
    <row r="2555" spans="1:23" ht="18" customHeight="1" thickBot="1">
      <c r="A2555" s="560" t="s">
        <v>165</v>
      </c>
      <c r="B2555" s="564" t="s">
        <v>152</v>
      </c>
      <c r="C2555" s="71"/>
      <c r="D2555" s="75" t="s">
        <v>480</v>
      </c>
      <c r="E2555" s="62"/>
      <c r="F2555" s="70"/>
      <c r="G2555" s="320"/>
      <c r="H2555" s="320"/>
      <c r="I2555" s="320" t="str">
        <f t="shared" si="703"/>
        <v/>
      </c>
      <c r="J2555" s="320"/>
      <c r="K2555" s="62"/>
      <c r="L2555" s="528"/>
      <c r="M2555" s="529"/>
      <c r="N2555" s="530">
        <f>SUM(N1720:N2498)</f>
        <v>1093168.6499999999</v>
      </c>
      <c r="O2555" s="530">
        <f>SUM(O1720:O2498)</f>
        <v>1093168.6499999999</v>
      </c>
      <c r="P2555" s="60" t="s">
        <v>152</v>
      </c>
      <c r="Q2555" s="317" t="s">
        <v>152</v>
      </c>
      <c r="R2555" s="317" t="s">
        <v>152</v>
      </c>
      <c r="S2555" s="317" t="s">
        <v>152</v>
      </c>
    </row>
    <row r="2556" spans="1:23" ht="18" customHeight="1" thickBot="1">
      <c r="A2556" s="560" t="s">
        <v>165</v>
      </c>
      <c r="B2556" s="564" t="s">
        <v>152</v>
      </c>
      <c r="C2556" s="71"/>
      <c r="D2556" s="75" t="s">
        <v>503</v>
      </c>
      <c r="E2556" s="62"/>
      <c r="F2556" s="70"/>
      <c r="G2556" s="320"/>
      <c r="H2556" s="320"/>
      <c r="I2556" s="320" t="str">
        <f t="shared" si="703"/>
        <v/>
      </c>
      <c r="J2556" s="320"/>
      <c r="K2556" s="62"/>
      <c r="L2556" s="528"/>
      <c r="M2556" s="529"/>
      <c r="N2556" s="530">
        <f>SUM(N2499:N2546)</f>
        <v>135836.03</v>
      </c>
      <c r="O2556" s="530">
        <f>SUM(O2499:O2546)</f>
        <v>135836.03</v>
      </c>
      <c r="P2556" s="60" t="s">
        <v>152</v>
      </c>
      <c r="Q2556" s="317" t="s">
        <v>152</v>
      </c>
      <c r="R2556" s="317" t="s">
        <v>152</v>
      </c>
      <c r="S2556" s="317" t="s">
        <v>152</v>
      </c>
    </row>
    <row r="2557" spans="1:23" ht="18" customHeight="1" thickBot="1">
      <c r="A2557" s="560" t="s">
        <v>165</v>
      </c>
      <c r="B2557" s="1400" t="s">
        <v>152</v>
      </c>
      <c r="E2557" s="64"/>
      <c r="G2557" s="321"/>
      <c r="H2557" s="321"/>
      <c r="I2557" s="321"/>
      <c r="J2557" s="321"/>
      <c r="L2557" s="1506" t="s">
        <v>2035</v>
      </c>
      <c r="M2557" s="1507"/>
      <c r="N2557" s="66">
        <v>85100</v>
      </c>
      <c r="O2557" s="68">
        <f>IF(N2557=0,0,O2548/N2557)</f>
        <v>198.87846227967097</v>
      </c>
      <c r="P2557" s="60" t="s">
        <v>152</v>
      </c>
      <c r="Q2557" s="317" t="s">
        <v>152</v>
      </c>
      <c r="R2557" s="317" t="s">
        <v>152</v>
      </c>
      <c r="S2557" s="317" t="s">
        <v>152</v>
      </c>
    </row>
    <row r="2558" spans="1:23">
      <c r="A2558" s="560" t="s">
        <v>165</v>
      </c>
      <c r="B2558" s="1400" t="s">
        <v>152</v>
      </c>
      <c r="G2558" s="321"/>
      <c r="H2558" s="321"/>
      <c r="K2558" s="1401"/>
      <c r="L2558" s="1401"/>
      <c r="M2558" s="1401"/>
      <c r="N2558" s="1401"/>
      <c r="O2558" s="1402"/>
      <c r="P2558" s="318" t="s">
        <v>152</v>
      </c>
      <c r="Q2558" s="317" t="s">
        <v>152</v>
      </c>
      <c r="R2558" s="317" t="s">
        <v>152</v>
      </c>
      <c r="S2558" s="317" t="s">
        <v>152</v>
      </c>
    </row>
    <row r="2559" spans="1:23" ht="13.5" thickBot="1">
      <c r="A2559" s="560" t="s">
        <v>165</v>
      </c>
      <c r="B2559" s="1400" t="s">
        <v>152</v>
      </c>
      <c r="G2559" s="321"/>
      <c r="H2559" s="321"/>
      <c r="K2559" s="1401"/>
      <c r="L2559" s="1403">
        <f>SUM(L20:L2546)</f>
        <v>335885.43000000005</v>
      </c>
      <c r="M2559" s="1401"/>
      <c r="N2559" s="1401"/>
      <c r="O2559" s="1402"/>
      <c r="P2559" s="318" t="s">
        <v>152</v>
      </c>
      <c r="Q2559" s="317" t="s">
        <v>152</v>
      </c>
      <c r="R2559" s="317" t="s">
        <v>152</v>
      </c>
      <c r="S2559" s="317" t="s">
        <v>152</v>
      </c>
    </row>
    <row r="2560" spans="1:23" ht="18" customHeight="1" thickBot="1">
      <c r="A2560" s="560" t="s">
        <v>165</v>
      </c>
      <c r="B2560" s="1404" t="s">
        <v>152</v>
      </c>
      <c r="C2560" s="1405"/>
      <c r="D2560" s="1406"/>
      <c r="E2560" s="1406"/>
      <c r="F2560" s="1406"/>
      <c r="G2560" s="1406"/>
      <c r="H2560" s="1406"/>
      <c r="I2560" s="1406"/>
      <c r="J2560" s="1406"/>
      <c r="K2560" s="1407"/>
      <c r="L2560" s="1506"/>
      <c r="M2560" s="1508"/>
      <c r="N2560" s="61">
        <f>SUM(N19:N2546)</f>
        <v>16924557.139999997</v>
      </c>
      <c r="O2560" s="61">
        <f>SUM(O19:O2546)</f>
        <v>16924557.140000001</v>
      </c>
      <c r="P2560" s="318" t="s">
        <v>152</v>
      </c>
      <c r="Q2560" s="317" t="s">
        <v>152</v>
      </c>
      <c r="R2560" s="317" t="s">
        <v>152</v>
      </c>
      <c r="S2560" s="317" t="s">
        <v>152</v>
      </c>
    </row>
    <row r="2561" spans="1:10" hidden="1">
      <c r="A2561" s="560" t="s">
        <v>165</v>
      </c>
    </row>
    <row r="2563" spans="1:10">
      <c r="H2563" s="81"/>
      <c r="I2563" s="249"/>
      <c r="J2563" s="249"/>
    </row>
    <row r="2566" spans="1:10">
      <c r="D2566" s="258"/>
      <c r="J2566" s="65"/>
    </row>
    <row r="2567" spans="1:10">
      <c r="D2567" s="258" t="s">
        <v>165</v>
      </c>
      <c r="J2567" s="65"/>
    </row>
    <row r="2568" spans="1:10">
      <c r="D2568" s="258"/>
      <c r="J2568" s="65"/>
    </row>
    <row r="2569" spans="1:10">
      <c r="J2569" s="65"/>
    </row>
    <row r="2570" spans="1:10">
      <c r="J2570" s="65"/>
    </row>
    <row r="2571" spans="1:10">
      <c r="J2571" s="65"/>
    </row>
    <row r="2572" spans="1:10">
      <c r="J2572" s="65"/>
    </row>
    <row r="2573" spans="1:10">
      <c r="J2573" s="65"/>
    </row>
    <row r="2574" spans="1:10">
      <c r="D2574" s="80" t="s">
        <v>165</v>
      </c>
      <c r="J2574" s="65"/>
    </row>
    <row r="2575" spans="1:10" ht="9" customHeight="1"/>
    <row r="2576" spans="1:10">
      <c r="D2576" s="80"/>
    </row>
    <row r="2578" spans="6:6">
      <c r="F2578" s="37" t="s">
        <v>1701</v>
      </c>
    </row>
  </sheetData>
  <sheetProtection formatColumns="0" formatRows="0" autoFilter="0"/>
  <autoFilter ref="A18:Y2561" xr:uid="{00000000-0009-0000-0000-000006000000}">
    <filterColumn colId="17">
      <customFilters>
        <customFilter operator="notEqual" val=" "/>
      </customFilters>
    </filterColumn>
  </autoFilter>
  <sortState xmlns:xlrd2="http://schemas.microsoft.com/office/spreadsheetml/2017/richdata2" ref="B1600:S1628">
    <sortCondition ref="D1600:D1628"/>
  </sortState>
  <mergeCells count="4">
    <mergeCell ref="L2557:M2557"/>
    <mergeCell ref="L2560:M2560"/>
    <mergeCell ref="S1:V9"/>
    <mergeCell ref="U17:U18"/>
  </mergeCells>
  <phoneticPr fontId="0" type="noConversion"/>
  <printOptions horizontalCentered="1"/>
  <pageMargins left="1.1811023622047245" right="0.78740157480314965" top="1.1811023622047245" bottom="1.1811023622047245" header="0.31496062992125984" footer="0.51181102362204722"/>
  <pageSetup paperSize="9" scale="37" fitToHeight="99" orientation="portrait" r:id="rId1"/>
  <headerFooter alignWithMargins="0"/>
  <ignoredErrors>
    <ignoredError sqref="E9:E10 N20:N116 L20 N492:N706 N789:N820 N2501 E70:E91 E232 E234 E236 E258:E261 E266 E271 E276:E279 E282 E285 E288 E291 E294 E297 E300 E303 E306 E308:E312 E318 E324 E330 E355:E359 E793:E806 E855:E857 E1632:E1633 E1635:E1636 E1640:E1641 E1683 E1769:E1775 E1777:E1778 E789:E790 E1935 E2104 E126 E124 E148 E128:E142 E145 E151 E154 E157 E160 E163:E164 E168 E172 E176 E180 E24:E29 E184:E188 E122 E238:E256 E505:E508 E543:E551 E561:E562 E592:E593 E645:E656 E658:E661 E667:E669 E689:E693 E686:E687 F13:F14 N118:N270 N825:N880 E595:E597 N420:N437 N468:N485 N396:N407 N272:N383 N708:N776 N914:N2469 N882:N913 E2107 E200:E230 E190:E197 N2475:N2499 E93:E120" unlockedFormula="1"/>
    <ignoredError sqref="O14 B19:B25 A117:B117 A69 A19 A228:B228 A589:B589 A644:B644 A853:B853 A913:B913 B1625 B1720 B2499 B30:B33 B37:B69" numberStoredAsText="1"/>
    <ignoredError sqref="I78:I88 I135:I137 F774:G775 F773 F769 F763 F751 F745 F739 F733" formulaRange="1"/>
    <ignoredError sqref="I89 I232 I234 I236 I696 I698 I700 G773" formula="1" formulaRange="1"/>
    <ignoredError sqref="I188 G194:G197 F256:G256 G257:G274 I233 I235 I697 I699 I701 G767 G761 G755 G749 G2299:G2323 G1740:G1755 E127 G2109:G2183" formula="1"/>
    <ignoredError sqref="F257:F274" numberStoredAsText="1" formula="1"/>
    <ignoredError sqref="E1637 E657" formula="1" unlocked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5">
    <tabColor theme="3" tint="0.79998168889431442"/>
  </sheetPr>
  <dimension ref="A1:G43"/>
  <sheetViews>
    <sheetView workbookViewId="0">
      <selection activeCell="O2492" sqref="O2492"/>
    </sheetView>
  </sheetViews>
  <sheetFormatPr defaultColWidth="9.33203125" defaultRowHeight="12.75"/>
  <cols>
    <col min="1" max="1" width="44.5" style="108" customWidth="1"/>
    <col min="2" max="2" width="31.6640625" style="108" customWidth="1"/>
    <col min="3" max="3" width="36" style="108" customWidth="1"/>
    <col min="4" max="4" width="5.1640625" style="108" customWidth="1"/>
    <col min="5" max="5" width="34.5" style="108" customWidth="1"/>
    <col min="6" max="6" width="9.6640625" style="108" customWidth="1"/>
    <col min="7" max="7" width="35.1640625" style="108" customWidth="1"/>
    <col min="8" max="16384" width="9.33203125" style="108"/>
  </cols>
  <sheetData>
    <row r="1" spans="1:7" ht="27" thickBot="1">
      <c r="A1" s="586" t="s">
        <v>570</v>
      </c>
      <c r="B1" s="587"/>
      <c r="C1" s="587"/>
      <c r="D1" s="587"/>
      <c r="E1" s="588"/>
      <c r="G1" s="108" t="s">
        <v>2136</v>
      </c>
    </row>
    <row r="2" spans="1:7" ht="21" thickBot="1">
      <c r="A2" s="589"/>
      <c r="B2" s="590" t="s">
        <v>571</v>
      </c>
      <c r="C2" s="591"/>
      <c r="D2" s="592"/>
      <c r="E2" s="593"/>
      <c r="G2" s="617"/>
    </row>
    <row r="3" spans="1:7" ht="27" thickBot="1">
      <c r="A3" s="594" t="s">
        <v>572</v>
      </c>
      <c r="B3" s="595"/>
      <c r="C3" s="595"/>
      <c r="D3" s="595"/>
      <c r="E3" s="596"/>
      <c r="G3" s="617"/>
    </row>
    <row r="4" spans="1:7" ht="18.75" thickBot="1">
      <c r="A4" s="597" t="s">
        <v>573</v>
      </c>
      <c r="B4" s="598"/>
      <c r="C4" s="598"/>
      <c r="D4" s="598"/>
      <c r="E4" s="599"/>
      <c r="G4" s="617"/>
    </row>
    <row r="5" spans="1:7" ht="21.95" customHeight="1">
      <c r="A5" s="697" t="s">
        <v>574</v>
      </c>
      <c r="B5" s="698"/>
      <c r="C5" s="600"/>
      <c r="D5" s="1511" t="s">
        <v>575</v>
      </c>
      <c r="E5" s="1514">
        <v>0.6</v>
      </c>
      <c r="G5" s="617"/>
    </row>
    <row r="6" spans="1:7" ht="21.95" customHeight="1" thickBot="1">
      <c r="A6" s="693" t="s">
        <v>576</v>
      </c>
      <c r="B6" s="699"/>
      <c r="C6" s="601" t="s">
        <v>577</v>
      </c>
      <c r="D6" s="1512"/>
      <c r="E6" s="1515"/>
      <c r="G6" s="617"/>
    </row>
    <row r="7" spans="1:7" ht="21.95" customHeight="1">
      <c r="A7" s="602" t="s">
        <v>578</v>
      </c>
      <c r="B7" s="1517" t="str">
        <f>IF(B5=0,"",ROUND(B6/B5,4))</f>
        <v/>
      </c>
      <c r="C7" s="603" t="s">
        <v>579</v>
      </c>
      <c r="D7" s="1512"/>
      <c r="E7" s="1515"/>
      <c r="G7" s="617"/>
    </row>
    <row r="8" spans="1:7" ht="21.95" customHeight="1" thickBot="1">
      <c r="A8" s="604" t="s">
        <v>579</v>
      </c>
      <c r="B8" s="1518"/>
      <c r="C8" s="605"/>
      <c r="D8" s="1513"/>
      <c r="E8" s="1516"/>
      <c r="G8" s="617"/>
    </row>
    <row r="9" spans="1:7" s="501" customFormat="1" ht="31.5" customHeight="1" thickBot="1">
      <c r="A9" s="693" t="s">
        <v>580</v>
      </c>
      <c r="B9" s="694" t="str">
        <f>IF(B5=0,"",IF(B7&gt;=E5,"APROVADO","INVIÁVELl"))</f>
        <v/>
      </c>
      <c r="C9" s="695"/>
      <c r="D9" s="695"/>
      <c r="E9" s="696"/>
      <c r="G9" s="690"/>
    </row>
    <row r="10" spans="1:7">
      <c r="A10" s="606"/>
      <c r="B10" s="600"/>
      <c r="C10" s="600"/>
      <c r="D10" s="600"/>
      <c r="E10" s="607"/>
      <c r="G10" s="617"/>
    </row>
    <row r="11" spans="1:7" ht="18.75" thickBot="1">
      <c r="A11" s="608" t="s">
        <v>581</v>
      </c>
      <c r="B11" s="598"/>
      <c r="C11" s="598"/>
      <c r="D11" s="598"/>
      <c r="E11" s="599"/>
      <c r="G11" s="617"/>
    </row>
    <row r="12" spans="1:7" ht="26.1" customHeight="1" thickBot="1">
      <c r="A12" s="689" t="s">
        <v>582</v>
      </c>
      <c r="B12" s="1519">
        <f>Grandes_Itens!F17</f>
        <v>16924557.140000001</v>
      </c>
      <c r="C12" s="1520"/>
      <c r="D12" s="1520"/>
      <c r="E12" s="1521"/>
      <c r="G12" s="617"/>
    </row>
    <row r="13" spans="1:7" ht="21.95" customHeight="1">
      <c r="A13" s="609"/>
      <c r="B13" s="1522" t="str">
        <f>IF(B5=0,"",IF(B12=0,"",ROUND(B12/B5,4)))</f>
        <v/>
      </c>
      <c r="C13" s="600"/>
      <c r="D13" s="1511" t="s">
        <v>583</v>
      </c>
      <c r="E13" s="1524">
        <v>16075.91</v>
      </c>
      <c r="G13" s="617"/>
    </row>
    <row r="14" spans="1:7" ht="21.95" customHeight="1">
      <c r="A14" s="610" t="s">
        <v>584</v>
      </c>
      <c r="B14" s="1523"/>
      <c r="C14" s="611" t="s">
        <v>577</v>
      </c>
      <c r="D14" s="1512"/>
      <c r="E14" s="1525"/>
      <c r="G14" s="617"/>
    </row>
    <row r="15" spans="1:7" ht="21.95" customHeight="1">
      <c r="A15" s="612" t="s">
        <v>579</v>
      </c>
      <c r="B15" s="1527" t="s">
        <v>2156</v>
      </c>
      <c r="C15" s="613" t="s">
        <v>579</v>
      </c>
      <c r="D15" s="1512"/>
      <c r="E15" s="1525"/>
      <c r="G15" s="617"/>
    </row>
    <row r="16" spans="1:7" ht="10.5" customHeight="1" thickBot="1">
      <c r="A16" s="604"/>
      <c r="B16" s="1528"/>
      <c r="C16" s="605"/>
      <c r="D16" s="1513"/>
      <c r="E16" s="1526"/>
      <c r="G16" s="617"/>
    </row>
    <row r="17" spans="1:7" s="501" customFormat="1" ht="30" customHeight="1" thickBot="1">
      <c r="A17" s="692" t="s">
        <v>580</v>
      </c>
      <c r="B17" s="686" t="str">
        <f>IF(B13=0,"",IF(B12=0,"",IF(B13&lt;=E13,"APROVADO","INVIÁVEL")))</f>
        <v>INVIÁVEL</v>
      </c>
      <c r="C17" s="687"/>
      <c r="D17" s="687"/>
      <c r="E17" s="688"/>
      <c r="G17" s="690"/>
    </row>
    <row r="22" spans="1:7">
      <c r="E22" s="592"/>
    </row>
    <row r="23" spans="1:7">
      <c r="B23" s="615"/>
      <c r="E23" s="592"/>
    </row>
    <row r="24" spans="1:7">
      <c r="B24" s="615"/>
      <c r="E24" s="592"/>
      <c r="F24" s="319"/>
    </row>
    <row r="25" spans="1:7">
      <c r="B25" s="615"/>
      <c r="E25" s="592"/>
      <c r="F25" s="319"/>
    </row>
    <row r="26" spans="1:7">
      <c r="B26" s="615"/>
      <c r="E26" s="592"/>
      <c r="F26" s="319"/>
    </row>
    <row r="28" spans="1:7">
      <c r="B28" s="615"/>
    </row>
    <row r="29" spans="1:7">
      <c r="B29" s="615"/>
    </row>
    <row r="31" spans="1:7">
      <c r="B31" s="615"/>
    </row>
    <row r="32" spans="1:7">
      <c r="B32" s="615"/>
    </row>
    <row r="43" spans="2:2">
      <c r="B43" s="616" t="s">
        <v>2036</v>
      </c>
    </row>
  </sheetData>
  <sheetProtection algorithmName="SHA-512" hashValue="f1R0BX4ZgXyhu7YKHdxhilSkw76dJaKxow48tnPgi+qEyv5gOZ1/n1nOh+2gHGmhjNDktpraeNY+k6e2h5pCfQ==" saltValue="ArS44RUns8sEZJIIdI3OLA==" spinCount="100000" sheet="1" objects="1" scenarios="1" formatColumns="0" formatRows="0"/>
  <mergeCells count="8">
    <mergeCell ref="D5:D8"/>
    <mergeCell ref="E5:E8"/>
    <mergeCell ref="B7:B8"/>
    <mergeCell ref="B12:E12"/>
    <mergeCell ref="B13:B14"/>
    <mergeCell ref="D13:D16"/>
    <mergeCell ref="E13:E16"/>
    <mergeCell ref="B15:B16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 tint="0.249977111117893"/>
  </sheetPr>
  <dimension ref="A1:M218"/>
  <sheetViews>
    <sheetView showGridLines="0" workbookViewId="0">
      <selection activeCell="O2492" sqref="O2492"/>
    </sheetView>
  </sheetViews>
  <sheetFormatPr defaultColWidth="9.1640625" defaultRowHeight="11.25"/>
  <cols>
    <col min="1" max="1" width="39.5" style="254" customWidth="1"/>
    <col min="2" max="2" width="31" style="254" bestFit="1" customWidth="1"/>
    <col min="3" max="3" width="15.6640625" style="254" customWidth="1"/>
    <col min="4" max="4" width="1.83203125" style="254" customWidth="1"/>
    <col min="5" max="5" width="39.5" style="254" bestFit="1" customWidth="1"/>
    <col min="6" max="6" width="22.83203125" style="254" customWidth="1"/>
    <col min="7" max="7" width="4.83203125" style="254" customWidth="1"/>
    <col min="8" max="8" width="39.5" style="254" customWidth="1"/>
    <col min="9" max="9" width="31" style="254" bestFit="1" customWidth="1"/>
    <col min="10" max="10" width="15.6640625" style="254" customWidth="1"/>
    <col min="11" max="11" width="1.83203125" style="254" customWidth="1"/>
    <col min="12" max="12" width="39.5" style="254" bestFit="1" customWidth="1"/>
    <col min="13" max="13" width="22.83203125" style="254" customWidth="1"/>
    <col min="14" max="16384" width="9.1640625" style="254"/>
  </cols>
  <sheetData>
    <row r="1" spans="1:13" ht="30">
      <c r="A1" s="700" t="s">
        <v>712</v>
      </c>
      <c r="F1" s="701" t="s">
        <v>753</v>
      </c>
      <c r="G1" s="702"/>
      <c r="H1" s="702"/>
      <c r="I1" s="702"/>
    </row>
    <row r="3" spans="1:13" ht="12" thickBot="1"/>
    <row r="4" spans="1:13" ht="18" customHeight="1">
      <c r="A4" s="703" t="s">
        <v>713</v>
      </c>
      <c r="B4" s="704" t="s">
        <v>2146</v>
      </c>
      <c r="C4" s="704"/>
      <c r="D4" s="704"/>
      <c r="E4" s="704"/>
      <c r="F4" s="705"/>
      <c r="H4" s="703" t="s">
        <v>713</v>
      </c>
      <c r="I4" s="704" t="s">
        <v>2146</v>
      </c>
      <c r="J4" s="704"/>
      <c r="K4" s="704"/>
      <c r="L4" s="704"/>
      <c r="M4" s="705"/>
    </row>
    <row r="5" spans="1:13" ht="18" customHeight="1">
      <c r="A5" s="706" t="s">
        <v>714</v>
      </c>
      <c r="B5" s="707" t="s">
        <v>2147</v>
      </c>
      <c r="C5" s="707"/>
      <c r="D5" s="707"/>
      <c r="E5" s="707"/>
      <c r="F5" s="708"/>
      <c r="H5" s="706" t="s">
        <v>714</v>
      </c>
      <c r="I5" s="707" t="s">
        <v>2147</v>
      </c>
      <c r="J5" s="707"/>
      <c r="K5" s="707"/>
      <c r="L5" s="707"/>
      <c r="M5" s="708"/>
    </row>
    <row r="6" spans="1:13" ht="18" customHeight="1" thickBot="1">
      <c r="A6" s="709" t="s">
        <v>715</v>
      </c>
      <c r="B6" s="710" t="s">
        <v>2148</v>
      </c>
      <c r="C6" s="710"/>
      <c r="D6" s="710"/>
      <c r="E6" s="710"/>
      <c r="F6" s="711"/>
      <c r="H6" s="709" t="s">
        <v>715</v>
      </c>
      <c r="I6" s="710" t="s">
        <v>2148</v>
      </c>
      <c r="J6" s="710"/>
      <c r="K6" s="710"/>
      <c r="L6" s="710"/>
      <c r="M6" s="711"/>
    </row>
    <row r="7" spans="1:13" ht="12" thickBot="1"/>
    <row r="8" spans="1:13" ht="20.25">
      <c r="A8" s="712" t="s">
        <v>752</v>
      </c>
      <c r="B8" s="713" t="s">
        <v>729</v>
      </c>
      <c r="C8" s="714" t="s">
        <v>2251</v>
      </c>
      <c r="D8" s="715"/>
      <c r="E8" s="715"/>
      <c r="F8" s="716"/>
      <c r="H8" s="712" t="s">
        <v>2157</v>
      </c>
      <c r="I8" s="713" t="s">
        <v>729</v>
      </c>
      <c r="J8" s="714" t="s">
        <v>2252</v>
      </c>
      <c r="K8" s="715"/>
      <c r="L8" s="715"/>
      <c r="M8" s="716"/>
    </row>
    <row r="9" spans="1:13" ht="16.5" thickBot="1">
      <c r="A9" s="717"/>
      <c r="B9" s="718" t="s">
        <v>718</v>
      </c>
      <c r="C9" s="719" t="s">
        <v>2143</v>
      </c>
      <c r="D9" s="720"/>
      <c r="E9" s="720"/>
      <c r="F9" s="721"/>
      <c r="H9" s="717"/>
      <c r="I9" s="718" t="s">
        <v>718</v>
      </c>
      <c r="J9" s="719" t="s">
        <v>2143</v>
      </c>
      <c r="K9" s="720"/>
      <c r="L9" s="720"/>
      <c r="M9" s="721"/>
    </row>
    <row r="10" spans="1:13" ht="12" thickBot="1">
      <c r="A10" s="722"/>
      <c r="H10" s="722"/>
    </row>
    <row r="11" spans="1:13" ht="20.45" customHeight="1">
      <c r="A11" s="723" t="s">
        <v>728</v>
      </c>
      <c r="B11" s="724"/>
      <c r="C11" s="725"/>
      <c r="D11" s="726"/>
      <c r="E11" s="727" t="s">
        <v>734</v>
      </c>
      <c r="F11" s="728"/>
      <c r="H11" s="723" t="s">
        <v>728</v>
      </c>
      <c r="I11" s="724"/>
      <c r="J11" s="725"/>
      <c r="K11" s="726"/>
      <c r="L11" s="727" t="s">
        <v>734</v>
      </c>
      <c r="M11" s="728"/>
    </row>
    <row r="12" spans="1:13" ht="15.75">
      <c r="A12" s="729" t="s">
        <v>730</v>
      </c>
      <c r="B12" s="730"/>
      <c r="C12" s="681">
        <v>2.4</v>
      </c>
      <c r="E12" s="731"/>
      <c r="F12" s="732"/>
      <c r="H12" s="729" t="s">
        <v>730</v>
      </c>
      <c r="I12" s="730"/>
      <c r="J12" s="681">
        <v>2.4</v>
      </c>
      <c r="L12" s="731"/>
      <c r="M12" s="732"/>
    </row>
    <row r="13" spans="1:13" ht="20.25">
      <c r="A13" s="733" t="s">
        <v>731</v>
      </c>
      <c r="B13" s="734"/>
      <c r="C13" s="735">
        <v>5.1999999999999998E-2</v>
      </c>
      <c r="E13" s="736" t="s">
        <v>751</v>
      </c>
      <c r="F13" s="737"/>
      <c r="H13" s="733" t="s">
        <v>731</v>
      </c>
      <c r="I13" s="734"/>
      <c r="J13" s="735">
        <v>5.0999999999999997E-2</v>
      </c>
      <c r="L13" s="736" t="s">
        <v>751</v>
      </c>
      <c r="M13" s="737"/>
    </row>
    <row r="14" spans="1:13" ht="15.75">
      <c r="A14" s="738" t="s">
        <v>716</v>
      </c>
      <c r="B14" s="739"/>
      <c r="C14" s="740"/>
      <c r="E14" s="741" t="s">
        <v>717</v>
      </c>
      <c r="F14" s="742" t="s">
        <v>733</v>
      </c>
      <c r="H14" s="738" t="s">
        <v>716</v>
      </c>
      <c r="I14" s="739"/>
      <c r="J14" s="740"/>
      <c r="L14" s="741" t="s">
        <v>717</v>
      </c>
      <c r="M14" s="742" t="s">
        <v>733</v>
      </c>
    </row>
    <row r="15" spans="1:13" ht="15">
      <c r="A15" s="743" t="s">
        <v>717</v>
      </c>
      <c r="B15" s="744" t="s">
        <v>732</v>
      </c>
      <c r="C15" s="745"/>
      <c r="E15" s="746"/>
      <c r="F15" s="747" t="s">
        <v>736</v>
      </c>
      <c r="H15" s="743" t="s">
        <v>717</v>
      </c>
      <c r="I15" s="744" t="s">
        <v>732</v>
      </c>
      <c r="J15" s="745"/>
      <c r="L15" s="746"/>
      <c r="M15" s="747" t="s">
        <v>736</v>
      </c>
    </row>
    <row r="16" spans="1:13" ht="15.75">
      <c r="A16" s="748" t="s">
        <v>719</v>
      </c>
      <c r="B16" s="749" t="s">
        <v>722</v>
      </c>
      <c r="C16" s="750"/>
      <c r="E16" s="751"/>
      <c r="F16" s="752"/>
      <c r="H16" s="748" t="s">
        <v>719</v>
      </c>
      <c r="I16" s="749" t="s">
        <v>722</v>
      </c>
      <c r="J16" s="750"/>
      <c r="L16" s="751"/>
      <c r="M16" s="752"/>
    </row>
    <row r="17" spans="1:13" ht="15.75">
      <c r="A17" s="753"/>
      <c r="B17" s="754" t="s">
        <v>723</v>
      </c>
      <c r="C17" s="755">
        <v>0.8841</v>
      </c>
      <c r="E17" s="756" t="s">
        <v>233</v>
      </c>
      <c r="F17" s="757">
        <f>SUM(C16:C18)</f>
        <v>0.8841</v>
      </c>
      <c r="H17" s="753"/>
      <c r="I17" s="754" t="s">
        <v>723</v>
      </c>
      <c r="J17" s="755">
        <v>0.8841</v>
      </c>
      <c r="L17" s="756" t="s">
        <v>233</v>
      </c>
      <c r="M17" s="757">
        <f>SUM(J16:J18)</f>
        <v>0.8841</v>
      </c>
    </row>
    <row r="18" spans="1:13" ht="15.75">
      <c r="A18" s="758" t="s">
        <v>721</v>
      </c>
      <c r="B18" s="759" t="s">
        <v>724</v>
      </c>
      <c r="C18" s="760"/>
      <c r="E18" s="761"/>
      <c r="F18" s="762"/>
      <c r="H18" s="758" t="s">
        <v>721</v>
      </c>
      <c r="I18" s="759" t="s">
        <v>724</v>
      </c>
      <c r="J18" s="760"/>
      <c r="L18" s="761"/>
      <c r="M18" s="762"/>
    </row>
    <row r="19" spans="1:13" ht="15.75">
      <c r="A19" s="763" t="s">
        <v>229</v>
      </c>
      <c r="B19" s="764" t="s">
        <v>229</v>
      </c>
      <c r="C19" s="765">
        <v>0.1007</v>
      </c>
      <c r="E19" s="766" t="s">
        <v>229</v>
      </c>
      <c r="F19" s="767">
        <f>C19</f>
        <v>0.1007</v>
      </c>
      <c r="H19" s="763" t="s">
        <v>229</v>
      </c>
      <c r="I19" s="764" t="s">
        <v>229</v>
      </c>
      <c r="J19" s="765">
        <v>0.1007</v>
      </c>
      <c r="L19" s="766" t="s">
        <v>229</v>
      </c>
      <c r="M19" s="767">
        <f>J19</f>
        <v>0.1007</v>
      </c>
    </row>
    <row r="20" spans="1:13" ht="15.75">
      <c r="A20" s="763" t="s">
        <v>725</v>
      </c>
      <c r="B20" s="764" t="s">
        <v>230</v>
      </c>
      <c r="C20" s="765">
        <v>1.52E-2</v>
      </c>
      <c r="E20" s="768" t="s">
        <v>230</v>
      </c>
      <c r="F20" s="767">
        <f>C20</f>
        <v>1.52E-2</v>
      </c>
      <c r="H20" s="763" t="s">
        <v>725</v>
      </c>
      <c r="I20" s="764" t="s">
        <v>230</v>
      </c>
      <c r="J20" s="765">
        <v>1.52E-2</v>
      </c>
      <c r="L20" s="768" t="s">
        <v>230</v>
      </c>
      <c r="M20" s="767">
        <f>J20</f>
        <v>1.52E-2</v>
      </c>
    </row>
    <row r="21" spans="1:13" ht="15.75">
      <c r="A21" s="769"/>
      <c r="B21" s="766" t="s">
        <v>726</v>
      </c>
      <c r="C21" s="770">
        <f>SUM(C16:C20)</f>
        <v>1</v>
      </c>
      <c r="E21" s="766" t="s">
        <v>726</v>
      </c>
      <c r="F21" s="771">
        <f>SUM(F17:F20)</f>
        <v>1</v>
      </c>
      <c r="H21" s="769"/>
      <c r="I21" s="766" t="s">
        <v>726</v>
      </c>
      <c r="J21" s="770">
        <f>SUM(J16:J20)</f>
        <v>1</v>
      </c>
      <c r="L21" s="766" t="s">
        <v>726</v>
      </c>
      <c r="M21" s="771">
        <f>SUM(M17:M20)</f>
        <v>1</v>
      </c>
    </row>
    <row r="22" spans="1:13" ht="16.5" thickBot="1">
      <c r="A22" s="772"/>
      <c r="B22" s="773" t="s">
        <v>727</v>
      </c>
      <c r="C22" s="774" t="str">
        <f>IF(C21=0,"",IF(C21=100%,"OK","erro"))</f>
        <v>OK</v>
      </c>
      <c r="D22" s="775"/>
      <c r="E22" s="773" t="s">
        <v>727</v>
      </c>
      <c r="F22" s="774" t="str">
        <f>IF(F21=0,"",IF(F21=100%,"OK","erro"))</f>
        <v>OK</v>
      </c>
      <c r="H22" s="772"/>
      <c r="I22" s="773" t="s">
        <v>727</v>
      </c>
      <c r="J22" s="774" t="str">
        <f>IF(J21=0,"",IF(J21=100%,"OK","erro"))</f>
        <v>OK</v>
      </c>
      <c r="K22" s="775"/>
      <c r="L22" s="773" t="s">
        <v>727</v>
      </c>
      <c r="M22" s="774" t="str">
        <f>IF(M21=0,"",IF(M21=100%,"OK","erro"))</f>
        <v>OK</v>
      </c>
    </row>
    <row r="23" spans="1:13" ht="12" thickBot="1"/>
    <row r="24" spans="1:13" ht="20.25">
      <c r="A24" s="776"/>
      <c r="B24" s="777"/>
      <c r="C24" s="778"/>
      <c r="E24" s="723" t="s">
        <v>737</v>
      </c>
      <c r="F24" s="728"/>
      <c r="H24" s="776"/>
      <c r="I24" s="777"/>
      <c r="J24" s="778"/>
      <c r="L24" s="723" t="s">
        <v>737</v>
      </c>
      <c r="M24" s="728"/>
    </row>
    <row r="25" spans="1:13">
      <c r="A25" s="731"/>
      <c r="C25" s="779"/>
      <c r="E25" s="780"/>
      <c r="F25" s="732"/>
      <c r="H25" s="731"/>
      <c r="J25" s="779"/>
      <c r="L25" s="780"/>
      <c r="M25" s="732"/>
    </row>
    <row r="26" spans="1:13" ht="20.25">
      <c r="A26" s="781" t="s">
        <v>2142</v>
      </c>
      <c r="C26" s="779"/>
      <c r="E26" s="782" t="s">
        <v>750</v>
      </c>
      <c r="F26" s="737"/>
      <c r="H26" s="781" t="s">
        <v>2142</v>
      </c>
      <c r="J26" s="779"/>
      <c r="L26" s="782" t="s">
        <v>750</v>
      </c>
      <c r="M26" s="737"/>
    </row>
    <row r="27" spans="1:13" ht="15.75">
      <c r="A27" s="781"/>
      <c r="C27" s="779"/>
      <c r="E27" s="783" t="s">
        <v>717</v>
      </c>
      <c r="F27" s="784" t="s">
        <v>733</v>
      </c>
      <c r="H27" s="781"/>
      <c r="J27" s="779"/>
      <c r="L27" s="783" t="s">
        <v>717</v>
      </c>
      <c r="M27" s="784" t="s">
        <v>733</v>
      </c>
    </row>
    <row r="28" spans="1:13" ht="15.75">
      <c r="A28" s="781" t="s">
        <v>738</v>
      </c>
      <c r="C28" s="779"/>
      <c r="E28" s="785"/>
      <c r="F28" s="786" t="s">
        <v>736</v>
      </c>
      <c r="H28" s="781" t="s">
        <v>738</v>
      </c>
      <c r="J28" s="779"/>
      <c r="L28" s="785"/>
      <c r="M28" s="786" t="s">
        <v>736</v>
      </c>
    </row>
    <row r="29" spans="1:13" ht="15.75">
      <c r="A29" s="781" t="s">
        <v>739</v>
      </c>
      <c r="C29" s="779"/>
      <c r="E29" s="787"/>
      <c r="F29" s="752"/>
      <c r="H29" s="781" t="s">
        <v>739</v>
      </c>
      <c r="J29" s="779"/>
      <c r="L29" s="787"/>
      <c r="M29" s="752"/>
    </row>
    <row r="30" spans="1:13" ht="15.75">
      <c r="A30" s="781" t="s">
        <v>740</v>
      </c>
      <c r="C30" s="779"/>
      <c r="E30" s="788" t="s">
        <v>233</v>
      </c>
      <c r="F30" s="789">
        <f>ROUND($C32*F17,4)</f>
        <v>0.83809999999999996</v>
      </c>
      <c r="H30" s="781" t="s">
        <v>740</v>
      </c>
      <c r="J30" s="779"/>
      <c r="L30" s="788" t="s">
        <v>233</v>
      </c>
      <c r="M30" s="789">
        <f>ROUND($J32*M17,4)</f>
        <v>0.83899999999999997</v>
      </c>
    </row>
    <row r="31" spans="1:13">
      <c r="A31" s="731"/>
      <c r="C31" s="779"/>
      <c r="E31" s="790"/>
      <c r="F31" s="762"/>
      <c r="H31" s="731"/>
      <c r="J31" s="779"/>
      <c r="L31" s="790"/>
      <c r="M31" s="762"/>
    </row>
    <row r="32" spans="1:13" ht="15.75">
      <c r="A32" s="791" t="s">
        <v>741</v>
      </c>
      <c r="B32" s="792"/>
      <c r="C32" s="770">
        <f>100%-C13</f>
        <v>0.94799999999999995</v>
      </c>
      <c r="E32" s="793" t="s">
        <v>229</v>
      </c>
      <c r="F32" s="794">
        <f>ROUND($C32*F19,4)</f>
        <v>9.5500000000000002E-2</v>
      </c>
      <c r="H32" s="791" t="s">
        <v>741</v>
      </c>
      <c r="I32" s="792"/>
      <c r="J32" s="770">
        <f>100%-J13</f>
        <v>0.94899999999999995</v>
      </c>
      <c r="L32" s="793" t="s">
        <v>229</v>
      </c>
      <c r="M32" s="794">
        <f>ROUND($J32*M19,4)</f>
        <v>9.5600000000000004E-2</v>
      </c>
    </row>
    <row r="33" spans="1:13" ht="15.75">
      <c r="B33" s="795"/>
      <c r="C33" s="796"/>
      <c r="D33" s="797">
        <f>SUM(D28:D32)</f>
        <v>0</v>
      </c>
      <c r="E33" s="798" t="s">
        <v>230</v>
      </c>
      <c r="F33" s="794">
        <f>ROUND($C32*F20,4)</f>
        <v>1.44E-2</v>
      </c>
      <c r="I33" s="795"/>
      <c r="J33" s="796"/>
      <c r="K33" s="797">
        <f>SUM(K28:K32)</f>
        <v>0</v>
      </c>
      <c r="L33" s="798" t="s">
        <v>230</v>
      </c>
      <c r="M33" s="794">
        <f>ROUND($J32*M20,4)</f>
        <v>1.44E-2</v>
      </c>
    </row>
    <row r="34" spans="1:13" ht="15.75">
      <c r="B34" s="795"/>
      <c r="C34" s="796"/>
      <c r="D34" s="799"/>
      <c r="E34" s="800" t="s">
        <v>742</v>
      </c>
      <c r="F34" s="794">
        <f>C13</f>
        <v>5.1999999999999998E-2</v>
      </c>
      <c r="I34" s="795"/>
      <c r="J34" s="796"/>
      <c r="K34" s="799"/>
      <c r="L34" s="800" t="s">
        <v>742</v>
      </c>
      <c r="M34" s="794">
        <f>J13</f>
        <v>5.0999999999999997E-2</v>
      </c>
    </row>
    <row r="35" spans="1:13" ht="15.75">
      <c r="B35" s="795"/>
      <c r="C35" s="796"/>
      <c r="E35" s="800" t="s">
        <v>743</v>
      </c>
      <c r="F35" s="794">
        <f>SUM(F30:F34)</f>
        <v>1</v>
      </c>
      <c r="I35" s="795"/>
      <c r="J35" s="796"/>
      <c r="L35" s="800" t="s">
        <v>743</v>
      </c>
      <c r="M35" s="794">
        <f>SUM(M30:M34)</f>
        <v>1</v>
      </c>
    </row>
    <row r="36" spans="1:13" ht="16.5" thickBot="1">
      <c r="B36" s="795"/>
      <c r="C36" s="796"/>
      <c r="E36" s="801" t="s">
        <v>727</v>
      </c>
      <c r="F36" s="802" t="str">
        <f>IF(F35=0,"",IF(F35=100%,"OK","erro"))</f>
        <v>OK</v>
      </c>
      <c r="I36" s="795"/>
      <c r="J36" s="796"/>
      <c r="L36" s="801" t="s">
        <v>727</v>
      </c>
      <c r="M36" s="802" t="str">
        <f>IF(M35=0,"",IF(M35=100%,"OK","erro"))</f>
        <v>OK</v>
      </c>
    </row>
    <row r="38" spans="1:13" ht="12" thickBot="1"/>
    <row r="39" spans="1:13" ht="18" customHeight="1">
      <c r="A39" s="703" t="s">
        <v>713</v>
      </c>
      <c r="B39" s="704" t="s">
        <v>2146</v>
      </c>
      <c r="C39" s="704"/>
      <c r="D39" s="704"/>
      <c r="E39" s="704"/>
      <c r="F39" s="705"/>
      <c r="H39" s="703" t="s">
        <v>713</v>
      </c>
      <c r="I39" s="704" t="s">
        <v>2146</v>
      </c>
      <c r="J39" s="704"/>
      <c r="K39" s="704"/>
      <c r="L39" s="704"/>
      <c r="M39" s="705"/>
    </row>
    <row r="40" spans="1:13" ht="18" customHeight="1">
      <c r="A40" s="706" t="s">
        <v>714</v>
      </c>
      <c r="B40" s="707" t="s">
        <v>2147</v>
      </c>
      <c r="C40" s="707"/>
      <c r="D40" s="707"/>
      <c r="E40" s="707"/>
      <c r="F40" s="708"/>
      <c r="H40" s="706" t="s">
        <v>714</v>
      </c>
      <c r="I40" s="707" t="s">
        <v>2147</v>
      </c>
      <c r="J40" s="707"/>
      <c r="K40" s="707"/>
      <c r="L40" s="707"/>
      <c r="M40" s="708"/>
    </row>
    <row r="41" spans="1:13" ht="18" customHeight="1" thickBot="1">
      <c r="A41" s="709" t="s">
        <v>715</v>
      </c>
      <c r="B41" s="710" t="s">
        <v>2148</v>
      </c>
      <c r="C41" s="710"/>
      <c r="D41" s="710"/>
      <c r="E41" s="710"/>
      <c r="F41" s="711"/>
      <c r="H41" s="709" t="s">
        <v>715</v>
      </c>
      <c r="I41" s="710" t="s">
        <v>2148</v>
      </c>
      <c r="J41" s="710"/>
      <c r="K41" s="710"/>
      <c r="L41" s="710"/>
      <c r="M41" s="711"/>
    </row>
    <row r="42" spans="1:13" ht="12" thickBot="1"/>
    <row r="43" spans="1:13" ht="20.25">
      <c r="A43" s="712" t="s">
        <v>2158</v>
      </c>
      <c r="B43" s="713" t="s">
        <v>729</v>
      </c>
      <c r="C43" s="714" t="s">
        <v>2253</v>
      </c>
      <c r="D43" s="715"/>
      <c r="E43" s="715"/>
      <c r="F43" s="716"/>
      <c r="H43" s="712" t="s">
        <v>2159</v>
      </c>
      <c r="I43" s="713" t="s">
        <v>729</v>
      </c>
      <c r="J43" s="714" t="s">
        <v>2254</v>
      </c>
      <c r="K43" s="715"/>
      <c r="L43" s="715"/>
      <c r="M43" s="716"/>
    </row>
    <row r="44" spans="1:13" ht="16.5" thickBot="1">
      <c r="A44" s="717"/>
      <c r="B44" s="718" t="s">
        <v>718</v>
      </c>
      <c r="C44" s="719" t="s">
        <v>2143</v>
      </c>
      <c r="D44" s="720"/>
      <c r="E44" s="720"/>
      <c r="F44" s="721"/>
      <c r="H44" s="717"/>
      <c r="I44" s="718" t="s">
        <v>718</v>
      </c>
      <c r="J44" s="719" t="s">
        <v>2143</v>
      </c>
      <c r="K44" s="720"/>
      <c r="L44" s="720"/>
      <c r="M44" s="721"/>
    </row>
    <row r="45" spans="1:13" ht="12" thickBot="1">
      <c r="A45" s="722"/>
      <c r="H45" s="722"/>
    </row>
    <row r="46" spans="1:13" ht="20.45" customHeight="1">
      <c r="A46" s="723" t="s">
        <v>728</v>
      </c>
      <c r="B46" s="724"/>
      <c r="C46" s="725"/>
      <c r="D46" s="726"/>
      <c r="E46" s="727" t="s">
        <v>734</v>
      </c>
      <c r="F46" s="728"/>
      <c r="H46" s="723" t="s">
        <v>728</v>
      </c>
      <c r="I46" s="724"/>
      <c r="J46" s="725"/>
      <c r="K46" s="726"/>
      <c r="L46" s="727" t="s">
        <v>734</v>
      </c>
      <c r="M46" s="728"/>
    </row>
    <row r="47" spans="1:13" ht="15.75">
      <c r="A47" s="729" t="s">
        <v>730</v>
      </c>
      <c r="B47" s="730"/>
      <c r="C47" s="681">
        <v>2.4</v>
      </c>
      <c r="E47" s="731"/>
      <c r="F47" s="732"/>
      <c r="H47" s="729" t="s">
        <v>730</v>
      </c>
      <c r="I47" s="730"/>
      <c r="J47" s="681">
        <v>2.4</v>
      </c>
      <c r="L47" s="731"/>
      <c r="M47" s="732"/>
    </row>
    <row r="48" spans="1:13" ht="20.25">
      <c r="A48" s="733" t="s">
        <v>731</v>
      </c>
      <c r="B48" s="734"/>
      <c r="C48" s="735">
        <v>5.2999999999999999E-2</v>
      </c>
      <c r="E48" s="736" t="s">
        <v>751</v>
      </c>
      <c r="F48" s="737"/>
      <c r="H48" s="733" t="s">
        <v>731</v>
      </c>
      <c r="I48" s="734"/>
      <c r="J48" s="735">
        <v>4.9500000000000002E-2</v>
      </c>
      <c r="L48" s="736" t="s">
        <v>751</v>
      </c>
      <c r="M48" s="737"/>
    </row>
    <row r="49" spans="1:13" ht="15.75">
      <c r="A49" s="738" t="s">
        <v>716</v>
      </c>
      <c r="B49" s="739"/>
      <c r="C49" s="740"/>
      <c r="E49" s="741" t="s">
        <v>717</v>
      </c>
      <c r="F49" s="742" t="s">
        <v>733</v>
      </c>
      <c r="H49" s="738" t="s">
        <v>716</v>
      </c>
      <c r="I49" s="739"/>
      <c r="J49" s="740"/>
      <c r="L49" s="741" t="s">
        <v>717</v>
      </c>
      <c r="M49" s="742" t="s">
        <v>733</v>
      </c>
    </row>
    <row r="50" spans="1:13" ht="15">
      <c r="A50" s="743" t="s">
        <v>717</v>
      </c>
      <c r="B50" s="744" t="s">
        <v>732</v>
      </c>
      <c r="C50" s="745"/>
      <c r="E50" s="746"/>
      <c r="F50" s="747" t="s">
        <v>736</v>
      </c>
      <c r="H50" s="743" t="s">
        <v>717</v>
      </c>
      <c r="I50" s="744" t="s">
        <v>732</v>
      </c>
      <c r="J50" s="745"/>
      <c r="L50" s="746"/>
      <c r="M50" s="747" t="s">
        <v>736</v>
      </c>
    </row>
    <row r="51" spans="1:13" ht="15.75">
      <c r="A51" s="748" t="s">
        <v>719</v>
      </c>
      <c r="B51" s="749" t="s">
        <v>722</v>
      </c>
      <c r="C51" s="750"/>
      <c r="E51" s="751"/>
      <c r="F51" s="752"/>
      <c r="H51" s="748" t="s">
        <v>719</v>
      </c>
      <c r="I51" s="749" t="s">
        <v>722</v>
      </c>
      <c r="J51" s="750"/>
      <c r="L51" s="751"/>
      <c r="M51" s="752"/>
    </row>
    <row r="52" spans="1:13" ht="15.75">
      <c r="A52" s="753"/>
      <c r="B52" s="754" t="s">
        <v>723</v>
      </c>
      <c r="C52" s="755">
        <v>0.8841</v>
      </c>
      <c r="E52" s="756" t="s">
        <v>233</v>
      </c>
      <c r="F52" s="757">
        <f>SUM(C51:C53)</f>
        <v>0.8841</v>
      </c>
      <c r="H52" s="753"/>
      <c r="I52" s="754" t="s">
        <v>723</v>
      </c>
      <c r="J52" s="755">
        <v>0.8841</v>
      </c>
      <c r="L52" s="756" t="s">
        <v>233</v>
      </c>
      <c r="M52" s="757">
        <f>SUM(J51:J53)</f>
        <v>0.8841</v>
      </c>
    </row>
    <row r="53" spans="1:13" ht="15.75">
      <c r="A53" s="758" t="s">
        <v>721</v>
      </c>
      <c r="B53" s="759" t="s">
        <v>724</v>
      </c>
      <c r="C53" s="760"/>
      <c r="E53" s="761"/>
      <c r="F53" s="762"/>
      <c r="H53" s="758" t="s">
        <v>721</v>
      </c>
      <c r="I53" s="759" t="s">
        <v>724</v>
      </c>
      <c r="J53" s="760"/>
      <c r="L53" s="761"/>
      <c r="M53" s="762"/>
    </row>
    <row r="54" spans="1:13" ht="15.75">
      <c r="A54" s="763" t="s">
        <v>229</v>
      </c>
      <c r="B54" s="764" t="s">
        <v>229</v>
      </c>
      <c r="C54" s="765">
        <v>0.1007</v>
      </c>
      <c r="E54" s="766" t="s">
        <v>229</v>
      </c>
      <c r="F54" s="767">
        <f>C54</f>
        <v>0.1007</v>
      </c>
      <c r="H54" s="763" t="s">
        <v>229</v>
      </c>
      <c r="I54" s="764" t="s">
        <v>229</v>
      </c>
      <c r="J54" s="765">
        <v>0.1007</v>
      </c>
      <c r="L54" s="766" t="s">
        <v>229</v>
      </c>
      <c r="M54" s="767">
        <f>J54</f>
        <v>0.1007</v>
      </c>
    </row>
    <row r="55" spans="1:13" ht="15.75">
      <c r="A55" s="763" t="s">
        <v>725</v>
      </c>
      <c r="B55" s="764" t="s">
        <v>230</v>
      </c>
      <c r="C55" s="765">
        <v>1.52E-2</v>
      </c>
      <c r="E55" s="768" t="s">
        <v>230</v>
      </c>
      <c r="F55" s="767">
        <f>C55</f>
        <v>1.52E-2</v>
      </c>
      <c r="H55" s="763" t="s">
        <v>725</v>
      </c>
      <c r="I55" s="764" t="s">
        <v>230</v>
      </c>
      <c r="J55" s="765">
        <v>1.52E-2</v>
      </c>
      <c r="L55" s="768" t="s">
        <v>230</v>
      </c>
      <c r="M55" s="767">
        <f>J55</f>
        <v>1.52E-2</v>
      </c>
    </row>
    <row r="56" spans="1:13" ht="15.75">
      <c r="A56" s="769"/>
      <c r="B56" s="766" t="s">
        <v>726</v>
      </c>
      <c r="C56" s="770">
        <f>SUM(C51:C55)</f>
        <v>1</v>
      </c>
      <c r="E56" s="766" t="s">
        <v>726</v>
      </c>
      <c r="F56" s="771">
        <f>SUM(F52:F55)</f>
        <v>1</v>
      </c>
      <c r="H56" s="769"/>
      <c r="I56" s="766" t="s">
        <v>726</v>
      </c>
      <c r="J56" s="770">
        <f>SUM(J51:J55)</f>
        <v>1</v>
      </c>
      <c r="L56" s="766" t="s">
        <v>726</v>
      </c>
      <c r="M56" s="771">
        <f>SUM(M52:M55)</f>
        <v>1</v>
      </c>
    </row>
    <row r="57" spans="1:13" ht="16.5" thickBot="1">
      <c r="A57" s="772"/>
      <c r="B57" s="773" t="s">
        <v>727</v>
      </c>
      <c r="C57" s="774" t="str">
        <f>IF(C56=0,"",IF(C56=100%,"OK","erro"))</f>
        <v>OK</v>
      </c>
      <c r="D57" s="775"/>
      <c r="E57" s="773" t="s">
        <v>727</v>
      </c>
      <c r="F57" s="774" t="str">
        <f>IF(F56=0,"",IF(F56=100%,"OK","erro"))</f>
        <v>OK</v>
      </c>
      <c r="H57" s="772"/>
      <c r="I57" s="773" t="s">
        <v>727</v>
      </c>
      <c r="J57" s="774" t="str">
        <f>IF(J56=0,"",IF(J56=100%,"OK","erro"))</f>
        <v>OK</v>
      </c>
      <c r="K57" s="775"/>
      <c r="L57" s="773" t="s">
        <v>727</v>
      </c>
      <c r="M57" s="774" t="str">
        <f>IF(M56=0,"",IF(M56=100%,"OK","erro"))</f>
        <v>OK</v>
      </c>
    </row>
    <row r="58" spans="1:13" ht="12" thickBot="1"/>
    <row r="59" spans="1:13" ht="20.25">
      <c r="A59" s="776"/>
      <c r="B59" s="777"/>
      <c r="C59" s="778"/>
      <c r="E59" s="723" t="s">
        <v>737</v>
      </c>
      <c r="F59" s="728"/>
      <c r="H59" s="776"/>
      <c r="I59" s="777"/>
      <c r="J59" s="778"/>
      <c r="L59" s="723" t="s">
        <v>737</v>
      </c>
      <c r="M59" s="728"/>
    </row>
    <row r="60" spans="1:13">
      <c r="A60" s="731"/>
      <c r="C60" s="779"/>
      <c r="E60" s="780"/>
      <c r="F60" s="732"/>
      <c r="H60" s="731"/>
      <c r="J60" s="779"/>
      <c r="L60" s="780"/>
      <c r="M60" s="732"/>
    </row>
    <row r="61" spans="1:13" ht="20.25">
      <c r="A61" s="781" t="s">
        <v>2142</v>
      </c>
      <c r="C61" s="779"/>
      <c r="E61" s="782" t="s">
        <v>750</v>
      </c>
      <c r="F61" s="737"/>
      <c r="H61" s="781" t="s">
        <v>2142</v>
      </c>
      <c r="J61" s="779"/>
      <c r="L61" s="782" t="s">
        <v>750</v>
      </c>
      <c r="M61" s="737"/>
    </row>
    <row r="62" spans="1:13" ht="15.75">
      <c r="A62" s="781"/>
      <c r="C62" s="779"/>
      <c r="E62" s="783" t="s">
        <v>717</v>
      </c>
      <c r="F62" s="784" t="s">
        <v>733</v>
      </c>
      <c r="H62" s="781"/>
      <c r="J62" s="779"/>
      <c r="L62" s="783" t="s">
        <v>717</v>
      </c>
      <c r="M62" s="784" t="s">
        <v>733</v>
      </c>
    </row>
    <row r="63" spans="1:13" ht="15.75">
      <c r="A63" s="781" t="s">
        <v>738</v>
      </c>
      <c r="C63" s="779"/>
      <c r="E63" s="785"/>
      <c r="F63" s="786" t="s">
        <v>736</v>
      </c>
      <c r="H63" s="781" t="s">
        <v>738</v>
      </c>
      <c r="J63" s="779"/>
      <c r="L63" s="785"/>
      <c r="M63" s="786" t="s">
        <v>736</v>
      </c>
    </row>
    <row r="64" spans="1:13" ht="15.75">
      <c r="A64" s="781" t="s">
        <v>739</v>
      </c>
      <c r="C64" s="779"/>
      <c r="E64" s="787"/>
      <c r="F64" s="752"/>
      <c r="H64" s="781" t="s">
        <v>739</v>
      </c>
      <c r="J64" s="779"/>
      <c r="L64" s="787"/>
      <c r="M64" s="752"/>
    </row>
    <row r="65" spans="1:13" ht="15.75">
      <c r="A65" s="781" t="s">
        <v>740</v>
      </c>
      <c r="C65" s="779"/>
      <c r="E65" s="788" t="s">
        <v>233</v>
      </c>
      <c r="F65" s="789">
        <f>ROUND($C67*F52,4)</f>
        <v>0.83720000000000006</v>
      </c>
      <c r="H65" s="781" t="s">
        <v>740</v>
      </c>
      <c r="J65" s="779"/>
      <c r="L65" s="788" t="s">
        <v>233</v>
      </c>
      <c r="M65" s="789">
        <f>ROUNDUP($J67*M52,4)</f>
        <v>0.84040000000000004</v>
      </c>
    </row>
    <row r="66" spans="1:13">
      <c r="A66" s="731"/>
      <c r="C66" s="779"/>
      <c r="E66" s="790"/>
      <c r="F66" s="762"/>
      <c r="H66" s="731"/>
      <c r="J66" s="779"/>
      <c r="L66" s="790"/>
      <c r="M66" s="762"/>
    </row>
    <row r="67" spans="1:13" ht="15.75">
      <c r="A67" s="791" t="s">
        <v>741</v>
      </c>
      <c r="B67" s="792"/>
      <c r="C67" s="770">
        <f>100%-C48</f>
        <v>0.94699999999999995</v>
      </c>
      <c r="E67" s="793" t="s">
        <v>229</v>
      </c>
      <c r="F67" s="794">
        <f>ROUND($C67*F54,4)</f>
        <v>9.5399999999999999E-2</v>
      </c>
      <c r="H67" s="791" t="s">
        <v>741</v>
      </c>
      <c r="I67" s="792"/>
      <c r="J67" s="770">
        <f>100%-J48</f>
        <v>0.95050000000000001</v>
      </c>
      <c r="L67" s="793" t="s">
        <v>229</v>
      </c>
      <c r="M67" s="794">
        <f>ROUND($J67*M54,4)</f>
        <v>9.5699999999999993E-2</v>
      </c>
    </row>
    <row r="68" spans="1:13" ht="15.75">
      <c r="B68" s="795"/>
      <c r="C68" s="796"/>
      <c r="D68" s="797">
        <f>SUM(D63:D67)</f>
        <v>0</v>
      </c>
      <c r="E68" s="798" t="s">
        <v>230</v>
      </c>
      <c r="F68" s="794">
        <f>ROUND($C67*F55,4)</f>
        <v>1.44E-2</v>
      </c>
      <c r="I68" s="795"/>
      <c r="J68" s="796"/>
      <c r="K68" s="797">
        <f>SUM(K63:K67)</f>
        <v>0</v>
      </c>
      <c r="L68" s="798" t="s">
        <v>230</v>
      </c>
      <c r="M68" s="794">
        <f>ROUND($J67*M55,4)</f>
        <v>1.44E-2</v>
      </c>
    </row>
    <row r="69" spans="1:13" ht="15.75">
      <c r="B69" s="795"/>
      <c r="C69" s="796"/>
      <c r="D69" s="799"/>
      <c r="E69" s="800" t="s">
        <v>742</v>
      </c>
      <c r="F69" s="794">
        <f>C48</f>
        <v>5.2999999999999999E-2</v>
      </c>
      <c r="I69" s="795"/>
      <c r="J69" s="796"/>
      <c r="K69" s="799"/>
      <c r="L69" s="800" t="s">
        <v>742</v>
      </c>
      <c r="M69" s="794">
        <f>J48</f>
        <v>4.9500000000000002E-2</v>
      </c>
    </row>
    <row r="70" spans="1:13" ht="15.75">
      <c r="B70" s="795"/>
      <c r="C70" s="796"/>
      <c r="E70" s="800" t="s">
        <v>743</v>
      </c>
      <c r="F70" s="794">
        <f>SUM(F65:F69)</f>
        <v>1</v>
      </c>
      <c r="I70" s="795"/>
      <c r="J70" s="796"/>
      <c r="L70" s="800" t="s">
        <v>743</v>
      </c>
      <c r="M70" s="794">
        <f>SUM(M65:M69)</f>
        <v>1</v>
      </c>
    </row>
    <row r="71" spans="1:13" ht="16.5" thickBot="1">
      <c r="B71" s="795"/>
      <c r="C71" s="796"/>
      <c r="E71" s="801" t="s">
        <v>727</v>
      </c>
      <c r="F71" s="802" t="str">
        <f>IF(F70=0,"",IF(F70=100%,"OK","erro"))</f>
        <v>OK</v>
      </c>
      <c r="I71" s="795"/>
      <c r="J71" s="796"/>
      <c r="L71" s="801" t="s">
        <v>727</v>
      </c>
      <c r="M71" s="802" t="str">
        <f>IF(M70=0,"",IF(M70=100%,"OK","erro"))</f>
        <v>OK</v>
      </c>
    </row>
    <row r="74" spans="1:13" ht="12" thickBot="1"/>
    <row r="75" spans="1:13" ht="18" customHeight="1">
      <c r="A75" s="703" t="s">
        <v>713</v>
      </c>
      <c r="B75" s="704" t="s">
        <v>2146</v>
      </c>
      <c r="C75" s="704"/>
      <c r="D75" s="704"/>
      <c r="E75" s="704"/>
      <c r="F75" s="705"/>
      <c r="H75" s="703" t="s">
        <v>713</v>
      </c>
      <c r="I75" s="704" t="s">
        <v>2146</v>
      </c>
      <c r="J75" s="704"/>
      <c r="K75" s="704"/>
      <c r="L75" s="704"/>
      <c r="M75" s="705"/>
    </row>
    <row r="76" spans="1:13" ht="18" customHeight="1">
      <c r="A76" s="706" t="s">
        <v>714</v>
      </c>
      <c r="B76" s="707" t="s">
        <v>2147</v>
      </c>
      <c r="C76" s="707"/>
      <c r="D76" s="707"/>
      <c r="E76" s="707"/>
      <c r="F76" s="708"/>
      <c r="H76" s="706" t="s">
        <v>714</v>
      </c>
      <c r="I76" s="707" t="s">
        <v>2147</v>
      </c>
      <c r="J76" s="707"/>
      <c r="K76" s="707"/>
      <c r="L76" s="707"/>
      <c r="M76" s="708"/>
    </row>
    <row r="77" spans="1:13" ht="18" customHeight="1" thickBot="1">
      <c r="A77" s="709" t="s">
        <v>715</v>
      </c>
      <c r="B77" s="710" t="s">
        <v>2148</v>
      </c>
      <c r="C77" s="710"/>
      <c r="D77" s="710"/>
      <c r="E77" s="710"/>
      <c r="F77" s="711"/>
      <c r="H77" s="709" t="s">
        <v>715</v>
      </c>
      <c r="I77" s="710" t="s">
        <v>2148</v>
      </c>
      <c r="J77" s="710"/>
      <c r="K77" s="710"/>
      <c r="L77" s="710"/>
      <c r="M77" s="711"/>
    </row>
    <row r="78" spans="1:13" ht="12" thickBot="1"/>
    <row r="79" spans="1:13" ht="20.25">
      <c r="A79" s="712" t="s">
        <v>2160</v>
      </c>
      <c r="B79" s="713" t="s">
        <v>729</v>
      </c>
      <c r="C79" s="714" t="s">
        <v>2255</v>
      </c>
      <c r="D79" s="715"/>
      <c r="E79" s="715"/>
      <c r="F79" s="716"/>
      <c r="H79" s="1245" t="s">
        <v>2257</v>
      </c>
      <c r="I79" s="713" t="s">
        <v>729</v>
      </c>
      <c r="J79" s="714" t="s">
        <v>2251</v>
      </c>
      <c r="K79" s="715"/>
      <c r="L79" s="715"/>
      <c r="M79" s="716"/>
    </row>
    <row r="80" spans="1:13" ht="16.5" thickBot="1">
      <c r="A80" s="717"/>
      <c r="B80" s="718" t="s">
        <v>718</v>
      </c>
      <c r="C80" s="719" t="s">
        <v>2143</v>
      </c>
      <c r="D80" s="720"/>
      <c r="E80" s="720"/>
      <c r="F80" s="721"/>
      <c r="H80" s="1244" t="s">
        <v>2256</v>
      </c>
      <c r="I80" s="718" t="s">
        <v>718</v>
      </c>
      <c r="J80" s="719" t="s">
        <v>2143</v>
      </c>
      <c r="K80" s="720"/>
      <c r="L80" s="720"/>
      <c r="M80" s="721"/>
    </row>
    <row r="81" spans="1:13" ht="12" thickBot="1">
      <c r="A81" s="722"/>
      <c r="H81" s="722"/>
    </row>
    <row r="82" spans="1:13" ht="20.45" customHeight="1">
      <c r="A82" s="723" t="s">
        <v>728</v>
      </c>
      <c r="B82" s="724"/>
      <c r="C82" s="725"/>
      <c r="D82" s="726"/>
      <c r="E82" s="727" t="s">
        <v>734</v>
      </c>
      <c r="F82" s="728"/>
      <c r="H82" s="723" t="s">
        <v>728</v>
      </c>
      <c r="I82" s="724"/>
      <c r="J82" s="725"/>
      <c r="K82" s="726"/>
      <c r="L82" s="727" t="s">
        <v>734</v>
      </c>
      <c r="M82" s="728"/>
    </row>
    <row r="83" spans="1:13" ht="15.75">
      <c r="A83" s="729" t="s">
        <v>730</v>
      </c>
      <c r="B83" s="730"/>
      <c r="C83" s="681">
        <v>2.4</v>
      </c>
      <c r="E83" s="731"/>
      <c r="F83" s="732"/>
      <c r="H83" s="729" t="s">
        <v>730</v>
      </c>
      <c r="I83" s="1246"/>
      <c r="J83" s="681">
        <v>2.4</v>
      </c>
      <c r="L83" s="731"/>
      <c r="M83" s="732"/>
    </row>
    <row r="84" spans="1:13" ht="20.25">
      <c r="A84" s="733" t="s">
        <v>731</v>
      </c>
      <c r="B84" s="734"/>
      <c r="C84" s="735">
        <v>4.9000000000000002E-2</v>
      </c>
      <c r="E84" s="736" t="s">
        <v>751</v>
      </c>
      <c r="F84" s="737"/>
      <c r="H84" s="733" t="s">
        <v>731</v>
      </c>
      <c r="I84" s="734"/>
      <c r="J84" s="735">
        <v>0.05</v>
      </c>
      <c r="L84" s="736" t="s">
        <v>751</v>
      </c>
      <c r="M84" s="737"/>
    </row>
    <row r="85" spans="1:13" ht="15.75">
      <c r="A85" s="738" t="s">
        <v>716</v>
      </c>
      <c r="B85" s="739"/>
      <c r="C85" s="740"/>
      <c r="E85" s="741" t="s">
        <v>717</v>
      </c>
      <c r="F85" s="742" t="s">
        <v>733</v>
      </c>
      <c r="H85" s="738" t="s">
        <v>716</v>
      </c>
      <c r="I85" s="739"/>
      <c r="J85" s="740"/>
      <c r="L85" s="741" t="s">
        <v>717</v>
      </c>
      <c r="M85" s="742" t="s">
        <v>733</v>
      </c>
    </row>
    <row r="86" spans="1:13" ht="15">
      <c r="A86" s="743" t="s">
        <v>717</v>
      </c>
      <c r="B86" s="744" t="s">
        <v>732</v>
      </c>
      <c r="C86" s="745"/>
      <c r="E86" s="746"/>
      <c r="F86" s="747" t="s">
        <v>736</v>
      </c>
      <c r="H86" s="743" t="s">
        <v>717</v>
      </c>
      <c r="I86" s="744" t="s">
        <v>732</v>
      </c>
      <c r="J86" s="745"/>
      <c r="L86" s="746"/>
      <c r="M86" s="747" t="s">
        <v>736</v>
      </c>
    </row>
    <row r="87" spans="1:13" ht="15.75">
      <c r="A87" s="748" t="s">
        <v>719</v>
      </c>
      <c r="B87" s="749" t="s">
        <v>722</v>
      </c>
      <c r="C87" s="750"/>
      <c r="E87" s="751"/>
      <c r="F87" s="752"/>
      <c r="H87" s="748" t="s">
        <v>719</v>
      </c>
      <c r="I87" s="749" t="s">
        <v>722</v>
      </c>
      <c r="J87" s="750"/>
      <c r="L87" s="751"/>
      <c r="M87" s="752"/>
    </row>
    <row r="88" spans="1:13" ht="15.75">
      <c r="A88" s="753"/>
      <c r="B88" s="754" t="s">
        <v>723</v>
      </c>
      <c r="C88" s="755">
        <v>0.8841</v>
      </c>
      <c r="E88" s="756" t="s">
        <v>233</v>
      </c>
      <c r="F88" s="757">
        <f>SUM(C87:C89)</f>
        <v>0.8841</v>
      </c>
      <c r="H88" s="753"/>
      <c r="I88" s="754" t="s">
        <v>723</v>
      </c>
      <c r="J88" s="755">
        <v>0.8841</v>
      </c>
      <c r="L88" s="756" t="s">
        <v>233</v>
      </c>
      <c r="M88" s="757">
        <f>SUM(J87:J89)</f>
        <v>0.8841</v>
      </c>
    </row>
    <row r="89" spans="1:13" ht="15.75">
      <c r="A89" s="758" t="s">
        <v>721</v>
      </c>
      <c r="B89" s="759" t="s">
        <v>724</v>
      </c>
      <c r="C89" s="760"/>
      <c r="E89" s="761"/>
      <c r="F89" s="762"/>
      <c r="H89" s="758" t="s">
        <v>721</v>
      </c>
      <c r="I89" s="759" t="s">
        <v>724</v>
      </c>
      <c r="J89" s="760"/>
      <c r="L89" s="761"/>
      <c r="M89" s="762"/>
    </row>
    <row r="90" spans="1:13" ht="15.75">
      <c r="A90" s="763" t="s">
        <v>229</v>
      </c>
      <c r="B90" s="764" t="s">
        <v>229</v>
      </c>
      <c r="C90" s="765">
        <v>0.1007</v>
      </c>
      <c r="E90" s="766" t="s">
        <v>229</v>
      </c>
      <c r="F90" s="767">
        <f>C90</f>
        <v>0.1007</v>
      </c>
      <c r="H90" s="763" t="s">
        <v>229</v>
      </c>
      <c r="I90" s="764" t="s">
        <v>229</v>
      </c>
      <c r="J90" s="765">
        <v>0.1007</v>
      </c>
      <c r="L90" s="766" t="s">
        <v>229</v>
      </c>
      <c r="M90" s="767">
        <f>J90</f>
        <v>0.1007</v>
      </c>
    </row>
    <row r="91" spans="1:13" ht="15.75">
      <c r="A91" s="763" t="s">
        <v>725</v>
      </c>
      <c r="B91" s="764" t="s">
        <v>230</v>
      </c>
      <c r="C91" s="765">
        <v>1.52E-2</v>
      </c>
      <c r="E91" s="768" t="s">
        <v>230</v>
      </c>
      <c r="F91" s="767">
        <f>C91</f>
        <v>1.52E-2</v>
      </c>
      <c r="H91" s="763" t="s">
        <v>725</v>
      </c>
      <c r="I91" s="764" t="s">
        <v>230</v>
      </c>
      <c r="J91" s="765">
        <v>1.52E-2</v>
      </c>
      <c r="L91" s="768" t="s">
        <v>230</v>
      </c>
      <c r="M91" s="767">
        <f>J91</f>
        <v>1.52E-2</v>
      </c>
    </row>
    <row r="92" spans="1:13" ht="15.75">
      <c r="A92" s="769"/>
      <c r="B92" s="766" t="s">
        <v>726</v>
      </c>
      <c r="C92" s="770">
        <f>SUM(C87:C91)</f>
        <v>1</v>
      </c>
      <c r="E92" s="766" t="s">
        <v>726</v>
      </c>
      <c r="F92" s="771">
        <f>SUM(F88:F91)</f>
        <v>1</v>
      </c>
      <c r="H92" s="769"/>
      <c r="I92" s="766" t="s">
        <v>726</v>
      </c>
      <c r="J92" s="770">
        <f>SUM(J87:J91)</f>
        <v>1</v>
      </c>
      <c r="L92" s="766" t="s">
        <v>726</v>
      </c>
      <c r="M92" s="771">
        <f>SUM(M88:M91)</f>
        <v>1</v>
      </c>
    </row>
    <row r="93" spans="1:13" ht="16.5" thickBot="1">
      <c r="A93" s="772"/>
      <c r="B93" s="773" t="s">
        <v>727</v>
      </c>
      <c r="C93" s="774" t="str">
        <f>IF(C92=0,"",IF(C92=100%,"OK","erro"))</f>
        <v>OK</v>
      </c>
      <c r="D93" s="775"/>
      <c r="E93" s="773" t="s">
        <v>727</v>
      </c>
      <c r="F93" s="774" t="str">
        <f>IF(F92=0,"",IF(F92=100%,"OK","erro"))</f>
        <v>OK</v>
      </c>
      <c r="H93" s="772"/>
      <c r="I93" s="773" t="s">
        <v>727</v>
      </c>
      <c r="J93" s="774" t="str">
        <f>IF(J92=0,"",IF(J92=100%,"OK","erro"))</f>
        <v>OK</v>
      </c>
      <c r="K93" s="775"/>
      <c r="L93" s="773" t="s">
        <v>727</v>
      </c>
      <c r="M93" s="774" t="str">
        <f>IF(M92=0,"",IF(M92=100%,"OK","erro"))</f>
        <v>OK</v>
      </c>
    </row>
    <row r="94" spans="1:13" ht="12" thickBot="1"/>
    <row r="95" spans="1:13" ht="20.25">
      <c r="A95" s="776"/>
      <c r="B95" s="777"/>
      <c r="C95" s="778"/>
      <c r="E95" s="723" t="s">
        <v>737</v>
      </c>
      <c r="F95" s="728"/>
      <c r="H95" s="776"/>
      <c r="I95" s="777"/>
      <c r="J95" s="778"/>
      <c r="L95" s="723" t="s">
        <v>737</v>
      </c>
      <c r="M95" s="728"/>
    </row>
    <row r="96" spans="1:13">
      <c r="A96" s="731"/>
      <c r="C96" s="779"/>
      <c r="E96" s="780"/>
      <c r="F96" s="732"/>
      <c r="H96" s="731"/>
      <c r="J96" s="779"/>
      <c r="L96" s="780"/>
      <c r="M96" s="732"/>
    </row>
    <row r="97" spans="1:13" ht="20.25">
      <c r="A97" s="781" t="s">
        <v>2142</v>
      </c>
      <c r="C97" s="779"/>
      <c r="E97" s="782" t="s">
        <v>750</v>
      </c>
      <c r="F97" s="737"/>
      <c r="H97" s="781" t="s">
        <v>2142</v>
      </c>
      <c r="J97" s="779"/>
      <c r="L97" s="782" t="s">
        <v>750</v>
      </c>
      <c r="M97" s="737"/>
    </row>
    <row r="98" spans="1:13" ht="15.75">
      <c r="A98" s="781"/>
      <c r="C98" s="779"/>
      <c r="E98" s="783" t="s">
        <v>717</v>
      </c>
      <c r="F98" s="784" t="s">
        <v>733</v>
      </c>
      <c r="H98" s="781"/>
      <c r="J98" s="779"/>
      <c r="L98" s="783" t="s">
        <v>717</v>
      </c>
      <c r="M98" s="784" t="s">
        <v>733</v>
      </c>
    </row>
    <row r="99" spans="1:13" ht="15.75">
      <c r="A99" s="781" t="s">
        <v>738</v>
      </c>
      <c r="C99" s="779"/>
      <c r="E99" s="785"/>
      <c r="F99" s="786" t="s">
        <v>736</v>
      </c>
      <c r="H99" s="781" t="s">
        <v>738</v>
      </c>
      <c r="J99" s="779"/>
      <c r="L99" s="785"/>
      <c r="M99" s="786" t="s">
        <v>736</v>
      </c>
    </row>
    <row r="100" spans="1:13" ht="15.75">
      <c r="A100" s="781" t="s">
        <v>739</v>
      </c>
      <c r="C100" s="779"/>
      <c r="E100" s="787"/>
      <c r="F100" s="752"/>
      <c r="H100" s="781" t="s">
        <v>739</v>
      </c>
      <c r="J100" s="779"/>
      <c r="L100" s="787"/>
      <c r="M100" s="752"/>
    </row>
    <row r="101" spans="1:13" ht="15.75">
      <c r="A101" s="781" t="s">
        <v>740</v>
      </c>
      <c r="C101" s="779"/>
      <c r="E101" s="788" t="s">
        <v>233</v>
      </c>
      <c r="F101" s="789">
        <f>ROUNDDOWN($C103*F88,4)</f>
        <v>0.8407</v>
      </c>
      <c r="H101" s="781" t="s">
        <v>740</v>
      </c>
      <c r="J101" s="779"/>
      <c r="L101" s="788" t="s">
        <v>233</v>
      </c>
      <c r="M101" s="789">
        <f>ROUND($J103*M88,4)</f>
        <v>0.83989999999999998</v>
      </c>
    </row>
    <row r="102" spans="1:13">
      <c r="A102" s="731"/>
      <c r="C102" s="779"/>
      <c r="E102" s="790"/>
      <c r="F102" s="762"/>
      <c r="H102" s="731"/>
      <c r="J102" s="779"/>
      <c r="L102" s="790"/>
      <c r="M102" s="762"/>
    </row>
    <row r="103" spans="1:13" ht="15.75">
      <c r="A103" s="791" t="s">
        <v>741</v>
      </c>
      <c r="B103" s="792"/>
      <c r="C103" s="770">
        <f>100%-C84</f>
        <v>0.95099999999999996</v>
      </c>
      <c r="E103" s="793" t="s">
        <v>229</v>
      </c>
      <c r="F103" s="794">
        <f>ROUND($C103*F90,4)</f>
        <v>9.5799999999999996E-2</v>
      </c>
      <c r="H103" s="791" t="s">
        <v>741</v>
      </c>
      <c r="I103" s="792"/>
      <c r="J103" s="770">
        <f>100%-J84</f>
        <v>0.95</v>
      </c>
      <c r="L103" s="793" t="s">
        <v>229</v>
      </c>
      <c r="M103" s="794">
        <f>ROUND($J103*M90,4)</f>
        <v>9.5699999999999993E-2</v>
      </c>
    </row>
    <row r="104" spans="1:13" ht="15.75">
      <c r="B104" s="795"/>
      <c r="C104" s="796"/>
      <c r="D104" s="797">
        <f>SUM(D99:D103)</f>
        <v>0</v>
      </c>
      <c r="E104" s="798" t="s">
        <v>230</v>
      </c>
      <c r="F104" s="794">
        <f>ROUND($C103*F91,4)</f>
        <v>1.4500000000000001E-2</v>
      </c>
      <c r="I104" s="795"/>
      <c r="J104" s="796"/>
      <c r="K104" s="797">
        <f>SUM(K99:K103)</f>
        <v>0</v>
      </c>
      <c r="L104" s="798" t="s">
        <v>230</v>
      </c>
      <c r="M104" s="794">
        <f>ROUND($J103*M91,4)</f>
        <v>1.44E-2</v>
      </c>
    </row>
    <row r="105" spans="1:13" ht="15.75">
      <c r="B105" s="795"/>
      <c r="C105" s="796"/>
      <c r="D105" s="799"/>
      <c r="E105" s="800" t="s">
        <v>742</v>
      </c>
      <c r="F105" s="794">
        <f>C84</f>
        <v>4.9000000000000002E-2</v>
      </c>
      <c r="I105" s="795"/>
      <c r="J105" s="796"/>
      <c r="K105" s="799"/>
      <c r="L105" s="800" t="s">
        <v>742</v>
      </c>
      <c r="M105" s="794">
        <f>J84</f>
        <v>0.05</v>
      </c>
    </row>
    <row r="106" spans="1:13" ht="15.75">
      <c r="B106" s="795"/>
      <c r="C106" s="796"/>
      <c r="E106" s="800" t="s">
        <v>743</v>
      </c>
      <c r="F106" s="794">
        <f>SUM(F101:F105)</f>
        <v>1</v>
      </c>
      <c r="I106" s="795"/>
      <c r="J106" s="796"/>
      <c r="L106" s="800" t="s">
        <v>743</v>
      </c>
      <c r="M106" s="794">
        <f>SUM(M101:M105)</f>
        <v>1</v>
      </c>
    </row>
    <row r="107" spans="1:13" ht="16.5" thickBot="1">
      <c r="B107" s="795"/>
      <c r="C107" s="796"/>
      <c r="E107" s="801" t="s">
        <v>727</v>
      </c>
      <c r="F107" s="802" t="str">
        <f>IF(F106=0,"",IF(F106=100%,"OK","erro"))</f>
        <v>OK</v>
      </c>
      <c r="I107" s="795"/>
      <c r="J107" s="796"/>
      <c r="L107" s="801" t="s">
        <v>727</v>
      </c>
      <c r="M107" s="802" t="str">
        <f>IF(M106=0,"",IF(M106=100%,"OK","erro"))</f>
        <v>OK</v>
      </c>
    </row>
    <row r="110" spans="1:13" ht="12" thickBot="1"/>
    <row r="111" spans="1:13" ht="18" customHeight="1">
      <c r="A111" s="703" t="s">
        <v>713</v>
      </c>
      <c r="B111" s="704"/>
      <c r="C111" s="704"/>
      <c r="D111" s="704"/>
      <c r="E111" s="704"/>
      <c r="F111" s="705"/>
      <c r="H111" s="703" t="s">
        <v>713</v>
      </c>
      <c r="I111" s="704"/>
      <c r="J111" s="704"/>
      <c r="K111" s="704"/>
      <c r="L111" s="704"/>
      <c r="M111" s="705"/>
    </row>
    <row r="112" spans="1:13" ht="18" customHeight="1">
      <c r="A112" s="706" t="s">
        <v>714</v>
      </c>
      <c r="B112" s="707"/>
      <c r="C112" s="707"/>
      <c r="D112" s="707"/>
      <c r="E112" s="707"/>
      <c r="F112" s="708"/>
      <c r="H112" s="706" t="s">
        <v>714</v>
      </c>
      <c r="I112" s="707"/>
      <c r="J112" s="707"/>
      <c r="K112" s="707"/>
      <c r="L112" s="707"/>
      <c r="M112" s="708"/>
    </row>
    <row r="113" spans="1:13" ht="18" customHeight="1" thickBot="1">
      <c r="A113" s="709" t="s">
        <v>715</v>
      </c>
      <c r="B113" s="710"/>
      <c r="C113" s="710"/>
      <c r="D113" s="710"/>
      <c r="E113" s="710"/>
      <c r="F113" s="711"/>
      <c r="H113" s="709" t="s">
        <v>715</v>
      </c>
      <c r="I113" s="710"/>
      <c r="J113" s="710"/>
      <c r="K113" s="710"/>
      <c r="L113" s="710"/>
      <c r="M113" s="711"/>
    </row>
    <row r="114" spans="1:13" ht="12" thickBot="1"/>
    <row r="115" spans="1:13" ht="20.25">
      <c r="A115" s="712" t="s">
        <v>2161</v>
      </c>
      <c r="B115" s="713" t="s">
        <v>729</v>
      </c>
      <c r="C115" s="714" t="s">
        <v>2161</v>
      </c>
      <c r="D115" s="715"/>
      <c r="E115" s="715"/>
      <c r="F115" s="716"/>
      <c r="H115" s="712" t="s">
        <v>2162</v>
      </c>
      <c r="I115" s="713" t="s">
        <v>729</v>
      </c>
      <c r="J115" s="714" t="s">
        <v>2162</v>
      </c>
      <c r="K115" s="715"/>
      <c r="L115" s="715"/>
      <c r="M115" s="716"/>
    </row>
    <row r="116" spans="1:13" ht="16.5" thickBot="1">
      <c r="A116" s="803" t="s">
        <v>2166</v>
      </c>
      <c r="B116" s="718" t="s">
        <v>718</v>
      </c>
      <c r="C116" s="719" t="s">
        <v>2153</v>
      </c>
      <c r="D116" s="720"/>
      <c r="E116" s="720"/>
      <c r="F116" s="721"/>
      <c r="H116" s="803" t="s">
        <v>2166</v>
      </c>
      <c r="I116" s="718" t="s">
        <v>718</v>
      </c>
      <c r="J116" s="719" t="s">
        <v>2153</v>
      </c>
      <c r="K116" s="720"/>
      <c r="L116" s="720"/>
      <c r="M116" s="721"/>
    </row>
    <row r="117" spans="1:13" ht="12" thickBot="1">
      <c r="A117" s="722"/>
      <c r="H117" s="722"/>
    </row>
    <row r="118" spans="1:13" ht="20.25">
      <c r="A118" s="723" t="s">
        <v>728</v>
      </c>
      <c r="B118" s="724"/>
      <c r="C118" s="725"/>
      <c r="D118" s="726"/>
      <c r="E118" s="727" t="s">
        <v>734</v>
      </c>
      <c r="F118" s="728"/>
      <c r="H118" s="723" t="s">
        <v>728</v>
      </c>
      <c r="I118" s="724"/>
      <c r="J118" s="725"/>
      <c r="K118" s="726"/>
      <c r="L118" s="727" t="s">
        <v>734</v>
      </c>
      <c r="M118" s="728"/>
    </row>
    <row r="119" spans="1:13" ht="15.75">
      <c r="A119" s="729" t="s">
        <v>730</v>
      </c>
      <c r="B119" s="730"/>
      <c r="C119" s="681">
        <v>2.4</v>
      </c>
      <c r="E119" s="731"/>
      <c r="F119" s="732"/>
      <c r="H119" s="729" t="s">
        <v>730</v>
      </c>
      <c r="I119" s="730"/>
      <c r="J119" s="681">
        <v>2.4</v>
      </c>
      <c r="L119" s="731"/>
      <c r="M119" s="732"/>
    </row>
    <row r="120" spans="1:13" ht="20.25">
      <c r="A120" s="733" t="s">
        <v>731</v>
      </c>
      <c r="B120" s="734"/>
      <c r="C120" s="735">
        <v>4.3999999999999997E-2</v>
      </c>
      <c r="E120" s="736" t="s">
        <v>735</v>
      </c>
      <c r="F120" s="737"/>
      <c r="H120" s="733" t="s">
        <v>731</v>
      </c>
      <c r="I120" s="734"/>
      <c r="J120" s="735">
        <v>4.2999999999999997E-2</v>
      </c>
      <c r="L120" s="736" t="s">
        <v>735</v>
      </c>
      <c r="M120" s="737"/>
    </row>
    <row r="121" spans="1:13" ht="15.75">
      <c r="A121" s="738" t="s">
        <v>716</v>
      </c>
      <c r="B121" s="739"/>
      <c r="C121" s="740"/>
      <c r="E121" s="741" t="s">
        <v>717</v>
      </c>
      <c r="F121" s="742" t="s">
        <v>733</v>
      </c>
      <c r="H121" s="738" t="s">
        <v>716</v>
      </c>
      <c r="I121" s="739"/>
      <c r="J121" s="740"/>
      <c r="L121" s="741" t="s">
        <v>717</v>
      </c>
      <c r="M121" s="742" t="s">
        <v>733</v>
      </c>
    </row>
    <row r="122" spans="1:13" ht="15">
      <c r="A122" s="743" t="s">
        <v>717</v>
      </c>
      <c r="B122" s="744" t="s">
        <v>732</v>
      </c>
      <c r="C122" s="745"/>
      <c r="E122" s="746"/>
      <c r="F122" s="747" t="s">
        <v>736</v>
      </c>
      <c r="H122" s="743" t="s">
        <v>717</v>
      </c>
      <c r="I122" s="744" t="s">
        <v>732</v>
      </c>
      <c r="J122" s="745"/>
      <c r="L122" s="746"/>
      <c r="M122" s="747" t="s">
        <v>736</v>
      </c>
    </row>
    <row r="123" spans="1:13" ht="15.75">
      <c r="A123" s="748" t="s">
        <v>719</v>
      </c>
      <c r="B123" s="749" t="s">
        <v>722</v>
      </c>
      <c r="C123" s="750"/>
      <c r="E123" s="751"/>
      <c r="F123" s="752"/>
      <c r="H123" s="748" t="s">
        <v>719</v>
      </c>
      <c r="I123" s="749" t="s">
        <v>722</v>
      </c>
      <c r="J123" s="750"/>
      <c r="L123" s="751"/>
      <c r="M123" s="752"/>
    </row>
    <row r="124" spans="1:13" ht="15.75">
      <c r="A124" s="753" t="s">
        <v>720</v>
      </c>
      <c r="B124" s="754" t="s">
        <v>723</v>
      </c>
      <c r="C124" s="755">
        <v>0.98499999999999999</v>
      </c>
      <c r="E124" s="756" t="s">
        <v>233</v>
      </c>
      <c r="F124" s="757">
        <f>SUM(C123:C125)</f>
        <v>0.98499999999999999</v>
      </c>
      <c r="H124" s="753" t="s">
        <v>720</v>
      </c>
      <c r="I124" s="754" t="s">
        <v>723</v>
      </c>
      <c r="J124" s="755">
        <v>0.98499999999999999</v>
      </c>
      <c r="L124" s="756" t="s">
        <v>233</v>
      </c>
      <c r="M124" s="757">
        <f>SUM(J123:J125)</f>
        <v>0.98499999999999999</v>
      </c>
    </row>
    <row r="125" spans="1:13" ht="15.75">
      <c r="A125" s="758" t="s">
        <v>721</v>
      </c>
      <c r="B125" s="759" t="s">
        <v>724</v>
      </c>
      <c r="C125" s="760"/>
      <c r="E125" s="761"/>
      <c r="F125" s="762"/>
      <c r="H125" s="758" t="s">
        <v>721</v>
      </c>
      <c r="I125" s="759" t="s">
        <v>724</v>
      </c>
      <c r="J125" s="760"/>
      <c r="L125" s="761"/>
      <c r="M125" s="762"/>
    </row>
    <row r="126" spans="1:13" ht="15.75">
      <c r="A126" s="763" t="s">
        <v>229</v>
      </c>
      <c r="B126" s="764" t="s">
        <v>229</v>
      </c>
      <c r="C126" s="765">
        <v>1.4999999999999999E-2</v>
      </c>
      <c r="E126" s="766" t="s">
        <v>229</v>
      </c>
      <c r="F126" s="767">
        <f>C126</f>
        <v>1.4999999999999999E-2</v>
      </c>
      <c r="H126" s="763" t="s">
        <v>229</v>
      </c>
      <c r="I126" s="764" t="s">
        <v>229</v>
      </c>
      <c r="J126" s="765">
        <v>1.4999999999999999E-2</v>
      </c>
      <c r="L126" s="766" t="s">
        <v>229</v>
      </c>
      <c r="M126" s="767">
        <f>J126</f>
        <v>1.4999999999999999E-2</v>
      </c>
    </row>
    <row r="127" spans="1:13" ht="15.75">
      <c r="A127" s="763" t="s">
        <v>725</v>
      </c>
      <c r="B127" s="764" t="s">
        <v>230</v>
      </c>
      <c r="C127" s="765">
        <v>0</v>
      </c>
      <c r="E127" s="768" t="s">
        <v>230</v>
      </c>
      <c r="F127" s="767">
        <f>C127</f>
        <v>0</v>
      </c>
      <c r="H127" s="763" t="s">
        <v>725</v>
      </c>
      <c r="I127" s="764" t="s">
        <v>230</v>
      </c>
      <c r="J127" s="765">
        <v>0</v>
      </c>
      <c r="L127" s="768" t="s">
        <v>230</v>
      </c>
      <c r="M127" s="767">
        <f>J127</f>
        <v>0</v>
      </c>
    </row>
    <row r="128" spans="1:13" ht="15.75">
      <c r="A128" s="769"/>
      <c r="B128" s="766" t="s">
        <v>726</v>
      </c>
      <c r="C128" s="770">
        <f>SUM(C123:C127)</f>
        <v>1</v>
      </c>
      <c r="E128" s="766" t="s">
        <v>726</v>
      </c>
      <c r="F128" s="771">
        <f>SUM(F124:F127)</f>
        <v>1</v>
      </c>
      <c r="H128" s="769"/>
      <c r="I128" s="766" t="s">
        <v>726</v>
      </c>
      <c r="J128" s="770">
        <f>SUM(J123:J127)</f>
        <v>1</v>
      </c>
      <c r="L128" s="766" t="s">
        <v>726</v>
      </c>
      <c r="M128" s="771">
        <f>SUM(M124:M127)</f>
        <v>1</v>
      </c>
    </row>
    <row r="129" spans="1:13" ht="16.5" thickBot="1">
      <c r="A129" s="772"/>
      <c r="B129" s="773" t="s">
        <v>727</v>
      </c>
      <c r="C129" s="774" t="str">
        <f>IF(C128=100%,"OK","erro")</f>
        <v>OK</v>
      </c>
      <c r="D129" s="775"/>
      <c r="E129" s="773" t="s">
        <v>727</v>
      </c>
      <c r="F129" s="774" t="str">
        <f>IF(F128=0,"",IF(F128=100%,"OK","erro"))</f>
        <v>OK</v>
      </c>
      <c r="H129" s="772"/>
      <c r="I129" s="773" t="s">
        <v>727</v>
      </c>
      <c r="J129" s="774" t="str">
        <f>IF(J128=100%,"OK","erro")</f>
        <v>OK</v>
      </c>
      <c r="K129" s="775"/>
      <c r="L129" s="773" t="s">
        <v>727</v>
      </c>
      <c r="M129" s="774" t="str">
        <f>IF(M128=0,"",IF(M128=100%,"OK","erro"))</f>
        <v>OK</v>
      </c>
    </row>
    <row r="130" spans="1:13" ht="12" thickBot="1"/>
    <row r="131" spans="1:13" ht="20.25">
      <c r="A131" s="776"/>
      <c r="B131" s="777"/>
      <c r="C131" s="778"/>
      <c r="E131" s="723" t="s">
        <v>737</v>
      </c>
      <c r="F131" s="728"/>
      <c r="H131" s="776"/>
      <c r="I131" s="777"/>
      <c r="J131" s="778"/>
      <c r="L131" s="723" t="s">
        <v>737</v>
      </c>
      <c r="M131" s="728"/>
    </row>
    <row r="132" spans="1:13">
      <c r="A132" s="731"/>
      <c r="C132" s="779"/>
      <c r="E132" s="780"/>
      <c r="F132" s="732"/>
      <c r="H132" s="731"/>
      <c r="J132" s="779"/>
      <c r="L132" s="780"/>
      <c r="M132" s="732"/>
    </row>
    <row r="133" spans="1:13" ht="20.25">
      <c r="A133" s="781" t="s">
        <v>2142</v>
      </c>
      <c r="C133" s="779"/>
      <c r="E133" s="782" t="s">
        <v>750</v>
      </c>
      <c r="F133" s="737"/>
      <c r="H133" s="781" t="s">
        <v>2142</v>
      </c>
      <c r="J133" s="779"/>
      <c r="L133" s="782" t="s">
        <v>750</v>
      </c>
      <c r="M133" s="737"/>
    </row>
    <row r="134" spans="1:13" ht="15.75">
      <c r="A134" s="781"/>
      <c r="C134" s="779"/>
      <c r="E134" s="783" t="s">
        <v>717</v>
      </c>
      <c r="F134" s="784" t="s">
        <v>733</v>
      </c>
      <c r="H134" s="781"/>
      <c r="J134" s="779"/>
      <c r="L134" s="783" t="s">
        <v>717</v>
      </c>
      <c r="M134" s="784" t="s">
        <v>733</v>
      </c>
    </row>
    <row r="135" spans="1:13" ht="15.75">
      <c r="A135" s="781" t="s">
        <v>738</v>
      </c>
      <c r="C135" s="779"/>
      <c r="E135" s="785"/>
      <c r="F135" s="786" t="s">
        <v>736</v>
      </c>
      <c r="H135" s="781" t="s">
        <v>738</v>
      </c>
      <c r="J135" s="779"/>
      <c r="L135" s="785"/>
      <c r="M135" s="786" t="s">
        <v>736</v>
      </c>
    </row>
    <row r="136" spans="1:13" ht="15.75">
      <c r="A136" s="781" t="s">
        <v>739</v>
      </c>
      <c r="C136" s="779"/>
      <c r="E136" s="787"/>
      <c r="F136" s="752"/>
      <c r="H136" s="781" t="s">
        <v>739</v>
      </c>
      <c r="J136" s="779"/>
      <c r="L136" s="787"/>
      <c r="M136" s="752"/>
    </row>
    <row r="137" spans="1:13" ht="15.75">
      <c r="A137" s="781" t="s">
        <v>740</v>
      </c>
      <c r="C137" s="779"/>
      <c r="E137" s="788" t="s">
        <v>233</v>
      </c>
      <c r="F137" s="789">
        <f>ROUND($C139*F124,4)</f>
        <v>0.94169999999999998</v>
      </c>
      <c r="H137" s="781" t="s">
        <v>740</v>
      </c>
      <c r="J137" s="779"/>
      <c r="L137" s="788" t="s">
        <v>233</v>
      </c>
      <c r="M137" s="789">
        <f>ROUND($J139*M124,4)</f>
        <v>0.94259999999999999</v>
      </c>
    </row>
    <row r="138" spans="1:13">
      <c r="A138" s="731"/>
      <c r="C138" s="779"/>
      <c r="E138" s="790"/>
      <c r="F138" s="762"/>
      <c r="H138" s="731"/>
      <c r="J138" s="779"/>
      <c r="L138" s="790"/>
      <c r="M138" s="762"/>
    </row>
    <row r="139" spans="1:13" ht="15.75">
      <c r="A139" s="791" t="s">
        <v>741</v>
      </c>
      <c r="B139" s="792"/>
      <c r="C139" s="770">
        <f>100%-C120</f>
        <v>0.95599999999999996</v>
      </c>
      <c r="E139" s="793" t="s">
        <v>229</v>
      </c>
      <c r="F139" s="794">
        <f>ROUND($C139*F126,4)</f>
        <v>1.43E-2</v>
      </c>
      <c r="H139" s="791" t="s">
        <v>741</v>
      </c>
      <c r="I139" s="792"/>
      <c r="J139" s="770">
        <f>100%-J120</f>
        <v>0.95699999999999996</v>
      </c>
      <c r="L139" s="793" t="s">
        <v>229</v>
      </c>
      <c r="M139" s="794">
        <f>ROUND($J139*M126,4)</f>
        <v>1.44E-2</v>
      </c>
    </row>
    <row r="140" spans="1:13" ht="15.75">
      <c r="B140" s="795"/>
      <c r="C140" s="796"/>
      <c r="D140" s="797">
        <f>SUM(D135:D139)</f>
        <v>0</v>
      </c>
      <c r="E140" s="798" t="s">
        <v>230</v>
      </c>
      <c r="F140" s="794">
        <f>ROUND($C139*F127,4)</f>
        <v>0</v>
      </c>
      <c r="I140" s="795"/>
      <c r="J140" s="796"/>
      <c r="K140" s="797">
        <f>SUM(K135:K139)</f>
        <v>0</v>
      </c>
      <c r="L140" s="798" t="s">
        <v>230</v>
      </c>
      <c r="M140" s="794">
        <f>ROUND($J139*M127,4)</f>
        <v>0</v>
      </c>
    </row>
    <row r="141" spans="1:13" ht="15.75">
      <c r="B141" s="795"/>
      <c r="C141" s="796"/>
      <c r="D141" s="799"/>
      <c r="E141" s="800" t="s">
        <v>742</v>
      </c>
      <c r="F141" s="794">
        <f>C120</f>
        <v>4.3999999999999997E-2</v>
      </c>
      <c r="I141" s="795"/>
      <c r="J141" s="796"/>
      <c r="K141" s="799"/>
      <c r="L141" s="800" t="s">
        <v>742</v>
      </c>
      <c r="M141" s="794">
        <f>J120</f>
        <v>4.2999999999999997E-2</v>
      </c>
    </row>
    <row r="142" spans="1:13" ht="15.75">
      <c r="B142" s="795"/>
      <c r="C142" s="796"/>
      <c r="E142" s="800" t="s">
        <v>743</v>
      </c>
      <c r="F142" s="794">
        <f>SUM(F137:F141)</f>
        <v>1</v>
      </c>
      <c r="I142" s="795"/>
      <c r="J142" s="796"/>
      <c r="L142" s="800" t="s">
        <v>743</v>
      </c>
      <c r="M142" s="794">
        <f>SUM(M137:M141)</f>
        <v>1</v>
      </c>
    </row>
    <row r="143" spans="1:13" ht="16.5" thickBot="1">
      <c r="B143" s="795"/>
      <c r="C143" s="796"/>
      <c r="E143" s="801" t="s">
        <v>727</v>
      </c>
      <c r="F143" s="802" t="str">
        <f>IF(F142=0,"",IF(F142=100%,"OK","erro"))</f>
        <v>OK</v>
      </c>
      <c r="I143" s="795"/>
      <c r="J143" s="796"/>
      <c r="L143" s="801" t="s">
        <v>727</v>
      </c>
      <c r="M143" s="802" t="str">
        <f>IF(M142=0,"",IF(M142=100%,"OK","erro"))</f>
        <v>OK</v>
      </c>
    </row>
    <row r="145" spans="1:13" ht="12" thickBot="1"/>
    <row r="146" spans="1:13" ht="18" customHeight="1">
      <c r="A146" s="703" t="s">
        <v>713</v>
      </c>
      <c r="B146" s="704"/>
      <c r="C146" s="704"/>
      <c r="D146" s="704"/>
      <c r="E146" s="704"/>
      <c r="F146" s="705"/>
      <c r="H146" s="703" t="s">
        <v>713</v>
      </c>
      <c r="I146" s="704"/>
      <c r="J146" s="704"/>
      <c r="K146" s="704"/>
      <c r="L146" s="704"/>
      <c r="M146" s="705"/>
    </row>
    <row r="147" spans="1:13" ht="18" customHeight="1">
      <c r="A147" s="706" t="s">
        <v>714</v>
      </c>
      <c r="B147" s="707"/>
      <c r="C147" s="707"/>
      <c r="D147" s="707"/>
      <c r="E147" s="707"/>
      <c r="F147" s="708"/>
      <c r="H147" s="706" t="s">
        <v>714</v>
      </c>
      <c r="I147" s="707"/>
      <c r="J147" s="707"/>
      <c r="K147" s="707"/>
      <c r="L147" s="707"/>
      <c r="M147" s="708"/>
    </row>
    <row r="148" spans="1:13" ht="18" customHeight="1" thickBot="1">
      <c r="A148" s="709" t="s">
        <v>715</v>
      </c>
      <c r="B148" s="710"/>
      <c r="C148" s="710"/>
      <c r="D148" s="710"/>
      <c r="E148" s="710"/>
      <c r="F148" s="711"/>
      <c r="H148" s="709" t="s">
        <v>715</v>
      </c>
      <c r="I148" s="710"/>
      <c r="J148" s="710"/>
      <c r="K148" s="710"/>
      <c r="L148" s="710"/>
      <c r="M148" s="711"/>
    </row>
    <row r="151" spans="1:13" ht="12" thickBot="1"/>
    <row r="152" spans="1:13" ht="20.25">
      <c r="A152" s="712" t="s">
        <v>2163</v>
      </c>
      <c r="B152" s="713" t="s">
        <v>729</v>
      </c>
      <c r="C152" s="714" t="s">
        <v>2249</v>
      </c>
      <c r="D152" s="715"/>
      <c r="E152" s="715"/>
      <c r="F152" s="716"/>
      <c r="H152" s="712" t="s">
        <v>2164</v>
      </c>
      <c r="I152" s="713" t="s">
        <v>729</v>
      </c>
      <c r="J152" s="714" t="s">
        <v>2250</v>
      </c>
      <c r="K152" s="715"/>
      <c r="L152" s="715"/>
      <c r="M152" s="716"/>
    </row>
    <row r="153" spans="1:13" ht="16.5" thickBot="1">
      <c r="A153" s="803" t="s">
        <v>2166</v>
      </c>
      <c r="B153" s="718" t="s">
        <v>718</v>
      </c>
      <c r="C153" s="719" t="s">
        <v>2144</v>
      </c>
      <c r="D153" s="720"/>
      <c r="E153" s="720"/>
      <c r="F153" s="721"/>
      <c r="H153" s="803" t="s">
        <v>2166</v>
      </c>
      <c r="I153" s="718" t="s">
        <v>718</v>
      </c>
      <c r="J153" s="719" t="s">
        <v>2144</v>
      </c>
      <c r="K153" s="720"/>
      <c r="L153" s="720"/>
      <c r="M153" s="721"/>
    </row>
    <row r="154" spans="1:13" ht="12" thickBot="1">
      <c r="A154" s="722"/>
      <c r="H154" s="722"/>
    </row>
    <row r="155" spans="1:13" ht="20.45" customHeight="1">
      <c r="A155" s="723" t="s">
        <v>728</v>
      </c>
      <c r="B155" s="724"/>
      <c r="C155" s="725"/>
      <c r="D155" s="726"/>
      <c r="E155" s="727" t="s">
        <v>734</v>
      </c>
      <c r="F155" s="728"/>
      <c r="H155" s="723" t="s">
        <v>728</v>
      </c>
      <c r="I155" s="724"/>
      <c r="J155" s="725"/>
      <c r="K155" s="726"/>
      <c r="L155" s="727" t="s">
        <v>734</v>
      </c>
      <c r="M155" s="728"/>
    </row>
    <row r="156" spans="1:13" ht="15.75">
      <c r="A156" s="729" t="s">
        <v>730</v>
      </c>
      <c r="B156" s="730"/>
      <c r="C156" s="681">
        <v>2.4</v>
      </c>
      <c r="E156" s="731"/>
      <c r="F156" s="732"/>
      <c r="H156" s="729" t="s">
        <v>730</v>
      </c>
      <c r="I156" s="730"/>
      <c r="J156" s="681">
        <v>2.4</v>
      </c>
      <c r="L156" s="731"/>
      <c r="M156" s="732"/>
    </row>
    <row r="157" spans="1:13" ht="20.25">
      <c r="A157" s="733" t="s">
        <v>731</v>
      </c>
      <c r="B157" s="734"/>
      <c r="C157" s="735">
        <v>5.0999999999999997E-2</v>
      </c>
      <c r="E157" s="736" t="s">
        <v>751</v>
      </c>
      <c r="F157" s="737"/>
      <c r="H157" s="733" t="s">
        <v>731</v>
      </c>
      <c r="I157" s="734"/>
      <c r="J157" s="735">
        <v>0.05</v>
      </c>
      <c r="L157" s="736" t="s">
        <v>751</v>
      </c>
      <c r="M157" s="737"/>
    </row>
    <row r="158" spans="1:13" ht="15.75">
      <c r="A158" s="738" t="s">
        <v>716</v>
      </c>
      <c r="B158" s="739"/>
      <c r="C158" s="740"/>
      <c r="E158" s="741" t="s">
        <v>717</v>
      </c>
      <c r="F158" s="742" t="s">
        <v>733</v>
      </c>
      <c r="H158" s="738" t="s">
        <v>716</v>
      </c>
      <c r="I158" s="739"/>
      <c r="J158" s="740"/>
      <c r="L158" s="741" t="s">
        <v>717</v>
      </c>
      <c r="M158" s="742" t="s">
        <v>733</v>
      </c>
    </row>
    <row r="159" spans="1:13" ht="15">
      <c r="A159" s="743" t="s">
        <v>717</v>
      </c>
      <c r="B159" s="744" t="s">
        <v>732</v>
      </c>
      <c r="C159" s="745"/>
      <c r="E159" s="746"/>
      <c r="F159" s="747" t="s">
        <v>736</v>
      </c>
      <c r="H159" s="743" t="s">
        <v>717</v>
      </c>
      <c r="I159" s="744" t="s">
        <v>732</v>
      </c>
      <c r="J159" s="745"/>
      <c r="L159" s="746"/>
      <c r="M159" s="747" t="s">
        <v>736</v>
      </c>
    </row>
    <row r="160" spans="1:13" ht="15.75">
      <c r="A160" s="748" t="s">
        <v>719</v>
      </c>
      <c r="B160" s="749" t="s">
        <v>722</v>
      </c>
      <c r="C160" s="750"/>
      <c r="E160" s="751"/>
      <c r="F160" s="752"/>
      <c r="H160" s="748" t="s">
        <v>719</v>
      </c>
      <c r="I160" s="749" t="s">
        <v>722</v>
      </c>
      <c r="J160" s="750"/>
      <c r="L160" s="751"/>
      <c r="M160" s="752"/>
    </row>
    <row r="161" spans="1:13" ht="15.75">
      <c r="A161" s="753" t="s">
        <v>720</v>
      </c>
      <c r="B161" s="754" t="s">
        <v>723</v>
      </c>
      <c r="C161" s="755">
        <v>0.88500000000000001</v>
      </c>
      <c r="E161" s="756" t="s">
        <v>233</v>
      </c>
      <c r="F161" s="757">
        <f>SUM(C160:C162)</f>
        <v>0.88500000000000001</v>
      </c>
      <c r="H161" s="753" t="s">
        <v>720</v>
      </c>
      <c r="I161" s="754" t="s">
        <v>723</v>
      </c>
      <c r="J161" s="755">
        <v>0.88500000000000001</v>
      </c>
      <c r="L161" s="756" t="s">
        <v>233</v>
      </c>
      <c r="M161" s="757">
        <f>SUM(J160:J162)</f>
        <v>0.88500000000000001</v>
      </c>
    </row>
    <row r="162" spans="1:13" ht="15.75">
      <c r="A162" s="758" t="s">
        <v>721</v>
      </c>
      <c r="B162" s="759" t="s">
        <v>724</v>
      </c>
      <c r="C162" s="760"/>
      <c r="E162" s="761"/>
      <c r="F162" s="762"/>
      <c r="H162" s="758" t="s">
        <v>721</v>
      </c>
      <c r="I162" s="759" t="s">
        <v>724</v>
      </c>
      <c r="J162" s="760"/>
      <c r="L162" s="761"/>
      <c r="M162" s="762"/>
    </row>
    <row r="163" spans="1:13" ht="15.75">
      <c r="A163" s="763" t="s">
        <v>229</v>
      </c>
      <c r="B163" s="764" t="s">
        <v>229</v>
      </c>
      <c r="C163" s="765">
        <v>0.1</v>
      </c>
      <c r="E163" s="766" t="s">
        <v>229</v>
      </c>
      <c r="F163" s="767">
        <f>C163</f>
        <v>0.1</v>
      </c>
      <c r="H163" s="763" t="s">
        <v>229</v>
      </c>
      <c r="I163" s="764" t="s">
        <v>229</v>
      </c>
      <c r="J163" s="765">
        <v>0.1</v>
      </c>
      <c r="L163" s="766" t="s">
        <v>229</v>
      </c>
      <c r="M163" s="767">
        <f>J163</f>
        <v>0.1</v>
      </c>
    </row>
    <row r="164" spans="1:13" ht="15.75">
      <c r="A164" s="763" t="s">
        <v>725</v>
      </c>
      <c r="B164" s="764" t="s">
        <v>230</v>
      </c>
      <c r="C164" s="765">
        <v>1.4999999999999999E-2</v>
      </c>
      <c r="E164" s="768" t="s">
        <v>230</v>
      </c>
      <c r="F164" s="767">
        <f>C164</f>
        <v>1.4999999999999999E-2</v>
      </c>
      <c r="H164" s="763" t="s">
        <v>725</v>
      </c>
      <c r="I164" s="764" t="s">
        <v>230</v>
      </c>
      <c r="J164" s="765">
        <v>1.4999999999999999E-2</v>
      </c>
      <c r="L164" s="768" t="s">
        <v>230</v>
      </c>
      <c r="M164" s="767">
        <f>J164</f>
        <v>1.4999999999999999E-2</v>
      </c>
    </row>
    <row r="165" spans="1:13" ht="15.75">
      <c r="A165" s="769"/>
      <c r="B165" s="766" t="s">
        <v>726</v>
      </c>
      <c r="C165" s="770">
        <f>SUM(C160:C164)</f>
        <v>1</v>
      </c>
      <c r="E165" s="766" t="s">
        <v>726</v>
      </c>
      <c r="F165" s="771">
        <f>SUM(F161:F164)</f>
        <v>1</v>
      </c>
      <c r="H165" s="769"/>
      <c r="I165" s="766" t="s">
        <v>726</v>
      </c>
      <c r="J165" s="770">
        <f>SUM(J160:J164)</f>
        <v>1</v>
      </c>
      <c r="L165" s="766" t="s">
        <v>726</v>
      </c>
      <c r="M165" s="771">
        <f>SUM(M161:M164)</f>
        <v>1</v>
      </c>
    </row>
    <row r="166" spans="1:13" ht="16.5" thickBot="1">
      <c r="A166" s="772"/>
      <c r="B166" s="773" t="s">
        <v>727</v>
      </c>
      <c r="C166" s="774" t="str">
        <f>IF(C165=0,"",IF(C165=100%,"OK","erro"))</f>
        <v>OK</v>
      </c>
      <c r="D166" s="775"/>
      <c r="E166" s="773" t="s">
        <v>727</v>
      </c>
      <c r="F166" s="774" t="str">
        <f>IF(F165=0,"",IF(F165=100%,"OK","erro"))</f>
        <v>OK</v>
      </c>
      <c r="H166" s="772"/>
      <c r="I166" s="773" t="s">
        <v>727</v>
      </c>
      <c r="J166" s="774" t="str">
        <f>IF(J165=0,"",IF(J165=100%,"OK","erro"))</f>
        <v>OK</v>
      </c>
      <c r="K166" s="775"/>
      <c r="L166" s="773" t="s">
        <v>727</v>
      </c>
      <c r="M166" s="774" t="str">
        <f>IF(M165=0,"",IF(M165=100%,"OK","erro"))</f>
        <v>OK</v>
      </c>
    </row>
    <row r="167" spans="1:13" ht="12" thickBot="1"/>
    <row r="168" spans="1:13" ht="20.25">
      <c r="A168" s="776"/>
      <c r="B168" s="777"/>
      <c r="C168" s="778"/>
      <c r="E168" s="723" t="s">
        <v>737</v>
      </c>
      <c r="F168" s="728"/>
      <c r="H168" s="776"/>
      <c r="I168" s="777"/>
      <c r="J168" s="778"/>
      <c r="L168" s="723" t="s">
        <v>737</v>
      </c>
      <c r="M168" s="728"/>
    </row>
    <row r="169" spans="1:13">
      <c r="A169" s="731"/>
      <c r="C169" s="779"/>
      <c r="E169" s="780"/>
      <c r="F169" s="732"/>
      <c r="H169" s="731"/>
      <c r="J169" s="779"/>
      <c r="L169" s="780"/>
      <c r="M169" s="732"/>
    </row>
    <row r="170" spans="1:13" ht="20.25">
      <c r="A170" s="781" t="s">
        <v>2142</v>
      </c>
      <c r="C170" s="779"/>
      <c r="E170" s="782" t="s">
        <v>750</v>
      </c>
      <c r="F170" s="737"/>
      <c r="H170" s="781" t="s">
        <v>2142</v>
      </c>
      <c r="J170" s="779"/>
      <c r="L170" s="782" t="s">
        <v>750</v>
      </c>
      <c r="M170" s="737"/>
    </row>
    <row r="171" spans="1:13" ht="15.75">
      <c r="A171" s="781"/>
      <c r="C171" s="779"/>
      <c r="E171" s="783" t="s">
        <v>717</v>
      </c>
      <c r="F171" s="784" t="s">
        <v>733</v>
      </c>
      <c r="H171" s="781"/>
      <c r="J171" s="779"/>
      <c r="L171" s="783" t="s">
        <v>717</v>
      </c>
      <c r="M171" s="784" t="s">
        <v>733</v>
      </c>
    </row>
    <row r="172" spans="1:13" ht="15.75">
      <c r="A172" s="781" t="s">
        <v>738</v>
      </c>
      <c r="C172" s="779"/>
      <c r="E172" s="785"/>
      <c r="F172" s="786" t="s">
        <v>736</v>
      </c>
      <c r="H172" s="781" t="s">
        <v>738</v>
      </c>
      <c r="J172" s="779"/>
      <c r="L172" s="785"/>
      <c r="M172" s="786" t="s">
        <v>736</v>
      </c>
    </row>
    <row r="173" spans="1:13" ht="15.75">
      <c r="A173" s="781" t="s">
        <v>739</v>
      </c>
      <c r="C173" s="779"/>
      <c r="E173" s="787"/>
      <c r="F173" s="752"/>
      <c r="H173" s="781" t="s">
        <v>739</v>
      </c>
      <c r="J173" s="779"/>
      <c r="L173" s="787"/>
      <c r="M173" s="752"/>
    </row>
    <row r="174" spans="1:13" ht="15.75">
      <c r="A174" s="781" t="s">
        <v>740</v>
      </c>
      <c r="C174" s="779"/>
      <c r="E174" s="788" t="s">
        <v>233</v>
      </c>
      <c r="F174" s="789">
        <f>ROUND($C176*F161,4)</f>
        <v>0.83989999999999998</v>
      </c>
      <c r="H174" s="781" t="s">
        <v>740</v>
      </c>
      <c r="J174" s="779"/>
      <c r="L174" s="788" t="s">
        <v>233</v>
      </c>
      <c r="M174" s="789">
        <f>ROUNDDOWN($J176*M161,4)</f>
        <v>0.8407</v>
      </c>
    </row>
    <row r="175" spans="1:13">
      <c r="A175" s="731"/>
      <c r="C175" s="779"/>
      <c r="E175" s="790"/>
      <c r="F175" s="762"/>
      <c r="H175" s="731"/>
      <c r="J175" s="779"/>
      <c r="L175" s="790"/>
      <c r="M175" s="762"/>
    </row>
    <row r="176" spans="1:13" ht="15.75">
      <c r="A176" s="791" t="s">
        <v>741</v>
      </c>
      <c r="B176" s="792"/>
      <c r="C176" s="770">
        <f>100%-C157</f>
        <v>0.94899999999999995</v>
      </c>
      <c r="E176" s="793" t="s">
        <v>229</v>
      </c>
      <c r="F176" s="794">
        <f>ROUND($C176*F163,4)</f>
        <v>9.4899999999999998E-2</v>
      </c>
      <c r="H176" s="791" t="s">
        <v>741</v>
      </c>
      <c r="I176" s="792"/>
      <c r="J176" s="770">
        <f>100%-J157</f>
        <v>0.95</v>
      </c>
      <c r="L176" s="793" t="s">
        <v>229</v>
      </c>
      <c r="M176" s="794">
        <f>ROUND($J176*M163,4)</f>
        <v>9.5000000000000001E-2</v>
      </c>
    </row>
    <row r="177" spans="1:13" ht="15.75">
      <c r="B177" s="795"/>
      <c r="C177" s="796"/>
      <c r="D177" s="797">
        <f>SUM(D172:D176)</f>
        <v>0</v>
      </c>
      <c r="E177" s="798" t="s">
        <v>230</v>
      </c>
      <c r="F177" s="794">
        <f>ROUND($C176*F164,4)</f>
        <v>1.4200000000000001E-2</v>
      </c>
      <c r="I177" s="795"/>
      <c r="J177" s="796"/>
      <c r="K177" s="797">
        <f>SUM(K172:K176)</f>
        <v>0</v>
      </c>
      <c r="L177" s="798" t="s">
        <v>230</v>
      </c>
      <c r="M177" s="794">
        <f>ROUND($J176*M164,4)</f>
        <v>1.43E-2</v>
      </c>
    </row>
    <row r="178" spans="1:13" ht="15.75">
      <c r="B178" s="795"/>
      <c r="C178" s="796"/>
      <c r="D178" s="799"/>
      <c r="E178" s="800" t="s">
        <v>742</v>
      </c>
      <c r="F178" s="794">
        <f>C157</f>
        <v>5.0999999999999997E-2</v>
      </c>
      <c r="I178" s="795"/>
      <c r="J178" s="796"/>
      <c r="K178" s="799"/>
      <c r="L178" s="800" t="s">
        <v>742</v>
      </c>
      <c r="M178" s="794">
        <f>J157</f>
        <v>0.05</v>
      </c>
    </row>
    <row r="179" spans="1:13" ht="15.75">
      <c r="B179" s="795"/>
      <c r="C179" s="796"/>
      <c r="E179" s="800" t="s">
        <v>743</v>
      </c>
      <c r="F179" s="794">
        <f>SUM(F174:F178)</f>
        <v>1</v>
      </c>
      <c r="I179" s="795"/>
      <c r="J179" s="796"/>
      <c r="L179" s="800" t="s">
        <v>743</v>
      </c>
      <c r="M179" s="794">
        <f>SUM(M174:M178)</f>
        <v>1</v>
      </c>
    </row>
    <row r="180" spans="1:13" ht="16.5" thickBot="1">
      <c r="B180" s="795"/>
      <c r="C180" s="796"/>
      <c r="E180" s="801" t="s">
        <v>727</v>
      </c>
      <c r="F180" s="802" t="str">
        <f>IF(F179=0,"",IF(F179=100%,"OK","erro"))</f>
        <v>OK</v>
      </c>
      <c r="I180" s="795"/>
      <c r="J180" s="796"/>
      <c r="L180" s="801" t="s">
        <v>727</v>
      </c>
      <c r="M180" s="802" t="str">
        <f>IF(M179=0,"",IF(M179=100%,"OK","erro"))</f>
        <v>OK</v>
      </c>
    </row>
    <row r="183" spans="1:13" ht="12" thickBot="1"/>
    <row r="184" spans="1:13" ht="18" customHeight="1">
      <c r="A184" s="703" t="s">
        <v>713</v>
      </c>
      <c r="B184" s="704"/>
      <c r="C184" s="704"/>
      <c r="D184" s="704"/>
      <c r="E184" s="704"/>
      <c r="F184" s="705"/>
      <c r="H184" s="703" t="s">
        <v>713</v>
      </c>
      <c r="I184" s="704"/>
      <c r="J184" s="704"/>
      <c r="K184" s="704"/>
      <c r="L184" s="704"/>
      <c r="M184" s="705"/>
    </row>
    <row r="185" spans="1:13" ht="18" customHeight="1">
      <c r="A185" s="706" t="s">
        <v>714</v>
      </c>
      <c r="B185" s="707"/>
      <c r="C185" s="707"/>
      <c r="D185" s="707"/>
      <c r="E185" s="707"/>
      <c r="F185" s="708"/>
      <c r="H185" s="706" t="s">
        <v>714</v>
      </c>
      <c r="I185" s="707"/>
      <c r="J185" s="707"/>
      <c r="K185" s="707"/>
      <c r="L185" s="707"/>
      <c r="M185" s="708"/>
    </row>
    <row r="186" spans="1:13" ht="18" customHeight="1" thickBot="1">
      <c r="A186" s="709" t="s">
        <v>715</v>
      </c>
      <c r="B186" s="710"/>
      <c r="C186" s="710"/>
      <c r="D186" s="710"/>
      <c r="E186" s="710"/>
      <c r="F186" s="711"/>
      <c r="H186" s="709" t="s">
        <v>715</v>
      </c>
      <c r="I186" s="710"/>
      <c r="J186" s="710"/>
      <c r="K186" s="710"/>
      <c r="L186" s="710"/>
      <c r="M186" s="711"/>
    </row>
    <row r="189" spans="1:13" ht="12" thickBot="1"/>
    <row r="190" spans="1:13" ht="20.25">
      <c r="A190" s="712" t="s">
        <v>2145</v>
      </c>
      <c r="B190" s="713" t="s">
        <v>729</v>
      </c>
      <c r="C190" s="714" t="s">
        <v>2258</v>
      </c>
      <c r="D190" s="715"/>
      <c r="E190" s="715"/>
      <c r="F190" s="716"/>
      <c r="H190" s="712" t="s">
        <v>2165</v>
      </c>
      <c r="I190" s="713" t="s">
        <v>729</v>
      </c>
      <c r="J190" s="714" t="s">
        <v>2259</v>
      </c>
      <c r="K190" s="715"/>
      <c r="L190" s="715"/>
      <c r="M190" s="716"/>
    </row>
    <row r="191" spans="1:13" ht="16.5" thickBot="1">
      <c r="A191" s="803" t="s">
        <v>2166</v>
      </c>
      <c r="B191" s="718" t="s">
        <v>718</v>
      </c>
      <c r="C191" s="719" t="s">
        <v>2143</v>
      </c>
      <c r="D191" s="720"/>
      <c r="E191" s="720"/>
      <c r="F191" s="721"/>
      <c r="H191" s="803" t="s">
        <v>2166</v>
      </c>
      <c r="I191" s="718" t="s">
        <v>718</v>
      </c>
      <c r="J191" s="719" t="s">
        <v>2143</v>
      </c>
      <c r="K191" s="720"/>
      <c r="L191" s="720"/>
      <c r="M191" s="721"/>
    </row>
    <row r="192" spans="1:13" ht="12" thickBot="1">
      <c r="A192" s="722"/>
      <c r="H192" s="722"/>
    </row>
    <row r="193" spans="1:13" ht="20.25">
      <c r="A193" s="723" t="s">
        <v>728</v>
      </c>
      <c r="B193" s="724"/>
      <c r="C193" s="725"/>
      <c r="D193" s="726"/>
      <c r="E193" s="727" t="s">
        <v>734</v>
      </c>
      <c r="F193" s="728"/>
      <c r="H193" s="723" t="s">
        <v>728</v>
      </c>
      <c r="I193" s="724"/>
      <c r="J193" s="725"/>
      <c r="K193" s="726"/>
      <c r="L193" s="727" t="s">
        <v>734</v>
      </c>
      <c r="M193" s="728"/>
    </row>
    <row r="194" spans="1:13" ht="15.75">
      <c r="A194" s="729" t="s">
        <v>730</v>
      </c>
      <c r="B194" s="730"/>
      <c r="C194" s="681">
        <v>2.4</v>
      </c>
      <c r="E194" s="731"/>
      <c r="F194" s="732"/>
      <c r="H194" s="729" t="s">
        <v>730</v>
      </c>
      <c r="I194" s="730"/>
      <c r="J194" s="681">
        <v>2.4</v>
      </c>
      <c r="L194" s="731"/>
      <c r="M194" s="732"/>
    </row>
    <row r="195" spans="1:13" ht="20.25">
      <c r="A195" s="733" t="s">
        <v>731</v>
      </c>
      <c r="B195" s="734"/>
      <c r="C195" s="735">
        <v>5.6000000000000001E-2</v>
      </c>
      <c r="E195" s="736" t="s">
        <v>735</v>
      </c>
      <c r="F195" s="737"/>
      <c r="H195" s="733" t="s">
        <v>731</v>
      </c>
      <c r="I195" s="734"/>
      <c r="J195" s="735">
        <v>5.5E-2</v>
      </c>
      <c r="L195" s="736" t="s">
        <v>735</v>
      </c>
      <c r="M195" s="737"/>
    </row>
    <row r="196" spans="1:13" ht="15.75">
      <c r="A196" s="738" t="s">
        <v>716</v>
      </c>
      <c r="B196" s="739"/>
      <c r="C196" s="740"/>
      <c r="E196" s="741" t="s">
        <v>717</v>
      </c>
      <c r="F196" s="742" t="s">
        <v>733</v>
      </c>
      <c r="H196" s="738" t="s">
        <v>716</v>
      </c>
      <c r="I196" s="739"/>
      <c r="J196" s="740"/>
      <c r="L196" s="741" t="s">
        <v>717</v>
      </c>
      <c r="M196" s="742" t="s">
        <v>733</v>
      </c>
    </row>
    <row r="197" spans="1:13" ht="15">
      <c r="A197" s="743" t="s">
        <v>717</v>
      </c>
      <c r="B197" s="744" t="s">
        <v>732</v>
      </c>
      <c r="C197" s="745"/>
      <c r="E197" s="746"/>
      <c r="F197" s="747" t="s">
        <v>736</v>
      </c>
      <c r="H197" s="743" t="s">
        <v>717</v>
      </c>
      <c r="I197" s="744" t="s">
        <v>732</v>
      </c>
      <c r="J197" s="745"/>
      <c r="L197" s="746"/>
      <c r="M197" s="747" t="s">
        <v>736</v>
      </c>
    </row>
    <row r="198" spans="1:13" ht="15.75">
      <c r="A198" s="748" t="s">
        <v>719</v>
      </c>
      <c r="B198" s="749" t="s">
        <v>722</v>
      </c>
      <c r="C198" s="750"/>
      <c r="E198" s="751"/>
      <c r="F198" s="752"/>
      <c r="H198" s="748" t="s">
        <v>719</v>
      </c>
      <c r="I198" s="749" t="s">
        <v>722</v>
      </c>
      <c r="J198" s="750"/>
      <c r="L198" s="751"/>
      <c r="M198" s="752"/>
    </row>
    <row r="199" spans="1:13" ht="15.75">
      <c r="A199" s="753" t="s">
        <v>720</v>
      </c>
      <c r="B199" s="754" t="s">
        <v>723</v>
      </c>
      <c r="C199" s="755">
        <v>0.88500000000000001</v>
      </c>
      <c r="E199" s="756" t="s">
        <v>233</v>
      </c>
      <c r="F199" s="757">
        <f>SUM(C198:C200)</f>
        <v>0.88500000000000001</v>
      </c>
      <c r="H199" s="753" t="s">
        <v>720</v>
      </c>
      <c r="I199" s="754" t="s">
        <v>723</v>
      </c>
      <c r="J199" s="755">
        <v>0.88500000000000001</v>
      </c>
      <c r="L199" s="756" t="s">
        <v>233</v>
      </c>
      <c r="M199" s="757">
        <f>SUM(J198:J200)</f>
        <v>0.88500000000000001</v>
      </c>
    </row>
    <row r="200" spans="1:13" ht="15.75">
      <c r="A200" s="758" t="s">
        <v>721</v>
      </c>
      <c r="B200" s="759" t="s">
        <v>724</v>
      </c>
      <c r="C200" s="760"/>
      <c r="E200" s="761"/>
      <c r="F200" s="762"/>
      <c r="H200" s="758" t="s">
        <v>721</v>
      </c>
      <c r="I200" s="759" t="s">
        <v>724</v>
      </c>
      <c r="J200" s="760"/>
      <c r="L200" s="761"/>
      <c r="M200" s="762"/>
    </row>
    <row r="201" spans="1:13" ht="15.75">
      <c r="A201" s="763" t="s">
        <v>229</v>
      </c>
      <c r="B201" s="764" t="s">
        <v>229</v>
      </c>
      <c r="C201" s="765">
        <v>0.1</v>
      </c>
      <c r="E201" s="766" t="s">
        <v>229</v>
      </c>
      <c r="F201" s="767">
        <f>C201</f>
        <v>0.1</v>
      </c>
      <c r="H201" s="763" t="s">
        <v>229</v>
      </c>
      <c r="I201" s="764" t="s">
        <v>229</v>
      </c>
      <c r="J201" s="765">
        <v>0.1</v>
      </c>
      <c r="L201" s="766" t="s">
        <v>229</v>
      </c>
      <c r="M201" s="767">
        <f>J201</f>
        <v>0.1</v>
      </c>
    </row>
    <row r="202" spans="1:13" ht="15.75">
      <c r="A202" s="763" t="s">
        <v>725</v>
      </c>
      <c r="B202" s="764" t="s">
        <v>230</v>
      </c>
      <c r="C202" s="765">
        <v>1.4999999999999999E-2</v>
      </c>
      <c r="E202" s="768" t="s">
        <v>230</v>
      </c>
      <c r="F202" s="767">
        <f>C202</f>
        <v>1.4999999999999999E-2</v>
      </c>
      <c r="H202" s="763" t="s">
        <v>725</v>
      </c>
      <c r="I202" s="764" t="s">
        <v>230</v>
      </c>
      <c r="J202" s="765">
        <v>1.4999999999999999E-2</v>
      </c>
      <c r="L202" s="768" t="s">
        <v>230</v>
      </c>
      <c r="M202" s="767">
        <f>J202</f>
        <v>1.4999999999999999E-2</v>
      </c>
    </row>
    <row r="203" spans="1:13" ht="15.75">
      <c r="A203" s="769"/>
      <c r="B203" s="766" t="s">
        <v>726</v>
      </c>
      <c r="C203" s="770">
        <f>SUM(C198:C202)</f>
        <v>1</v>
      </c>
      <c r="E203" s="766" t="s">
        <v>726</v>
      </c>
      <c r="F203" s="771">
        <f>SUM(F199:F202)</f>
        <v>1</v>
      </c>
      <c r="H203" s="769"/>
      <c r="I203" s="766" t="s">
        <v>726</v>
      </c>
      <c r="J203" s="770">
        <f>SUM(J198:J202)</f>
        <v>1</v>
      </c>
      <c r="L203" s="766" t="s">
        <v>726</v>
      </c>
      <c r="M203" s="771">
        <f>SUM(M199:M202)</f>
        <v>1</v>
      </c>
    </row>
    <row r="204" spans="1:13" ht="16.5" thickBot="1">
      <c r="A204" s="772"/>
      <c r="B204" s="773" t="s">
        <v>727</v>
      </c>
      <c r="C204" s="774" t="str">
        <f>IF(C203=100%,"OK","erro")</f>
        <v>OK</v>
      </c>
      <c r="D204" s="775"/>
      <c r="E204" s="773" t="s">
        <v>727</v>
      </c>
      <c r="F204" s="774" t="str">
        <f>IF(F203=0,"",IF(F203=100%,"OK","erro"))</f>
        <v>OK</v>
      </c>
      <c r="H204" s="772"/>
      <c r="I204" s="773" t="s">
        <v>727</v>
      </c>
      <c r="J204" s="774" t="str">
        <f>IF(J203=100%,"OK","erro")</f>
        <v>OK</v>
      </c>
      <c r="K204" s="775"/>
      <c r="L204" s="773" t="s">
        <v>727</v>
      </c>
      <c r="M204" s="774" t="str">
        <f>IF(M203=0,"",IF(M203=100%,"OK","erro"))</f>
        <v>OK</v>
      </c>
    </row>
    <row r="205" spans="1:13" ht="12" thickBot="1"/>
    <row r="206" spans="1:13" ht="20.25">
      <c r="A206" s="776"/>
      <c r="B206" s="777"/>
      <c r="C206" s="778"/>
      <c r="E206" s="723" t="s">
        <v>737</v>
      </c>
      <c r="F206" s="728"/>
      <c r="H206" s="776"/>
      <c r="I206" s="777"/>
      <c r="J206" s="778"/>
      <c r="L206" s="723" t="s">
        <v>737</v>
      </c>
      <c r="M206" s="728"/>
    </row>
    <row r="207" spans="1:13">
      <c r="A207" s="731"/>
      <c r="C207" s="779"/>
      <c r="E207" s="780"/>
      <c r="F207" s="732"/>
      <c r="H207" s="731"/>
      <c r="J207" s="779"/>
      <c r="L207" s="780"/>
      <c r="M207" s="732"/>
    </row>
    <row r="208" spans="1:13" ht="20.25">
      <c r="A208" s="781" t="s">
        <v>2142</v>
      </c>
      <c r="C208" s="779"/>
      <c r="E208" s="782" t="s">
        <v>750</v>
      </c>
      <c r="F208" s="737"/>
      <c r="H208" s="781" t="s">
        <v>2142</v>
      </c>
      <c r="J208" s="779"/>
      <c r="L208" s="782" t="s">
        <v>750</v>
      </c>
      <c r="M208" s="737"/>
    </row>
    <row r="209" spans="1:13" ht="15.75">
      <c r="A209" s="781"/>
      <c r="C209" s="779"/>
      <c r="E209" s="783" t="s">
        <v>717</v>
      </c>
      <c r="F209" s="784" t="s">
        <v>733</v>
      </c>
      <c r="H209" s="781"/>
      <c r="J209" s="779"/>
      <c r="L209" s="783" t="s">
        <v>717</v>
      </c>
      <c r="M209" s="784" t="s">
        <v>733</v>
      </c>
    </row>
    <row r="210" spans="1:13" ht="15.75">
      <c r="A210" s="781" t="s">
        <v>738</v>
      </c>
      <c r="C210" s="779"/>
      <c r="E210" s="785"/>
      <c r="F210" s="786" t="s">
        <v>736</v>
      </c>
      <c r="H210" s="781" t="s">
        <v>738</v>
      </c>
      <c r="J210" s="779"/>
      <c r="L210" s="785"/>
      <c r="M210" s="786" t="s">
        <v>736</v>
      </c>
    </row>
    <row r="211" spans="1:13" ht="15.75">
      <c r="A211" s="781" t="s">
        <v>739</v>
      </c>
      <c r="C211" s="779"/>
      <c r="E211" s="787"/>
      <c r="F211" s="752"/>
      <c r="H211" s="781" t="s">
        <v>739</v>
      </c>
      <c r="J211" s="779"/>
      <c r="L211" s="787"/>
      <c r="M211" s="752"/>
    </row>
    <row r="212" spans="1:13" ht="15.75">
      <c r="A212" s="781" t="s">
        <v>740</v>
      </c>
      <c r="C212" s="779"/>
      <c r="E212" s="788" t="s">
        <v>233</v>
      </c>
      <c r="F212" s="789">
        <f>ROUND($C214*F199,4)</f>
        <v>0.83540000000000003</v>
      </c>
      <c r="H212" s="781" t="s">
        <v>740</v>
      </c>
      <c r="J212" s="779"/>
      <c r="L212" s="788" t="s">
        <v>233</v>
      </c>
      <c r="M212" s="789">
        <f>ROUND($J214*M199,4)</f>
        <v>0.83630000000000004</v>
      </c>
    </row>
    <row r="213" spans="1:13">
      <c r="A213" s="731"/>
      <c r="C213" s="779"/>
      <c r="E213" s="790"/>
      <c r="F213" s="762"/>
      <c r="H213" s="731"/>
      <c r="J213" s="779"/>
      <c r="L213" s="790"/>
      <c r="M213" s="762"/>
    </row>
    <row r="214" spans="1:13" ht="15.75">
      <c r="A214" s="791" t="s">
        <v>741</v>
      </c>
      <c r="B214" s="792"/>
      <c r="C214" s="770">
        <f>100%-C195</f>
        <v>0.94399999999999995</v>
      </c>
      <c r="E214" s="793" t="s">
        <v>229</v>
      </c>
      <c r="F214" s="794">
        <f>ROUND($C214*F201,4)</f>
        <v>9.4399999999999998E-2</v>
      </c>
      <c r="H214" s="791" t="s">
        <v>741</v>
      </c>
      <c r="I214" s="792"/>
      <c r="J214" s="770">
        <f>100%-J195</f>
        <v>0.94499999999999995</v>
      </c>
      <c r="L214" s="793" t="s">
        <v>229</v>
      </c>
      <c r="M214" s="794">
        <f>ROUND($J214*M201,4)</f>
        <v>9.4500000000000001E-2</v>
      </c>
    </row>
    <row r="215" spans="1:13" ht="15.75">
      <c r="B215" s="795"/>
      <c r="C215" s="796"/>
      <c r="D215" s="797">
        <f>SUM(D210:D214)</f>
        <v>0</v>
      </c>
      <c r="E215" s="798" t="s">
        <v>230</v>
      </c>
      <c r="F215" s="794">
        <f>ROUND($C214*F202,4)</f>
        <v>1.4200000000000001E-2</v>
      </c>
      <c r="I215" s="795"/>
      <c r="J215" s="796"/>
      <c r="K215" s="797">
        <f>SUM(K210:K214)</f>
        <v>0</v>
      </c>
      <c r="L215" s="798" t="s">
        <v>230</v>
      </c>
      <c r="M215" s="794">
        <f>ROUND($J214*M202,4)</f>
        <v>1.4200000000000001E-2</v>
      </c>
    </row>
    <row r="216" spans="1:13" ht="15.75">
      <c r="B216" s="795"/>
      <c r="C216" s="796"/>
      <c r="D216" s="799"/>
      <c r="E216" s="800" t="s">
        <v>742</v>
      </c>
      <c r="F216" s="794">
        <f>C195</f>
        <v>5.6000000000000001E-2</v>
      </c>
      <c r="I216" s="795"/>
      <c r="J216" s="796"/>
      <c r="K216" s="799"/>
      <c r="L216" s="800" t="s">
        <v>742</v>
      </c>
      <c r="M216" s="794">
        <f>J195</f>
        <v>5.5E-2</v>
      </c>
    </row>
    <row r="217" spans="1:13" ht="15.75">
      <c r="B217" s="795"/>
      <c r="C217" s="796"/>
      <c r="E217" s="800" t="s">
        <v>743</v>
      </c>
      <c r="F217" s="794">
        <f>SUM(F212:F216)</f>
        <v>1</v>
      </c>
      <c r="I217" s="795"/>
      <c r="J217" s="796"/>
      <c r="L217" s="800" t="s">
        <v>743</v>
      </c>
      <c r="M217" s="794">
        <f>SUM(M212:M216)</f>
        <v>1</v>
      </c>
    </row>
    <row r="218" spans="1:13" ht="16.5" thickBot="1">
      <c r="B218" s="795"/>
      <c r="C218" s="796"/>
      <c r="E218" s="801" t="s">
        <v>727</v>
      </c>
      <c r="F218" s="802" t="str">
        <f>IF(F217=0,"",IF(F217=100%,"OK","erro"))</f>
        <v>OK</v>
      </c>
      <c r="I218" s="795"/>
      <c r="J218" s="796"/>
      <c r="L218" s="801" t="s">
        <v>727</v>
      </c>
      <c r="M218" s="802" t="str">
        <f>IF(M217=0,"",IF(M217=100%,"OK","erro"))</f>
        <v>OK</v>
      </c>
    </row>
  </sheetData>
  <sheetProtection algorithmName="SHA-512" hashValue="TqUNink8eqd0BHQqkOEkvC5UVqTohLDz/WfSFnjkYqBhnqNpAP1Zqzb/NqIEkdMhC+tc7uhDMOd7odnNpQd7vQ==" saltValue="AoQaZ4bPce5i+zZ/4cN41w==" spinCount="100000" sheet="1" objects="1" scenarios="1" formatColumns="0" formatRows="0" autoFilter="0"/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F124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6"/>
  <dimension ref="A1:I12"/>
  <sheetViews>
    <sheetView workbookViewId="0">
      <selection activeCell="O2492" sqref="O2492"/>
    </sheetView>
  </sheetViews>
  <sheetFormatPr defaultColWidth="9.33203125" defaultRowHeight="12.75"/>
  <cols>
    <col min="1" max="1" width="48.6640625" style="108" customWidth="1"/>
    <col min="2" max="2" width="27.6640625" style="108" customWidth="1"/>
    <col min="3" max="3" width="41.6640625" style="108" customWidth="1"/>
    <col min="4" max="4" width="5.1640625" style="108" customWidth="1"/>
    <col min="5" max="5" width="34.5" style="108" customWidth="1"/>
    <col min="6" max="6" width="17.1640625" style="108" customWidth="1"/>
    <col min="7" max="7" width="35.1640625" style="108" customWidth="1"/>
    <col min="8" max="16384" width="9.33203125" style="108"/>
  </cols>
  <sheetData>
    <row r="1" spans="1:9" ht="27" thickBot="1">
      <c r="A1" s="586" t="s">
        <v>570</v>
      </c>
      <c r="B1" s="587"/>
      <c r="C1" s="587"/>
      <c r="D1" s="587"/>
      <c r="E1" s="588"/>
      <c r="G1" s="108" t="s">
        <v>2136</v>
      </c>
    </row>
    <row r="2" spans="1:9" ht="21" thickBot="1">
      <c r="A2" s="589"/>
      <c r="B2" s="590" t="s">
        <v>585</v>
      </c>
      <c r="C2" s="591"/>
      <c r="D2" s="592"/>
      <c r="E2" s="593"/>
      <c r="G2" s="617"/>
    </row>
    <row r="3" spans="1:9" ht="27" thickBot="1">
      <c r="A3" s="594" t="s">
        <v>572</v>
      </c>
      <c r="B3" s="595"/>
      <c r="C3" s="595"/>
      <c r="D3" s="595"/>
      <c r="E3" s="596"/>
      <c r="G3" s="617"/>
    </row>
    <row r="4" spans="1:9">
      <c r="A4" s="606"/>
      <c r="B4" s="600"/>
      <c r="C4" s="600"/>
      <c r="D4" s="600"/>
      <c r="E4" s="607"/>
      <c r="G4" s="617"/>
      <c r="H4" s="618"/>
      <c r="I4" s="618"/>
    </row>
    <row r="5" spans="1:9" ht="18.75" thickBot="1">
      <c r="A5" s="608" t="s">
        <v>586</v>
      </c>
      <c r="B5" s="598"/>
      <c r="C5" s="598"/>
      <c r="D5" s="598"/>
      <c r="E5" s="599"/>
      <c r="G5" s="617"/>
      <c r="H5" s="618"/>
      <c r="I5" s="618"/>
    </row>
    <row r="6" spans="1:9" s="501" customFormat="1" ht="26.1" customHeight="1" thickBot="1">
      <c r="A6" s="689" t="s">
        <v>587</v>
      </c>
      <c r="B6" s="1529">
        <f>Grandes_Itens!F17</f>
        <v>16924557.140000001</v>
      </c>
      <c r="C6" s="1530"/>
      <c r="D6" s="1530"/>
      <c r="E6" s="1531"/>
      <c r="G6" s="690"/>
      <c r="H6" s="691"/>
      <c r="I6" s="691"/>
    </row>
    <row r="7" spans="1:9" s="501" customFormat="1" ht="26.1" customHeight="1" thickBot="1">
      <c r="A7" s="689" t="s">
        <v>588</v>
      </c>
      <c r="B7" s="1532"/>
      <c r="C7" s="1533"/>
      <c r="D7" s="1533"/>
      <c r="E7" s="1534"/>
      <c r="G7" s="690"/>
      <c r="I7" s="691"/>
    </row>
    <row r="8" spans="1:9" ht="12.75" customHeight="1">
      <c r="A8" s="609"/>
      <c r="B8" s="682"/>
      <c r="C8" s="600"/>
      <c r="D8" s="1511" t="s">
        <v>583</v>
      </c>
      <c r="E8" s="1535">
        <v>283.69</v>
      </c>
      <c r="G8" s="617"/>
    </row>
    <row r="9" spans="1:9" ht="18">
      <c r="A9" s="610" t="s">
        <v>584</v>
      </c>
      <c r="B9" s="683"/>
      <c r="C9" s="611" t="s">
        <v>589</v>
      </c>
      <c r="D9" s="1512"/>
      <c r="E9" s="1536"/>
      <c r="G9" s="617"/>
    </row>
    <row r="10" spans="1:9" ht="18">
      <c r="A10" s="612" t="s">
        <v>588</v>
      </c>
      <c r="B10" s="685" t="str">
        <f>'viab-pav'!B15</f>
        <v>atualizado : fev/2023</v>
      </c>
      <c r="C10" s="613" t="s">
        <v>588</v>
      </c>
      <c r="D10" s="1512"/>
      <c r="E10" s="1537"/>
      <c r="G10" s="617"/>
    </row>
    <row r="11" spans="1:9" ht="9.75" customHeight="1" thickBot="1">
      <c r="A11" s="604"/>
      <c r="B11" s="684"/>
      <c r="C11" s="605"/>
      <c r="D11" s="1513"/>
      <c r="E11" s="1538"/>
      <c r="G11" s="617"/>
    </row>
    <row r="12" spans="1:9" ht="31.5" customHeight="1" thickBot="1">
      <c r="A12" s="614" t="s">
        <v>580</v>
      </c>
      <c r="B12" s="686" t="str">
        <f>IF(B7=0,"",IF(B6=0,"",IF(B8&lt;=E8,"APROVADO","INVIÁVEL")))</f>
        <v/>
      </c>
      <c r="C12" s="687"/>
      <c r="D12" s="687"/>
      <c r="E12" s="688"/>
      <c r="G12" s="617"/>
    </row>
  </sheetData>
  <sheetProtection algorithmName="SHA-512" hashValue="O3j8aRMcdkry7fRS4udQCXN5woCsjEUpVA2hfanfDL8iDnNSyFQaXyIJKXoEFzrYLZpk04AzETHAhn3N00lAKQ==" saltValue="XxBOtW3yzP32cJJJ0JuVLg==" spinCount="100000" sheet="1" objects="1" scenarios="1" formatColumns="0" formatRows="0"/>
  <mergeCells count="4">
    <mergeCell ref="B6:E6"/>
    <mergeCell ref="B7:E7"/>
    <mergeCell ref="D8:D11"/>
    <mergeCell ref="E8:E11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8">
    <pageSetUpPr fitToPage="1"/>
  </sheetPr>
  <dimension ref="A1:Z86"/>
  <sheetViews>
    <sheetView topLeftCell="C22" workbookViewId="0">
      <selection activeCell="O2492" sqref="O2492"/>
    </sheetView>
  </sheetViews>
  <sheetFormatPr defaultColWidth="12" defaultRowHeight="11.25"/>
  <cols>
    <col min="1" max="1" width="15.83203125" bestFit="1" customWidth="1"/>
    <col min="2" max="2" width="15.83203125" customWidth="1"/>
    <col min="3" max="3" width="149.1640625" customWidth="1"/>
    <col min="4" max="4" width="0.6640625" customWidth="1"/>
    <col min="5" max="5" width="15.1640625" customWidth="1"/>
    <col min="6" max="6" width="15.83203125" customWidth="1"/>
    <col min="7" max="7" width="12.6640625" customWidth="1"/>
    <col min="8" max="8" width="17.83203125" customWidth="1"/>
    <col min="9" max="9" width="14.6640625" customWidth="1"/>
    <col min="10" max="10" width="16.1640625" bestFit="1" customWidth="1"/>
    <col min="11" max="11" width="14.5" customWidth="1"/>
    <col min="12" max="12" width="13.83203125" customWidth="1"/>
    <col min="13" max="13" width="13.5" customWidth="1"/>
    <col min="14" max="14" width="25.1640625" customWidth="1"/>
    <col min="15" max="15" width="21.5" customWidth="1"/>
    <col min="16" max="16" width="14.33203125" customWidth="1"/>
    <col min="17" max="17" width="18" customWidth="1"/>
    <col min="18" max="18" width="15.5" customWidth="1"/>
    <col min="19" max="19" width="14.6640625" customWidth="1"/>
    <col min="20" max="20" width="25.1640625" customWidth="1"/>
    <col min="21" max="23" width="23.1640625" customWidth="1"/>
    <col min="24" max="24" width="14.6640625" customWidth="1"/>
    <col min="25" max="25" width="19.5" customWidth="1"/>
    <col min="26" max="26" width="20.1640625" customWidth="1"/>
  </cols>
  <sheetData>
    <row r="1" spans="1:24" ht="26.25" customHeight="1">
      <c r="A1" s="1222" t="s">
        <v>2228</v>
      </c>
      <c r="C1" s="1221"/>
      <c r="T1" s="253"/>
    </row>
    <row r="2" spans="1:24" ht="26.25" customHeight="1">
      <c r="A2" s="1223">
        <v>345.22</v>
      </c>
      <c r="B2" s="1223"/>
      <c r="C2" s="1224"/>
      <c r="D2" s="1224"/>
      <c r="E2" s="1225"/>
      <c r="F2" s="1223"/>
      <c r="G2" s="1223"/>
      <c r="H2" s="1224" t="s">
        <v>2236</v>
      </c>
      <c r="I2" s="1225">
        <v>301.64999999999998</v>
      </c>
      <c r="J2" s="1225"/>
      <c r="K2" s="1225">
        <v>495.35</v>
      </c>
      <c r="L2" s="1225"/>
      <c r="M2" s="1225">
        <v>278.64</v>
      </c>
      <c r="N2" s="1225">
        <v>58.84</v>
      </c>
      <c r="O2" s="1225">
        <v>578</v>
      </c>
      <c r="P2" s="1225">
        <v>408.95</v>
      </c>
      <c r="Q2" s="1225">
        <v>455.36</v>
      </c>
      <c r="R2" s="1225">
        <v>487.71</v>
      </c>
      <c r="S2" s="1225">
        <v>495.4</v>
      </c>
      <c r="T2" s="1225">
        <f>449.92*0.005</f>
        <v>2.2496</v>
      </c>
      <c r="U2" s="1225">
        <v>20.239999999999998</v>
      </c>
      <c r="V2" s="1225">
        <v>17.84</v>
      </c>
      <c r="W2" s="1225">
        <v>19.489999999999998</v>
      </c>
      <c r="X2" s="1223">
        <v>363.12</v>
      </c>
    </row>
    <row r="3" spans="1:24" ht="17.100000000000001" customHeight="1" thickBot="1">
      <c r="A3" s="1226">
        <v>378.9</v>
      </c>
      <c r="B3" s="1226"/>
      <c r="C3" s="1227"/>
      <c r="D3" s="1227"/>
      <c r="E3" s="1228"/>
      <c r="F3" s="1226"/>
      <c r="G3" s="1226"/>
      <c r="H3" s="1227" t="s">
        <v>2235</v>
      </c>
      <c r="I3" s="1228">
        <v>212.58</v>
      </c>
      <c r="J3" s="1228"/>
      <c r="K3" s="1228">
        <v>516.92999999999995</v>
      </c>
      <c r="L3" s="1228"/>
      <c r="M3" s="1228">
        <v>291.92</v>
      </c>
      <c r="N3" s="1228">
        <v>62.53</v>
      </c>
      <c r="O3" s="1228">
        <v>586</v>
      </c>
      <c r="P3" s="1228">
        <v>425.25</v>
      </c>
      <c r="Q3" s="1228">
        <v>471.16</v>
      </c>
      <c r="R3" s="1228">
        <v>503.25</v>
      </c>
      <c r="S3" s="1228">
        <v>510.89</v>
      </c>
      <c r="T3" s="1228">
        <f>ROUND(466.54*0.005,2)</f>
        <v>2.33</v>
      </c>
      <c r="U3" s="1228">
        <v>18.420000000000002</v>
      </c>
      <c r="V3" s="1228">
        <v>18.34</v>
      </c>
      <c r="W3" s="1228">
        <v>20.91</v>
      </c>
      <c r="X3" s="1226">
        <v>386.51</v>
      </c>
    </row>
    <row r="4" spans="1:24" ht="70.5" customHeight="1" thickBot="1">
      <c r="A4" s="8" t="s">
        <v>2231</v>
      </c>
      <c r="B4" s="27"/>
      <c r="C4" s="9" t="s">
        <v>47</v>
      </c>
      <c r="D4" s="10"/>
      <c r="E4" s="11" t="s">
        <v>48</v>
      </c>
      <c r="F4" s="12" t="s">
        <v>49</v>
      </c>
      <c r="G4" s="12" t="s">
        <v>50</v>
      </c>
      <c r="H4" s="13" t="s">
        <v>51</v>
      </c>
      <c r="I4" s="16" t="s">
        <v>2234</v>
      </c>
      <c r="J4" s="14" t="s">
        <v>52</v>
      </c>
      <c r="K4" s="16" t="s">
        <v>530</v>
      </c>
      <c r="L4" s="15" t="s">
        <v>53</v>
      </c>
      <c r="M4" s="8" t="s">
        <v>2237</v>
      </c>
      <c r="N4" s="8" t="s">
        <v>2232</v>
      </c>
      <c r="O4" s="16" t="s">
        <v>2233</v>
      </c>
      <c r="P4" s="17" t="s">
        <v>2238</v>
      </c>
      <c r="Q4" s="16" t="s">
        <v>2239</v>
      </c>
      <c r="R4" s="16" t="s">
        <v>2240</v>
      </c>
      <c r="S4" s="16" t="s">
        <v>2241</v>
      </c>
      <c r="T4" s="16" t="s">
        <v>2242</v>
      </c>
      <c r="U4" s="16" t="s">
        <v>2243</v>
      </c>
      <c r="V4" s="16" t="s">
        <v>2244</v>
      </c>
      <c r="W4" s="16" t="s">
        <v>2245</v>
      </c>
      <c r="X4" s="16" t="s">
        <v>2246</v>
      </c>
    </row>
    <row r="5" spans="1:24" ht="16.5" thickBot="1">
      <c r="A5" s="3"/>
      <c r="B5" s="3"/>
      <c r="C5" s="2" t="s">
        <v>54</v>
      </c>
      <c r="D5" s="7"/>
      <c r="E5" s="85">
        <f>O5*0.846</f>
        <v>0.87983999999999996</v>
      </c>
      <c r="F5" s="85">
        <f>A5*0.27*0.7+M5*0.1+O5*0.0588+P5*0.18+Q5*0.27+R5*0.33+S5*0.344+T5*0.005*0.434</f>
        <v>0.11541040000000001</v>
      </c>
      <c r="G5" s="85">
        <f>A5*0.921*0.7+M5*0.51+O5*0.396+P5*1.06+Q5*0.96+R5*0.921+S5*1.02+T5*0.005*1.575</f>
        <v>0.62209000000000003</v>
      </c>
      <c r="H5" s="85">
        <f>A5*1.11*0.7+M5*1.5+P5*1.11+Q5*1.11+R5*1.11+S5*1.11</f>
        <v>0.20424000000000003</v>
      </c>
      <c r="I5" s="4"/>
      <c r="J5" s="259">
        <f>ROUND(A5*$A$3+M5*$M$3+N5*$N$3+O5*$O$3+P5*$P$3+Q5*$Q$3+R5*$R$3+S5*$S$3+T5*$T$3+U5*$U$3+V5*$V$3+W5*$W$3+X5*$X$3+K5*$K$3+I5*$I$3,2)</f>
        <v>1441.24</v>
      </c>
      <c r="K5" s="4"/>
      <c r="L5" s="85">
        <f>O5*0.0282</f>
        <v>2.9328E-2</v>
      </c>
      <c r="M5" s="5"/>
      <c r="N5" s="248">
        <f>ROUND(1.5*1.25/4,2)</f>
        <v>0.47</v>
      </c>
      <c r="O5" s="248">
        <f>ROUND(O6/1.5*1.2,2)</f>
        <v>1.04</v>
      </c>
      <c r="P5" s="248">
        <v>9.4E-2</v>
      </c>
      <c r="Q5" s="3"/>
      <c r="R5" s="248">
        <v>0.09</v>
      </c>
      <c r="S5" s="6"/>
      <c r="T5" s="248">
        <f>ROUND(T6/1.5*1.2,2)</f>
        <v>3.52</v>
      </c>
      <c r="U5" s="6"/>
      <c r="V5" s="6"/>
      <c r="W5" s="248">
        <v>15.42</v>
      </c>
      <c r="X5" s="247">
        <v>1</v>
      </c>
    </row>
    <row r="6" spans="1:24" ht="16.5" thickBot="1">
      <c r="A6" s="3"/>
      <c r="B6" s="3"/>
      <c r="C6" s="2" t="s">
        <v>55</v>
      </c>
      <c r="D6" s="7"/>
      <c r="E6" s="1">
        <f t="shared" ref="E6:E69" si="0">O6*0.846</f>
        <v>1.0998000000000001</v>
      </c>
      <c r="F6" s="1">
        <f t="shared" ref="F6:F69" si="1">A6*0.27*0.7+M6*0.1+O6*0.0588+P6*0.18+Q6*0.27+R6*0.33+S6*0.344+T6*0.005*0.434</f>
        <v>0.132608</v>
      </c>
      <c r="G6" s="1">
        <f t="shared" ref="G6:G69" si="2">A6*0.921*0.7+M6*0.51+O6*0.396+P6*1.06+Q6*0.96+R6*0.921+S6*1.02+T6*0.005*1.575</f>
        <v>0.73198000000000008</v>
      </c>
      <c r="H6" s="1">
        <f t="shared" ref="H6:H69" si="3">A6*1.11*0.7+M6*1.5+P6*1.11+Q6*1.11+R6*1.11+S6*1.11</f>
        <v>0.20424000000000003</v>
      </c>
      <c r="I6" s="4"/>
      <c r="J6" s="259">
        <f t="shared" ref="J6:J69" si="4">ROUND(A6*$A$3+M6*$M$3+N6*$N$3+O6*$O$3+P6*$P$3+Q6*$Q$3+R6*$R$3+S6*$S$3+T6*$T$3+U6*$U$3+V6*$V$3+W6*$W$3+X6*$X$3+K6*$K$3+I6*$I$3,2)</f>
        <v>1595.65</v>
      </c>
      <c r="K6" s="4"/>
      <c r="L6" s="1">
        <f t="shared" ref="L6:L69" si="5">O6*0.0282</f>
        <v>3.6659999999999998E-2</v>
      </c>
      <c r="M6" s="5"/>
      <c r="N6" s="6">
        <f>ROUND(1.5*1.25/4,2)</f>
        <v>0.47</v>
      </c>
      <c r="O6" s="18">
        <f>ROUND(0.89*2*0.25*(1.5+0.75)*1.3,2)</f>
        <v>1.3</v>
      </c>
      <c r="P6" s="6">
        <v>9.4E-2</v>
      </c>
      <c r="Q6" s="3"/>
      <c r="R6" s="6">
        <v>0.09</v>
      </c>
      <c r="S6" s="6"/>
      <c r="T6" s="18">
        <v>4.4000000000000004</v>
      </c>
      <c r="U6" s="6"/>
      <c r="V6" s="6"/>
      <c r="W6" s="6">
        <v>15.42</v>
      </c>
      <c r="X6" s="3">
        <v>1</v>
      </c>
    </row>
    <row r="7" spans="1:24" ht="16.5" thickBot="1">
      <c r="A7" s="3"/>
      <c r="B7" s="3"/>
      <c r="C7" s="2" t="s">
        <v>56</v>
      </c>
      <c r="D7" s="7"/>
      <c r="E7" s="1">
        <f t="shared" si="0"/>
        <v>1.4635799999999999</v>
      </c>
      <c r="F7" s="1">
        <f t="shared" si="1"/>
        <v>0.1610819</v>
      </c>
      <c r="G7" s="1">
        <f t="shared" si="2"/>
        <v>0.91383625000000013</v>
      </c>
      <c r="H7" s="1">
        <f t="shared" si="3"/>
        <v>0.20424000000000003</v>
      </c>
      <c r="I7" s="4"/>
      <c r="J7" s="259">
        <f t="shared" si="4"/>
        <v>1851.05</v>
      </c>
      <c r="K7" s="4"/>
      <c r="L7" s="1">
        <f t="shared" si="5"/>
        <v>4.8785999999999996E-2</v>
      </c>
      <c r="M7" s="5"/>
      <c r="N7" s="6">
        <f>ROUND(1.5*1.25/4,2)</f>
        <v>0.47</v>
      </c>
      <c r="O7" s="6">
        <f>ROUND(O6/1.5*2,2)</f>
        <v>1.73</v>
      </c>
      <c r="P7" s="6">
        <v>9.4E-2</v>
      </c>
      <c r="Q7" s="3"/>
      <c r="R7" s="6">
        <v>0.09</v>
      </c>
      <c r="S7" s="6"/>
      <c r="T7" s="6">
        <f>ROUND(T6/1.5*2,2)</f>
        <v>5.87</v>
      </c>
      <c r="U7" s="6"/>
      <c r="V7" s="6"/>
      <c r="W7" s="6">
        <v>15.42</v>
      </c>
      <c r="X7" s="3">
        <v>1</v>
      </c>
    </row>
    <row r="8" spans="1:24" ht="16.5" thickBot="1">
      <c r="A8" s="3"/>
      <c r="B8" s="3"/>
      <c r="C8" s="2" t="s">
        <v>57</v>
      </c>
      <c r="D8" s="7"/>
      <c r="E8" s="1">
        <f t="shared" si="0"/>
        <v>1.8358199999999998</v>
      </c>
      <c r="F8" s="1">
        <f t="shared" si="1"/>
        <v>0.19012209999999999</v>
      </c>
      <c r="G8" s="1">
        <f t="shared" si="2"/>
        <v>1.09957375</v>
      </c>
      <c r="H8" s="1">
        <f t="shared" si="3"/>
        <v>0.20424000000000003</v>
      </c>
      <c r="I8" s="4"/>
      <c r="J8" s="259">
        <f t="shared" si="4"/>
        <v>2112.3000000000002</v>
      </c>
      <c r="K8" s="4"/>
      <c r="L8" s="1">
        <f t="shared" si="5"/>
        <v>6.1193999999999998E-2</v>
      </c>
      <c r="M8" s="5"/>
      <c r="N8" s="6">
        <f>ROUND(1.5*1.25/4,2)</f>
        <v>0.47</v>
      </c>
      <c r="O8" s="6">
        <f>ROUND(O6/1.5*2.5,2)</f>
        <v>2.17</v>
      </c>
      <c r="P8" s="6">
        <v>9.4E-2</v>
      </c>
      <c r="Q8" s="3"/>
      <c r="R8" s="6">
        <v>0.09</v>
      </c>
      <c r="S8" s="6"/>
      <c r="T8" s="6">
        <f>ROUND(T6/1.5*2.5,2)</f>
        <v>7.33</v>
      </c>
      <c r="U8" s="6"/>
      <c r="V8" s="6"/>
      <c r="W8" s="6">
        <v>15.42</v>
      </c>
      <c r="X8" s="3">
        <v>1</v>
      </c>
    </row>
    <row r="9" spans="1:24" ht="16.5" thickBot="1">
      <c r="A9" s="3"/>
      <c r="B9" s="3"/>
      <c r="C9" s="2" t="s">
        <v>367</v>
      </c>
      <c r="D9" s="7"/>
      <c r="E9" s="1">
        <f t="shared" si="0"/>
        <v>0</v>
      </c>
      <c r="F9" s="1">
        <f t="shared" si="1"/>
        <v>0.43266000000000004</v>
      </c>
      <c r="G9" s="1">
        <f t="shared" si="2"/>
        <v>1.26997</v>
      </c>
      <c r="H9" s="1">
        <f t="shared" si="3"/>
        <v>1.5118200000000002</v>
      </c>
      <c r="I9" s="4"/>
      <c r="J9" s="259">
        <f t="shared" si="4"/>
        <v>1144.18</v>
      </c>
      <c r="K9" s="4"/>
      <c r="L9" s="1">
        <f t="shared" si="5"/>
        <v>0</v>
      </c>
      <c r="M9" s="5"/>
      <c r="N9" s="6">
        <f>N13/2</f>
        <v>1.2949999999999999</v>
      </c>
      <c r="O9" s="6"/>
      <c r="P9" s="6">
        <v>0.112</v>
      </c>
      <c r="Q9" s="3"/>
      <c r="R9" s="6">
        <f>ROUND(1.58/1.45*1.15,2)</f>
        <v>1.25</v>
      </c>
      <c r="S9" s="6"/>
      <c r="T9" s="6"/>
      <c r="U9" s="6"/>
      <c r="V9" s="6"/>
      <c r="W9" s="6"/>
      <c r="X9" s="3">
        <v>1</v>
      </c>
    </row>
    <row r="10" spans="1:24" ht="16.5" thickBot="1">
      <c r="A10" s="3"/>
      <c r="B10" s="3"/>
      <c r="C10" s="2" t="s">
        <v>368</v>
      </c>
      <c r="D10" s="7"/>
      <c r="E10" s="1">
        <f t="shared" si="0"/>
        <v>0</v>
      </c>
      <c r="F10" s="1">
        <f t="shared" si="1"/>
        <v>0.54156000000000004</v>
      </c>
      <c r="G10" s="1">
        <f t="shared" si="2"/>
        <v>1.5739000000000001</v>
      </c>
      <c r="H10" s="1">
        <f t="shared" si="3"/>
        <v>1.8781200000000002</v>
      </c>
      <c r="I10" s="4"/>
      <c r="J10" s="259">
        <f t="shared" si="4"/>
        <v>1331.51</v>
      </c>
      <c r="K10" s="4"/>
      <c r="L10" s="1">
        <f t="shared" si="5"/>
        <v>0</v>
      </c>
      <c r="M10" s="5"/>
      <c r="N10" s="6">
        <f>N14/2</f>
        <v>1.635</v>
      </c>
      <c r="O10" s="6"/>
      <c r="P10" s="6">
        <v>0.112</v>
      </c>
      <c r="Q10" s="3"/>
      <c r="R10" s="6">
        <v>1.58</v>
      </c>
      <c r="S10" s="6"/>
      <c r="T10" s="6"/>
      <c r="U10" s="6"/>
      <c r="V10" s="6"/>
      <c r="W10" s="6"/>
      <c r="X10" s="3">
        <v>1</v>
      </c>
    </row>
    <row r="11" spans="1:24" ht="16.5" thickBot="1">
      <c r="A11" s="3"/>
      <c r="B11" s="3"/>
      <c r="C11" s="2" t="s">
        <v>369</v>
      </c>
      <c r="D11" s="7"/>
      <c r="E11" s="1">
        <f t="shared" si="0"/>
        <v>0</v>
      </c>
      <c r="F11" s="1">
        <f t="shared" si="1"/>
        <v>0.71976000000000007</v>
      </c>
      <c r="G11" s="1">
        <f t="shared" si="2"/>
        <v>2.0712400000000004</v>
      </c>
      <c r="H11" s="1">
        <f t="shared" si="3"/>
        <v>2.4775200000000002</v>
      </c>
      <c r="I11" s="4"/>
      <c r="J11" s="259">
        <f t="shared" si="4"/>
        <v>1638.59</v>
      </c>
      <c r="K11" s="4"/>
      <c r="L11" s="1">
        <f t="shared" si="5"/>
        <v>0</v>
      </c>
      <c r="M11" s="5"/>
      <c r="N11" s="6">
        <f>N15/2</f>
        <v>2.2000000000000002</v>
      </c>
      <c r="O11" s="6"/>
      <c r="P11" s="6">
        <v>0.112</v>
      </c>
      <c r="Q11" s="3"/>
      <c r="R11" s="6">
        <f>ROUND(1.58/1.45*1.95,2)</f>
        <v>2.12</v>
      </c>
      <c r="S11" s="6"/>
      <c r="T11" s="6"/>
      <c r="U11" s="6"/>
      <c r="V11" s="6"/>
      <c r="W11" s="6"/>
      <c r="X11" s="3">
        <v>1</v>
      </c>
    </row>
    <row r="12" spans="1:24" ht="16.5" thickBot="1">
      <c r="A12" s="3"/>
      <c r="B12" s="3"/>
      <c r="C12" s="2" t="s">
        <v>370</v>
      </c>
      <c r="D12" s="7"/>
      <c r="E12" s="1">
        <f t="shared" si="0"/>
        <v>0</v>
      </c>
      <c r="F12" s="1">
        <f t="shared" si="1"/>
        <v>0.90125999999999995</v>
      </c>
      <c r="G12" s="1">
        <f t="shared" si="2"/>
        <v>2.5777900000000002</v>
      </c>
      <c r="H12" s="1">
        <f t="shared" si="3"/>
        <v>3.0880200000000002</v>
      </c>
      <c r="I12" s="4"/>
      <c r="J12" s="259">
        <f t="shared" si="4"/>
        <v>1950.71</v>
      </c>
      <c r="K12" s="4"/>
      <c r="L12" s="1">
        <f t="shared" si="5"/>
        <v>0</v>
      </c>
      <c r="M12" s="5"/>
      <c r="N12" s="6">
        <f>N16/2</f>
        <v>2.7650000000000001</v>
      </c>
      <c r="O12" s="6"/>
      <c r="P12" s="6">
        <v>0.112</v>
      </c>
      <c r="Q12" s="3"/>
      <c r="R12" s="6">
        <f>ROUND(1.58/1.45*2.45,2)</f>
        <v>2.67</v>
      </c>
      <c r="S12" s="6"/>
      <c r="T12" s="6"/>
      <c r="U12" s="6"/>
      <c r="V12" s="6"/>
      <c r="W12" s="6"/>
      <c r="X12" s="3">
        <v>1</v>
      </c>
    </row>
    <row r="13" spans="1:24" ht="16.5" thickBot="1">
      <c r="A13" s="3"/>
      <c r="B13" s="3"/>
      <c r="C13" s="2" t="s">
        <v>90</v>
      </c>
      <c r="D13" s="7"/>
      <c r="E13" s="1">
        <f t="shared" si="0"/>
        <v>0</v>
      </c>
      <c r="F13" s="1">
        <f t="shared" si="1"/>
        <v>0.20478000000000002</v>
      </c>
      <c r="G13" s="1">
        <f t="shared" si="2"/>
        <v>0.60275000000000001</v>
      </c>
      <c r="H13" s="1">
        <f t="shared" si="3"/>
        <v>0.71706000000000003</v>
      </c>
      <c r="I13" s="4"/>
      <c r="J13" s="259">
        <f t="shared" si="4"/>
        <v>1946.06</v>
      </c>
      <c r="K13" s="4"/>
      <c r="L13" s="1">
        <f t="shared" si="5"/>
        <v>0</v>
      </c>
      <c r="M13" s="5"/>
      <c r="N13" s="6">
        <f>ROUND(N14/1.45*1.15,2)</f>
        <v>2.59</v>
      </c>
      <c r="O13" s="6"/>
      <c r="P13" s="6">
        <f>0.112/2</f>
        <v>5.6000000000000001E-2</v>
      </c>
      <c r="Q13" s="3"/>
      <c r="R13" s="6">
        <f>ROUND(R14/1.45*1.15,2)</f>
        <v>0.59</v>
      </c>
      <c r="S13" s="6"/>
      <c r="T13" s="6"/>
      <c r="U13" s="6"/>
      <c r="V13" s="6"/>
      <c r="W13" s="6">
        <f>ROUND(W14/1.45*1.15,2)</f>
        <v>51.5</v>
      </c>
      <c r="X13" s="3">
        <v>1</v>
      </c>
    </row>
    <row r="14" spans="1:24" ht="16.5" thickBot="1">
      <c r="A14" s="3"/>
      <c r="B14" s="3"/>
      <c r="C14" s="2" t="s">
        <v>87</v>
      </c>
      <c r="D14" s="7"/>
      <c r="E14" s="1">
        <f t="shared" si="0"/>
        <v>0</v>
      </c>
      <c r="F14" s="1">
        <f t="shared" si="1"/>
        <v>0.25757999999999998</v>
      </c>
      <c r="G14" s="1">
        <f t="shared" si="2"/>
        <v>0.75010999999999994</v>
      </c>
      <c r="H14" s="1">
        <f t="shared" si="3"/>
        <v>0.89466000000000001</v>
      </c>
      <c r="I14" s="4"/>
      <c r="J14" s="259">
        <f t="shared" si="4"/>
        <v>2350.13</v>
      </c>
      <c r="K14" s="4"/>
      <c r="L14" s="1">
        <f t="shared" si="5"/>
        <v>0</v>
      </c>
      <c r="M14" s="5"/>
      <c r="N14" s="18">
        <f>ROUND(9.8/3,2)</f>
        <v>3.27</v>
      </c>
      <c r="O14" s="6"/>
      <c r="P14" s="6">
        <f>0.112/2</f>
        <v>5.6000000000000001E-2</v>
      </c>
      <c r="Q14" s="3"/>
      <c r="R14" s="18">
        <v>0.75</v>
      </c>
      <c r="S14" s="18"/>
      <c r="T14" s="6"/>
      <c r="U14" s="18"/>
      <c r="V14" s="18"/>
      <c r="W14" s="18">
        <v>64.94</v>
      </c>
      <c r="X14" s="3">
        <v>1</v>
      </c>
    </row>
    <row r="15" spans="1:24" ht="16.5" thickBot="1">
      <c r="A15" s="3"/>
      <c r="B15" s="3"/>
      <c r="C15" s="2" t="s">
        <v>88</v>
      </c>
      <c r="D15" s="7"/>
      <c r="E15" s="1">
        <f t="shared" si="0"/>
        <v>0</v>
      </c>
      <c r="F15" s="1">
        <f t="shared" si="1"/>
        <v>0.34338000000000002</v>
      </c>
      <c r="G15" s="1">
        <f t="shared" si="2"/>
        <v>0.98957000000000006</v>
      </c>
      <c r="H15" s="1">
        <f t="shared" si="3"/>
        <v>1.1832600000000002</v>
      </c>
      <c r="I15" s="4"/>
      <c r="J15" s="259">
        <f t="shared" si="4"/>
        <v>2551.63</v>
      </c>
      <c r="K15" s="4"/>
      <c r="L15" s="1">
        <f t="shared" si="5"/>
        <v>0</v>
      </c>
      <c r="M15" s="5"/>
      <c r="N15" s="6">
        <f>ROUND(N14/1.45*1.95,2)</f>
        <v>4.4000000000000004</v>
      </c>
      <c r="O15" s="6"/>
      <c r="P15" s="6">
        <f>0.112/2</f>
        <v>5.6000000000000001E-2</v>
      </c>
      <c r="Q15" s="3"/>
      <c r="R15" s="6">
        <f>ROUND(R14/1.45*1.95,2)</f>
        <v>1.01</v>
      </c>
      <c r="S15" s="6"/>
      <c r="T15" s="6"/>
      <c r="U15" s="6"/>
      <c r="V15" s="6"/>
      <c r="W15" s="6">
        <f>ROUND(W14/1.95*1.95,2)</f>
        <v>64.94</v>
      </c>
      <c r="X15" s="3">
        <v>1</v>
      </c>
    </row>
    <row r="16" spans="1:24" ht="16.5" thickBot="1">
      <c r="A16" s="3"/>
      <c r="B16" s="3"/>
      <c r="C16" s="2" t="s">
        <v>89</v>
      </c>
      <c r="D16" s="7"/>
      <c r="E16" s="1">
        <f t="shared" si="0"/>
        <v>0</v>
      </c>
      <c r="F16" s="1">
        <f t="shared" si="1"/>
        <v>0.42918000000000001</v>
      </c>
      <c r="G16" s="1">
        <f t="shared" si="2"/>
        <v>1.2290300000000001</v>
      </c>
      <c r="H16" s="1">
        <f t="shared" si="3"/>
        <v>1.4718600000000002</v>
      </c>
      <c r="I16" s="4"/>
      <c r="J16" s="259">
        <f t="shared" si="4"/>
        <v>3101.29</v>
      </c>
      <c r="K16" s="4"/>
      <c r="L16" s="1">
        <f t="shared" si="5"/>
        <v>0</v>
      </c>
      <c r="M16" s="5"/>
      <c r="N16" s="6">
        <f>ROUND(N14/1.45*2.45,2)</f>
        <v>5.53</v>
      </c>
      <c r="O16" s="6"/>
      <c r="P16" s="6">
        <f>0.112/2</f>
        <v>5.6000000000000001E-2</v>
      </c>
      <c r="Q16" s="3"/>
      <c r="R16" s="6">
        <f>ROUND(R14/1.45*2.45,2)</f>
        <v>1.27</v>
      </c>
      <c r="S16" s="6"/>
      <c r="T16" s="6"/>
      <c r="U16" s="6"/>
      <c r="V16" s="6"/>
      <c r="W16" s="6">
        <f>ROUND(W14/1.95*2.45,2)</f>
        <v>81.59</v>
      </c>
      <c r="X16" s="3">
        <v>1</v>
      </c>
    </row>
    <row r="17" spans="1:26" ht="16.5" thickBot="1">
      <c r="A17" s="3"/>
      <c r="B17" s="3"/>
      <c r="C17" s="2" t="s">
        <v>83</v>
      </c>
      <c r="D17" s="7"/>
      <c r="E17" s="1">
        <f t="shared" si="0"/>
        <v>1.6716959999999998</v>
      </c>
      <c r="F17" s="1">
        <f t="shared" si="1"/>
        <v>0.2047668</v>
      </c>
      <c r="G17" s="1">
        <f t="shared" si="2"/>
        <v>1.1293030000000002</v>
      </c>
      <c r="H17" s="1">
        <f t="shared" si="3"/>
        <v>0.38805600000000001</v>
      </c>
      <c r="I17" s="4"/>
      <c r="J17" s="259">
        <f t="shared" si="4"/>
        <v>2761.42</v>
      </c>
      <c r="K17" s="4"/>
      <c r="L17" s="1">
        <f t="shared" si="5"/>
        <v>5.5723200000000001E-2</v>
      </c>
      <c r="M17" s="5"/>
      <c r="N17" s="6">
        <f>N5*1.9</f>
        <v>0.8929999999999999</v>
      </c>
      <c r="O17" s="6">
        <f>O5*1.9</f>
        <v>1.976</v>
      </c>
      <c r="P17" s="6">
        <f>P5*1.9</f>
        <v>0.17859999999999998</v>
      </c>
      <c r="Q17" s="3"/>
      <c r="R17" s="6">
        <f>R5*1.9</f>
        <v>0.17099999999999999</v>
      </c>
      <c r="S17" s="6"/>
      <c r="T17" s="6"/>
      <c r="U17" s="6"/>
      <c r="V17" s="6"/>
      <c r="W17" s="6">
        <f>W5*1.9</f>
        <v>29.297999999999998</v>
      </c>
      <c r="X17" s="3">
        <v>2</v>
      </c>
    </row>
    <row r="18" spans="1:26" ht="16.5" thickBot="1">
      <c r="A18" s="3"/>
      <c r="B18" s="3"/>
      <c r="C18" s="2" t="s">
        <v>84</v>
      </c>
      <c r="D18" s="7"/>
      <c r="E18" s="1">
        <f t="shared" si="0"/>
        <v>2.0896199999999996</v>
      </c>
      <c r="F18" s="1">
        <f t="shared" si="1"/>
        <v>0.23381399999999999</v>
      </c>
      <c r="G18" s="1">
        <f t="shared" si="2"/>
        <v>1.324927</v>
      </c>
      <c r="H18" s="1">
        <f t="shared" si="3"/>
        <v>0.38805600000000001</v>
      </c>
      <c r="I18" s="4"/>
      <c r="J18" s="259">
        <f t="shared" si="4"/>
        <v>3050.91</v>
      </c>
      <c r="K18" s="4"/>
      <c r="L18" s="1">
        <f t="shared" si="5"/>
        <v>6.9653999999999994E-2</v>
      </c>
      <c r="M18" s="5"/>
      <c r="N18" s="6">
        <f t="shared" ref="N18:P20" si="6">N6*1.9</f>
        <v>0.8929999999999999</v>
      </c>
      <c r="O18" s="6">
        <f t="shared" si="6"/>
        <v>2.4699999999999998</v>
      </c>
      <c r="P18" s="6">
        <f t="shared" si="6"/>
        <v>0.17859999999999998</v>
      </c>
      <c r="Q18" s="3"/>
      <c r="R18" s="6">
        <f>R6*1.9</f>
        <v>0.17099999999999999</v>
      </c>
      <c r="S18" s="6"/>
      <c r="T18" s="6"/>
      <c r="U18" s="6"/>
      <c r="V18" s="6"/>
      <c r="W18" s="6">
        <f>W6*1.9</f>
        <v>29.297999999999998</v>
      </c>
      <c r="X18" s="3">
        <v>2</v>
      </c>
    </row>
    <row r="19" spans="1:26" ht="16.5" thickBot="1">
      <c r="A19" s="3"/>
      <c r="B19" s="3"/>
      <c r="C19" s="2" t="s">
        <v>85</v>
      </c>
      <c r="D19" s="7"/>
      <c r="E19" s="1">
        <f t="shared" si="0"/>
        <v>2.780802</v>
      </c>
      <c r="F19" s="1">
        <f t="shared" si="1"/>
        <v>0.28185359999999998</v>
      </c>
      <c r="G19" s="1">
        <f t="shared" si="2"/>
        <v>1.6484590000000001</v>
      </c>
      <c r="H19" s="1">
        <f t="shared" si="3"/>
        <v>0.38805600000000001</v>
      </c>
      <c r="I19" s="4"/>
      <c r="J19" s="259">
        <f t="shared" si="4"/>
        <v>3529.67</v>
      </c>
      <c r="K19" s="4"/>
      <c r="L19" s="1">
        <f t="shared" si="5"/>
        <v>9.2693399999999995E-2</v>
      </c>
      <c r="M19" s="5"/>
      <c r="N19" s="6">
        <f t="shared" si="6"/>
        <v>0.8929999999999999</v>
      </c>
      <c r="O19" s="6">
        <f t="shared" si="6"/>
        <v>3.2869999999999999</v>
      </c>
      <c r="P19" s="6">
        <f t="shared" si="6"/>
        <v>0.17859999999999998</v>
      </c>
      <c r="Q19" s="3"/>
      <c r="R19" s="6">
        <f>R7*1.9</f>
        <v>0.17099999999999999</v>
      </c>
      <c r="S19" s="6"/>
      <c r="T19" s="6"/>
      <c r="U19" s="6"/>
      <c r="V19" s="6"/>
      <c r="W19" s="6">
        <f>W7*1.9</f>
        <v>29.297999999999998</v>
      </c>
      <c r="X19" s="3">
        <v>2</v>
      </c>
    </row>
    <row r="20" spans="1:26" ht="16.5" thickBot="1">
      <c r="A20" s="3"/>
      <c r="B20" s="3"/>
      <c r="C20" s="2" t="s">
        <v>86</v>
      </c>
      <c r="D20" s="7"/>
      <c r="E20" s="1">
        <f t="shared" si="0"/>
        <v>3.4880579999999992</v>
      </c>
      <c r="F20" s="1">
        <f t="shared" si="1"/>
        <v>0.33101039999999993</v>
      </c>
      <c r="G20" s="1">
        <f t="shared" si="2"/>
        <v>1.9795149999999999</v>
      </c>
      <c r="H20" s="1">
        <f t="shared" si="3"/>
        <v>0.38805600000000001</v>
      </c>
      <c r="I20" s="4"/>
      <c r="J20" s="259">
        <f t="shared" si="4"/>
        <v>4019.56</v>
      </c>
      <c r="K20" s="4"/>
      <c r="L20" s="1">
        <f t="shared" si="5"/>
        <v>0.11626859999999997</v>
      </c>
      <c r="M20" s="5"/>
      <c r="N20" s="6">
        <f t="shared" si="6"/>
        <v>0.8929999999999999</v>
      </c>
      <c r="O20" s="6">
        <f t="shared" si="6"/>
        <v>4.1229999999999993</v>
      </c>
      <c r="P20" s="6">
        <f t="shared" si="6"/>
        <v>0.17859999999999998</v>
      </c>
      <c r="Q20" s="3"/>
      <c r="R20" s="6">
        <f>R8*1.9</f>
        <v>0.17099999999999999</v>
      </c>
      <c r="S20" s="6"/>
      <c r="T20" s="6"/>
      <c r="U20" s="6"/>
      <c r="V20" s="6"/>
      <c r="W20" s="6">
        <f>W8*1.9</f>
        <v>29.297999999999998</v>
      </c>
      <c r="X20" s="3">
        <v>2</v>
      </c>
    </row>
    <row r="21" spans="1:26" ht="16.5" thickBot="1">
      <c r="A21" s="3"/>
      <c r="B21" s="3"/>
      <c r="C21" s="2" t="s">
        <v>371</v>
      </c>
      <c r="D21" s="7"/>
      <c r="E21" s="1">
        <f t="shared" si="0"/>
        <v>0</v>
      </c>
      <c r="F21" s="1">
        <f t="shared" si="1"/>
        <v>0.82205400000000006</v>
      </c>
      <c r="G21" s="1">
        <f t="shared" si="2"/>
        <v>2.4129430000000003</v>
      </c>
      <c r="H21" s="1">
        <f t="shared" si="3"/>
        <v>2.8724580000000004</v>
      </c>
      <c r="I21" s="4"/>
      <c r="J21" s="259">
        <f t="shared" si="4"/>
        <v>2212.59</v>
      </c>
      <c r="K21" s="4"/>
      <c r="L21" s="1">
        <f t="shared" si="5"/>
        <v>0</v>
      </c>
      <c r="M21" s="5"/>
      <c r="N21" s="6">
        <f>1.9*N9</f>
        <v>2.4604999999999997</v>
      </c>
      <c r="O21" s="6"/>
      <c r="P21" s="6">
        <f t="shared" ref="P21:P28" si="7">1.9*P9</f>
        <v>0.21279999999999999</v>
      </c>
      <c r="Q21" s="3"/>
      <c r="R21" s="6">
        <f t="shared" ref="R21:R28" si="8">1.9*R9</f>
        <v>2.375</v>
      </c>
      <c r="S21" s="6"/>
      <c r="T21" s="6"/>
      <c r="U21" s="6"/>
      <c r="V21" s="6"/>
      <c r="W21" s="6"/>
      <c r="X21" s="3">
        <v>2</v>
      </c>
    </row>
    <row r="22" spans="1:26" ht="16.5" thickBot="1">
      <c r="A22" s="3"/>
      <c r="B22" s="3"/>
      <c r="C22" s="2" t="s">
        <v>372</v>
      </c>
      <c r="D22" s="7"/>
      <c r="E22" s="1">
        <f t="shared" si="0"/>
        <v>0</v>
      </c>
      <c r="F22" s="1">
        <f t="shared" si="1"/>
        <v>1.028964</v>
      </c>
      <c r="G22" s="1">
        <f t="shared" si="2"/>
        <v>2.9904099999999998</v>
      </c>
      <c r="H22" s="1">
        <f t="shared" si="3"/>
        <v>3.5684279999999999</v>
      </c>
      <c r="I22" s="4"/>
      <c r="J22" s="259">
        <f t="shared" si="4"/>
        <v>2568.52</v>
      </c>
      <c r="K22" s="4"/>
      <c r="L22" s="1">
        <f t="shared" si="5"/>
        <v>0</v>
      </c>
      <c r="M22" s="5"/>
      <c r="N22" s="6">
        <f t="shared" ref="N22:N28" si="9">1.9*N10</f>
        <v>3.1065</v>
      </c>
      <c r="O22" s="6"/>
      <c r="P22" s="6">
        <f t="shared" si="7"/>
        <v>0.21279999999999999</v>
      </c>
      <c r="Q22" s="3"/>
      <c r="R22" s="6">
        <f t="shared" si="8"/>
        <v>3.0019999999999998</v>
      </c>
      <c r="S22" s="6"/>
      <c r="T22" s="6"/>
      <c r="U22" s="6"/>
      <c r="V22" s="6"/>
      <c r="W22" s="6"/>
      <c r="X22" s="3">
        <v>2</v>
      </c>
    </row>
    <row r="23" spans="1:26" ht="16.5" thickBot="1">
      <c r="A23" s="3"/>
      <c r="B23" s="3"/>
      <c r="C23" s="2" t="s">
        <v>373</v>
      </c>
      <c r="D23" s="7"/>
      <c r="E23" s="1">
        <f t="shared" si="0"/>
        <v>0</v>
      </c>
      <c r="F23" s="1">
        <f t="shared" si="1"/>
        <v>1.3675439999999999</v>
      </c>
      <c r="G23" s="1">
        <f t="shared" si="2"/>
        <v>3.9353559999999996</v>
      </c>
      <c r="H23" s="1">
        <f t="shared" si="3"/>
        <v>4.7072880000000001</v>
      </c>
      <c r="I23" s="4"/>
      <c r="J23" s="259">
        <f t="shared" si="4"/>
        <v>3151.98</v>
      </c>
      <c r="K23" s="4"/>
      <c r="L23" s="1">
        <f t="shared" si="5"/>
        <v>0</v>
      </c>
      <c r="M23" s="5"/>
      <c r="N23" s="6">
        <f t="shared" si="9"/>
        <v>4.18</v>
      </c>
      <c r="O23" s="6"/>
      <c r="P23" s="6">
        <f t="shared" si="7"/>
        <v>0.21279999999999999</v>
      </c>
      <c r="Q23" s="3"/>
      <c r="R23" s="6">
        <f t="shared" si="8"/>
        <v>4.0279999999999996</v>
      </c>
      <c r="S23" s="6"/>
      <c r="T23" s="6"/>
      <c r="U23" s="6"/>
      <c r="V23" s="6"/>
      <c r="W23" s="6"/>
      <c r="X23" s="3">
        <v>2</v>
      </c>
    </row>
    <row r="24" spans="1:26" ht="16.5" thickBot="1">
      <c r="A24" s="3"/>
      <c r="B24" s="3"/>
      <c r="C24" s="2" t="s">
        <v>374</v>
      </c>
      <c r="D24" s="7"/>
      <c r="E24" s="1">
        <f t="shared" si="0"/>
        <v>0</v>
      </c>
      <c r="F24" s="1">
        <f t="shared" si="1"/>
        <v>1.7123939999999997</v>
      </c>
      <c r="G24" s="1">
        <f t="shared" si="2"/>
        <v>4.8978009999999994</v>
      </c>
      <c r="H24" s="1">
        <f t="shared" si="3"/>
        <v>5.8672380000000004</v>
      </c>
      <c r="I24" s="4"/>
      <c r="J24" s="259">
        <f t="shared" si="4"/>
        <v>3745</v>
      </c>
      <c r="K24" s="4"/>
      <c r="L24" s="1">
        <f t="shared" si="5"/>
        <v>0</v>
      </c>
      <c r="M24" s="5"/>
      <c r="N24" s="6">
        <f t="shared" si="9"/>
        <v>5.2534999999999998</v>
      </c>
      <c r="O24" s="6"/>
      <c r="P24" s="6">
        <f t="shared" si="7"/>
        <v>0.21279999999999999</v>
      </c>
      <c r="Q24" s="3"/>
      <c r="R24" s="6">
        <f t="shared" si="8"/>
        <v>5.0729999999999995</v>
      </c>
      <c r="S24" s="6"/>
      <c r="T24" s="6"/>
      <c r="U24" s="6"/>
      <c r="V24" s="6"/>
      <c r="W24" s="6"/>
      <c r="X24" s="3">
        <v>2</v>
      </c>
    </row>
    <row r="25" spans="1:26" ht="16.5" thickBot="1">
      <c r="A25" s="3"/>
      <c r="B25" s="3"/>
      <c r="C25" s="2" t="s">
        <v>94</v>
      </c>
      <c r="D25" s="7"/>
      <c r="E25" s="1">
        <f t="shared" si="0"/>
        <v>0</v>
      </c>
      <c r="F25" s="1">
        <f t="shared" si="1"/>
        <v>0.38908200000000004</v>
      </c>
      <c r="G25" s="1">
        <f t="shared" si="2"/>
        <v>1.1452249999999999</v>
      </c>
      <c r="H25" s="1">
        <f t="shared" si="3"/>
        <v>1.362414</v>
      </c>
      <c r="I25" s="4"/>
      <c r="J25" s="259">
        <f t="shared" si="4"/>
        <v>3736.16</v>
      </c>
      <c r="K25" s="4"/>
      <c r="L25" s="1">
        <f t="shared" si="5"/>
        <v>0</v>
      </c>
      <c r="M25" s="5"/>
      <c r="N25" s="6">
        <f>1.9*N13</f>
        <v>4.9209999999999994</v>
      </c>
      <c r="O25" s="6"/>
      <c r="P25" s="6">
        <f t="shared" si="7"/>
        <v>0.10639999999999999</v>
      </c>
      <c r="Q25" s="3"/>
      <c r="R25" s="6">
        <f>1.9*R13</f>
        <v>1.121</v>
      </c>
      <c r="S25" s="6"/>
      <c r="T25" s="6"/>
      <c r="U25" s="6"/>
      <c r="V25" s="6"/>
      <c r="W25" s="6">
        <f>1.9*W13</f>
        <v>97.85</v>
      </c>
      <c r="X25" s="3">
        <v>2</v>
      </c>
    </row>
    <row r="26" spans="1:26" ht="16.5" thickBot="1">
      <c r="A26" s="3"/>
      <c r="B26" s="3"/>
      <c r="C26" s="2" t="s">
        <v>91</v>
      </c>
      <c r="D26" s="7"/>
      <c r="E26" s="1">
        <f t="shared" si="0"/>
        <v>0</v>
      </c>
      <c r="F26" s="1">
        <f t="shared" si="1"/>
        <v>0.48940199999999995</v>
      </c>
      <c r="G26" s="1">
        <f t="shared" si="2"/>
        <v>1.4252089999999999</v>
      </c>
      <c r="H26" s="1">
        <f t="shared" si="3"/>
        <v>1.699854</v>
      </c>
      <c r="I26" s="4"/>
      <c r="J26" s="259">
        <f t="shared" si="4"/>
        <v>4503.8999999999996</v>
      </c>
      <c r="K26" s="4"/>
      <c r="L26" s="1">
        <f t="shared" si="5"/>
        <v>0</v>
      </c>
      <c r="M26" s="5"/>
      <c r="N26" s="6">
        <f t="shared" si="9"/>
        <v>6.2130000000000001</v>
      </c>
      <c r="O26" s="6"/>
      <c r="P26" s="6">
        <f t="shared" si="7"/>
        <v>0.10639999999999999</v>
      </c>
      <c r="Q26" s="3"/>
      <c r="R26" s="6">
        <f t="shared" si="8"/>
        <v>1.4249999999999998</v>
      </c>
      <c r="S26" s="6"/>
      <c r="T26" s="6"/>
      <c r="U26" s="6"/>
      <c r="V26" s="6"/>
      <c r="W26" s="6">
        <f>1.9*W14</f>
        <v>123.386</v>
      </c>
      <c r="X26" s="3">
        <v>2</v>
      </c>
    </row>
    <row r="27" spans="1:26" ht="16.5" thickBot="1">
      <c r="A27" s="3"/>
      <c r="B27" s="3"/>
      <c r="C27" s="2" t="s">
        <v>92</v>
      </c>
      <c r="D27" s="7"/>
      <c r="E27" s="1">
        <f t="shared" si="0"/>
        <v>0</v>
      </c>
      <c r="F27" s="1">
        <f t="shared" si="1"/>
        <v>0.65242199999999995</v>
      </c>
      <c r="G27" s="1">
        <f t="shared" si="2"/>
        <v>1.8801829999999999</v>
      </c>
      <c r="H27" s="1">
        <f t="shared" si="3"/>
        <v>2.2481940000000002</v>
      </c>
      <c r="I27" s="4"/>
      <c r="J27" s="259">
        <f t="shared" si="4"/>
        <v>4886.76</v>
      </c>
      <c r="K27" s="4"/>
      <c r="L27" s="1">
        <f t="shared" si="5"/>
        <v>0</v>
      </c>
      <c r="M27" s="5"/>
      <c r="N27" s="6">
        <f t="shared" si="9"/>
        <v>8.36</v>
      </c>
      <c r="O27" s="6"/>
      <c r="P27" s="6">
        <f t="shared" si="7"/>
        <v>0.10639999999999999</v>
      </c>
      <c r="Q27" s="3"/>
      <c r="R27" s="6">
        <f t="shared" si="8"/>
        <v>1.9189999999999998</v>
      </c>
      <c r="S27" s="6"/>
      <c r="T27" s="6"/>
      <c r="U27" s="6"/>
      <c r="V27" s="6"/>
      <c r="W27" s="6">
        <f>1.9*W15</f>
        <v>123.386</v>
      </c>
      <c r="X27" s="3">
        <v>2</v>
      </c>
    </row>
    <row r="28" spans="1:26" ht="16.5" thickBot="1">
      <c r="A28" s="3"/>
      <c r="B28" s="3"/>
      <c r="C28" s="2" t="s">
        <v>93</v>
      </c>
      <c r="D28" s="7"/>
      <c r="E28" s="1">
        <f t="shared" si="0"/>
        <v>0</v>
      </c>
      <c r="F28" s="1">
        <f t="shared" si="1"/>
        <v>0.81544199999999989</v>
      </c>
      <c r="G28" s="1">
        <f t="shared" si="2"/>
        <v>2.3351569999999997</v>
      </c>
      <c r="H28" s="1">
        <f t="shared" si="3"/>
        <v>2.7965340000000003</v>
      </c>
      <c r="I28" s="4"/>
      <c r="J28" s="259">
        <f t="shared" si="4"/>
        <v>5931.1</v>
      </c>
      <c r="K28" s="4"/>
      <c r="L28" s="1">
        <f t="shared" si="5"/>
        <v>0</v>
      </c>
      <c r="M28" s="5"/>
      <c r="N28" s="6">
        <f t="shared" si="9"/>
        <v>10.507</v>
      </c>
      <c r="O28" s="6"/>
      <c r="P28" s="6">
        <f t="shared" si="7"/>
        <v>0.10639999999999999</v>
      </c>
      <c r="Q28" s="3"/>
      <c r="R28" s="6">
        <f t="shared" si="8"/>
        <v>2.4129999999999998</v>
      </c>
      <c r="S28" s="6"/>
      <c r="T28" s="6"/>
      <c r="U28" s="6"/>
      <c r="V28" s="6"/>
      <c r="W28" s="6">
        <f>1.9*W16</f>
        <v>155.02099999999999</v>
      </c>
      <c r="X28" s="3">
        <v>2</v>
      </c>
    </row>
    <row r="29" spans="1:26" s="86" customFormat="1" ht="16.5" thickBot="1">
      <c r="A29" s="28"/>
      <c r="B29" s="28"/>
      <c r="C29" s="83" t="s">
        <v>81</v>
      </c>
      <c r="D29" s="84"/>
      <c r="E29" s="85">
        <f t="shared" si="0"/>
        <v>0.17055359999999997</v>
      </c>
      <c r="F29" s="85">
        <f t="shared" si="1"/>
        <v>9.9453823999999996E-2</v>
      </c>
      <c r="G29" s="85">
        <f t="shared" si="2"/>
        <v>0.3618486528</v>
      </c>
      <c r="H29" s="1">
        <f t="shared" si="3"/>
        <v>0.308576448</v>
      </c>
      <c r="I29" s="72"/>
      <c r="J29" s="259">
        <f t="shared" si="4"/>
        <v>460.93</v>
      </c>
      <c r="K29" s="72"/>
      <c r="L29" s="85">
        <f t="shared" si="5"/>
        <v>5.6851199999999992E-3</v>
      </c>
      <c r="M29" s="74"/>
      <c r="N29" s="73">
        <f>(0.88*0.88+4*0.09*0.09*0.8)/2.5</f>
        <v>0.32012799999999997</v>
      </c>
      <c r="O29" s="73">
        <f>2*(0.7+0.7)*0.8*0.09</f>
        <v>0.20159999999999997</v>
      </c>
      <c r="P29" s="73">
        <v>0.06</v>
      </c>
      <c r="Q29" s="28"/>
      <c r="R29" s="73">
        <f>3*N29*2*0.1+0.09*0.09*0.8*4</f>
        <v>0.21799679999999999</v>
      </c>
      <c r="S29" s="73"/>
      <c r="T29" s="73">
        <f>4*(0.7+0.7)/2*0.8</f>
        <v>2.2399999999999998</v>
      </c>
      <c r="U29" s="73"/>
      <c r="V29" s="73"/>
      <c r="W29" s="6">
        <f>40*R29</f>
        <v>8.7198719999999987</v>
      </c>
      <c r="X29" s="28"/>
      <c r="Y29"/>
      <c r="Z29"/>
    </row>
    <row r="30" spans="1:26" ht="16.5" thickBot="1">
      <c r="A30" s="3"/>
      <c r="B30" s="3"/>
      <c r="C30" s="2" t="s">
        <v>82</v>
      </c>
      <c r="D30" s="7"/>
      <c r="E30" s="1">
        <f t="shared" si="0"/>
        <v>0.28019519999999998</v>
      </c>
      <c r="F30" s="1">
        <f t="shared" si="1"/>
        <v>0.14735024000000002</v>
      </c>
      <c r="G30" s="1">
        <f t="shared" si="2"/>
        <v>0.52819569600000005</v>
      </c>
      <c r="H30" s="1">
        <f t="shared" si="3"/>
        <v>0.43353936000000004</v>
      </c>
      <c r="I30" s="4"/>
      <c r="J30" s="259">
        <f t="shared" si="4"/>
        <v>702.1</v>
      </c>
      <c r="K30" s="4"/>
      <c r="L30" s="1">
        <f t="shared" si="5"/>
        <v>9.3398400000000003E-3</v>
      </c>
      <c r="M30" s="5"/>
      <c r="N30" s="6">
        <f>(1.1*1.1+4*0.09*0.09*1)/2.5</f>
        <v>0.49696000000000007</v>
      </c>
      <c r="O30" s="6">
        <f>2*(0.92+0.92)*1*0.09</f>
        <v>0.33119999999999999</v>
      </c>
      <c r="P30" s="6">
        <v>0.06</v>
      </c>
      <c r="Q30" s="3"/>
      <c r="R30" s="6">
        <f>3*N30*2*0.1+0.09*0.09*1*4</f>
        <v>0.33057600000000004</v>
      </c>
      <c r="S30" s="6"/>
      <c r="T30" s="6">
        <f>4*(0.92+0.92)/2*1</f>
        <v>3.68</v>
      </c>
      <c r="U30" s="6"/>
      <c r="V30" s="6"/>
      <c r="W30" s="6">
        <f>40*R30</f>
        <v>13.223040000000001</v>
      </c>
      <c r="X30" s="3"/>
    </row>
    <row r="31" spans="1:26" ht="16.5" thickBot="1">
      <c r="A31" s="3"/>
      <c r="B31" s="3"/>
      <c r="C31" s="2" t="s">
        <v>58</v>
      </c>
      <c r="D31" s="7"/>
      <c r="E31" s="1">
        <f t="shared" si="0"/>
        <v>0.6822144</v>
      </c>
      <c r="F31" s="1">
        <f t="shared" si="1"/>
        <v>0.25613760000000002</v>
      </c>
      <c r="G31" s="1">
        <f t="shared" si="2"/>
        <v>0.95694329600000005</v>
      </c>
      <c r="H31" s="1">
        <f t="shared" si="3"/>
        <v>0.70038336000000012</v>
      </c>
      <c r="I31" s="4"/>
      <c r="J31" s="259">
        <f t="shared" si="4"/>
        <v>1305.72</v>
      </c>
      <c r="K31" s="4"/>
      <c r="L31" s="1">
        <f t="shared" si="5"/>
        <v>2.274048E-2</v>
      </c>
      <c r="M31" s="5"/>
      <c r="N31" s="6">
        <f>(1.48*1.48+4*0.14*0.14*1.2)/3</f>
        <v>0.76149333333333324</v>
      </c>
      <c r="O31" s="6">
        <f>2*(1.2+1.2)*1.2*0.14</f>
        <v>0.80640000000000001</v>
      </c>
      <c r="P31" s="6">
        <v>0.08</v>
      </c>
      <c r="Q31" s="3"/>
      <c r="R31" s="6">
        <f>3*N31*2*0.1+0.14*0.14*1.2*4</f>
        <v>0.55097600000000002</v>
      </c>
      <c r="S31" s="6"/>
      <c r="T31" s="6">
        <f>4*(1.2+1.2)/2*1.2</f>
        <v>5.76</v>
      </c>
      <c r="U31" s="6"/>
      <c r="V31" s="6"/>
      <c r="W31" s="6">
        <f>40*R31</f>
        <v>22.03904</v>
      </c>
      <c r="X31" s="3"/>
    </row>
    <row r="32" spans="1:26" ht="16.5" thickBot="1">
      <c r="A32" s="3"/>
      <c r="B32" s="3"/>
      <c r="C32" s="2" t="s">
        <v>59</v>
      </c>
      <c r="D32" s="7"/>
      <c r="E32" s="1">
        <f t="shared" si="0"/>
        <v>0.92856959999999988</v>
      </c>
      <c r="F32" s="1">
        <f t="shared" si="1"/>
        <v>0.33109503999999995</v>
      </c>
      <c r="G32" s="1">
        <f t="shared" si="2"/>
        <v>1.2541824319999999</v>
      </c>
      <c r="H32" s="1">
        <f t="shared" si="3"/>
        <v>0.89487311999999997</v>
      </c>
      <c r="I32" s="4"/>
      <c r="J32" s="259">
        <f t="shared" si="4"/>
        <v>1702.01</v>
      </c>
      <c r="K32" s="4"/>
      <c r="L32" s="1">
        <f t="shared" si="5"/>
        <v>3.0952319999999998E-2</v>
      </c>
      <c r="M32" s="5"/>
      <c r="N32" s="6">
        <f>(1.68*1.68+4*0.14*0.14*1.4)/3</f>
        <v>0.97738666666666651</v>
      </c>
      <c r="O32" s="6">
        <f>2*(1.4+1.4)*1.4*0.14</f>
        <v>1.0975999999999999</v>
      </c>
      <c r="P32" s="6">
        <v>0.11</v>
      </c>
      <c r="Q32" s="3"/>
      <c r="R32" s="6">
        <f>3*N32*2*0.1+0.14*0.14*1.4*4</f>
        <v>0.69619199999999992</v>
      </c>
      <c r="S32" s="6"/>
      <c r="T32" s="6">
        <f>4*(1.4+1.4)/2*1.4</f>
        <v>7.839999999999999</v>
      </c>
      <c r="U32" s="6"/>
      <c r="V32" s="6"/>
      <c r="W32" s="6">
        <f>40*R32</f>
        <v>27.847679999999997</v>
      </c>
      <c r="X32" s="3"/>
    </row>
    <row r="33" spans="1:24" ht="16.5" thickBot="1">
      <c r="A33" s="3"/>
      <c r="B33" s="3"/>
      <c r="C33" s="2" t="s">
        <v>60</v>
      </c>
      <c r="D33" s="7"/>
      <c r="E33" s="1">
        <f t="shared" si="0"/>
        <v>1.3189478400000001</v>
      </c>
      <c r="F33" s="1">
        <f t="shared" si="1"/>
        <v>0.45250179200000007</v>
      </c>
      <c r="G33" s="1">
        <f t="shared" si="2"/>
        <v>1.7334338080000002</v>
      </c>
      <c r="H33" s="1">
        <f t="shared" si="3"/>
        <v>1.2150148800000002</v>
      </c>
      <c r="I33" s="4"/>
      <c r="J33" s="259">
        <f t="shared" si="4"/>
        <v>2343.36</v>
      </c>
      <c r="K33" s="4"/>
      <c r="L33" s="1">
        <f t="shared" si="5"/>
        <v>4.3964928000000007E-2</v>
      </c>
      <c r="M33" s="5"/>
      <c r="N33" s="6">
        <f>(1.98*1.98+4*0.14*0.14*1.6)/3</f>
        <v>1.3486133333333334</v>
      </c>
      <c r="O33" s="6">
        <f>2*(1.7+1.78)*1.6*0.14</f>
        <v>1.5590400000000002</v>
      </c>
      <c r="P33" s="6">
        <v>0.16</v>
      </c>
      <c r="Q33" s="3"/>
      <c r="R33" s="6">
        <f>3*N33*2*0.1+0.14*0.14*1.6*4</f>
        <v>0.93460800000000011</v>
      </c>
      <c r="S33" s="6"/>
      <c r="T33" s="6">
        <f>4*(1.7+1.7)/2*1.6</f>
        <v>10.88</v>
      </c>
      <c r="U33" s="6"/>
      <c r="V33" s="6"/>
      <c r="W33" s="6">
        <f>40*R33</f>
        <v>37.384320000000002</v>
      </c>
      <c r="X33" s="3"/>
    </row>
    <row r="34" spans="1:24" ht="16.5" thickBot="1">
      <c r="A34" s="3"/>
      <c r="B34" s="3"/>
      <c r="C34" s="2" t="s">
        <v>375</v>
      </c>
      <c r="D34" s="7"/>
      <c r="E34" s="1">
        <f t="shared" si="0"/>
        <v>0</v>
      </c>
      <c r="F34" s="1">
        <f t="shared" si="1"/>
        <v>0.1320288</v>
      </c>
      <c r="G34" s="1">
        <f t="shared" si="2"/>
        <v>0.40193856</v>
      </c>
      <c r="H34" s="1">
        <f t="shared" si="3"/>
        <v>0.47436960000000006</v>
      </c>
      <c r="I34" s="4"/>
      <c r="J34" s="259">
        <f t="shared" si="4"/>
        <v>452.08</v>
      </c>
      <c r="K34" s="4"/>
      <c r="L34" s="1">
        <f t="shared" si="5"/>
        <v>0</v>
      </c>
      <c r="M34" s="5"/>
      <c r="N34" s="6">
        <f>N39/2</f>
        <v>0.94933333333333358</v>
      </c>
      <c r="O34" s="6"/>
      <c r="P34" s="6">
        <v>0.06</v>
      </c>
      <c r="Q34" s="3"/>
      <c r="R34" s="6">
        <f>(4*0.8*0.12*(0.7+0.88)/2+(0.8*0.8)*0.1)</f>
        <v>0.36736000000000002</v>
      </c>
      <c r="S34" s="6"/>
      <c r="T34" s="6"/>
      <c r="U34" s="6"/>
      <c r="V34" s="6"/>
      <c r="W34" s="6">
        <f>W29</f>
        <v>8.7198719999999987</v>
      </c>
      <c r="X34" s="3"/>
    </row>
    <row r="35" spans="1:24" ht="16.5" thickBot="1">
      <c r="A35" s="3"/>
      <c r="B35" s="3"/>
      <c r="C35" s="2" t="s">
        <v>376</v>
      </c>
      <c r="D35" s="7"/>
      <c r="E35" s="1">
        <f t="shared" si="0"/>
        <v>0</v>
      </c>
      <c r="F35" s="1">
        <f t="shared" si="1"/>
        <v>0.20444730000000003</v>
      </c>
      <c r="G35" s="1">
        <f t="shared" si="2"/>
        <v>0.60405201000000008</v>
      </c>
      <c r="H35" s="1">
        <f t="shared" si="3"/>
        <v>0.71795910000000007</v>
      </c>
      <c r="I35" s="4"/>
      <c r="J35" s="259">
        <f t="shared" si="4"/>
        <v>692.16</v>
      </c>
      <c r="K35" s="4"/>
      <c r="L35" s="1">
        <f t="shared" si="5"/>
        <v>0</v>
      </c>
      <c r="M35" s="5"/>
      <c r="N35" s="6">
        <f>N40/2</f>
        <v>1.5166833333333332</v>
      </c>
      <c r="O35" s="6"/>
      <c r="P35" s="6">
        <v>0.06</v>
      </c>
      <c r="Q35" s="3"/>
      <c r="R35" s="6">
        <f>(4*1*0.12*(0.92+1.1)/2+(1.01*1.01)*0.1)</f>
        <v>0.58681000000000005</v>
      </c>
      <c r="S35" s="6"/>
      <c r="T35" s="6"/>
      <c r="U35" s="6"/>
      <c r="V35" s="6"/>
      <c r="W35" s="6">
        <f>W30</f>
        <v>13.223040000000001</v>
      </c>
      <c r="X35" s="3"/>
    </row>
    <row r="36" spans="1:24" ht="16.5" thickBot="1">
      <c r="A36" s="3"/>
      <c r="B36" s="3"/>
      <c r="C36" s="2" t="s">
        <v>377</v>
      </c>
      <c r="D36" s="7"/>
      <c r="E36" s="1">
        <f t="shared" si="0"/>
        <v>0</v>
      </c>
      <c r="F36" s="1">
        <f t="shared" si="1"/>
        <v>0.38327894999999995</v>
      </c>
      <c r="G36" s="1">
        <f t="shared" si="2"/>
        <v>1.1143076149999998</v>
      </c>
      <c r="H36" s="1">
        <f t="shared" si="3"/>
        <v>1.3295746499999999</v>
      </c>
      <c r="I36" s="4"/>
      <c r="J36" s="259">
        <f t="shared" si="4"/>
        <v>1210.17</v>
      </c>
      <c r="K36" s="4"/>
      <c r="L36" s="1">
        <f t="shared" si="5"/>
        <v>0</v>
      </c>
      <c r="M36" s="5"/>
      <c r="N36" s="6">
        <f>N41/2</f>
        <v>2.4432666666666667</v>
      </c>
      <c r="O36" s="6"/>
      <c r="P36" s="6">
        <v>0.08</v>
      </c>
      <c r="Q36" s="3"/>
      <c r="R36" s="6">
        <f>(4*1.2*0.15*(1.2+1.48)/2+(1.01*1.01)*0.15)</f>
        <v>1.1178149999999998</v>
      </c>
      <c r="S36" s="6"/>
      <c r="T36" s="6"/>
      <c r="U36" s="6"/>
      <c r="V36" s="6"/>
      <c r="W36" s="6">
        <f>W31</f>
        <v>22.03904</v>
      </c>
      <c r="X36" s="3"/>
    </row>
    <row r="37" spans="1:24" ht="16.5" thickBot="1">
      <c r="A37" s="3"/>
      <c r="B37" s="3"/>
      <c r="C37" s="2" t="s">
        <v>378</v>
      </c>
      <c r="D37" s="7"/>
      <c r="E37" s="1">
        <f t="shared" si="0"/>
        <v>0</v>
      </c>
      <c r="F37" s="1">
        <f t="shared" si="1"/>
        <v>0.56408220000000009</v>
      </c>
      <c r="G37" s="1">
        <f t="shared" si="2"/>
        <v>1.6356421400000001</v>
      </c>
      <c r="H37" s="1">
        <f t="shared" si="3"/>
        <v>1.9528674000000004</v>
      </c>
      <c r="I37" s="4"/>
      <c r="J37" s="259">
        <f t="shared" si="4"/>
        <v>1663.57</v>
      </c>
      <c r="K37" s="4"/>
      <c r="L37" s="1">
        <f t="shared" si="5"/>
        <v>0</v>
      </c>
      <c r="M37" s="5"/>
      <c r="N37" s="6">
        <f>N42/2</f>
        <v>3.2699333333333329</v>
      </c>
      <c r="O37" s="6"/>
      <c r="P37" s="6">
        <v>0.11</v>
      </c>
      <c r="Q37" s="3"/>
      <c r="R37" s="6">
        <f>(4*1.4*0.15*(1.4+1.68)/2+(1.54*1.54)*0.15)</f>
        <v>1.64934</v>
      </c>
      <c r="S37" s="6"/>
      <c r="T37" s="6"/>
      <c r="U37" s="6"/>
      <c r="V37" s="6"/>
      <c r="W37" s="6">
        <f>W32</f>
        <v>27.847679999999997</v>
      </c>
      <c r="X37" s="3"/>
    </row>
    <row r="38" spans="1:24" ht="16.5" thickBot="1">
      <c r="A38" s="3"/>
      <c r="B38" s="3"/>
      <c r="C38" s="2" t="s">
        <v>379</v>
      </c>
      <c r="D38" s="7"/>
      <c r="E38" s="1">
        <f t="shared" si="0"/>
        <v>0</v>
      </c>
      <c r="F38" s="1">
        <f t="shared" si="1"/>
        <v>0.77929919999999997</v>
      </c>
      <c r="G38" s="1">
        <f t="shared" si="2"/>
        <v>2.26417504</v>
      </c>
      <c r="H38" s="1">
        <f t="shared" si="3"/>
        <v>2.7020064000000001</v>
      </c>
      <c r="I38" s="4"/>
      <c r="J38" s="259">
        <f t="shared" si="4"/>
        <v>2274.9899999999998</v>
      </c>
      <c r="K38" s="4"/>
      <c r="L38" s="1">
        <f t="shared" si="5"/>
        <v>0</v>
      </c>
      <c r="M38" s="5"/>
      <c r="N38" s="6">
        <f>N43/2</f>
        <v>4.4896000000000003</v>
      </c>
      <c r="O38" s="6"/>
      <c r="P38" s="6">
        <v>0.16</v>
      </c>
      <c r="Q38" s="3"/>
      <c r="R38" s="6">
        <f>(4*1.6*0.15*(1.7+1.98)/2+(1.84*1.84)*0.15)</f>
        <v>2.2742399999999998</v>
      </c>
      <c r="S38" s="6"/>
      <c r="T38" s="6"/>
      <c r="U38" s="6"/>
      <c r="V38" s="6"/>
      <c r="W38" s="6">
        <f>W33</f>
        <v>37.384320000000002</v>
      </c>
      <c r="X38" s="3"/>
    </row>
    <row r="39" spans="1:24" ht="16.5" thickBot="1">
      <c r="A39" s="3"/>
      <c r="B39" s="3"/>
      <c r="C39" s="2" t="s">
        <v>380</v>
      </c>
      <c r="D39" s="7"/>
      <c r="E39" s="1">
        <f t="shared" si="0"/>
        <v>0</v>
      </c>
      <c r="F39" s="1">
        <f t="shared" si="1"/>
        <v>0.13625280000000003</v>
      </c>
      <c r="G39" s="1">
        <f t="shared" si="2"/>
        <v>0.41372736000000004</v>
      </c>
      <c r="H39" s="1">
        <f t="shared" si="3"/>
        <v>0.48857760000000011</v>
      </c>
      <c r="I39" s="4"/>
      <c r="J39" s="259">
        <f t="shared" si="4"/>
        <v>931.7</v>
      </c>
      <c r="K39" s="4"/>
      <c r="L39" s="1">
        <f t="shared" si="5"/>
        <v>0</v>
      </c>
      <c r="M39" s="5"/>
      <c r="N39" s="6">
        <f>(4*0.8*(0.7+0.88)+(0.8*0.8))/3</f>
        <v>1.8986666666666672</v>
      </c>
      <c r="O39" s="6"/>
      <c r="P39" s="6">
        <v>0.06</v>
      </c>
      <c r="Q39" s="3"/>
      <c r="R39" s="6">
        <f>(4*0.8*0.12*(0.7+0.88)/2+(0.8*0.8)*0.12)</f>
        <v>0.38016000000000005</v>
      </c>
      <c r="S39" s="6"/>
      <c r="T39" s="6"/>
      <c r="U39" s="6"/>
      <c r="V39" s="6"/>
      <c r="W39" s="6">
        <f>ROUND(R39*75,2)</f>
        <v>28.51</v>
      </c>
      <c r="X39" s="3"/>
    </row>
    <row r="40" spans="1:24" ht="16.5" thickBot="1">
      <c r="A40" s="3"/>
      <c r="B40" s="3"/>
      <c r="C40" s="2" t="s">
        <v>381</v>
      </c>
      <c r="D40" s="7"/>
      <c r="E40" s="1">
        <f t="shared" si="0"/>
        <v>0</v>
      </c>
      <c r="F40" s="1">
        <f t="shared" si="1"/>
        <v>0.21117996</v>
      </c>
      <c r="G40" s="1">
        <f t="shared" si="2"/>
        <v>0.62284225199999999</v>
      </c>
      <c r="H40" s="1">
        <f t="shared" si="3"/>
        <v>0.74060532000000001</v>
      </c>
      <c r="I40" s="4"/>
      <c r="J40" s="259">
        <f t="shared" si="4"/>
        <v>1473.01</v>
      </c>
      <c r="K40" s="4"/>
      <c r="L40" s="1">
        <f t="shared" si="5"/>
        <v>0</v>
      </c>
      <c r="M40" s="5"/>
      <c r="N40" s="6">
        <f>(4*1*(0.92+1.1)+(1.01*1.01))/3</f>
        <v>3.0333666666666663</v>
      </c>
      <c r="O40" s="6"/>
      <c r="P40" s="6">
        <v>0.06</v>
      </c>
      <c r="Q40" s="3"/>
      <c r="R40" s="6">
        <f>(4*1*0.12*(0.92+1.1)/2+(1.01*1.01)*0.12)</f>
        <v>0.60721199999999997</v>
      </c>
      <c r="S40" s="6"/>
      <c r="T40" s="6"/>
      <c r="U40" s="6"/>
      <c r="V40" s="6"/>
      <c r="W40" s="6">
        <f>ROUND(R40*75,2)</f>
        <v>45.54</v>
      </c>
      <c r="X40" s="3"/>
    </row>
    <row r="41" spans="1:24" ht="16.5" thickBot="1">
      <c r="A41" s="3"/>
      <c r="B41" s="3"/>
      <c r="C41" s="2" t="s">
        <v>382</v>
      </c>
      <c r="D41" s="7"/>
      <c r="E41" s="1">
        <f t="shared" si="0"/>
        <v>0</v>
      </c>
      <c r="F41" s="1">
        <f t="shared" si="1"/>
        <v>0.38327894999999995</v>
      </c>
      <c r="G41" s="1">
        <f t="shared" si="2"/>
        <v>1.1143076149999998</v>
      </c>
      <c r="H41" s="1">
        <f t="shared" si="3"/>
        <v>1.3295746499999999</v>
      </c>
      <c r="I41" s="4"/>
      <c r="J41" s="259">
        <f t="shared" si="4"/>
        <v>2538.3200000000002</v>
      </c>
      <c r="K41" s="4"/>
      <c r="L41" s="1">
        <f t="shared" si="5"/>
        <v>0</v>
      </c>
      <c r="M41" s="5"/>
      <c r="N41" s="6">
        <f>(4*1.2*(1.2+1.48)+(1.34*1.34))/3</f>
        <v>4.8865333333333334</v>
      </c>
      <c r="O41" s="6"/>
      <c r="P41" s="6">
        <v>0.08</v>
      </c>
      <c r="Q41" s="3"/>
      <c r="R41" s="6">
        <f>(4*1.2*0.15*(1.2+1.48)/2+(1.01*1.01)*0.15)</f>
        <v>1.1178149999999998</v>
      </c>
      <c r="S41" s="6"/>
      <c r="T41" s="6"/>
      <c r="U41" s="6"/>
      <c r="V41" s="6"/>
      <c r="W41" s="6">
        <f>ROUND(R41*70,2)</f>
        <v>78.25</v>
      </c>
      <c r="X41" s="3"/>
    </row>
    <row r="42" spans="1:24" ht="16.5" thickBot="1">
      <c r="A42" s="3"/>
      <c r="B42" s="3"/>
      <c r="C42" s="2" t="s">
        <v>383</v>
      </c>
      <c r="D42" s="7"/>
      <c r="E42" s="1">
        <f t="shared" si="0"/>
        <v>0</v>
      </c>
      <c r="F42" s="1">
        <f t="shared" si="1"/>
        <v>0.56408220000000009</v>
      </c>
      <c r="G42" s="1">
        <f t="shared" si="2"/>
        <v>1.6356421400000001</v>
      </c>
      <c r="H42" s="1">
        <f t="shared" si="3"/>
        <v>1.9528674000000004</v>
      </c>
      <c r="I42" s="4"/>
      <c r="J42" s="259">
        <f t="shared" si="4"/>
        <v>3699.81</v>
      </c>
      <c r="K42" s="4"/>
      <c r="L42" s="1">
        <f t="shared" si="5"/>
        <v>0</v>
      </c>
      <c r="M42" s="5"/>
      <c r="N42" s="6">
        <f>(4*1.4*(1.4+1.68)+(1.54*1.54))/3</f>
        <v>6.5398666666666658</v>
      </c>
      <c r="O42" s="6"/>
      <c r="P42" s="6">
        <v>0.11</v>
      </c>
      <c r="Q42" s="3"/>
      <c r="R42" s="6">
        <f>(4*1.4*0.15*(1.4+1.68)/2+(1.54*1.54)*0.15)</f>
        <v>1.64934</v>
      </c>
      <c r="S42" s="6"/>
      <c r="T42" s="6"/>
      <c r="U42" s="6"/>
      <c r="V42" s="6"/>
      <c r="W42" s="6">
        <f>ROUND(R42*70,2)</f>
        <v>115.45</v>
      </c>
      <c r="X42" s="3"/>
    </row>
    <row r="43" spans="1:24" ht="16.5" thickBot="1">
      <c r="A43" s="3"/>
      <c r="B43" s="3"/>
      <c r="C43" s="2" t="s">
        <v>384</v>
      </c>
      <c r="D43" s="7"/>
      <c r="E43" s="1">
        <f t="shared" si="0"/>
        <v>0</v>
      </c>
      <c r="F43" s="1">
        <f t="shared" si="1"/>
        <v>0.77929919999999997</v>
      </c>
      <c r="G43" s="1">
        <f t="shared" si="2"/>
        <v>2.26417504</v>
      </c>
      <c r="H43" s="1">
        <f t="shared" si="3"/>
        <v>2.7020064000000001</v>
      </c>
      <c r="I43" s="4"/>
      <c r="J43" s="259">
        <f t="shared" si="4"/>
        <v>5102.8900000000003</v>
      </c>
      <c r="K43" s="4"/>
      <c r="L43" s="1">
        <f t="shared" si="5"/>
        <v>0</v>
      </c>
      <c r="M43" s="5"/>
      <c r="N43" s="6">
        <f>(4*1.6*(1.7+1.98)+(1.84*1.84))/3</f>
        <v>8.9792000000000005</v>
      </c>
      <c r="O43" s="6"/>
      <c r="P43" s="6">
        <v>0.16</v>
      </c>
      <c r="Q43" s="3"/>
      <c r="R43" s="6">
        <f>(4*1.6*0.15*(1.7+1.98)/2+(1.84*1.84)*0.15)</f>
        <v>2.2742399999999998</v>
      </c>
      <c r="S43" s="6"/>
      <c r="T43" s="6"/>
      <c r="U43" s="6"/>
      <c r="V43" s="6"/>
      <c r="W43" s="6">
        <f>ROUND(R43*70,2)</f>
        <v>159.19999999999999</v>
      </c>
      <c r="X43" s="3"/>
    </row>
    <row r="44" spans="1:24" ht="16.5" thickBot="1">
      <c r="A44" s="3"/>
      <c r="B44" s="3"/>
      <c r="C44" s="2" t="s">
        <v>385</v>
      </c>
      <c r="D44" s="7"/>
      <c r="E44" s="1">
        <f t="shared" si="0"/>
        <v>0</v>
      </c>
      <c r="F44" s="1">
        <f t="shared" si="1"/>
        <v>1.2096229499999998</v>
      </c>
      <c r="G44" s="1">
        <f t="shared" si="2"/>
        <v>3.5097804149999998</v>
      </c>
      <c r="H44" s="1">
        <f t="shared" si="3"/>
        <v>4.18982265</v>
      </c>
      <c r="I44" s="4"/>
      <c r="J44" s="259">
        <f t="shared" si="4"/>
        <v>7709.16</v>
      </c>
      <c r="K44" s="4"/>
      <c r="L44" s="1">
        <f t="shared" si="5"/>
        <v>0</v>
      </c>
      <c r="M44" s="5"/>
      <c r="N44" s="6">
        <f>(4*2*(2.1+2.48)+(2.29*2.29))/4</f>
        <v>10.471025000000001</v>
      </c>
      <c r="O44" s="6"/>
      <c r="P44" s="6">
        <v>0.24</v>
      </c>
      <c r="Q44" s="3"/>
      <c r="R44" s="6">
        <f>(4*2*0.15*(2.1+2.48)/2+(2.29*2.29)*0.15)</f>
        <v>3.5346149999999996</v>
      </c>
      <c r="S44" s="6"/>
      <c r="T44" s="6"/>
      <c r="U44" s="6"/>
      <c r="V44" s="6"/>
      <c r="W44" s="6">
        <f>ROUND(R44*70,2)</f>
        <v>247.42</v>
      </c>
      <c r="X44" s="3"/>
    </row>
    <row r="45" spans="1:24" ht="16.5" thickBot="1">
      <c r="A45" s="3"/>
      <c r="B45" s="3"/>
      <c r="C45" s="2" t="s">
        <v>386</v>
      </c>
      <c r="D45" s="7"/>
      <c r="E45" s="1">
        <f t="shared" si="0"/>
        <v>0</v>
      </c>
      <c r="F45" s="1">
        <f t="shared" si="1"/>
        <v>1.9087789500000001</v>
      </c>
      <c r="G45" s="1">
        <f t="shared" si="2"/>
        <v>5.5279776150000002</v>
      </c>
      <c r="H45" s="1">
        <f t="shared" si="3"/>
        <v>6.6020746500000005</v>
      </c>
      <c r="I45" s="4"/>
      <c r="J45" s="259">
        <f t="shared" si="4"/>
        <v>12178.23</v>
      </c>
      <c r="K45" s="4"/>
      <c r="L45" s="1">
        <f t="shared" si="5"/>
        <v>0</v>
      </c>
      <c r="M45" s="5"/>
      <c r="N45" s="6">
        <f>(4*2.5*(2.7+3.08)+(2.89*2.89))/4</f>
        <v>16.538025000000001</v>
      </c>
      <c r="O45" s="6"/>
      <c r="P45" s="6">
        <v>0.36</v>
      </c>
      <c r="Q45" s="3"/>
      <c r="R45" s="6">
        <f>(4*2.5*0.15*(2.7+3.08)/2+(2.89*2.89)*0.15)</f>
        <v>5.587815</v>
      </c>
      <c r="S45" s="6"/>
      <c r="T45" s="6"/>
      <c r="U45" s="6"/>
      <c r="V45" s="6"/>
      <c r="W45" s="6">
        <f>ROUND(R45*70,2)</f>
        <v>391.15</v>
      </c>
      <c r="X45" s="3"/>
    </row>
    <row r="46" spans="1:24" ht="16.5" thickBot="1">
      <c r="A46" s="3"/>
      <c r="B46" s="3"/>
      <c r="C46" s="2" t="s">
        <v>127</v>
      </c>
      <c r="D46" s="7"/>
      <c r="E46" s="1">
        <f t="shared" si="0"/>
        <v>0.54144000000000003</v>
      </c>
      <c r="F46" s="1">
        <f t="shared" si="1"/>
        <v>0.35276220000000008</v>
      </c>
      <c r="G46" s="1">
        <f t="shared" si="2"/>
        <v>1.1888125000000003</v>
      </c>
      <c r="H46" s="1">
        <f t="shared" si="3"/>
        <v>1.1100000000000001</v>
      </c>
      <c r="I46" s="4">
        <v>1</v>
      </c>
      <c r="J46" s="259">
        <f t="shared" si="4"/>
        <v>2203.7800000000002</v>
      </c>
      <c r="K46" s="4">
        <v>1</v>
      </c>
      <c r="L46" s="1">
        <f t="shared" si="5"/>
        <v>1.8048000000000002E-2</v>
      </c>
      <c r="M46" s="5"/>
      <c r="N46" s="6">
        <f>ROUND((4.9+2*0.5)/5,2)</f>
        <v>1.18</v>
      </c>
      <c r="O46" s="6">
        <f>ROUND((1.285*0.5),2)</f>
        <v>0.64</v>
      </c>
      <c r="P46" s="6">
        <v>0.1</v>
      </c>
      <c r="Q46" s="3"/>
      <c r="R46" s="6">
        <f>ROUND((0.8 +0.205 *0.5),2)</f>
        <v>0.9</v>
      </c>
      <c r="S46" s="6"/>
      <c r="T46" s="6">
        <f>ROUND((0.12 *0.5),2)</f>
        <v>0.06</v>
      </c>
      <c r="U46" s="6"/>
      <c r="V46" s="6"/>
      <c r="W46" s="6">
        <f>ROUND((21.07 +8.54 *0.5),2)</f>
        <v>25.34</v>
      </c>
      <c r="X46" s="3"/>
    </row>
    <row r="47" spans="1:24" ht="16.5" thickBot="1">
      <c r="A47" s="3"/>
      <c r="B47" s="3"/>
      <c r="C47" s="2" t="s">
        <v>128</v>
      </c>
      <c r="D47" s="7"/>
      <c r="E47" s="1">
        <f t="shared" si="0"/>
        <v>0.76139999999999997</v>
      </c>
      <c r="F47" s="1">
        <f t="shared" si="1"/>
        <v>0.38489359999999995</v>
      </c>
      <c r="G47" s="1">
        <f t="shared" si="2"/>
        <v>1.3499699999999999</v>
      </c>
      <c r="H47" s="1">
        <f t="shared" si="3"/>
        <v>1.1766000000000001</v>
      </c>
      <c r="I47" s="4">
        <v>1</v>
      </c>
      <c r="J47" s="259">
        <f t="shared" si="4"/>
        <v>2425.58</v>
      </c>
      <c r="K47" s="4">
        <v>1</v>
      </c>
      <c r="L47" s="1">
        <f t="shared" si="5"/>
        <v>2.538E-2</v>
      </c>
      <c r="M47" s="5"/>
      <c r="N47" s="6">
        <f>ROUND((4.9+2*0.7)/5,2)</f>
        <v>1.26</v>
      </c>
      <c r="O47" s="6">
        <f>ROUND((1.285*0.7),2)</f>
        <v>0.9</v>
      </c>
      <c r="P47" s="6">
        <v>0.12</v>
      </c>
      <c r="Q47" s="3"/>
      <c r="R47" s="6">
        <f>ROUND((0.8 +0.205 *0.7),2)</f>
        <v>0.94</v>
      </c>
      <c r="S47" s="6"/>
      <c r="T47" s="6">
        <f>ROUND((0.12 *0.7),2)</f>
        <v>0.08</v>
      </c>
      <c r="U47" s="6"/>
      <c r="V47" s="6"/>
      <c r="W47" s="6">
        <f>ROUND((21.07 +8.54 *0.7),2)</f>
        <v>27.05</v>
      </c>
      <c r="X47" s="3"/>
    </row>
    <row r="48" spans="1:24" ht="16.5" thickBot="1">
      <c r="A48" s="3"/>
      <c r="B48" s="3"/>
      <c r="C48" s="2" t="s">
        <v>129</v>
      </c>
      <c r="D48" s="7"/>
      <c r="E48" s="1">
        <f t="shared" si="0"/>
        <v>1.09134</v>
      </c>
      <c r="F48" s="1">
        <f t="shared" si="1"/>
        <v>0.43281240000000004</v>
      </c>
      <c r="G48" s="1">
        <f t="shared" si="2"/>
        <v>1.5797950000000001</v>
      </c>
      <c r="H48" s="1">
        <f t="shared" si="3"/>
        <v>1.2654000000000003</v>
      </c>
      <c r="I48" s="4">
        <v>1</v>
      </c>
      <c r="J48" s="259">
        <f t="shared" si="4"/>
        <v>2754.73</v>
      </c>
      <c r="K48" s="4">
        <v>1</v>
      </c>
      <c r="L48" s="1">
        <f t="shared" si="5"/>
        <v>3.6378000000000001E-2</v>
      </c>
      <c r="M48" s="5"/>
      <c r="N48" s="6">
        <f>ROUND((4.9+2*1)/5,2)</f>
        <v>1.38</v>
      </c>
      <c r="O48" s="6">
        <f>ROUND((1.285*1),2)</f>
        <v>1.29</v>
      </c>
      <c r="P48" s="6">
        <v>0.13</v>
      </c>
      <c r="Q48" s="3">
        <f>(Q47+Q49)/2</f>
        <v>0</v>
      </c>
      <c r="R48" s="6">
        <f>ROUND((0.8 +0.205 *1),2)</f>
        <v>1.01</v>
      </c>
      <c r="S48" s="6"/>
      <c r="T48" s="6">
        <f>ROUND((0.12 *1),2)</f>
        <v>0.12</v>
      </c>
      <c r="U48" s="6"/>
      <c r="V48" s="6"/>
      <c r="W48" s="6">
        <f>ROUND((21.07 +8.54 *1),2)</f>
        <v>29.61</v>
      </c>
      <c r="X48" s="3"/>
    </row>
    <row r="49" spans="1:24" ht="16.5" thickBot="1">
      <c r="A49" s="3"/>
      <c r="B49" s="3"/>
      <c r="C49" s="2" t="s">
        <v>130</v>
      </c>
      <c r="D49" s="7"/>
      <c r="E49" s="1">
        <f t="shared" si="0"/>
        <v>1.30284</v>
      </c>
      <c r="F49" s="1">
        <f t="shared" si="1"/>
        <v>0.46255580000000002</v>
      </c>
      <c r="G49" s="1">
        <f t="shared" si="2"/>
        <v>1.7263925000000002</v>
      </c>
      <c r="H49" s="1">
        <f t="shared" si="3"/>
        <v>1.3209000000000002</v>
      </c>
      <c r="I49" s="4">
        <v>1</v>
      </c>
      <c r="J49" s="259">
        <f t="shared" si="4"/>
        <v>2966.42</v>
      </c>
      <c r="K49" s="4">
        <v>1</v>
      </c>
      <c r="L49" s="1">
        <f t="shared" si="5"/>
        <v>4.3428000000000001E-2</v>
      </c>
      <c r="M49" s="5"/>
      <c r="N49" s="6">
        <f>ROUND((4.9+2*1.2)/5,2)</f>
        <v>1.46</v>
      </c>
      <c r="O49" s="6">
        <f>ROUND((1.285*1.2),2)</f>
        <v>1.54</v>
      </c>
      <c r="P49" s="6">
        <v>0.14000000000000001</v>
      </c>
      <c r="Q49" s="3"/>
      <c r="R49" s="6">
        <f>ROUND((0.8 +0.205 *1.2),2)</f>
        <v>1.05</v>
      </c>
      <c r="S49" s="6"/>
      <c r="T49" s="6">
        <f>ROUND((0.12 *1.2),2)</f>
        <v>0.14000000000000001</v>
      </c>
      <c r="U49" s="6"/>
      <c r="V49" s="6"/>
      <c r="W49" s="6">
        <f>ROUND((21.07 +8.54 *1.2),2)</f>
        <v>31.32</v>
      </c>
      <c r="X49" s="3"/>
    </row>
    <row r="50" spans="1:24" ht="16.5" thickBot="1">
      <c r="A50" s="3"/>
      <c r="B50" s="3"/>
      <c r="C50" s="2" t="s">
        <v>131</v>
      </c>
      <c r="D50" s="7"/>
      <c r="E50" s="1">
        <f t="shared" si="0"/>
        <v>1.6327799999999999</v>
      </c>
      <c r="F50" s="1">
        <f t="shared" si="1"/>
        <v>0.50537460000000012</v>
      </c>
      <c r="G50" s="1">
        <f t="shared" si="2"/>
        <v>1.9364075000000001</v>
      </c>
      <c r="H50" s="1">
        <f t="shared" si="3"/>
        <v>1.3875000000000002</v>
      </c>
      <c r="I50" s="4">
        <v>1</v>
      </c>
      <c r="J50" s="259">
        <f t="shared" si="4"/>
        <v>3286.28</v>
      </c>
      <c r="K50" s="4">
        <v>1</v>
      </c>
      <c r="L50" s="1">
        <f t="shared" si="5"/>
        <v>5.4425999999999995E-2</v>
      </c>
      <c r="M50" s="5"/>
      <c r="N50" s="6">
        <f>ROUND((4.9+2*1.5)/5,2)</f>
        <v>1.58</v>
      </c>
      <c r="O50" s="6">
        <f>ROUND((1.285*1.5),2)</f>
        <v>1.93</v>
      </c>
      <c r="P50" s="6">
        <v>0.14000000000000001</v>
      </c>
      <c r="Q50" s="3"/>
      <c r="R50" s="6">
        <f>ROUND((0.8 +0.205 *1.5),2)</f>
        <v>1.1100000000000001</v>
      </c>
      <c r="S50" s="6"/>
      <c r="T50" s="6">
        <f>ROUND((0.12 *1.5),2)</f>
        <v>0.18</v>
      </c>
      <c r="U50" s="6"/>
      <c r="V50" s="6"/>
      <c r="W50" s="6">
        <f>ROUND((21.07 +8.54 *1.5),2)</f>
        <v>33.880000000000003</v>
      </c>
      <c r="X50" s="3"/>
    </row>
    <row r="51" spans="1:24" ht="16.5" thickBot="1">
      <c r="A51" s="3"/>
      <c r="B51" s="3"/>
      <c r="C51" s="2" t="s">
        <v>132</v>
      </c>
      <c r="D51" s="7"/>
      <c r="E51" s="1">
        <f t="shared" si="0"/>
        <v>0</v>
      </c>
      <c r="F51" s="1">
        <f t="shared" si="1"/>
        <v>0.38250000000000006</v>
      </c>
      <c r="G51" s="1">
        <f t="shared" si="2"/>
        <v>1.1483800000000002</v>
      </c>
      <c r="H51" s="1">
        <f t="shared" si="3"/>
        <v>1.35975</v>
      </c>
      <c r="I51" s="4">
        <v>1</v>
      </c>
      <c r="J51" s="259">
        <f t="shared" si="4"/>
        <v>1401.9</v>
      </c>
      <c r="K51" s="4">
        <v>1</v>
      </c>
      <c r="L51" s="1">
        <f t="shared" si="5"/>
        <v>0</v>
      </c>
      <c r="M51" s="5"/>
      <c r="N51" s="6">
        <f>N56/2</f>
        <v>1.075</v>
      </c>
      <c r="O51" s="6"/>
      <c r="P51" s="6">
        <f>P56</f>
        <v>0.14499999999999999</v>
      </c>
      <c r="Q51" s="3"/>
      <c r="R51" s="6">
        <f>R56</f>
        <v>1.08</v>
      </c>
      <c r="S51" s="6"/>
      <c r="T51" s="6"/>
      <c r="U51" s="6"/>
      <c r="V51" s="6"/>
      <c r="W51" s="6"/>
      <c r="X51" s="3"/>
    </row>
    <row r="52" spans="1:24" ht="16.5" thickBot="1">
      <c r="A52" s="3"/>
      <c r="B52" s="3"/>
      <c r="C52" s="2" t="s">
        <v>133</v>
      </c>
      <c r="D52" s="7"/>
      <c r="E52" s="1">
        <f t="shared" si="0"/>
        <v>0</v>
      </c>
      <c r="F52" s="1">
        <f t="shared" si="1"/>
        <v>0.43200000000000005</v>
      </c>
      <c r="G52" s="1">
        <f t="shared" si="2"/>
        <v>1.28653</v>
      </c>
      <c r="H52" s="1">
        <f t="shared" si="3"/>
        <v>1.5262500000000001</v>
      </c>
      <c r="I52" s="4">
        <v>1</v>
      </c>
      <c r="J52" s="259">
        <f t="shared" si="4"/>
        <v>1493.02</v>
      </c>
      <c r="K52" s="4">
        <v>1</v>
      </c>
      <c r="L52" s="1">
        <f t="shared" si="5"/>
        <v>0</v>
      </c>
      <c r="M52" s="5"/>
      <c r="N52" s="6">
        <f>N57/2</f>
        <v>1.325</v>
      </c>
      <c r="O52" s="6"/>
      <c r="P52" s="6">
        <f>P57</f>
        <v>0.14499999999999999</v>
      </c>
      <c r="Q52" s="3"/>
      <c r="R52" s="6">
        <f>R57</f>
        <v>1.23</v>
      </c>
      <c r="S52" s="6"/>
      <c r="T52" s="6"/>
      <c r="U52" s="6"/>
      <c r="V52" s="6"/>
      <c r="W52" s="6"/>
      <c r="X52" s="3"/>
    </row>
    <row r="53" spans="1:24" ht="16.5" thickBot="1">
      <c r="A53" s="3"/>
      <c r="B53" s="3"/>
      <c r="C53" s="2" t="s">
        <v>134</v>
      </c>
      <c r="D53" s="7"/>
      <c r="E53" s="1">
        <f t="shared" si="0"/>
        <v>0</v>
      </c>
      <c r="F53" s="1">
        <f t="shared" si="1"/>
        <v>0.50459999999999994</v>
      </c>
      <c r="G53" s="1">
        <f t="shared" si="2"/>
        <v>1.48915</v>
      </c>
      <c r="H53" s="1">
        <f t="shared" si="3"/>
        <v>1.7704500000000001</v>
      </c>
      <c r="I53" s="4">
        <v>1</v>
      </c>
      <c r="J53" s="259">
        <f t="shared" si="4"/>
        <v>1627.18</v>
      </c>
      <c r="K53" s="4">
        <v>1</v>
      </c>
      <c r="L53" s="1">
        <f t="shared" si="5"/>
        <v>0</v>
      </c>
      <c r="M53" s="5"/>
      <c r="N53" s="6">
        <f>N58/2</f>
        <v>1.7</v>
      </c>
      <c r="O53" s="6">
        <f>(O52+O54)/2</f>
        <v>0</v>
      </c>
      <c r="P53" s="6">
        <f>P58</f>
        <v>0.14499999999999999</v>
      </c>
      <c r="Q53" s="3">
        <f>(Q52+Q54)/2</f>
        <v>0</v>
      </c>
      <c r="R53" s="6">
        <f>R58</f>
        <v>1.45</v>
      </c>
      <c r="S53" s="6"/>
      <c r="T53" s="6">
        <f>(T52+T54)/2</f>
        <v>0</v>
      </c>
      <c r="U53" s="6"/>
      <c r="V53" s="6"/>
      <c r="W53" s="6"/>
      <c r="X53" s="3"/>
    </row>
    <row r="54" spans="1:24" ht="16.5" thickBot="1">
      <c r="A54" s="3"/>
      <c r="B54" s="3"/>
      <c r="C54" s="2" t="s">
        <v>135</v>
      </c>
      <c r="D54" s="7"/>
      <c r="E54" s="1">
        <f t="shared" si="0"/>
        <v>0</v>
      </c>
      <c r="F54" s="1">
        <f t="shared" si="1"/>
        <v>0.6411</v>
      </c>
      <c r="G54" s="1">
        <f t="shared" si="2"/>
        <v>1.8840500000000002</v>
      </c>
      <c r="H54" s="1">
        <f t="shared" si="3"/>
        <v>2.2422</v>
      </c>
      <c r="I54" s="4">
        <v>1</v>
      </c>
      <c r="J54" s="259">
        <f t="shared" si="4"/>
        <v>1851.62</v>
      </c>
      <c r="K54" s="4">
        <v>1</v>
      </c>
      <c r="L54" s="1">
        <f t="shared" si="5"/>
        <v>0</v>
      </c>
      <c r="M54" s="5"/>
      <c r="N54" s="6">
        <f>N59/2</f>
        <v>1.9</v>
      </c>
      <c r="O54" s="6"/>
      <c r="P54" s="6">
        <f>P59</f>
        <v>0.17</v>
      </c>
      <c r="Q54" s="3"/>
      <c r="R54" s="6">
        <f>R59</f>
        <v>1.85</v>
      </c>
      <c r="S54" s="6"/>
      <c r="T54" s="6"/>
      <c r="U54" s="6"/>
      <c r="V54" s="6"/>
      <c r="W54" s="6"/>
      <c r="X54" s="3"/>
    </row>
    <row r="55" spans="1:24" ht="16.5" thickBot="1">
      <c r="A55" s="3"/>
      <c r="B55" s="3"/>
      <c r="C55" s="2" t="s">
        <v>136</v>
      </c>
      <c r="D55" s="7"/>
      <c r="E55" s="1">
        <f t="shared" si="0"/>
        <v>0</v>
      </c>
      <c r="F55" s="1">
        <f t="shared" si="1"/>
        <v>0.80657999999999996</v>
      </c>
      <c r="G55" s="1">
        <f t="shared" si="2"/>
        <v>2.3575999999999997</v>
      </c>
      <c r="H55" s="1">
        <f t="shared" si="3"/>
        <v>2.8094099999999997</v>
      </c>
      <c r="I55" s="4">
        <v>1</v>
      </c>
      <c r="J55" s="259">
        <f t="shared" si="4"/>
        <v>2119.0300000000002</v>
      </c>
      <c r="K55" s="4">
        <v>1</v>
      </c>
      <c r="L55" s="1">
        <f t="shared" si="5"/>
        <v>0</v>
      </c>
      <c r="M55" s="5"/>
      <c r="N55" s="6">
        <f>N60/2</f>
        <v>2.09</v>
      </c>
      <c r="O55" s="6"/>
      <c r="P55" s="6">
        <f>P60</f>
        <v>0.191</v>
      </c>
      <c r="Q55" s="3"/>
      <c r="R55" s="6">
        <f>R60</f>
        <v>2.34</v>
      </c>
      <c r="S55" s="6"/>
      <c r="T55" s="6"/>
      <c r="U55" s="6"/>
      <c r="V55" s="6"/>
      <c r="W55" s="6"/>
      <c r="X55" s="3"/>
    </row>
    <row r="56" spans="1:24" ht="16.5" thickBot="1">
      <c r="A56" s="3"/>
      <c r="B56" s="3"/>
      <c r="C56" s="2" t="s">
        <v>137</v>
      </c>
      <c r="D56" s="7"/>
      <c r="E56" s="1">
        <f t="shared" si="0"/>
        <v>0</v>
      </c>
      <c r="F56" s="1">
        <f t="shared" si="1"/>
        <v>0.38250000000000006</v>
      </c>
      <c r="G56" s="1">
        <f t="shared" si="2"/>
        <v>1.1483800000000002</v>
      </c>
      <c r="H56" s="1">
        <f t="shared" si="3"/>
        <v>1.35975</v>
      </c>
      <c r="I56" s="4">
        <v>1</v>
      </c>
      <c r="J56" s="259">
        <f t="shared" si="4"/>
        <v>3215.9</v>
      </c>
      <c r="K56" s="4">
        <v>1</v>
      </c>
      <c r="L56" s="1">
        <f t="shared" si="5"/>
        <v>0</v>
      </c>
      <c r="M56" s="5"/>
      <c r="N56" s="6">
        <f>ROUND((3.59+10*0.5)/4,2)</f>
        <v>2.15</v>
      </c>
      <c r="O56" s="6"/>
      <c r="P56" s="6">
        <v>0.14499999999999999</v>
      </c>
      <c r="Q56" s="3"/>
      <c r="R56" s="6">
        <f>ROUND((0.704 +0.75 *0.5),2)</f>
        <v>1.08</v>
      </c>
      <c r="S56" s="6"/>
      <c r="T56" s="6"/>
      <c r="U56" s="6"/>
      <c r="V56" s="6"/>
      <c r="W56" s="6">
        <f t="shared" ref="W56:W62" si="10">R56*77.35</f>
        <v>83.537999999999997</v>
      </c>
      <c r="X56" s="3"/>
    </row>
    <row r="57" spans="1:24" ht="16.5" thickBot="1">
      <c r="A57" s="3"/>
      <c r="B57" s="3"/>
      <c r="C57" s="2" t="s">
        <v>138</v>
      </c>
      <c r="D57" s="7"/>
      <c r="E57" s="1">
        <f t="shared" si="0"/>
        <v>0</v>
      </c>
      <c r="F57" s="1">
        <f t="shared" si="1"/>
        <v>0.43200000000000005</v>
      </c>
      <c r="G57" s="1">
        <f t="shared" si="2"/>
        <v>1.28653</v>
      </c>
      <c r="H57" s="1">
        <f t="shared" si="3"/>
        <v>1.5262500000000001</v>
      </c>
      <c r="I57" s="4">
        <v>1</v>
      </c>
      <c r="J57" s="259">
        <f t="shared" si="4"/>
        <v>3565.26</v>
      </c>
      <c r="K57" s="4">
        <v>1</v>
      </c>
      <c r="L57" s="1">
        <f t="shared" si="5"/>
        <v>0</v>
      </c>
      <c r="M57" s="5"/>
      <c r="N57" s="6">
        <f>ROUND((3.59+10*0.7)/4,2)</f>
        <v>2.65</v>
      </c>
      <c r="O57" s="6"/>
      <c r="P57" s="6">
        <v>0.14499999999999999</v>
      </c>
      <c r="Q57" s="3"/>
      <c r="R57" s="6">
        <f>ROUND((0.704 +0.75 *0.7),2)</f>
        <v>1.23</v>
      </c>
      <c r="S57" s="6"/>
      <c r="T57" s="6"/>
      <c r="U57" s="6"/>
      <c r="V57" s="6"/>
      <c r="W57" s="6">
        <f t="shared" si="10"/>
        <v>95.140499999999989</v>
      </c>
      <c r="X57" s="3"/>
    </row>
    <row r="58" spans="1:24" ht="16.5" thickBot="1">
      <c r="A58" s="3"/>
      <c r="B58" s="3"/>
      <c r="C58" s="2" t="s">
        <v>139</v>
      </c>
      <c r="D58" s="7"/>
      <c r="E58" s="1">
        <f t="shared" si="0"/>
        <v>0</v>
      </c>
      <c r="F58" s="1">
        <f t="shared" si="1"/>
        <v>0.50459999999999994</v>
      </c>
      <c r="G58" s="1">
        <f t="shared" si="2"/>
        <v>1.48915</v>
      </c>
      <c r="H58" s="1">
        <f t="shared" si="3"/>
        <v>1.7704500000000001</v>
      </c>
      <c r="I58" s="4">
        <v>1</v>
      </c>
      <c r="J58" s="259">
        <f t="shared" si="4"/>
        <v>4078.7</v>
      </c>
      <c r="K58" s="4">
        <v>1</v>
      </c>
      <c r="L58" s="1">
        <f t="shared" si="5"/>
        <v>0</v>
      </c>
      <c r="M58" s="5"/>
      <c r="N58" s="6">
        <f>ROUND((3.59+10*1)/4,2)</f>
        <v>3.4</v>
      </c>
      <c r="O58" s="6">
        <f>(O57+O59)/2</f>
        <v>0</v>
      </c>
      <c r="P58" s="6">
        <v>0.14499999999999999</v>
      </c>
      <c r="Q58" s="3">
        <f>(Q57+Q59)/2</f>
        <v>0</v>
      </c>
      <c r="R58" s="6">
        <f>ROUND((0.704 +0.75 *1),2)</f>
        <v>1.45</v>
      </c>
      <c r="S58" s="6"/>
      <c r="T58" s="6"/>
      <c r="U58" s="6"/>
      <c r="V58" s="6"/>
      <c r="W58" s="6">
        <f t="shared" si="10"/>
        <v>112.15749999999998</v>
      </c>
      <c r="X58" s="3"/>
    </row>
    <row r="59" spans="1:24" ht="16.5" thickBot="1">
      <c r="A59" s="3"/>
      <c r="B59" s="3"/>
      <c r="C59" s="2" t="s">
        <v>140</v>
      </c>
      <c r="D59" s="7"/>
      <c r="E59" s="1">
        <f t="shared" si="0"/>
        <v>0</v>
      </c>
      <c r="F59" s="1">
        <f t="shared" si="1"/>
        <v>0.6411</v>
      </c>
      <c r="G59" s="1">
        <f t="shared" si="2"/>
        <v>1.8840500000000002</v>
      </c>
      <c r="H59" s="1">
        <f t="shared" si="3"/>
        <v>2.2422</v>
      </c>
      <c r="I59" s="4">
        <v>1</v>
      </c>
      <c r="J59" s="259">
        <f t="shared" si="4"/>
        <v>4962.6000000000004</v>
      </c>
      <c r="K59" s="4">
        <v>1</v>
      </c>
      <c r="L59" s="1">
        <f t="shared" si="5"/>
        <v>0</v>
      </c>
      <c r="M59" s="5"/>
      <c r="N59" s="6">
        <f>ROUND((4+11.2*1)/4,2)</f>
        <v>3.8</v>
      </c>
      <c r="O59" s="6"/>
      <c r="P59" s="6">
        <v>0.17</v>
      </c>
      <c r="Q59" s="3"/>
      <c r="R59" s="6">
        <f>ROUND((0.843 +0.84*1.2),2)</f>
        <v>1.85</v>
      </c>
      <c r="S59" s="6"/>
      <c r="T59" s="6"/>
      <c r="U59" s="6"/>
      <c r="V59" s="6"/>
      <c r="W59" s="6">
        <f t="shared" si="10"/>
        <v>143.0975</v>
      </c>
      <c r="X59" s="3"/>
    </row>
    <row r="60" spans="1:24" ht="16.5" thickBot="1">
      <c r="A60" s="3"/>
      <c r="B60" s="3"/>
      <c r="C60" s="2" t="s">
        <v>141</v>
      </c>
      <c r="D60" s="7"/>
      <c r="E60" s="1">
        <f t="shared" si="0"/>
        <v>0</v>
      </c>
      <c r="F60" s="1">
        <f t="shared" si="1"/>
        <v>0.80657999999999996</v>
      </c>
      <c r="G60" s="1">
        <f t="shared" si="2"/>
        <v>2.3575999999999997</v>
      </c>
      <c r="H60" s="1">
        <f t="shared" si="3"/>
        <v>2.8094099999999997</v>
      </c>
      <c r="I60" s="4">
        <v>1</v>
      </c>
      <c r="J60" s="259">
        <f t="shared" si="4"/>
        <v>6034.4</v>
      </c>
      <c r="K60" s="4">
        <v>1</v>
      </c>
      <c r="L60" s="1">
        <f t="shared" si="5"/>
        <v>0</v>
      </c>
      <c r="M60" s="5"/>
      <c r="N60" s="6">
        <f>ROUND((4.53+12.2*1)/4,2)</f>
        <v>4.18</v>
      </c>
      <c r="O60" s="6"/>
      <c r="P60" s="6">
        <v>0.191</v>
      </c>
      <c r="Q60" s="3"/>
      <c r="R60" s="6">
        <f>ROUND((0.968 +0.915 *1.5),2)</f>
        <v>2.34</v>
      </c>
      <c r="S60" s="6"/>
      <c r="T60" s="6"/>
      <c r="U60" s="6"/>
      <c r="V60" s="6"/>
      <c r="W60" s="6">
        <f t="shared" si="10"/>
        <v>180.99899999999997</v>
      </c>
      <c r="X60" s="3"/>
    </row>
    <row r="61" spans="1:24" ht="16.5" thickBot="1">
      <c r="A61" s="3"/>
      <c r="B61" s="3"/>
      <c r="C61" s="2" t="s">
        <v>142</v>
      </c>
      <c r="D61" s="7"/>
      <c r="E61" s="1">
        <f t="shared" si="0"/>
        <v>0</v>
      </c>
      <c r="F61" s="1">
        <f t="shared" si="1"/>
        <v>0.89753699999999992</v>
      </c>
      <c r="G61" s="1">
        <f t="shared" si="2"/>
        <v>2.6274289999999998</v>
      </c>
      <c r="H61" s="1">
        <f t="shared" si="3"/>
        <v>3.1298114999999997</v>
      </c>
      <c r="I61" s="4">
        <v>1</v>
      </c>
      <c r="J61" s="259">
        <f t="shared" si="4"/>
        <v>6626.99</v>
      </c>
      <c r="K61" s="4">
        <v>1</v>
      </c>
      <c r="L61" s="1">
        <f t="shared" si="5"/>
        <v>0</v>
      </c>
      <c r="M61" s="5"/>
      <c r="N61" s="6">
        <f>N60/1.8*2</f>
        <v>4.6444444444444439</v>
      </c>
      <c r="O61" s="6"/>
      <c r="P61" s="6">
        <f>P60*1.15</f>
        <v>0.21964999999999998</v>
      </c>
      <c r="Q61" s="3"/>
      <c r="R61" s="6">
        <f>R60/1.8*2</f>
        <v>2.5999999999999996</v>
      </c>
      <c r="S61" s="6"/>
      <c r="T61" s="6"/>
      <c r="U61" s="6"/>
      <c r="V61" s="6"/>
      <c r="W61" s="6">
        <f t="shared" si="10"/>
        <v>201.10999999999996</v>
      </c>
      <c r="X61" s="3"/>
    </row>
    <row r="62" spans="1:24" ht="16.5" thickBot="1">
      <c r="A62" s="3"/>
      <c r="B62" s="3"/>
      <c r="C62" s="2" t="s">
        <v>143</v>
      </c>
      <c r="D62" s="7"/>
      <c r="E62" s="1">
        <f t="shared" si="0"/>
        <v>0</v>
      </c>
      <c r="F62" s="1">
        <f t="shared" si="1"/>
        <v>1.1179675499999999</v>
      </c>
      <c r="G62" s="1">
        <f t="shared" si="2"/>
        <v>3.2610033499999997</v>
      </c>
      <c r="H62" s="1">
        <f t="shared" si="3"/>
        <v>3.8878832249999999</v>
      </c>
      <c r="I62" s="4">
        <v>1</v>
      </c>
      <c r="J62" s="259">
        <f t="shared" si="4"/>
        <v>8092.02</v>
      </c>
      <c r="K62" s="4">
        <v>1</v>
      </c>
      <c r="L62" s="1">
        <f t="shared" si="5"/>
        <v>0</v>
      </c>
      <c r="M62" s="5"/>
      <c r="N62" s="6">
        <f>N61/2*2.5</f>
        <v>5.8055555555555554</v>
      </c>
      <c r="O62" s="6"/>
      <c r="P62" s="6">
        <f>P61*1.15</f>
        <v>0.25259749999999997</v>
      </c>
      <c r="Q62" s="3"/>
      <c r="R62" s="6">
        <f>R61/2*2.5</f>
        <v>3.2499999999999996</v>
      </c>
      <c r="S62" s="6"/>
      <c r="T62" s="6"/>
      <c r="U62" s="6"/>
      <c r="V62" s="6"/>
      <c r="W62" s="6">
        <f t="shared" si="10"/>
        <v>251.38749999999996</v>
      </c>
      <c r="X62" s="3"/>
    </row>
    <row r="63" spans="1:24" ht="16.5" thickBot="1">
      <c r="A63" s="3"/>
      <c r="B63" s="3"/>
      <c r="C63" s="2" t="s">
        <v>387</v>
      </c>
      <c r="D63" s="7"/>
      <c r="E63" s="1">
        <f t="shared" si="0"/>
        <v>0</v>
      </c>
      <c r="F63" s="1">
        <f t="shared" si="1"/>
        <v>0.11253000000000002</v>
      </c>
      <c r="G63" s="1">
        <f t="shared" si="2"/>
        <v>0.31406100000000003</v>
      </c>
      <c r="H63" s="1">
        <f t="shared" si="3"/>
        <v>0.37851000000000007</v>
      </c>
      <c r="I63" s="4"/>
      <c r="J63" s="259">
        <f t="shared" si="4"/>
        <v>749.96</v>
      </c>
      <c r="K63" s="4"/>
      <c r="L63" s="1">
        <f t="shared" si="5"/>
        <v>0</v>
      </c>
      <c r="M63" s="5"/>
      <c r="N63" s="6">
        <f>2+1.56+0.72</f>
        <v>4.28</v>
      </c>
      <c r="O63" s="6"/>
      <c r="P63" s="6"/>
      <c r="Q63" s="3"/>
      <c r="R63" s="6">
        <f>0.1+0.16+0.081</f>
        <v>0.34100000000000003</v>
      </c>
      <c r="S63" s="6"/>
      <c r="T63" s="6"/>
      <c r="U63" s="6"/>
      <c r="V63" s="6"/>
      <c r="W63" s="6">
        <f>1.32+4.11+4.74+1.69+3</f>
        <v>14.860000000000001</v>
      </c>
      <c r="X63" s="3"/>
    </row>
    <row r="64" spans="1:24" ht="16.5" thickBot="1">
      <c r="A64" s="3"/>
      <c r="B64" s="3"/>
      <c r="C64" s="2" t="s">
        <v>388</v>
      </c>
      <c r="D64" s="7"/>
      <c r="E64" s="1">
        <f t="shared" si="0"/>
        <v>0</v>
      </c>
      <c r="F64" s="1">
        <f t="shared" si="1"/>
        <v>0.12243000000000002</v>
      </c>
      <c r="G64" s="1">
        <f t="shared" si="2"/>
        <v>0.34169100000000008</v>
      </c>
      <c r="H64" s="1">
        <f t="shared" si="3"/>
        <v>0.41181000000000012</v>
      </c>
      <c r="I64" s="4"/>
      <c r="J64" s="259">
        <f t="shared" si="4"/>
        <v>850.96</v>
      </c>
      <c r="K64" s="4"/>
      <c r="L64" s="1">
        <f t="shared" si="5"/>
        <v>0</v>
      </c>
      <c r="M64" s="5"/>
      <c r="N64" s="6">
        <f>2+1.76+0.72</f>
        <v>4.4799999999999995</v>
      </c>
      <c r="O64" s="6"/>
      <c r="P64" s="6"/>
      <c r="Q64" s="3"/>
      <c r="R64" s="6">
        <f>0.1+0.19+0.081</f>
        <v>0.37100000000000005</v>
      </c>
      <c r="S64" s="6"/>
      <c r="T64" s="6"/>
      <c r="U64" s="6"/>
      <c r="V64" s="6"/>
      <c r="W64" s="6">
        <f>1.32+4.11+7.42+2.52+3</f>
        <v>18.37</v>
      </c>
      <c r="X64" s="3"/>
    </row>
    <row r="65" spans="1:24" ht="16.5" thickBot="1">
      <c r="A65" s="3"/>
      <c r="B65" s="3"/>
      <c r="C65" s="2" t="s">
        <v>389</v>
      </c>
      <c r="D65" s="7"/>
      <c r="E65" s="1">
        <f t="shared" si="0"/>
        <v>0</v>
      </c>
      <c r="F65" s="1">
        <f t="shared" si="1"/>
        <v>0.13233</v>
      </c>
      <c r="G65" s="1">
        <f t="shared" si="2"/>
        <v>0.36932100000000001</v>
      </c>
      <c r="H65" s="1">
        <f t="shared" si="3"/>
        <v>0.44511000000000006</v>
      </c>
      <c r="I65" s="4"/>
      <c r="J65" s="259">
        <f t="shared" si="4"/>
        <v>971.4</v>
      </c>
      <c r="K65" s="4"/>
      <c r="L65" s="1">
        <f t="shared" si="5"/>
        <v>0</v>
      </c>
      <c r="M65" s="5"/>
      <c r="N65" s="6">
        <f>2+1.96+0.72</f>
        <v>4.68</v>
      </c>
      <c r="O65" s="6"/>
      <c r="P65" s="6"/>
      <c r="Q65" s="3"/>
      <c r="R65" s="6">
        <f>0.1+0.22+0.081</f>
        <v>0.40100000000000002</v>
      </c>
      <c r="S65" s="6"/>
      <c r="T65" s="6"/>
      <c r="U65" s="6"/>
      <c r="V65" s="6"/>
      <c r="W65" s="6">
        <f>1.32+4.11+10.23+3.15+4</f>
        <v>22.81</v>
      </c>
      <c r="X65" s="3"/>
    </row>
    <row r="66" spans="1:24" ht="16.5" thickBot="1">
      <c r="A66" s="3"/>
      <c r="B66" s="3"/>
      <c r="C66" s="2" t="s">
        <v>390</v>
      </c>
      <c r="D66" s="7"/>
      <c r="E66" s="1">
        <f t="shared" si="0"/>
        <v>0</v>
      </c>
      <c r="F66" s="1">
        <f t="shared" si="1"/>
        <v>0.38417000000000001</v>
      </c>
      <c r="G66" s="1">
        <f t="shared" si="2"/>
        <v>1.55436</v>
      </c>
      <c r="H66" s="1">
        <f t="shared" si="3"/>
        <v>2.9078100000000004</v>
      </c>
      <c r="I66" s="4"/>
      <c r="J66" s="259">
        <f t="shared" si="4"/>
        <v>968.15</v>
      </c>
      <c r="K66" s="4"/>
      <c r="L66" s="1">
        <f t="shared" si="5"/>
        <v>0</v>
      </c>
      <c r="M66" s="5">
        <v>1.22</v>
      </c>
      <c r="N66" s="6">
        <f>7.413/3</f>
        <v>2.4710000000000001</v>
      </c>
      <c r="O66" s="6"/>
      <c r="P66" s="6"/>
      <c r="Q66" s="3">
        <v>0.97099999999999997</v>
      </c>
      <c r="R66" s="6"/>
      <c r="S66" s="6"/>
      <c r="T66" s="6"/>
      <c r="U66" s="6"/>
      <c r="V66" s="6"/>
      <c r="W66" s="6"/>
      <c r="X66" s="3"/>
    </row>
    <row r="67" spans="1:24" ht="16.5" thickBot="1">
      <c r="A67" s="3"/>
      <c r="B67" s="3"/>
      <c r="C67" s="2" t="s">
        <v>391</v>
      </c>
      <c r="D67" s="7"/>
      <c r="E67" s="1">
        <f t="shared" si="0"/>
        <v>0</v>
      </c>
      <c r="F67" s="1">
        <f t="shared" si="1"/>
        <v>0.47295000000000004</v>
      </c>
      <c r="G67" s="1">
        <f t="shared" si="2"/>
        <v>1.9178999999999999</v>
      </c>
      <c r="H67" s="1">
        <f t="shared" si="3"/>
        <v>3.6103500000000004</v>
      </c>
      <c r="I67" s="4"/>
      <c r="J67" s="259">
        <f t="shared" si="4"/>
        <v>1174.8399999999999</v>
      </c>
      <c r="K67" s="4"/>
      <c r="L67" s="1">
        <f t="shared" si="5"/>
        <v>0</v>
      </c>
      <c r="M67" s="5">
        <v>1.53</v>
      </c>
      <c r="N67" s="6">
        <f>8.15/3</f>
        <v>2.7166666666666668</v>
      </c>
      <c r="O67" s="6"/>
      <c r="P67" s="6"/>
      <c r="Q67" s="3">
        <v>1.1850000000000001</v>
      </c>
      <c r="R67" s="6"/>
      <c r="S67" s="6"/>
      <c r="T67" s="6"/>
      <c r="U67" s="6"/>
      <c r="V67" s="6"/>
      <c r="W67" s="6"/>
      <c r="X67" s="3"/>
    </row>
    <row r="68" spans="1:24" ht="16.5" thickBot="1">
      <c r="A68" s="3"/>
      <c r="B68" s="3"/>
      <c r="C68" s="2" t="s">
        <v>392</v>
      </c>
      <c r="D68" s="7"/>
      <c r="E68" s="1">
        <f t="shared" si="0"/>
        <v>0</v>
      </c>
      <c r="F68" s="1">
        <f t="shared" si="1"/>
        <v>0.75196000000000007</v>
      </c>
      <c r="G68" s="1">
        <f t="shared" si="2"/>
        <v>3.0643799999999999</v>
      </c>
      <c r="H68" s="1">
        <f t="shared" si="3"/>
        <v>5.8462800000000001</v>
      </c>
      <c r="I68" s="4"/>
      <c r="J68" s="259">
        <f t="shared" si="4"/>
        <v>1839.37</v>
      </c>
      <c r="K68" s="4"/>
      <c r="L68" s="1">
        <f t="shared" si="5"/>
        <v>0</v>
      </c>
      <c r="M68" s="5">
        <v>2.5299999999999998</v>
      </c>
      <c r="N68" s="6">
        <f>11.04/3</f>
        <v>3.6799999999999997</v>
      </c>
      <c r="O68" s="6"/>
      <c r="P68" s="6"/>
      <c r="Q68" s="3">
        <v>1.8480000000000001</v>
      </c>
      <c r="R68" s="6"/>
      <c r="S68" s="6"/>
      <c r="T68" s="6"/>
      <c r="U68" s="6"/>
      <c r="V68" s="6"/>
      <c r="W68" s="6"/>
      <c r="X68" s="3"/>
    </row>
    <row r="69" spans="1:24" ht="16.5" thickBot="1">
      <c r="A69" s="3"/>
      <c r="B69" s="3"/>
      <c r="C69" s="2" t="s">
        <v>144</v>
      </c>
      <c r="D69" s="7"/>
      <c r="E69" s="1">
        <f t="shared" si="0"/>
        <v>0</v>
      </c>
      <c r="F69" s="1">
        <f t="shared" si="1"/>
        <v>1.08901</v>
      </c>
      <c r="G69" s="1">
        <f t="shared" si="2"/>
        <v>4.4434800000000001</v>
      </c>
      <c r="H69" s="1">
        <f t="shared" si="3"/>
        <v>8.5059300000000011</v>
      </c>
      <c r="I69" s="4"/>
      <c r="J69" s="259">
        <f t="shared" si="4"/>
        <v>2627.65</v>
      </c>
      <c r="K69" s="4"/>
      <c r="L69" s="1">
        <f t="shared" si="5"/>
        <v>0</v>
      </c>
      <c r="M69" s="5">
        <v>3.7</v>
      </c>
      <c r="N69" s="6">
        <f>14.05/3</f>
        <v>4.6833333333333336</v>
      </c>
      <c r="O69" s="6"/>
      <c r="P69" s="6"/>
      <c r="Q69" s="3">
        <v>2.6629999999999998</v>
      </c>
      <c r="R69" s="6"/>
      <c r="S69" s="6"/>
      <c r="T69" s="6"/>
      <c r="U69" s="6"/>
      <c r="V69" s="6"/>
      <c r="W69" s="6"/>
      <c r="X69" s="3"/>
    </row>
    <row r="70" spans="1:24" ht="16.5" thickBot="1">
      <c r="A70" s="3"/>
      <c r="B70" s="3"/>
      <c r="C70" s="2" t="s">
        <v>145</v>
      </c>
      <c r="D70" s="7"/>
      <c r="E70" s="1">
        <f t="shared" ref="E70:E84" si="11">O70*0.846</f>
        <v>0</v>
      </c>
      <c r="F70" s="1">
        <f t="shared" ref="F70:F84" si="12">A70*0.27*0.7+M70*0.1+O70*0.0588+P70*0.18+Q70*0.27+R70*0.33+S70*0.344+T70*0.005*0.434</f>
        <v>1.4740100000000003</v>
      </c>
      <c r="G70" s="1">
        <f t="shared" ref="G70:G84" si="13">A70*0.921*0.7+M70*0.51+O70*0.396+P70*1.06+Q70*0.96+R70*0.921+S70*1.02+T70*0.005*1.575</f>
        <v>6.0316799999999997</v>
      </c>
      <c r="H70" s="1">
        <f t="shared" ref="H70:H84" si="14">A70*1.11*0.7+M70*1.5+P70*1.11+Q70*1.11+R70*1.11+S70*1.11</f>
        <v>11.634930000000001</v>
      </c>
      <c r="I70" s="4"/>
      <c r="J70" s="259">
        <f t="shared" ref="J70:J84" si="15">ROUND(A70*$A$3+M70*$M$3+N70*$N$3+O70*$O$3+P70*$P$3+Q70*$Q$3+R70*$R$3+S70*$S$3+T70*$T$3+U70*$U$3+V70*$V$3+W70*$W$3+X70*$X$3+K70*$K$3+I70*$I$3,2)</f>
        <v>3538.55</v>
      </c>
      <c r="K70" s="4"/>
      <c r="L70" s="1">
        <f t="shared" ref="L70:L84" si="16">O70*0.0282</f>
        <v>0</v>
      </c>
      <c r="M70" s="5">
        <v>5.12</v>
      </c>
      <c r="N70" s="6">
        <f>17.52/3</f>
        <v>5.84</v>
      </c>
      <c r="O70" s="6"/>
      <c r="P70" s="6"/>
      <c r="Q70" s="3">
        <v>3.5630000000000002</v>
      </c>
      <c r="R70" s="6"/>
      <c r="S70" s="6"/>
      <c r="T70" s="6"/>
      <c r="U70" s="6"/>
      <c r="V70" s="6"/>
      <c r="W70" s="6"/>
      <c r="X70" s="3"/>
    </row>
    <row r="71" spans="1:24" ht="16.5" thickBot="1">
      <c r="A71" s="3"/>
      <c r="B71" s="3"/>
      <c r="C71" s="2" t="s">
        <v>146</v>
      </c>
      <c r="D71" s="7"/>
      <c r="E71" s="1">
        <f t="shared" si="11"/>
        <v>0</v>
      </c>
      <c r="F71" s="1">
        <f t="shared" si="12"/>
        <v>2.41967</v>
      </c>
      <c r="G71" s="1">
        <f t="shared" si="13"/>
        <v>9.9546600000000005</v>
      </c>
      <c r="H71" s="1">
        <f t="shared" si="14"/>
        <v>19.47531</v>
      </c>
      <c r="I71" s="4"/>
      <c r="J71" s="259">
        <f t="shared" si="15"/>
        <v>5739.62</v>
      </c>
      <c r="K71" s="4"/>
      <c r="L71" s="1">
        <f t="shared" si="16"/>
        <v>0</v>
      </c>
      <c r="M71" s="5">
        <v>8.75</v>
      </c>
      <c r="N71" s="6">
        <f>23.5/3</f>
        <v>7.833333333333333</v>
      </c>
      <c r="O71" s="6"/>
      <c r="P71" s="6"/>
      <c r="Q71" s="3">
        <v>5.7210000000000001</v>
      </c>
      <c r="R71" s="6"/>
      <c r="S71" s="6"/>
      <c r="T71" s="6"/>
      <c r="U71" s="6"/>
      <c r="V71" s="6"/>
      <c r="W71" s="6"/>
      <c r="X71" s="3"/>
    </row>
    <row r="72" spans="1:24" ht="16.5" thickBot="1">
      <c r="A72" s="3"/>
      <c r="B72" s="3"/>
      <c r="C72" s="1251" t="s">
        <v>403</v>
      </c>
      <c r="D72" s="1260"/>
      <c r="E72" s="1252">
        <f t="shared" si="11"/>
        <v>0</v>
      </c>
      <c r="F72" s="1252">
        <f t="shared" si="12"/>
        <v>0</v>
      </c>
      <c r="G72" s="1252">
        <f t="shared" si="13"/>
        <v>0</v>
      </c>
      <c r="H72" s="1252">
        <f t="shared" si="14"/>
        <v>0</v>
      </c>
      <c r="I72" s="1259"/>
      <c r="J72" s="259">
        <f t="shared" si="15"/>
        <v>0</v>
      </c>
      <c r="K72" s="1253"/>
      <c r="L72" s="1252">
        <f t="shared" si="16"/>
        <v>0</v>
      </c>
      <c r="M72" s="1254"/>
      <c r="N72" s="1254"/>
      <c r="O72" s="1255"/>
      <c r="P72" s="1256"/>
      <c r="Q72" s="1257"/>
      <c r="R72" s="1254"/>
      <c r="S72" s="1254"/>
      <c r="T72" s="1254"/>
      <c r="U72" s="1254"/>
      <c r="V72" s="1254"/>
      <c r="W72" s="1254"/>
      <c r="X72" s="1257"/>
    </row>
    <row r="73" spans="1:24" ht="16.5" thickBot="1">
      <c r="A73" s="3"/>
      <c r="B73" s="3"/>
      <c r="C73" s="1251" t="s">
        <v>404</v>
      </c>
      <c r="D73" s="1260"/>
      <c r="E73" s="1252">
        <f t="shared" si="11"/>
        <v>0</v>
      </c>
      <c r="F73" s="1252">
        <f t="shared" si="12"/>
        <v>0</v>
      </c>
      <c r="G73" s="1252">
        <f t="shared" si="13"/>
        <v>0</v>
      </c>
      <c r="H73" s="1252">
        <f t="shared" si="14"/>
        <v>0</v>
      </c>
      <c r="I73" s="1259"/>
      <c r="J73" s="259">
        <f t="shared" si="15"/>
        <v>0</v>
      </c>
      <c r="K73" s="1253"/>
      <c r="L73" s="1252">
        <f t="shared" si="16"/>
        <v>0</v>
      </c>
      <c r="M73" s="1254"/>
      <c r="N73" s="1254"/>
      <c r="O73" s="1255"/>
      <c r="P73" s="1256"/>
      <c r="Q73" s="1257"/>
      <c r="R73" s="1254"/>
      <c r="S73" s="1254"/>
      <c r="T73" s="1254"/>
      <c r="U73" s="1254"/>
      <c r="V73" s="1254"/>
      <c r="W73" s="1254"/>
      <c r="X73" s="1257"/>
    </row>
    <row r="74" spans="1:24" ht="16.5" thickBot="1">
      <c r="A74" s="3"/>
      <c r="B74" s="3"/>
      <c r="C74" s="1251" t="s">
        <v>405</v>
      </c>
      <c r="D74" s="1260"/>
      <c r="E74" s="1252">
        <f t="shared" si="11"/>
        <v>0</v>
      </c>
      <c r="F74" s="1252">
        <f t="shared" si="12"/>
        <v>0</v>
      </c>
      <c r="G74" s="1252">
        <f t="shared" si="13"/>
        <v>0</v>
      </c>
      <c r="H74" s="1252">
        <f t="shared" si="14"/>
        <v>0</v>
      </c>
      <c r="I74" s="1259"/>
      <c r="J74" s="259">
        <f t="shared" si="15"/>
        <v>0</v>
      </c>
      <c r="K74" s="1253"/>
      <c r="L74" s="1252">
        <f t="shared" si="16"/>
        <v>0</v>
      </c>
      <c r="M74" s="1254"/>
      <c r="N74" s="1254"/>
      <c r="O74" s="1255"/>
      <c r="P74" s="1256"/>
      <c r="Q74" s="1257"/>
      <c r="R74" s="1254"/>
      <c r="S74" s="1254"/>
      <c r="T74" s="1254"/>
      <c r="U74" s="1254"/>
      <c r="V74" s="1254"/>
      <c r="W74" s="1254"/>
      <c r="X74" s="1257"/>
    </row>
    <row r="75" spans="1:24" ht="16.5" thickBot="1">
      <c r="A75" s="3"/>
      <c r="B75" s="3"/>
      <c r="C75" s="1251" t="s">
        <v>406</v>
      </c>
      <c r="D75" s="1260"/>
      <c r="E75" s="1252">
        <f t="shared" si="11"/>
        <v>0</v>
      </c>
      <c r="F75" s="1252">
        <f t="shared" si="12"/>
        <v>0</v>
      </c>
      <c r="G75" s="1252">
        <f t="shared" si="13"/>
        <v>0</v>
      </c>
      <c r="H75" s="1252">
        <f t="shared" si="14"/>
        <v>0</v>
      </c>
      <c r="I75" s="1259"/>
      <c r="J75" s="259">
        <f t="shared" si="15"/>
        <v>0</v>
      </c>
      <c r="K75" s="1253"/>
      <c r="L75" s="1252">
        <f t="shared" si="16"/>
        <v>0</v>
      </c>
      <c r="M75" s="1254"/>
      <c r="N75" s="1254"/>
      <c r="O75" s="1255"/>
      <c r="P75" s="1256"/>
      <c r="Q75" s="1257"/>
      <c r="R75" s="1254"/>
      <c r="S75" s="1254"/>
      <c r="T75" s="1254"/>
      <c r="U75" s="1254"/>
      <c r="V75" s="1254"/>
      <c r="W75" s="1254"/>
      <c r="X75" s="1257"/>
    </row>
    <row r="76" spans="1:24" ht="16.5" thickBot="1">
      <c r="A76" s="3"/>
      <c r="B76" s="3"/>
      <c r="C76" s="1251" t="s">
        <v>407</v>
      </c>
      <c r="D76" s="1260"/>
      <c r="E76" s="1252">
        <f t="shared" si="11"/>
        <v>0</v>
      </c>
      <c r="F76" s="1252">
        <f t="shared" si="12"/>
        <v>0</v>
      </c>
      <c r="G76" s="1252">
        <f t="shared" si="13"/>
        <v>0</v>
      </c>
      <c r="H76" s="1252">
        <f t="shared" si="14"/>
        <v>0</v>
      </c>
      <c r="I76" s="1259"/>
      <c r="J76" s="259">
        <f t="shared" si="15"/>
        <v>0</v>
      </c>
      <c r="K76" s="1253"/>
      <c r="L76" s="1252">
        <f t="shared" si="16"/>
        <v>0</v>
      </c>
      <c r="M76" s="1254"/>
      <c r="N76" s="1254"/>
      <c r="O76" s="1255"/>
      <c r="P76" s="1256"/>
      <c r="Q76" s="1257"/>
      <c r="R76" s="1254"/>
      <c r="S76" s="1254"/>
      <c r="T76" s="1254"/>
      <c r="U76" s="1254"/>
      <c r="V76" s="1254"/>
      <c r="W76" s="1254"/>
      <c r="X76" s="1257"/>
    </row>
    <row r="77" spans="1:24" ht="16.5" thickBot="1">
      <c r="A77" s="3"/>
      <c r="B77" s="3"/>
      <c r="C77" s="1251" t="s">
        <v>408</v>
      </c>
      <c r="D77" s="1260"/>
      <c r="E77" s="1252">
        <f t="shared" si="11"/>
        <v>0</v>
      </c>
      <c r="F77" s="1252">
        <f t="shared" si="12"/>
        <v>0</v>
      </c>
      <c r="G77" s="1252">
        <f t="shared" si="13"/>
        <v>0</v>
      </c>
      <c r="H77" s="1252">
        <f t="shared" si="14"/>
        <v>0</v>
      </c>
      <c r="I77" s="1259"/>
      <c r="J77" s="259">
        <f t="shared" si="15"/>
        <v>0</v>
      </c>
      <c r="K77" s="1253"/>
      <c r="L77" s="1252">
        <f t="shared" si="16"/>
        <v>0</v>
      </c>
      <c r="M77" s="1254"/>
      <c r="N77" s="1254"/>
      <c r="O77" s="1255"/>
      <c r="P77" s="1256"/>
      <c r="Q77" s="1257"/>
      <c r="R77" s="1254"/>
      <c r="S77" s="1254"/>
      <c r="T77" s="1254"/>
      <c r="U77" s="1254"/>
      <c r="V77" s="1254"/>
      <c r="W77" s="1254"/>
      <c r="X77" s="1257"/>
    </row>
    <row r="78" spans="1:24" ht="16.5" thickBot="1">
      <c r="A78" s="3"/>
      <c r="B78" s="3"/>
      <c r="C78" s="1251" t="s">
        <v>409</v>
      </c>
      <c r="D78" s="1260"/>
      <c r="E78" s="1252">
        <f t="shared" si="11"/>
        <v>0</v>
      </c>
      <c r="F78" s="1252">
        <f t="shared" si="12"/>
        <v>0</v>
      </c>
      <c r="G78" s="1252">
        <f t="shared" si="13"/>
        <v>0</v>
      </c>
      <c r="H78" s="1252">
        <f t="shared" si="14"/>
        <v>0</v>
      </c>
      <c r="I78" s="1259"/>
      <c r="J78" s="259">
        <f t="shared" si="15"/>
        <v>0</v>
      </c>
      <c r="K78" s="1253"/>
      <c r="L78" s="1252">
        <f t="shared" si="16"/>
        <v>0</v>
      </c>
      <c r="M78" s="1254"/>
      <c r="N78" s="1254"/>
      <c r="O78" s="1255"/>
      <c r="P78" s="1256"/>
      <c r="Q78" s="1257"/>
      <c r="R78" s="1254"/>
      <c r="S78" s="1254"/>
      <c r="T78" s="1254"/>
      <c r="U78" s="1254"/>
      <c r="V78" s="1254"/>
      <c r="W78" s="1254"/>
      <c r="X78" s="1257"/>
    </row>
    <row r="79" spans="1:24" ht="16.5" thickBot="1">
      <c r="A79" s="3"/>
      <c r="B79" s="3"/>
      <c r="C79" s="1251" t="s">
        <v>410</v>
      </c>
      <c r="D79" s="1260"/>
      <c r="E79" s="1252">
        <f t="shared" si="11"/>
        <v>0</v>
      </c>
      <c r="F79" s="1252">
        <f t="shared" si="12"/>
        <v>0</v>
      </c>
      <c r="G79" s="1252">
        <f t="shared" si="13"/>
        <v>0</v>
      </c>
      <c r="H79" s="1252">
        <f t="shared" si="14"/>
        <v>0</v>
      </c>
      <c r="I79" s="1259"/>
      <c r="J79" s="259">
        <f t="shared" si="15"/>
        <v>0</v>
      </c>
      <c r="K79" s="1253"/>
      <c r="L79" s="1252">
        <f t="shared" si="16"/>
        <v>0</v>
      </c>
      <c r="M79" s="1254"/>
      <c r="N79" s="1254"/>
      <c r="O79" s="1255"/>
      <c r="P79" s="1256"/>
      <c r="Q79" s="1257"/>
      <c r="R79" s="1254"/>
      <c r="S79" s="1254"/>
      <c r="T79" s="1254"/>
      <c r="U79" s="1254"/>
      <c r="V79" s="1254"/>
      <c r="W79" s="1254"/>
      <c r="X79" s="1257"/>
    </row>
    <row r="80" spans="1:24" ht="16.5" thickBot="1">
      <c r="A80" s="3"/>
      <c r="B80" s="3"/>
      <c r="C80" s="1251" t="s">
        <v>411</v>
      </c>
      <c r="D80" s="1260"/>
      <c r="E80" s="1252">
        <f t="shared" si="11"/>
        <v>0</v>
      </c>
      <c r="F80" s="1252">
        <f t="shared" si="12"/>
        <v>0</v>
      </c>
      <c r="G80" s="1252">
        <f t="shared" si="13"/>
        <v>0</v>
      </c>
      <c r="H80" s="1252">
        <f t="shared" si="14"/>
        <v>0</v>
      </c>
      <c r="I80" s="1259"/>
      <c r="J80" s="259">
        <f t="shared" si="15"/>
        <v>0</v>
      </c>
      <c r="K80" s="1253"/>
      <c r="L80" s="1252">
        <f t="shared" si="16"/>
        <v>0</v>
      </c>
      <c r="M80" s="1254"/>
      <c r="N80" s="1254"/>
      <c r="O80" s="1255"/>
      <c r="P80" s="1256"/>
      <c r="Q80" s="1257"/>
      <c r="R80" s="1254"/>
      <c r="S80" s="1254"/>
      <c r="T80" s="1254"/>
      <c r="U80" s="1254"/>
      <c r="V80" s="1254"/>
      <c r="W80" s="1254"/>
      <c r="X80" s="1257"/>
    </row>
    <row r="81" spans="1:24" ht="16.5" thickBot="1">
      <c r="A81" s="3"/>
      <c r="B81" s="3"/>
      <c r="C81" s="1251" t="s">
        <v>412</v>
      </c>
      <c r="D81" s="1260"/>
      <c r="E81" s="1252">
        <f t="shared" si="11"/>
        <v>0</v>
      </c>
      <c r="F81" s="1252">
        <f t="shared" si="12"/>
        <v>0</v>
      </c>
      <c r="G81" s="1252">
        <f t="shared" si="13"/>
        <v>0</v>
      </c>
      <c r="H81" s="1252">
        <f t="shared" si="14"/>
        <v>0</v>
      </c>
      <c r="I81" s="1259"/>
      <c r="J81" s="259">
        <f t="shared" si="15"/>
        <v>0</v>
      </c>
      <c r="K81" s="1253"/>
      <c r="L81" s="1252">
        <f t="shared" si="16"/>
        <v>0</v>
      </c>
      <c r="M81" s="1254"/>
      <c r="N81" s="1254"/>
      <c r="O81" s="1255"/>
      <c r="P81" s="1256"/>
      <c r="Q81" s="1257"/>
      <c r="R81" s="1254"/>
      <c r="S81" s="1254"/>
      <c r="T81" s="1254"/>
      <c r="U81" s="1254"/>
      <c r="V81" s="1254"/>
      <c r="W81" s="1254"/>
      <c r="X81" s="1257"/>
    </row>
    <row r="82" spans="1:24" ht="15" customHeight="1" thickBot="1">
      <c r="A82" s="3"/>
      <c r="B82" s="3"/>
      <c r="C82" s="1251"/>
      <c r="D82" s="1260"/>
      <c r="E82" s="1252">
        <f t="shared" si="11"/>
        <v>0</v>
      </c>
      <c r="F82" s="1252">
        <f t="shared" si="12"/>
        <v>0</v>
      </c>
      <c r="G82" s="1252">
        <f t="shared" si="13"/>
        <v>0</v>
      </c>
      <c r="H82" s="1252">
        <f t="shared" si="14"/>
        <v>0</v>
      </c>
      <c r="I82" s="1259"/>
      <c r="J82" s="259">
        <f t="shared" si="15"/>
        <v>0</v>
      </c>
      <c r="K82" s="1253"/>
      <c r="L82" s="1252">
        <f t="shared" si="16"/>
        <v>0</v>
      </c>
      <c r="M82" s="1254"/>
      <c r="N82" s="1258"/>
      <c r="O82" s="1258"/>
      <c r="P82" s="1256"/>
      <c r="Q82" s="1256"/>
      <c r="R82" s="1256"/>
      <c r="S82" s="1256"/>
      <c r="T82" s="1256"/>
      <c r="U82" s="1256"/>
      <c r="V82" s="1256"/>
      <c r="W82" s="1256"/>
      <c r="X82" s="1256"/>
    </row>
    <row r="83" spans="1:24" ht="15" customHeight="1" thickBot="1">
      <c r="A83" s="3"/>
      <c r="B83" s="3"/>
      <c r="C83" s="1251"/>
      <c r="D83" s="1260"/>
      <c r="E83" s="1252">
        <f t="shared" si="11"/>
        <v>0</v>
      </c>
      <c r="F83" s="1252">
        <f t="shared" si="12"/>
        <v>0</v>
      </c>
      <c r="G83" s="1252">
        <f t="shared" si="13"/>
        <v>0</v>
      </c>
      <c r="H83" s="1252">
        <f t="shared" si="14"/>
        <v>0</v>
      </c>
      <c r="I83" s="1259"/>
      <c r="J83" s="259">
        <f t="shared" si="15"/>
        <v>0</v>
      </c>
      <c r="K83" s="1253"/>
      <c r="L83" s="1252">
        <f t="shared" si="16"/>
        <v>0</v>
      </c>
      <c r="M83" s="1254"/>
      <c r="N83" s="1258"/>
      <c r="O83" s="1258"/>
      <c r="P83" s="1256"/>
      <c r="Q83" s="1256"/>
      <c r="R83" s="1256"/>
      <c r="S83" s="1256"/>
      <c r="T83" s="1256"/>
      <c r="U83" s="1256"/>
      <c r="V83" s="1256"/>
      <c r="W83" s="1256"/>
      <c r="X83" s="1256"/>
    </row>
    <row r="84" spans="1:24" ht="15" customHeight="1" thickBot="1">
      <c r="A84" s="3"/>
      <c r="B84" s="3"/>
      <c r="C84" s="1251"/>
      <c r="D84" s="1260"/>
      <c r="E84" s="1252">
        <f t="shared" si="11"/>
        <v>0</v>
      </c>
      <c r="F84" s="1252">
        <f t="shared" si="12"/>
        <v>0</v>
      </c>
      <c r="G84" s="1252">
        <f t="shared" si="13"/>
        <v>0</v>
      </c>
      <c r="H84" s="1252">
        <f t="shared" si="14"/>
        <v>0</v>
      </c>
      <c r="I84" s="1259"/>
      <c r="J84" s="259">
        <f t="shared" si="15"/>
        <v>0</v>
      </c>
      <c r="K84" s="1253"/>
      <c r="L84" s="1252">
        <f t="shared" si="16"/>
        <v>0</v>
      </c>
      <c r="M84" s="1254"/>
      <c r="N84" s="1258"/>
      <c r="O84" s="1258"/>
      <c r="P84" s="1256"/>
      <c r="Q84" s="1256"/>
      <c r="R84" s="1256"/>
      <c r="S84" s="1256"/>
      <c r="T84" s="1256"/>
      <c r="U84" s="1256"/>
      <c r="V84" s="1256"/>
      <c r="W84" s="1256"/>
      <c r="X84" s="1256"/>
    </row>
    <row r="85" spans="1:24" ht="19.5" customHeight="1">
      <c r="A85" s="3"/>
      <c r="B85" s="3"/>
      <c r="C85" s="19"/>
      <c r="D85" s="19"/>
      <c r="E85" s="20"/>
      <c r="F85" s="20"/>
      <c r="G85" s="21"/>
      <c r="H85" s="21"/>
      <c r="I85" s="21"/>
      <c r="J85" s="5"/>
      <c r="K85" s="21" t="s">
        <v>61</v>
      </c>
      <c r="L85" s="21" t="s">
        <v>809</v>
      </c>
      <c r="M85" s="21" t="s">
        <v>62</v>
      </c>
      <c r="N85" s="21" t="s">
        <v>63</v>
      </c>
      <c r="O85" s="21" t="s">
        <v>64</v>
      </c>
      <c r="P85" s="21" t="s">
        <v>65</v>
      </c>
      <c r="Q85" s="21" t="s">
        <v>66</v>
      </c>
      <c r="R85" s="21" t="s">
        <v>67</v>
      </c>
      <c r="S85" s="21" t="s">
        <v>68</v>
      </c>
      <c r="T85" s="21" t="s">
        <v>675</v>
      </c>
      <c r="U85" s="21" t="s">
        <v>810</v>
      </c>
      <c r="V85" s="21" t="s">
        <v>811</v>
      </c>
      <c r="W85" s="21" t="s">
        <v>812</v>
      </c>
      <c r="X85" s="22" t="s">
        <v>813</v>
      </c>
    </row>
    <row r="86" spans="1:24" ht="15">
      <c r="A86" s="22"/>
      <c r="B86" s="22"/>
      <c r="C86" s="23"/>
      <c r="D86" s="23"/>
      <c r="E86" s="23"/>
      <c r="F86" s="24"/>
      <c r="G86" s="23"/>
      <c r="H86" s="23"/>
      <c r="I86" s="23"/>
      <c r="J86" s="25"/>
      <c r="K86" s="26"/>
      <c r="L86" s="23"/>
      <c r="M86" s="24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2"/>
    </row>
  </sheetData>
  <sheetProtection algorithmName="SHA-512" hashValue="e5kMYbAlJjbng6sFXyRWYxWsx3ValefdZR3BPyrpFKF0x6kcVni+Otj1aEEebz7ndVHE2FPkwCdelgNRZ/iHlg==" saltValue="59AGAeNPAeeD93dWEBG4Ug==" spinCount="100000" sheet="1" objects="1" scenarios="1" formatColumns="0" formatRows="0" autoFilter="0"/>
  <autoFilter ref="A4:Z4" xr:uid="{00000000-0009-0000-0000-00000B000000}"/>
  <phoneticPr fontId="0" type="noConversion"/>
  <printOptions horizontalCentered="1" verticalCentered="1" gridLines="1" gridLinesSet="0"/>
  <pageMargins left="0.78740157480314965" right="0.6692913385826772" top="1.1811023622047245" bottom="0.98425196850393704" header="0.70866141732283472" footer="0.51181102362204722"/>
  <pageSetup paperSize="9" scale="10" orientation="landscape" horizontalDpi="4294967292" verticalDpi="180" r:id="rId1"/>
  <headerFooter alignWithMargins="0">
    <oddHeader>&amp;C&amp;"Arial,Negrito"&amp;14&amp;A</oddHeader>
    <oddFooter>&amp;C&amp;"Arial,Negrito"&amp;14&amp;F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BB63"/>
  <sheetViews>
    <sheetView topLeftCell="A9" workbookViewId="0">
      <selection activeCell="O2492" sqref="O2492"/>
    </sheetView>
  </sheetViews>
  <sheetFormatPr defaultRowHeight="11.25"/>
  <cols>
    <col min="1" max="1" width="22" customWidth="1"/>
    <col min="2" max="2" width="49" bestFit="1" customWidth="1"/>
    <col min="3" max="3" width="9.5" style="260" customWidth="1"/>
    <col min="4" max="8" width="10.5" hidden="1" customWidth="1"/>
    <col min="9" max="10" width="10.5" customWidth="1"/>
    <col min="11" max="13" width="13.83203125" customWidth="1"/>
    <col min="14" max="14" width="11.1640625" hidden="1" customWidth="1"/>
    <col min="15" max="15" width="14" hidden="1" customWidth="1"/>
    <col min="16" max="16" width="11.1640625" hidden="1" customWidth="1"/>
    <col min="17" max="17" width="14" hidden="1" customWidth="1"/>
    <col min="18" max="18" width="11.1640625" hidden="1" customWidth="1"/>
    <col min="19" max="19" width="11.83203125" hidden="1" customWidth="1"/>
    <col min="20" max="21" width="10.5" customWidth="1"/>
    <col min="22" max="22" width="2.1640625" customWidth="1"/>
    <col min="23" max="23" width="18.33203125" customWidth="1"/>
    <col min="24" max="24" width="14.5" hidden="1" customWidth="1"/>
    <col min="25" max="25" width="9.6640625" style="260" hidden="1" customWidth="1"/>
    <col min="26" max="28" width="18.33203125" hidden="1" customWidth="1"/>
    <col min="29" max="34" width="19.33203125" style="250" hidden="1" customWidth="1"/>
    <col min="35" max="36" width="9.1640625" style="250" hidden="1" customWidth="1"/>
    <col min="37" max="37" width="9.33203125" style="250" hidden="1" customWidth="1"/>
    <col min="38" max="39" width="9.33203125" hidden="1" customWidth="1"/>
    <col min="40" max="40" width="12.6640625" hidden="1" customWidth="1"/>
    <col min="41" max="41" width="9.33203125" style="255" hidden="1" customWidth="1"/>
    <col min="42" max="42" width="49.1640625" style="254" hidden="1" customWidth="1"/>
    <col min="43" max="43" width="9.33203125" style="255" hidden="1" customWidth="1"/>
    <col min="44" max="45" width="9.33203125" style="254" hidden="1" customWidth="1"/>
    <col min="46" max="46" width="9.1640625" style="254" hidden="1" customWidth="1"/>
    <col min="47" max="48" width="9.33203125" hidden="1" customWidth="1"/>
    <col min="49" max="49" width="12.33203125" style="250" hidden="1" customWidth="1"/>
    <col min="50" max="50" width="11.6640625" hidden="1" customWidth="1"/>
    <col min="51" max="52" width="9.33203125" hidden="1" customWidth="1"/>
    <col min="53" max="53" width="13.1640625" customWidth="1"/>
    <col min="54" max="55" width="9.33203125" customWidth="1"/>
  </cols>
  <sheetData>
    <row r="1" spans="1:54" hidden="1">
      <c r="W1" s="86"/>
      <c r="AC1"/>
      <c r="AD1"/>
      <c r="AE1"/>
      <c r="AF1"/>
      <c r="AG1"/>
      <c r="AH1"/>
      <c r="AL1" s="250"/>
    </row>
    <row r="2" spans="1:54" hidden="1">
      <c r="W2" s="86"/>
      <c r="AC2"/>
      <c r="AD2"/>
      <c r="AE2"/>
      <c r="AF2"/>
      <c r="AG2"/>
      <c r="AH2"/>
      <c r="AL2" s="250"/>
    </row>
    <row r="3" spans="1:54" ht="15" hidden="1">
      <c r="A3" s="252" t="s">
        <v>1506</v>
      </c>
      <c r="W3" s="86"/>
      <c r="AC3"/>
      <c r="AD3"/>
      <c r="AE3"/>
      <c r="AF3"/>
      <c r="AG3"/>
      <c r="AH3"/>
      <c r="AL3" s="250"/>
    </row>
    <row r="4" spans="1:54" ht="15" hidden="1">
      <c r="A4" s="252"/>
      <c r="W4" s="86"/>
      <c r="AC4"/>
      <c r="AD4"/>
      <c r="AE4"/>
      <c r="AF4"/>
      <c r="AG4"/>
      <c r="AH4"/>
      <c r="AL4" s="250"/>
    </row>
    <row r="5" spans="1:54" hidden="1">
      <c r="W5" s="256"/>
      <c r="AC5"/>
      <c r="AD5"/>
      <c r="AE5"/>
      <c r="AF5"/>
      <c r="AG5"/>
      <c r="AH5"/>
      <c r="AL5" s="250"/>
      <c r="BA5" t="s">
        <v>1934</v>
      </c>
      <c r="BB5" t="s">
        <v>1935</v>
      </c>
    </row>
    <row r="6" spans="1:54" ht="15" hidden="1">
      <c r="A6" s="252"/>
      <c r="W6" s="261" t="s">
        <v>1557</v>
      </c>
      <c r="X6" s="261" t="s">
        <v>1558</v>
      </c>
      <c r="Z6" s="257" t="s">
        <v>1559</v>
      </c>
      <c r="AA6" s="257" t="s">
        <v>1559</v>
      </c>
      <c r="AC6"/>
      <c r="AD6"/>
      <c r="AE6"/>
      <c r="AF6"/>
      <c r="AG6"/>
      <c r="AH6"/>
      <c r="AL6" s="250"/>
      <c r="BA6" s="298">
        <v>5.91E-2</v>
      </c>
      <c r="BB6" s="298">
        <v>6.4000000000000001E-2</v>
      </c>
    </row>
    <row r="7" spans="1:54" hidden="1">
      <c r="W7" s="262" t="s">
        <v>1560</v>
      </c>
      <c r="X7" s="263" t="s">
        <v>1561</v>
      </c>
      <c r="Z7" s="257" t="s">
        <v>1562</v>
      </c>
      <c r="AA7" s="257" t="s">
        <v>1562</v>
      </c>
      <c r="AC7"/>
      <c r="AD7"/>
      <c r="AE7"/>
      <c r="AF7"/>
      <c r="AG7"/>
      <c r="AH7"/>
      <c r="AL7" s="250"/>
      <c r="BA7" s="299">
        <v>0.1027</v>
      </c>
      <c r="BB7" s="299">
        <v>0.105</v>
      </c>
    </row>
    <row r="8" spans="1:54" ht="12.75" hidden="1">
      <c r="A8" s="1539" t="s">
        <v>1563</v>
      </c>
      <c r="B8" s="1540"/>
      <c r="W8" s="264" t="s">
        <v>1564</v>
      </c>
      <c r="X8" s="265" t="s">
        <v>1565</v>
      </c>
      <c r="AC8"/>
      <c r="AD8"/>
      <c r="AE8"/>
      <c r="AF8"/>
      <c r="AG8"/>
      <c r="AH8"/>
      <c r="AL8" s="250"/>
      <c r="AW8" s="297" t="s">
        <v>1936</v>
      </c>
      <c r="BA8" s="300">
        <f>(1+BA6)*(1+BA7)-1</f>
        <v>0.16786956999999991</v>
      </c>
      <c r="BB8" s="300">
        <f>(1+BB6)*(1+BB7)-1</f>
        <v>0.1757200000000001</v>
      </c>
    </row>
    <row r="9" spans="1:54" ht="12" thickBot="1">
      <c r="B9" s="253"/>
      <c r="AC9"/>
      <c r="AD9"/>
      <c r="AE9"/>
      <c r="AF9"/>
      <c r="AG9"/>
      <c r="AH9"/>
      <c r="AL9" s="250"/>
      <c r="AW9" s="297" t="s">
        <v>1937</v>
      </c>
    </row>
    <row r="10" spans="1:54" ht="58.5" customHeight="1">
      <c r="A10" s="1172"/>
      <c r="B10" s="1173" t="s">
        <v>1969</v>
      </c>
      <c r="C10" s="1174"/>
      <c r="D10" s="1175"/>
      <c r="E10" s="1175"/>
      <c r="F10" s="1175"/>
      <c r="G10" s="1175"/>
      <c r="H10" s="1175"/>
      <c r="I10" s="1175"/>
      <c r="J10" s="1175"/>
      <c r="K10" s="1175"/>
      <c r="L10" s="1176"/>
      <c r="N10" s="266" t="s">
        <v>1844</v>
      </c>
      <c r="O10" s="267"/>
      <c r="P10" s="266" t="s">
        <v>1845</v>
      </c>
      <c r="Q10" s="267"/>
      <c r="R10" s="266" t="s">
        <v>1846</v>
      </c>
      <c r="S10" s="267"/>
      <c r="T10" s="268" t="s">
        <v>1942</v>
      </c>
      <c r="U10" s="269"/>
      <c r="V10" s="238"/>
      <c r="W10" s="270" t="s">
        <v>1566</v>
      </c>
      <c r="AC10"/>
      <c r="AD10" t="s">
        <v>1566</v>
      </c>
      <c r="AE10" t="s">
        <v>1566</v>
      </c>
      <c r="AF10" t="s">
        <v>1566</v>
      </c>
      <c r="AG10" t="s">
        <v>1566</v>
      </c>
      <c r="AH10" t="s">
        <v>1566</v>
      </c>
      <c r="AL10" s="250"/>
    </row>
    <row r="11" spans="1:54" ht="60">
      <c r="A11" s="1146" t="s">
        <v>1567</v>
      </c>
      <c r="B11" s="1147" t="s">
        <v>1568</v>
      </c>
      <c r="C11" s="1148" t="s">
        <v>1569</v>
      </c>
      <c r="D11" s="1168" t="s">
        <v>1946</v>
      </c>
      <c r="E11" s="1169" t="s">
        <v>1947</v>
      </c>
      <c r="F11" s="1169" t="s">
        <v>1948</v>
      </c>
      <c r="G11" s="1169" t="s">
        <v>1949</v>
      </c>
      <c r="H11" s="1169" t="s">
        <v>1945</v>
      </c>
      <c r="I11" s="1170">
        <v>44593</v>
      </c>
      <c r="J11" s="1171">
        <v>44774</v>
      </c>
      <c r="K11" s="1171">
        <v>44958</v>
      </c>
      <c r="L11" s="1169" t="s">
        <v>2204</v>
      </c>
      <c r="M11" s="575"/>
      <c r="N11" s="271" t="s">
        <v>1570</v>
      </c>
      <c r="O11" s="271" t="s">
        <v>1571</v>
      </c>
      <c r="P11" s="271" t="s">
        <v>1570</v>
      </c>
      <c r="Q11" s="271" t="s">
        <v>1571</v>
      </c>
      <c r="R11" s="271" t="s">
        <v>1570</v>
      </c>
      <c r="S11" s="271" t="s">
        <v>1571</v>
      </c>
      <c r="T11" s="271" t="s">
        <v>1943</v>
      </c>
      <c r="U11" s="271" t="s">
        <v>1944</v>
      </c>
      <c r="W11" s="272" t="s">
        <v>1973</v>
      </c>
      <c r="Z11" s="306" t="s">
        <v>1971</v>
      </c>
      <c r="AA11" s="306" t="s">
        <v>1573</v>
      </c>
      <c r="AB11" s="305" t="s">
        <v>1572</v>
      </c>
      <c r="AC11" s="305" t="s">
        <v>1847</v>
      </c>
      <c r="AD11" s="305" t="s">
        <v>1848</v>
      </c>
      <c r="AE11" s="305" t="s">
        <v>1972</v>
      </c>
      <c r="AF11" s="305" t="s">
        <v>1970</v>
      </c>
      <c r="AG11" s="305" t="s">
        <v>1974</v>
      </c>
      <c r="AH11" s="306" t="s">
        <v>1973</v>
      </c>
      <c r="AI11" s="307" t="s">
        <v>1849</v>
      </c>
      <c r="AJ11" s="274"/>
      <c r="AK11" s="273" t="s">
        <v>1850</v>
      </c>
      <c r="AL11" s="274"/>
      <c r="AP11" s="254" t="s">
        <v>1851</v>
      </c>
      <c r="AW11" s="271" t="s">
        <v>1938</v>
      </c>
      <c r="AX11" s="271" t="s">
        <v>1939</v>
      </c>
      <c r="AY11" s="250" t="s">
        <v>1940</v>
      </c>
      <c r="AZ11" s="250" t="s">
        <v>1941</v>
      </c>
      <c r="BA11" s="1167" t="s">
        <v>2203</v>
      </c>
    </row>
    <row r="12" spans="1:54" ht="12.75">
      <c r="A12" s="1149">
        <v>589100</v>
      </c>
      <c r="B12" s="1150" t="s">
        <v>1574</v>
      </c>
      <c r="C12" s="1151" t="s">
        <v>1575</v>
      </c>
      <c r="D12" s="1152">
        <v>3514.38</v>
      </c>
      <c r="E12" s="1153">
        <v>4464.1099999999997</v>
      </c>
      <c r="F12" s="1153">
        <v>5706.75</v>
      </c>
      <c r="G12" s="1153" t="s">
        <v>1951</v>
      </c>
      <c r="H12" s="1153">
        <v>5022.5</v>
      </c>
      <c r="I12" s="1162">
        <v>7777.8</v>
      </c>
      <c r="J12" s="1163">
        <v>7415.78</v>
      </c>
      <c r="K12" s="1154">
        <v>5937.37</v>
      </c>
      <c r="L12" s="1145">
        <f>ROUND(K12/J12-1,4)</f>
        <v>-0.19939999999999999</v>
      </c>
      <c r="N12" s="275"/>
      <c r="O12" s="275">
        <f>ROUND(N12/(1-0%),2)</f>
        <v>0</v>
      </c>
      <c r="P12" s="276"/>
      <c r="Q12" s="276">
        <f>ROUND(P12/(1-0%),2)</f>
        <v>0</v>
      </c>
      <c r="R12" s="277"/>
      <c r="S12" s="277">
        <f t="shared" ref="S12:S24" si="0">ROUND(R12/(1-21.65%),2)</f>
        <v>0</v>
      </c>
      <c r="T12" s="303">
        <v>6629</v>
      </c>
      <c r="U12" s="283">
        <v>7052</v>
      </c>
      <c r="V12" s="278"/>
      <c r="W12" s="279">
        <f>T12</f>
        <v>6629</v>
      </c>
      <c r="X12" s="278">
        <f t="shared" ref="X12:X26" si="1">IF(K12=0,"",W12/K12)</f>
        <v>1.1164876030969941</v>
      </c>
      <c r="Y12" s="278" t="s">
        <v>1560</v>
      </c>
      <c r="Z12" s="280">
        <f>H12</f>
        <v>5022.5</v>
      </c>
      <c r="AA12" s="280">
        <v>6100.3</v>
      </c>
      <c r="AB12" s="280">
        <v>5774.08</v>
      </c>
      <c r="AC12" s="280">
        <v>6024.25</v>
      </c>
      <c r="AD12" s="280">
        <v>6642.53</v>
      </c>
      <c r="AE12" s="280">
        <v>7777.8</v>
      </c>
      <c r="AF12" s="280">
        <v>7404.92</v>
      </c>
      <c r="AG12" s="280">
        <v>7415.78</v>
      </c>
      <c r="AH12" s="304">
        <v>6629</v>
      </c>
      <c r="AI12" s="281"/>
      <c r="AJ12" s="282"/>
      <c r="AK12" s="283"/>
      <c r="AL12" s="283"/>
      <c r="AM12" s="284"/>
      <c r="AN12" s="285"/>
      <c r="AW12" s="250">
        <v>7415.78</v>
      </c>
      <c r="AX12" s="253">
        <f>AW12*(1-$BB$8)</f>
        <v>6112.6791383999989</v>
      </c>
      <c r="AY12" s="301">
        <v>6629</v>
      </c>
      <c r="AZ12" s="302">
        <v>7052</v>
      </c>
      <c r="BA12" s="1145">
        <f>ROUND(K12/W12-1,4)</f>
        <v>-0.1043</v>
      </c>
    </row>
    <row r="13" spans="1:54" ht="25.5">
      <c r="A13" s="1149"/>
      <c r="B13" s="1150" t="s">
        <v>1852</v>
      </c>
      <c r="C13" s="1151" t="s">
        <v>1575</v>
      </c>
      <c r="D13" s="1152"/>
      <c r="E13" s="1153"/>
      <c r="F13" s="1153"/>
      <c r="G13" s="1153"/>
      <c r="H13" s="1153"/>
      <c r="I13" s="1162"/>
      <c r="J13" s="1163"/>
      <c r="K13" s="1154"/>
      <c r="L13" s="1166"/>
      <c r="N13" s="286"/>
      <c r="O13" s="286"/>
      <c r="P13" s="286"/>
      <c r="Q13" s="286"/>
      <c r="R13" s="277"/>
      <c r="S13" s="277">
        <f t="shared" si="0"/>
        <v>0</v>
      </c>
      <c r="T13" s="251"/>
      <c r="U13" s="283"/>
      <c r="V13" s="278"/>
      <c r="W13" s="279"/>
      <c r="X13" s="278" t="str">
        <f t="shared" si="1"/>
        <v/>
      </c>
      <c r="Y13" s="278" t="s">
        <v>1564</v>
      </c>
      <c r="Z13" s="280"/>
      <c r="AA13" s="280"/>
      <c r="AB13" s="280"/>
      <c r="AC13" s="280"/>
      <c r="AD13" s="280">
        <v>4715.28</v>
      </c>
      <c r="AE13" s="280">
        <v>5524.24</v>
      </c>
      <c r="AF13" s="280">
        <v>5524.24</v>
      </c>
      <c r="AG13" s="280"/>
      <c r="AH13" s="280"/>
      <c r="AI13" s="283"/>
      <c r="AJ13" s="287"/>
      <c r="AK13" s="287"/>
      <c r="AL13" s="287"/>
      <c r="AM13" s="284"/>
      <c r="AN13" s="285"/>
      <c r="AO13" s="288">
        <v>517</v>
      </c>
      <c r="AP13" s="289" t="s">
        <v>1853</v>
      </c>
      <c r="AQ13" s="288" t="s">
        <v>1854</v>
      </c>
      <c r="AR13" s="290" t="s">
        <v>1855</v>
      </c>
      <c r="AS13" s="290" t="s">
        <v>1856</v>
      </c>
      <c r="AY13" s="250"/>
      <c r="AZ13" s="302"/>
      <c r="BA13" s="1166"/>
    </row>
    <row r="14" spans="1:54" ht="33.75">
      <c r="A14" s="1149">
        <v>589050</v>
      </c>
      <c r="B14" s="1150" t="s">
        <v>1576</v>
      </c>
      <c r="C14" s="1151" t="s">
        <v>1575</v>
      </c>
      <c r="D14" s="1152">
        <v>2660.93</v>
      </c>
      <c r="E14" s="1153">
        <v>3344.17</v>
      </c>
      <c r="F14" s="1153">
        <v>3762.84</v>
      </c>
      <c r="G14" s="1153" t="s">
        <v>1952</v>
      </c>
      <c r="H14" s="1153">
        <v>3788.14</v>
      </c>
      <c r="I14" s="1162">
        <v>6004</v>
      </c>
      <c r="J14" s="1163">
        <v>5892.67</v>
      </c>
      <c r="K14" s="1154">
        <v>5201.1000000000004</v>
      </c>
      <c r="L14" s="1145">
        <f t="shared" ref="L14:L31" si="2">ROUND(K14/J14-1,4)</f>
        <v>-0.1174</v>
      </c>
      <c r="N14" s="286"/>
      <c r="O14" s="286"/>
      <c r="P14" s="276"/>
      <c r="Q14" s="276">
        <f>ROUND(P14/(1-0%),2)</f>
        <v>0</v>
      </c>
      <c r="R14" s="277"/>
      <c r="S14" s="277">
        <f t="shared" si="0"/>
        <v>0</v>
      </c>
      <c r="T14" s="303">
        <v>5662</v>
      </c>
      <c r="U14" s="283">
        <v>6915</v>
      </c>
      <c r="V14" s="278"/>
      <c r="W14" s="279">
        <f>T14</f>
        <v>5662</v>
      </c>
      <c r="X14" s="278">
        <f t="shared" si="1"/>
        <v>1.0886158697198669</v>
      </c>
      <c r="Y14" s="278" t="s">
        <v>1560</v>
      </c>
      <c r="Z14" s="280">
        <f t="shared" ref="Z14:Z22" si="3">H14</f>
        <v>3788.14</v>
      </c>
      <c r="AA14" s="280">
        <v>5316</v>
      </c>
      <c r="AB14" s="280">
        <v>4986.3100000000004</v>
      </c>
      <c r="AC14" s="280">
        <v>5367.12</v>
      </c>
      <c r="AD14" s="280">
        <v>5880.51</v>
      </c>
      <c r="AE14" s="280">
        <v>6004</v>
      </c>
      <c r="AF14" s="280">
        <v>6277.45</v>
      </c>
      <c r="AG14" s="280">
        <v>5892.67</v>
      </c>
      <c r="AH14" s="280">
        <v>5662</v>
      </c>
      <c r="AI14" s="283"/>
      <c r="AJ14" s="283"/>
      <c r="AK14" s="251"/>
      <c r="AL14" s="282"/>
      <c r="AM14" s="284"/>
      <c r="AN14" s="285"/>
      <c r="AO14" s="288">
        <v>41904</v>
      </c>
      <c r="AP14" s="289" t="s">
        <v>1857</v>
      </c>
      <c r="AQ14" s="288" t="s">
        <v>1858</v>
      </c>
      <c r="AR14" s="290" t="s">
        <v>1859</v>
      </c>
      <c r="AS14" s="290" t="s">
        <v>1860</v>
      </c>
      <c r="AW14" s="250">
        <v>5892.67</v>
      </c>
      <c r="AX14" s="253">
        <f t="shared" ref="AX14:AX22" si="4">AW14*(1-$BA$8)</f>
        <v>4903.4700209481007</v>
      </c>
      <c r="AY14" s="301">
        <v>5662</v>
      </c>
      <c r="AZ14" s="302">
        <v>6915</v>
      </c>
      <c r="BA14" s="1145">
        <f t="shared" ref="BA14:BA31" si="5">ROUND(K14/W14-1,4)</f>
        <v>-8.14E-2</v>
      </c>
    </row>
    <row r="15" spans="1:54" ht="33.75">
      <c r="A15" s="1149">
        <v>589070</v>
      </c>
      <c r="B15" s="1150" t="s">
        <v>1577</v>
      </c>
      <c r="C15" s="1151" t="s">
        <v>1575</v>
      </c>
      <c r="D15" s="1152"/>
      <c r="E15" s="1153"/>
      <c r="F15" s="1153"/>
      <c r="G15" s="1153" t="s">
        <v>1953</v>
      </c>
      <c r="H15" s="1153">
        <v>4130.03</v>
      </c>
      <c r="I15" s="1162">
        <v>6309</v>
      </c>
      <c r="J15" s="1163">
        <v>6142.33</v>
      </c>
      <c r="K15" s="1154">
        <v>5001</v>
      </c>
      <c r="L15" s="1145">
        <f t="shared" si="2"/>
        <v>-0.18579999999999999</v>
      </c>
      <c r="N15" s="286"/>
      <c r="O15" s="286"/>
      <c r="P15" s="286"/>
      <c r="Q15" s="286"/>
      <c r="R15" s="277"/>
      <c r="S15" s="277">
        <f t="shared" si="0"/>
        <v>0</v>
      </c>
      <c r="T15" s="303">
        <v>5447</v>
      </c>
      <c r="U15" s="283">
        <v>5535</v>
      </c>
      <c r="V15" s="278"/>
      <c r="W15" s="279">
        <f>T15</f>
        <v>5447</v>
      </c>
      <c r="X15" s="278">
        <f t="shared" si="1"/>
        <v>1.0891821635672865</v>
      </c>
      <c r="Y15" s="278" t="s">
        <v>1564</v>
      </c>
      <c r="Z15" s="280">
        <f t="shared" si="3"/>
        <v>4130.03</v>
      </c>
      <c r="AA15" s="280"/>
      <c r="AB15" s="280">
        <v>4453.4399999999996</v>
      </c>
      <c r="AC15" s="280">
        <v>5106.25</v>
      </c>
      <c r="AD15" s="280">
        <v>6043.93</v>
      </c>
      <c r="AE15" s="280">
        <v>6309</v>
      </c>
      <c r="AF15" s="280">
        <v>6227.89</v>
      </c>
      <c r="AG15" s="280">
        <v>6142.33</v>
      </c>
      <c r="AH15" s="280">
        <v>5447</v>
      </c>
      <c r="AI15" s="283"/>
      <c r="AJ15" s="283"/>
      <c r="AK15" s="251"/>
      <c r="AL15" s="282"/>
      <c r="AM15" s="284"/>
      <c r="AN15" s="285"/>
      <c r="AO15" s="288">
        <v>41903</v>
      </c>
      <c r="AP15" s="289" t="s">
        <v>1861</v>
      </c>
      <c r="AQ15" s="288" t="s">
        <v>1862</v>
      </c>
      <c r="AR15" s="290" t="s">
        <v>1859</v>
      </c>
      <c r="AS15" s="290" t="s">
        <v>1863</v>
      </c>
      <c r="AW15" s="250">
        <v>6142.33</v>
      </c>
      <c r="AX15" s="253">
        <f t="shared" si="4"/>
        <v>5111.2197041019008</v>
      </c>
      <c r="AY15" s="301">
        <v>5447</v>
      </c>
      <c r="AZ15" s="302">
        <v>5535</v>
      </c>
      <c r="BA15" s="1145">
        <f t="shared" si="5"/>
        <v>-8.1900000000000001E-2</v>
      </c>
    </row>
    <row r="16" spans="1:54" ht="33.75">
      <c r="A16" s="1149">
        <v>589000</v>
      </c>
      <c r="B16" s="1150" t="s">
        <v>1578</v>
      </c>
      <c r="C16" s="1151" t="s">
        <v>1575</v>
      </c>
      <c r="D16" s="1152">
        <v>2349.52</v>
      </c>
      <c r="E16" s="1153">
        <v>2956.34</v>
      </c>
      <c r="F16" s="1153">
        <v>3474.98</v>
      </c>
      <c r="G16" s="1153" t="s">
        <v>1954</v>
      </c>
      <c r="H16" s="1153">
        <v>3340.63</v>
      </c>
      <c r="I16" s="1162">
        <v>6287.6</v>
      </c>
      <c r="J16" s="1163">
        <v>5970.35</v>
      </c>
      <c r="K16" s="1154">
        <v>4828.8599999999997</v>
      </c>
      <c r="L16" s="1145">
        <f t="shared" si="2"/>
        <v>-0.19120000000000001</v>
      </c>
      <c r="N16" s="275"/>
      <c r="O16" s="275">
        <f>ROUND(N16/(1-0%),2)</f>
        <v>0</v>
      </c>
      <c r="P16" s="276"/>
      <c r="Q16" s="276">
        <f>ROUND(P16/(1-0%),2)</f>
        <v>0</v>
      </c>
      <c r="R16" s="277"/>
      <c r="S16" s="277">
        <f t="shared" si="0"/>
        <v>0</v>
      </c>
      <c r="T16" s="251">
        <v>6006</v>
      </c>
      <c r="U16" s="303">
        <v>5725</v>
      </c>
      <c r="V16" s="278"/>
      <c r="W16" s="279">
        <f>U16</f>
        <v>5725</v>
      </c>
      <c r="X16" s="278">
        <f t="shared" si="1"/>
        <v>1.1855800333826203</v>
      </c>
      <c r="Y16" s="278" t="s">
        <v>1560</v>
      </c>
      <c r="Z16" s="280">
        <f t="shared" si="3"/>
        <v>3340.63</v>
      </c>
      <c r="AA16" s="280">
        <v>4708.6000000000004</v>
      </c>
      <c r="AB16" s="280">
        <v>4434.49</v>
      </c>
      <c r="AC16" s="280">
        <v>4718.0200000000004</v>
      </c>
      <c r="AD16" s="280">
        <v>5118.8900000000003</v>
      </c>
      <c r="AE16" s="280">
        <v>6287.6</v>
      </c>
      <c r="AF16" s="280">
        <v>5479.8</v>
      </c>
      <c r="AG16" s="280">
        <v>5970.35</v>
      </c>
      <c r="AH16" s="280">
        <v>5725</v>
      </c>
      <c r="AI16" s="283"/>
      <c r="AJ16" s="283"/>
      <c r="AK16" s="251"/>
      <c r="AL16" s="282"/>
      <c r="AM16" s="284"/>
      <c r="AN16" s="285"/>
      <c r="AO16" s="288">
        <v>37534</v>
      </c>
      <c r="AP16" s="289" t="s">
        <v>1864</v>
      </c>
      <c r="AQ16" s="288" t="s">
        <v>1862</v>
      </c>
      <c r="AR16" s="290" t="s">
        <v>1865</v>
      </c>
      <c r="AS16" s="290" t="s">
        <v>1866</v>
      </c>
      <c r="AW16" s="250">
        <v>5970.35</v>
      </c>
      <c r="AX16" s="253">
        <f t="shared" si="4"/>
        <v>4968.1099127505004</v>
      </c>
      <c r="AY16" s="250">
        <v>6006</v>
      </c>
      <c r="AZ16" s="301">
        <v>5725</v>
      </c>
      <c r="BA16" s="1145">
        <f t="shared" si="5"/>
        <v>-0.1565</v>
      </c>
    </row>
    <row r="17" spans="1:53" ht="33.75">
      <c r="A17" s="1149">
        <v>589030</v>
      </c>
      <c r="B17" s="1150" t="s">
        <v>1867</v>
      </c>
      <c r="C17" s="1151" t="s">
        <v>1575</v>
      </c>
      <c r="D17" s="1152">
        <v>3370.61</v>
      </c>
      <c r="E17" s="1153">
        <v>3839.39</v>
      </c>
      <c r="F17" s="1153">
        <v>4183.88</v>
      </c>
      <c r="G17" s="1153" t="s">
        <v>1955</v>
      </c>
      <c r="H17" s="1153">
        <v>3932.27</v>
      </c>
      <c r="I17" s="1162">
        <v>7237.2</v>
      </c>
      <c r="J17" s="1163">
        <v>7226.46</v>
      </c>
      <c r="K17" s="1154">
        <v>5925.42</v>
      </c>
      <c r="L17" s="1145">
        <f t="shared" si="2"/>
        <v>-0.18</v>
      </c>
      <c r="N17" s="286"/>
      <c r="O17" s="286"/>
      <c r="P17" s="276"/>
      <c r="Q17" s="276">
        <f>ROUND(P17/(1-0%),2)</f>
        <v>0</v>
      </c>
      <c r="R17" s="277"/>
      <c r="S17" s="277">
        <f t="shared" si="0"/>
        <v>0</v>
      </c>
      <c r="T17" s="251">
        <v>7439</v>
      </c>
      <c r="U17" s="303">
        <v>6795</v>
      </c>
      <c r="V17" s="278"/>
      <c r="W17" s="279">
        <f t="shared" ref="W17:W31" si="6">U17</f>
        <v>6795</v>
      </c>
      <c r="X17" s="278">
        <f t="shared" si="1"/>
        <v>1.1467541541359094</v>
      </c>
      <c r="Y17" s="278" t="s">
        <v>1564</v>
      </c>
      <c r="Z17" s="280">
        <f t="shared" si="3"/>
        <v>3932.27</v>
      </c>
      <c r="AA17" s="280"/>
      <c r="AB17" s="280">
        <v>3898.29</v>
      </c>
      <c r="AC17" s="280">
        <v>5841.48</v>
      </c>
      <c r="AD17" s="280">
        <v>6343.8</v>
      </c>
      <c r="AE17" s="280">
        <v>7237.2</v>
      </c>
      <c r="AF17" s="280">
        <v>5402.44</v>
      </c>
      <c r="AG17" s="280">
        <v>7226.46</v>
      </c>
      <c r="AH17" s="280">
        <v>6795</v>
      </c>
      <c r="AI17" s="283"/>
      <c r="AJ17" s="283"/>
      <c r="AK17" s="251"/>
      <c r="AL17" s="282"/>
      <c r="AM17" s="284"/>
      <c r="AN17" s="285"/>
      <c r="AO17" s="288">
        <v>37535</v>
      </c>
      <c r="AP17" s="289" t="s">
        <v>1868</v>
      </c>
      <c r="AQ17" s="288" t="s">
        <v>1862</v>
      </c>
      <c r="AR17" s="290" t="s">
        <v>1865</v>
      </c>
      <c r="AS17" s="290" t="s">
        <v>1866</v>
      </c>
      <c r="AW17" s="250">
        <v>7226.46</v>
      </c>
      <c r="AX17" s="253">
        <f t="shared" si="4"/>
        <v>6013.3572671778011</v>
      </c>
      <c r="AY17" s="250">
        <v>7439</v>
      </c>
      <c r="AZ17" s="301">
        <v>6795</v>
      </c>
      <c r="BA17" s="1145">
        <f t="shared" si="5"/>
        <v>-0.128</v>
      </c>
    </row>
    <row r="18" spans="1:53" ht="33.75">
      <c r="A18" s="1149">
        <v>589040</v>
      </c>
      <c r="B18" s="1150" t="s">
        <v>1869</v>
      </c>
      <c r="C18" s="1151" t="s">
        <v>1575</v>
      </c>
      <c r="D18" s="1152">
        <v>3512.37</v>
      </c>
      <c r="E18" s="1153">
        <v>3955.12</v>
      </c>
      <c r="F18" s="1153">
        <v>4454.8999999999996</v>
      </c>
      <c r="G18" s="1153" t="s">
        <v>1956</v>
      </c>
      <c r="H18" s="1153">
        <v>4296.93</v>
      </c>
      <c r="I18" s="1162">
        <v>7408.8</v>
      </c>
      <c r="J18" s="1163">
        <v>7416.43</v>
      </c>
      <c r="K18" s="1154">
        <v>6122.06</v>
      </c>
      <c r="L18" s="1145">
        <f t="shared" si="2"/>
        <v>-0.17449999999999999</v>
      </c>
      <c r="N18" s="286"/>
      <c r="O18" s="286"/>
      <c r="P18" s="276"/>
      <c r="Q18" s="276">
        <f>ROUND(P18/(1-0%),2)</f>
        <v>0</v>
      </c>
      <c r="R18" s="277"/>
      <c r="S18" s="277">
        <f t="shared" si="0"/>
        <v>0</v>
      </c>
      <c r="T18" s="251">
        <v>7610</v>
      </c>
      <c r="U18" s="303">
        <v>7130</v>
      </c>
      <c r="V18" s="278"/>
      <c r="W18" s="279">
        <f t="shared" si="6"/>
        <v>7130</v>
      </c>
      <c r="X18" s="278">
        <f t="shared" si="1"/>
        <v>1.1646406601699428</v>
      </c>
      <c r="Y18" s="291" t="s">
        <v>1560</v>
      </c>
      <c r="Z18" s="280">
        <f t="shared" si="3"/>
        <v>4296.93</v>
      </c>
      <c r="AA18" s="280"/>
      <c r="AB18" s="280">
        <v>5182.78</v>
      </c>
      <c r="AC18" s="280">
        <v>5188.97</v>
      </c>
      <c r="AD18" s="280">
        <v>6060.94</v>
      </c>
      <c r="AE18" s="280">
        <v>7408.8</v>
      </c>
      <c r="AF18" s="280">
        <v>6863.02</v>
      </c>
      <c r="AG18" s="280">
        <v>7416.43</v>
      </c>
      <c r="AH18" s="280">
        <v>7130</v>
      </c>
      <c r="AI18" s="283"/>
      <c r="AJ18" s="283"/>
      <c r="AK18" s="251"/>
      <c r="AL18" s="282"/>
      <c r="AM18" s="284"/>
      <c r="AN18" s="285"/>
      <c r="AO18" s="288">
        <v>37533</v>
      </c>
      <c r="AP18" s="289" t="s">
        <v>1870</v>
      </c>
      <c r="AQ18" s="288" t="s">
        <v>1862</v>
      </c>
      <c r="AR18" s="290" t="s">
        <v>1865</v>
      </c>
      <c r="AS18" s="290" t="s">
        <v>1866</v>
      </c>
      <c r="AW18" s="250">
        <v>7416.43</v>
      </c>
      <c r="AX18" s="253">
        <f t="shared" si="4"/>
        <v>6171.4370849649013</v>
      </c>
      <c r="AY18" s="250">
        <v>7610</v>
      </c>
      <c r="AZ18" s="301">
        <v>7130</v>
      </c>
      <c r="BA18" s="1145">
        <f t="shared" si="5"/>
        <v>-0.1414</v>
      </c>
    </row>
    <row r="19" spans="1:53" ht="33.75">
      <c r="A19" s="1149">
        <v>589060</v>
      </c>
      <c r="B19" s="1150" t="s">
        <v>1871</v>
      </c>
      <c r="C19" s="1151" t="s">
        <v>1575</v>
      </c>
      <c r="D19" s="1152">
        <v>3625.34</v>
      </c>
      <c r="E19" s="1153">
        <v>4127.55</v>
      </c>
      <c r="F19" s="1153">
        <v>4195.8999999999996</v>
      </c>
      <c r="G19" s="1153" t="s">
        <v>1957</v>
      </c>
      <c r="H19" s="1153">
        <v>4032.87</v>
      </c>
      <c r="I19" s="1162">
        <v>7549.6</v>
      </c>
      <c r="J19" s="1163">
        <v>7531.53</v>
      </c>
      <c r="K19" s="1154">
        <v>6307.22</v>
      </c>
      <c r="L19" s="1145">
        <f t="shared" si="2"/>
        <v>-0.16259999999999999</v>
      </c>
      <c r="N19" s="286"/>
      <c r="O19" s="286"/>
      <c r="P19" s="286"/>
      <c r="Q19" s="286"/>
      <c r="R19" s="277"/>
      <c r="S19" s="277">
        <f t="shared" si="0"/>
        <v>0</v>
      </c>
      <c r="T19" s="251">
        <v>7797</v>
      </c>
      <c r="U19" s="303">
        <v>7435</v>
      </c>
      <c r="V19" s="278"/>
      <c r="W19" s="279">
        <f t="shared" si="6"/>
        <v>7435</v>
      </c>
      <c r="X19" s="278">
        <f t="shared" si="1"/>
        <v>1.1788077790215024</v>
      </c>
      <c r="Y19" s="278" t="s">
        <v>1564</v>
      </c>
      <c r="Z19" s="280">
        <f t="shared" si="3"/>
        <v>4032.87</v>
      </c>
      <c r="AA19" s="280"/>
      <c r="AB19" s="280">
        <v>4864.28</v>
      </c>
      <c r="AC19" s="280">
        <v>5635.05</v>
      </c>
      <c r="AD19" s="280">
        <v>6155.24</v>
      </c>
      <c r="AE19" s="280">
        <v>7549.6</v>
      </c>
      <c r="AF19" s="280">
        <v>7569.71</v>
      </c>
      <c r="AG19" s="280">
        <v>7531.53</v>
      </c>
      <c r="AH19" s="280">
        <v>7435</v>
      </c>
      <c r="AI19" s="251"/>
      <c r="AJ19" s="282"/>
      <c r="AK19" s="251"/>
      <c r="AL19" s="281"/>
      <c r="AM19" s="284"/>
      <c r="AN19" s="285"/>
      <c r="AO19" s="288">
        <v>37537</v>
      </c>
      <c r="AP19" s="289" t="s">
        <v>1872</v>
      </c>
      <c r="AQ19" s="288" t="s">
        <v>1862</v>
      </c>
      <c r="AR19" s="290" t="s">
        <v>1865</v>
      </c>
      <c r="AS19" s="290" t="s">
        <v>1873</v>
      </c>
      <c r="AW19" s="250">
        <v>7531.53</v>
      </c>
      <c r="AX19" s="253">
        <f t="shared" si="4"/>
        <v>6267.2152974579003</v>
      </c>
      <c r="AY19" s="250">
        <v>7797</v>
      </c>
      <c r="AZ19" s="301">
        <v>7435</v>
      </c>
      <c r="BA19" s="1145">
        <f t="shared" si="5"/>
        <v>-0.1517</v>
      </c>
    </row>
    <row r="20" spans="1:53" ht="33.75">
      <c r="A20" s="1149">
        <v>589190</v>
      </c>
      <c r="B20" s="1150" t="s">
        <v>1579</v>
      </c>
      <c r="C20" s="1151" t="s">
        <v>1575</v>
      </c>
      <c r="D20" s="1152">
        <v>2690.38</v>
      </c>
      <c r="E20" s="1153">
        <v>3059.62</v>
      </c>
      <c r="F20" s="1153">
        <v>3102.01</v>
      </c>
      <c r="G20" s="1153" t="s">
        <v>1958</v>
      </c>
      <c r="H20" s="1153">
        <v>2803.16</v>
      </c>
      <c r="I20" s="1162">
        <v>4612.63</v>
      </c>
      <c r="J20" s="1163">
        <v>5077.57</v>
      </c>
      <c r="K20" s="1154">
        <v>4730.97</v>
      </c>
      <c r="L20" s="1145">
        <f t="shared" si="2"/>
        <v>-6.83E-2</v>
      </c>
      <c r="N20" s="286"/>
      <c r="O20" s="286"/>
      <c r="P20" s="276"/>
      <c r="Q20" s="276">
        <f>ROUND(P20/(1-0%),2)</f>
        <v>0</v>
      </c>
      <c r="R20" s="277"/>
      <c r="S20" s="277">
        <f t="shared" si="0"/>
        <v>0</v>
      </c>
      <c r="T20" s="251">
        <v>4262</v>
      </c>
      <c r="U20" s="303">
        <v>4040</v>
      </c>
      <c r="V20" s="278"/>
      <c r="W20" s="279">
        <f t="shared" si="6"/>
        <v>4040</v>
      </c>
      <c r="X20" s="278">
        <f t="shared" si="1"/>
        <v>0.85394749913865442</v>
      </c>
      <c r="Y20" s="278" t="s">
        <v>1560</v>
      </c>
      <c r="Z20" s="280">
        <f t="shared" si="3"/>
        <v>2803.16</v>
      </c>
      <c r="AA20" s="280">
        <v>3951.04</v>
      </c>
      <c r="AB20" s="280">
        <v>3540.56</v>
      </c>
      <c r="AC20" s="280">
        <v>3540.17</v>
      </c>
      <c r="AD20" s="280">
        <v>3981.34</v>
      </c>
      <c r="AE20" s="280">
        <v>4612.63</v>
      </c>
      <c r="AF20" s="280">
        <v>4078.04</v>
      </c>
      <c r="AG20" s="280">
        <v>5077.57</v>
      </c>
      <c r="AH20" s="280">
        <v>4040</v>
      </c>
      <c r="AI20" s="283"/>
      <c r="AJ20" s="283"/>
      <c r="AK20" s="251"/>
      <c r="AL20" s="282"/>
      <c r="AM20" s="284"/>
      <c r="AN20" s="285"/>
      <c r="AO20" s="288">
        <v>516</v>
      </c>
      <c r="AP20" s="292" t="s">
        <v>1874</v>
      </c>
      <c r="AQ20" s="288" t="s">
        <v>1862</v>
      </c>
      <c r="AR20" s="290" t="s">
        <v>1855</v>
      </c>
      <c r="AS20" s="290" t="s">
        <v>1875</v>
      </c>
      <c r="AW20" s="250">
        <v>5077.57</v>
      </c>
      <c r="AX20" s="253">
        <f t="shared" si="4"/>
        <v>4225.2005074550998</v>
      </c>
      <c r="AY20" s="250">
        <v>4262</v>
      </c>
      <c r="AZ20" s="301">
        <v>4040</v>
      </c>
      <c r="BA20" s="1145">
        <f t="shared" si="5"/>
        <v>0.17100000000000001</v>
      </c>
    </row>
    <row r="21" spans="1:53" ht="33.75">
      <c r="A21" s="1149">
        <v>589180</v>
      </c>
      <c r="B21" s="1150" t="s">
        <v>1580</v>
      </c>
      <c r="C21" s="1151" t="s">
        <v>1575</v>
      </c>
      <c r="D21" s="1152">
        <v>2860.81</v>
      </c>
      <c r="E21" s="1153">
        <v>3354.56</v>
      </c>
      <c r="F21" s="1153">
        <v>3009.5</v>
      </c>
      <c r="G21" s="1153" t="s">
        <v>1959</v>
      </c>
      <c r="H21" s="1153">
        <v>3295.64</v>
      </c>
      <c r="I21" s="1162">
        <v>5974.97</v>
      </c>
      <c r="J21" s="1163">
        <v>5866.23</v>
      </c>
      <c r="K21" s="1154">
        <v>5223.84</v>
      </c>
      <c r="L21" s="1145">
        <f t="shared" si="2"/>
        <v>-0.1095</v>
      </c>
      <c r="N21" s="286"/>
      <c r="O21" s="286"/>
      <c r="P21" s="276"/>
      <c r="Q21" s="276">
        <f>ROUND(P21/(1-0%),2)</f>
        <v>0</v>
      </c>
      <c r="R21" s="277"/>
      <c r="S21" s="277">
        <f t="shared" si="0"/>
        <v>0</v>
      </c>
      <c r="T21" s="251"/>
      <c r="U21" s="303">
        <v>5080</v>
      </c>
      <c r="V21" s="278"/>
      <c r="W21" s="279">
        <f t="shared" si="6"/>
        <v>5080</v>
      </c>
      <c r="X21" s="278">
        <f t="shared" si="1"/>
        <v>0.97246470029709942</v>
      </c>
      <c r="Y21" s="278" t="s">
        <v>1560</v>
      </c>
      <c r="Z21" s="280">
        <f t="shared" si="3"/>
        <v>3295.64</v>
      </c>
      <c r="AA21" s="280">
        <v>4645.1899999999996</v>
      </c>
      <c r="AB21" s="280">
        <v>4080.54</v>
      </c>
      <c r="AC21" s="280">
        <v>3985.51</v>
      </c>
      <c r="AD21" s="280">
        <v>4460.5</v>
      </c>
      <c r="AE21" s="280">
        <v>5974.97</v>
      </c>
      <c r="AF21" s="280">
        <v>4802.82</v>
      </c>
      <c r="AG21" s="280">
        <v>5866.23</v>
      </c>
      <c r="AH21" s="280">
        <v>5080</v>
      </c>
      <c r="AI21" s="283"/>
      <c r="AJ21" s="283"/>
      <c r="AK21" s="251"/>
      <c r="AL21" s="282"/>
      <c r="AM21" s="284"/>
      <c r="AN21" s="285"/>
      <c r="AO21" s="288">
        <v>509</v>
      </c>
      <c r="AP21" s="292" t="s">
        <v>1876</v>
      </c>
      <c r="AQ21" s="288" t="s">
        <v>1862</v>
      </c>
      <c r="AR21" s="290" t="s">
        <v>1855</v>
      </c>
      <c r="AS21" s="290" t="s">
        <v>1877</v>
      </c>
      <c r="AW21" s="250">
        <v>5866.23</v>
      </c>
      <c r="AX21" s="253">
        <f t="shared" si="4"/>
        <v>4881.4684923789</v>
      </c>
      <c r="AY21" s="250"/>
      <c r="AZ21" s="301">
        <v>5080</v>
      </c>
      <c r="BA21" s="1145">
        <f t="shared" si="5"/>
        <v>2.8299999999999999E-2</v>
      </c>
    </row>
    <row r="22" spans="1:53" ht="12.75">
      <c r="A22" s="1149">
        <v>589170</v>
      </c>
      <c r="B22" s="1150" t="s">
        <v>1581</v>
      </c>
      <c r="C22" s="1151" t="s">
        <v>1575</v>
      </c>
      <c r="D22" s="1152">
        <v>2060.48</v>
      </c>
      <c r="E22" s="1153">
        <v>2425.62</v>
      </c>
      <c r="F22" s="1153">
        <v>2546.94</v>
      </c>
      <c r="G22" s="1153" t="s">
        <v>1960</v>
      </c>
      <c r="H22" s="1153">
        <v>2659.11</v>
      </c>
      <c r="I22" s="1162">
        <v>4654.68</v>
      </c>
      <c r="J22" s="1163">
        <v>4557.91</v>
      </c>
      <c r="K22" s="1154">
        <v>4031.59</v>
      </c>
      <c r="L22" s="1145">
        <f t="shared" si="2"/>
        <v>-0.11550000000000001</v>
      </c>
      <c r="N22" s="286"/>
      <c r="O22" s="286"/>
      <c r="P22" s="276"/>
      <c r="Q22" s="276">
        <f>ROUND(P22/(1-0%),2)</f>
        <v>0</v>
      </c>
      <c r="R22" s="277"/>
      <c r="S22" s="277">
        <f t="shared" si="0"/>
        <v>0</v>
      </c>
      <c r="T22" s="251">
        <v>4561</v>
      </c>
      <c r="U22" s="303">
        <v>4205</v>
      </c>
      <c r="V22" s="278"/>
      <c r="W22" s="279">
        <f t="shared" si="6"/>
        <v>4205</v>
      </c>
      <c r="X22" s="278">
        <f t="shared" si="1"/>
        <v>1.0430128063617581</v>
      </c>
      <c r="Y22" s="278" t="s">
        <v>1560</v>
      </c>
      <c r="Z22" s="280">
        <f t="shared" si="3"/>
        <v>2659.11</v>
      </c>
      <c r="AA22" s="280">
        <v>3748</v>
      </c>
      <c r="AB22" s="280">
        <v>3857.97</v>
      </c>
      <c r="AC22" s="280">
        <v>3335.32</v>
      </c>
      <c r="AD22" s="280">
        <v>3428.76</v>
      </c>
      <c r="AE22" s="280">
        <v>4654.68</v>
      </c>
      <c r="AF22" s="280">
        <v>3449.67</v>
      </c>
      <c r="AG22" s="280">
        <v>4557.91</v>
      </c>
      <c r="AH22" s="280">
        <v>4205</v>
      </c>
      <c r="AI22" s="283"/>
      <c r="AJ22" s="283"/>
      <c r="AK22" s="251"/>
      <c r="AL22" s="282"/>
      <c r="AM22" s="284"/>
      <c r="AN22" s="285"/>
      <c r="AW22" s="250">
        <v>4557.91</v>
      </c>
      <c r="AX22" s="253">
        <f t="shared" si="4"/>
        <v>3792.7756082013002</v>
      </c>
      <c r="AY22" s="250">
        <v>4561</v>
      </c>
      <c r="AZ22" s="301">
        <v>4205</v>
      </c>
      <c r="BA22" s="1145">
        <f t="shared" si="5"/>
        <v>-4.1200000000000001E-2</v>
      </c>
    </row>
    <row r="23" spans="1:53" ht="25.5">
      <c r="A23" s="1149"/>
      <c r="B23" s="1150" t="s">
        <v>1878</v>
      </c>
      <c r="C23" s="1151" t="s">
        <v>1575</v>
      </c>
      <c r="D23" s="1152"/>
      <c r="E23" s="1153"/>
      <c r="F23" s="1153"/>
      <c r="G23" s="1153"/>
      <c r="H23" s="1153"/>
      <c r="I23" s="1162"/>
      <c r="J23" s="1163"/>
      <c r="K23" s="1154"/>
      <c r="L23" s="1145"/>
      <c r="N23" s="286"/>
      <c r="O23" s="286"/>
      <c r="P23" s="293"/>
      <c r="Q23" s="293"/>
      <c r="R23" s="277"/>
      <c r="S23" s="277">
        <f t="shared" si="0"/>
        <v>0</v>
      </c>
      <c r="T23" s="251"/>
      <c r="U23" s="283"/>
      <c r="V23" s="278"/>
      <c r="W23" s="279"/>
      <c r="X23" s="278" t="str">
        <f t="shared" si="1"/>
        <v/>
      </c>
      <c r="Y23" s="278"/>
      <c r="Z23" s="280"/>
      <c r="AA23" s="280"/>
      <c r="AB23" s="280"/>
      <c r="AC23" s="280"/>
      <c r="AD23" s="280"/>
      <c r="AE23" s="280"/>
      <c r="AF23" s="280">
        <v>5141.7</v>
      </c>
      <c r="AG23" s="280"/>
      <c r="AH23" s="280"/>
      <c r="AI23" s="283"/>
      <c r="AJ23" s="283"/>
      <c r="AK23" s="251"/>
      <c r="AL23" s="251"/>
      <c r="AM23" s="284"/>
      <c r="AN23" s="285"/>
      <c r="AO23" s="288">
        <v>41899</v>
      </c>
      <c r="AP23" s="292" t="s">
        <v>1879</v>
      </c>
      <c r="AQ23" s="288" t="s">
        <v>1858</v>
      </c>
      <c r="AR23" s="290" t="s">
        <v>1859</v>
      </c>
      <c r="AS23" s="290" t="s">
        <v>1880</v>
      </c>
      <c r="AX23" s="253"/>
      <c r="AY23" s="250"/>
      <c r="AZ23" s="302"/>
      <c r="BA23" s="1145"/>
    </row>
    <row r="24" spans="1:53" ht="12.75">
      <c r="A24" s="1149">
        <v>589220</v>
      </c>
      <c r="B24" s="1150" t="s">
        <v>1582</v>
      </c>
      <c r="C24" s="1151" t="s">
        <v>1575</v>
      </c>
      <c r="D24" s="1152">
        <v>2243.8000000000002</v>
      </c>
      <c r="E24" s="1153">
        <v>2576.65</v>
      </c>
      <c r="F24" s="1153">
        <v>2984.82</v>
      </c>
      <c r="G24" s="1153" t="s">
        <v>1961</v>
      </c>
      <c r="H24" s="1153">
        <v>2963.28</v>
      </c>
      <c r="I24" s="1162">
        <v>4717.33</v>
      </c>
      <c r="J24" s="1163">
        <v>4639.05</v>
      </c>
      <c r="K24" s="1154">
        <v>4110.6899999999996</v>
      </c>
      <c r="L24" s="1145">
        <f t="shared" si="2"/>
        <v>-0.1139</v>
      </c>
      <c r="N24" s="286"/>
      <c r="O24" s="286"/>
      <c r="P24" s="276"/>
      <c r="Q24" s="276">
        <f>ROUND(P24/(1-0%),2)</f>
        <v>0</v>
      </c>
      <c r="R24" s="277"/>
      <c r="S24" s="277">
        <f t="shared" si="0"/>
        <v>0</v>
      </c>
      <c r="T24" s="251">
        <v>4711</v>
      </c>
      <c r="U24" s="303">
        <v>4440</v>
      </c>
      <c r="V24" s="278"/>
      <c r="W24" s="279">
        <f t="shared" si="6"/>
        <v>4440</v>
      </c>
      <c r="X24" s="278">
        <f t="shared" si="1"/>
        <v>1.0801106383599834</v>
      </c>
      <c r="Y24" s="278" t="s">
        <v>1560</v>
      </c>
      <c r="Z24" s="280">
        <f>H24</f>
        <v>2963.28</v>
      </c>
      <c r="AA24" s="280">
        <v>4176.7299999999996</v>
      </c>
      <c r="AB24" s="280">
        <v>3270.49</v>
      </c>
      <c r="AC24" s="280">
        <v>3276.86</v>
      </c>
      <c r="AD24" s="280">
        <v>3613.68</v>
      </c>
      <c r="AE24" s="280">
        <v>4717.33</v>
      </c>
      <c r="AF24" s="280">
        <v>4136.6899999999996</v>
      </c>
      <c r="AG24" s="280">
        <v>4639.05</v>
      </c>
      <c r="AH24" s="280">
        <v>4440</v>
      </c>
      <c r="AI24" s="283"/>
      <c r="AJ24" s="283"/>
      <c r="AK24" s="251"/>
      <c r="AL24" s="282"/>
      <c r="AM24" s="284"/>
      <c r="AN24" s="285"/>
      <c r="AW24" s="250">
        <v>4639.05</v>
      </c>
      <c r="AX24" s="253">
        <f>AW24*(1-$BA$8)</f>
        <v>3860.2946712915004</v>
      </c>
      <c r="AY24" s="250">
        <v>4711</v>
      </c>
      <c r="AZ24" s="301">
        <v>4440</v>
      </c>
      <c r="BA24" s="1145">
        <f t="shared" si="5"/>
        <v>-7.4200000000000002E-2</v>
      </c>
    </row>
    <row r="25" spans="1:53" ht="25.5">
      <c r="A25" s="1149">
        <v>589430</v>
      </c>
      <c r="B25" s="1150" t="s">
        <v>1881</v>
      </c>
      <c r="C25" s="1151" t="s">
        <v>1575</v>
      </c>
      <c r="D25" s="1152">
        <v>2766.42</v>
      </c>
      <c r="E25" s="1153">
        <v>2922.03</v>
      </c>
      <c r="F25" s="1153">
        <v>3666.21</v>
      </c>
      <c r="G25" s="1153" t="s">
        <v>1962</v>
      </c>
      <c r="H25" s="1153"/>
      <c r="I25" s="1162">
        <v>6257.5</v>
      </c>
      <c r="J25" s="1163">
        <v>6167.5</v>
      </c>
      <c r="K25" s="1154">
        <v>4730.1499999999996</v>
      </c>
      <c r="L25" s="1145">
        <f t="shared" si="2"/>
        <v>-0.2331</v>
      </c>
      <c r="N25" s="286"/>
      <c r="O25" s="286"/>
      <c r="P25" s="293"/>
      <c r="Q25" s="293"/>
      <c r="R25" s="293"/>
      <c r="S25" s="293"/>
      <c r="T25" s="251"/>
      <c r="U25" s="283"/>
      <c r="V25" s="278"/>
      <c r="W25" s="279"/>
      <c r="X25" s="278">
        <f t="shared" si="1"/>
        <v>0</v>
      </c>
      <c r="Y25" s="278"/>
      <c r="Z25" s="280"/>
      <c r="AA25" s="280"/>
      <c r="AB25" s="280"/>
      <c r="AC25" s="280"/>
      <c r="AD25" s="280"/>
      <c r="AE25" s="280">
        <v>6257.5</v>
      </c>
      <c r="AF25" s="280"/>
      <c r="AG25" s="280">
        <v>6167.5</v>
      </c>
      <c r="AH25" s="280"/>
      <c r="AI25" s="283"/>
      <c r="AJ25" s="283"/>
      <c r="AK25" s="251"/>
      <c r="AL25" s="251"/>
      <c r="AM25" s="284"/>
      <c r="AN25" s="285"/>
      <c r="AX25" s="253"/>
      <c r="AY25" s="250"/>
      <c r="AZ25" s="302"/>
      <c r="BA25" s="1145"/>
    </row>
    <row r="26" spans="1:53" ht="12.75">
      <c r="A26" s="1149">
        <v>589320</v>
      </c>
      <c r="B26" s="1150" t="s">
        <v>1583</v>
      </c>
      <c r="C26" s="1151" t="s">
        <v>1575</v>
      </c>
      <c r="D26" s="1152">
        <v>2346.0300000000002</v>
      </c>
      <c r="E26" s="1153">
        <v>2699.61</v>
      </c>
      <c r="F26" s="1153">
        <v>2855.3</v>
      </c>
      <c r="G26" s="1153" t="s">
        <v>1963</v>
      </c>
      <c r="H26" s="1153">
        <v>2773.46</v>
      </c>
      <c r="I26" s="1162">
        <v>5048.25</v>
      </c>
      <c r="J26" s="1163">
        <v>4857.76</v>
      </c>
      <c r="K26" s="1154">
        <v>4012.83</v>
      </c>
      <c r="L26" s="1145">
        <f t="shared" si="2"/>
        <v>-0.1739</v>
      </c>
      <c r="N26" s="286"/>
      <c r="O26" s="286"/>
      <c r="P26" s="293"/>
      <c r="Q26" s="293">
        <f>ROUND(P26/(1-0%),2)</f>
        <v>0</v>
      </c>
      <c r="R26" s="277"/>
      <c r="S26" s="277">
        <f>ROUND(R26/(1-21.65%),2)</f>
        <v>0</v>
      </c>
      <c r="T26" s="251">
        <v>4987</v>
      </c>
      <c r="U26" s="303">
        <v>4680</v>
      </c>
      <c r="V26" s="278"/>
      <c r="W26" s="279">
        <f t="shared" si="6"/>
        <v>4680</v>
      </c>
      <c r="X26" s="278">
        <f t="shared" si="1"/>
        <v>1.1662592235404938</v>
      </c>
      <c r="Y26" s="278" t="s">
        <v>1564</v>
      </c>
      <c r="Z26" s="280">
        <f>H26</f>
        <v>2773.46</v>
      </c>
      <c r="AA26" s="280">
        <v>3909.18</v>
      </c>
      <c r="AB26" s="280">
        <v>3617.13</v>
      </c>
      <c r="AC26" s="280">
        <v>3843.65</v>
      </c>
      <c r="AD26" s="280">
        <v>4206.5200000000004</v>
      </c>
      <c r="AE26" s="280">
        <v>5048.25</v>
      </c>
      <c r="AF26" s="280">
        <v>4206.5200000000004</v>
      </c>
      <c r="AG26" s="280">
        <v>4857.76</v>
      </c>
      <c r="AH26" s="280">
        <v>4680</v>
      </c>
      <c r="AI26" s="283"/>
      <c r="AJ26" s="283"/>
      <c r="AK26" s="251"/>
      <c r="AL26" s="282"/>
      <c r="AM26" s="284"/>
      <c r="AN26" s="285"/>
      <c r="AW26" s="250">
        <v>4857.76</v>
      </c>
      <c r="AX26" s="253">
        <f>AW26*(1-$BA$8)</f>
        <v>4042.2899176368005</v>
      </c>
      <c r="AY26" s="250">
        <v>4987</v>
      </c>
      <c r="AZ26" s="301">
        <v>4680</v>
      </c>
      <c r="BA26" s="1145">
        <f t="shared" si="5"/>
        <v>-0.1426</v>
      </c>
    </row>
    <row r="27" spans="1:53" ht="25.5">
      <c r="A27" s="1155"/>
      <c r="B27" s="1150" t="s">
        <v>1950</v>
      </c>
      <c r="C27" s="1151" t="s">
        <v>1575</v>
      </c>
      <c r="D27" s="1152">
        <v>2974.6</v>
      </c>
      <c r="E27" s="1153">
        <v>3289.45</v>
      </c>
      <c r="F27" s="1153">
        <v>3520</v>
      </c>
      <c r="G27" s="1153" t="s">
        <v>1964</v>
      </c>
      <c r="H27" s="1153"/>
      <c r="I27" s="1162">
        <v>5750</v>
      </c>
      <c r="J27" s="1163">
        <v>5667.29</v>
      </c>
      <c r="K27" s="1154"/>
      <c r="L27" s="1145"/>
      <c r="N27" s="286"/>
      <c r="O27" s="286"/>
      <c r="P27" s="293"/>
      <c r="Q27" s="293"/>
      <c r="R27" s="277"/>
      <c r="S27" s="277"/>
      <c r="T27" s="251"/>
      <c r="U27" s="303"/>
      <c r="V27" s="278"/>
      <c r="W27" s="279"/>
      <c r="X27" s="278"/>
      <c r="Y27" s="278"/>
      <c r="Z27" s="280"/>
      <c r="AA27" s="280"/>
      <c r="AB27" s="280"/>
      <c r="AC27" s="280"/>
      <c r="AD27" s="280"/>
      <c r="AE27" s="280">
        <v>5750</v>
      </c>
      <c r="AF27" s="280"/>
      <c r="AG27" s="280">
        <v>5667.29</v>
      </c>
      <c r="AH27" s="280">
        <v>0</v>
      </c>
      <c r="AI27" s="283"/>
      <c r="AJ27" s="283"/>
      <c r="AK27" s="251"/>
      <c r="AL27" s="282"/>
      <c r="AM27" s="284"/>
      <c r="AN27" s="285"/>
      <c r="AX27" s="253"/>
      <c r="AY27" s="250"/>
      <c r="AZ27" s="301"/>
      <c r="BA27" s="1145"/>
    </row>
    <row r="28" spans="1:53" ht="12.75">
      <c r="A28" s="1149">
        <v>589420</v>
      </c>
      <c r="B28" s="1150" t="s">
        <v>1584</v>
      </c>
      <c r="C28" s="1151" t="s">
        <v>1575</v>
      </c>
      <c r="D28" s="1152">
        <v>1946.7</v>
      </c>
      <c r="E28" s="1153">
        <v>2307.86</v>
      </c>
      <c r="F28" s="1153">
        <v>2422.8200000000002</v>
      </c>
      <c r="G28" s="1153" t="s">
        <v>1965</v>
      </c>
      <c r="H28" s="1153">
        <v>2353.66</v>
      </c>
      <c r="I28" s="1162">
        <v>4520.62</v>
      </c>
      <c r="J28" s="1163">
        <v>4452.99</v>
      </c>
      <c r="K28" s="1154">
        <v>3861.37</v>
      </c>
      <c r="L28" s="1145">
        <f t="shared" si="2"/>
        <v>-0.13289999999999999</v>
      </c>
      <c r="N28" s="286"/>
      <c r="O28" s="286"/>
      <c r="P28" s="276"/>
      <c r="Q28" s="276">
        <f>ROUND(P28/(1-0%),2)</f>
        <v>0</v>
      </c>
      <c r="R28" s="277"/>
      <c r="S28" s="277">
        <f t="shared" ref="S28:S30" si="7">ROUND(R28/(1-21.65%),2)</f>
        <v>0</v>
      </c>
      <c r="T28" s="251">
        <v>4225</v>
      </c>
      <c r="U28" s="303">
        <v>3820</v>
      </c>
      <c r="V28" s="278"/>
      <c r="W28" s="279">
        <f t="shared" si="6"/>
        <v>3820</v>
      </c>
      <c r="X28" s="278">
        <f>IF(K28=0,"",W28/K28)</f>
        <v>0.9892861859909825</v>
      </c>
      <c r="Y28" s="278" t="s">
        <v>1560</v>
      </c>
      <c r="Z28" s="280">
        <f>H28</f>
        <v>2353.66</v>
      </c>
      <c r="AA28" s="280">
        <v>3317.47</v>
      </c>
      <c r="AB28" s="280">
        <v>2934.27</v>
      </c>
      <c r="AC28" s="280">
        <v>3123.51</v>
      </c>
      <c r="AD28" s="280">
        <v>3537.5</v>
      </c>
      <c r="AE28" s="280">
        <v>4520.62</v>
      </c>
      <c r="AF28" s="280">
        <v>3813.72</v>
      </c>
      <c r="AG28" s="280">
        <v>4452.99</v>
      </c>
      <c r="AH28" s="280">
        <v>3820</v>
      </c>
      <c r="AI28" s="283"/>
      <c r="AJ28" s="283"/>
      <c r="AK28" s="251"/>
      <c r="AL28" s="282"/>
      <c r="AM28" s="284"/>
      <c r="AN28" s="285"/>
      <c r="AW28" s="250">
        <v>4452.99</v>
      </c>
      <c r="AX28" s="253">
        <f>AW28*(1-$BA$8)</f>
        <v>3705.4684834857003</v>
      </c>
      <c r="AY28" s="250">
        <v>4225</v>
      </c>
      <c r="AZ28" s="301">
        <v>3820</v>
      </c>
      <c r="BA28" s="1145">
        <f t="shared" si="5"/>
        <v>1.0800000000000001E-2</v>
      </c>
    </row>
    <row r="29" spans="1:53" ht="25.5">
      <c r="A29" s="1149">
        <v>589430</v>
      </c>
      <c r="B29" s="1150" t="s">
        <v>1585</v>
      </c>
      <c r="C29" s="1151" t="s">
        <v>1575</v>
      </c>
      <c r="D29" s="1152">
        <v>2309.17</v>
      </c>
      <c r="E29" s="1153">
        <v>2689.95</v>
      </c>
      <c r="F29" s="1153">
        <v>2843.8</v>
      </c>
      <c r="G29" s="1153" t="s">
        <v>1966</v>
      </c>
      <c r="H29" s="1153">
        <v>2858.64</v>
      </c>
      <c r="I29" s="1162">
        <v>5448.56</v>
      </c>
      <c r="J29" s="1163">
        <v>5356.77</v>
      </c>
      <c r="K29" s="1154">
        <v>4730.1499999999996</v>
      </c>
      <c r="L29" s="1145">
        <f t="shared" si="2"/>
        <v>-0.11700000000000001</v>
      </c>
      <c r="N29" s="286"/>
      <c r="O29" s="286"/>
      <c r="P29" s="293"/>
      <c r="Q29" s="293">
        <f>ROUND(P29/(1-5%),2)</f>
        <v>0</v>
      </c>
      <c r="R29" s="277"/>
      <c r="S29" s="277">
        <f t="shared" si="7"/>
        <v>0</v>
      </c>
      <c r="T29" s="251">
        <v>4957</v>
      </c>
      <c r="U29" s="303">
        <v>4435</v>
      </c>
      <c r="V29" s="278"/>
      <c r="W29" s="279">
        <f t="shared" si="6"/>
        <v>4435</v>
      </c>
      <c r="X29" s="278">
        <f>IF(K29=0,"",W29/K29)</f>
        <v>0.93760240161517083</v>
      </c>
      <c r="Y29" s="291" t="s">
        <v>1564</v>
      </c>
      <c r="Z29" s="280">
        <f>H29</f>
        <v>2858.64</v>
      </c>
      <c r="AA29" s="280"/>
      <c r="AB29" s="280">
        <v>3861.52</v>
      </c>
      <c r="AC29" s="280">
        <v>4147.8599999999997</v>
      </c>
      <c r="AD29" s="280">
        <v>4747.67</v>
      </c>
      <c r="AE29" s="280">
        <v>5448.56</v>
      </c>
      <c r="AF29" s="280">
        <v>5038.26</v>
      </c>
      <c r="AG29" s="280">
        <v>5356.77</v>
      </c>
      <c r="AH29" s="280">
        <v>4435</v>
      </c>
      <c r="AI29" s="283"/>
      <c r="AJ29" s="283"/>
      <c r="AK29" s="251"/>
      <c r="AL29" s="282"/>
      <c r="AM29" s="284"/>
      <c r="AN29" s="285"/>
      <c r="AW29" s="250">
        <v>5356.77</v>
      </c>
      <c r="AX29" s="253">
        <f>AW29*(1-$BA$8)</f>
        <v>4457.5313235111007</v>
      </c>
      <c r="AY29" s="250">
        <v>4957</v>
      </c>
      <c r="AZ29" s="301">
        <v>4435</v>
      </c>
      <c r="BA29" s="1145">
        <f t="shared" si="5"/>
        <v>6.6600000000000006E-2</v>
      </c>
    </row>
    <row r="30" spans="1:53" ht="12.75">
      <c r="A30" s="1149">
        <v>589520</v>
      </c>
      <c r="B30" s="1150" t="s">
        <v>1586</v>
      </c>
      <c r="C30" s="1151" t="s">
        <v>1575</v>
      </c>
      <c r="D30" s="1152">
        <v>2071.1</v>
      </c>
      <c r="E30" s="1153">
        <v>2499.5700000000002</v>
      </c>
      <c r="F30" s="1153">
        <v>2706.06</v>
      </c>
      <c r="G30" s="1153" t="s">
        <v>1967</v>
      </c>
      <c r="H30" s="1153">
        <v>2665.24</v>
      </c>
      <c r="I30" s="1162">
        <v>4925.2</v>
      </c>
      <c r="J30" s="1163">
        <v>4845.32</v>
      </c>
      <c r="K30" s="1154">
        <v>4164.04</v>
      </c>
      <c r="L30" s="1145">
        <f t="shared" si="2"/>
        <v>-0.1406</v>
      </c>
      <c r="N30" s="286"/>
      <c r="O30" s="286"/>
      <c r="P30" s="276"/>
      <c r="Q30" s="276">
        <f>ROUND(P30/(1-0%),2)</f>
        <v>0</v>
      </c>
      <c r="R30" s="277"/>
      <c r="S30" s="277">
        <f t="shared" si="7"/>
        <v>0</v>
      </c>
      <c r="T30" s="251">
        <v>4590</v>
      </c>
      <c r="U30" s="303">
        <v>4168</v>
      </c>
      <c r="V30" s="278"/>
      <c r="W30" s="279">
        <f t="shared" si="6"/>
        <v>4168</v>
      </c>
      <c r="X30" s="278">
        <f>IF(K30=0,"",W30/K30)</f>
        <v>1.0009509995100911</v>
      </c>
      <c r="Y30" s="278" t="s">
        <v>1560</v>
      </c>
      <c r="Z30" s="280">
        <f>H30</f>
        <v>2665.24</v>
      </c>
      <c r="AA30" s="280">
        <v>3756.64</v>
      </c>
      <c r="AB30" s="280">
        <v>3314.7</v>
      </c>
      <c r="AC30" s="280">
        <v>3487.86</v>
      </c>
      <c r="AD30" s="280">
        <v>3897.06</v>
      </c>
      <c r="AE30" s="280">
        <v>4925.2</v>
      </c>
      <c r="AF30" s="280">
        <v>4062.97</v>
      </c>
      <c r="AG30" s="280">
        <v>4845.32</v>
      </c>
      <c r="AH30" s="280">
        <v>4168</v>
      </c>
      <c r="AI30" s="283"/>
      <c r="AJ30" s="283"/>
      <c r="AK30" s="251"/>
      <c r="AL30" s="282"/>
      <c r="AM30" s="284"/>
      <c r="AN30" s="285"/>
      <c r="AW30" s="250">
        <v>4845.32</v>
      </c>
      <c r="AX30" s="253">
        <f>AW30*(1-$BA$8)</f>
        <v>4031.9382150876004</v>
      </c>
      <c r="AY30" s="250">
        <v>4590</v>
      </c>
      <c r="AZ30" s="301">
        <v>4168</v>
      </c>
      <c r="BA30" s="1145">
        <f t="shared" si="5"/>
        <v>-1E-3</v>
      </c>
    </row>
    <row r="31" spans="1:53" ht="26.25" thickBot="1">
      <c r="A31" s="1156">
        <v>589530</v>
      </c>
      <c r="B31" s="1157" t="s">
        <v>1587</v>
      </c>
      <c r="C31" s="1158" t="s">
        <v>1575</v>
      </c>
      <c r="D31" s="1159">
        <v>2474.31</v>
      </c>
      <c r="E31" s="1160">
        <v>2935.83</v>
      </c>
      <c r="F31" s="1160">
        <v>2805.13</v>
      </c>
      <c r="G31" s="1160" t="s">
        <v>1968</v>
      </c>
      <c r="H31" s="1160">
        <v>2884.67</v>
      </c>
      <c r="I31" s="1164">
        <v>5839.6</v>
      </c>
      <c r="J31" s="1165">
        <v>5741.44</v>
      </c>
      <c r="K31" s="1161">
        <v>5104.75</v>
      </c>
      <c r="L31" s="1145">
        <f t="shared" si="2"/>
        <v>-0.1109</v>
      </c>
      <c r="N31" s="294"/>
      <c r="O31" s="294"/>
      <c r="P31" s="295"/>
      <c r="Q31" s="295">
        <f>ROUND(P31/(1-0%),2)</f>
        <v>0</v>
      </c>
      <c r="R31" s="277"/>
      <c r="S31" s="277">
        <f>ROUND(R31/(1-21.65%),2)</f>
        <v>0</v>
      </c>
      <c r="T31" s="251">
        <v>5454</v>
      </c>
      <c r="U31" s="303">
        <v>4800</v>
      </c>
      <c r="V31" s="296"/>
      <c r="W31" s="279">
        <f t="shared" si="6"/>
        <v>4800</v>
      </c>
      <c r="X31" s="278">
        <f>IF(K31=0,"",W31/K31)</f>
        <v>0.94030070032812574</v>
      </c>
      <c r="Y31" s="291" t="s">
        <v>1560</v>
      </c>
      <c r="Z31" s="280">
        <f>H31</f>
        <v>2884.67</v>
      </c>
      <c r="AA31" s="280"/>
      <c r="AB31" s="280">
        <v>3660.49</v>
      </c>
      <c r="AC31" s="280">
        <v>3937.04</v>
      </c>
      <c r="AD31" s="280">
        <v>4209.59</v>
      </c>
      <c r="AE31" s="280">
        <v>5839.6</v>
      </c>
      <c r="AF31" s="280">
        <v>4932.16</v>
      </c>
      <c r="AG31" s="280">
        <v>5741.44</v>
      </c>
      <c r="AH31" s="280">
        <v>4800</v>
      </c>
      <c r="AI31" s="283"/>
      <c r="AJ31" s="251"/>
      <c r="AK31" s="251"/>
      <c r="AL31" s="282"/>
      <c r="AM31" s="284"/>
      <c r="AN31" s="285"/>
      <c r="AW31" s="250">
        <v>5741.44</v>
      </c>
      <c r="AX31" s="253">
        <f>AW31*(1-$BA$8)</f>
        <v>4777.6269360192</v>
      </c>
      <c r="AY31" s="250">
        <v>5454</v>
      </c>
      <c r="AZ31" s="301">
        <v>4800</v>
      </c>
      <c r="BA31" s="1145">
        <f t="shared" si="5"/>
        <v>6.3500000000000001E-2</v>
      </c>
    </row>
    <row r="32" spans="1:53">
      <c r="AC32"/>
      <c r="AD32"/>
      <c r="AE32"/>
      <c r="AF32"/>
      <c r="AG32"/>
      <c r="AH32"/>
      <c r="AL32" s="250"/>
      <c r="AY32" s="250"/>
      <c r="AZ32" s="250"/>
    </row>
    <row r="33" spans="20:52">
      <c r="AC33"/>
      <c r="AD33"/>
      <c r="AE33"/>
      <c r="AF33"/>
      <c r="AG33"/>
      <c r="AH33"/>
      <c r="AL33" s="250"/>
      <c r="AY33" s="250"/>
      <c r="AZ33" s="250"/>
    </row>
    <row r="34" spans="20:52">
      <c r="AC34"/>
      <c r="AD34"/>
      <c r="AE34"/>
      <c r="AF34"/>
      <c r="AG34"/>
      <c r="AH34"/>
      <c r="AL34" s="250"/>
      <c r="AY34" s="250"/>
      <c r="AZ34" s="250"/>
    </row>
    <row r="35" spans="20:52">
      <c r="AC35"/>
      <c r="AD35"/>
      <c r="AE35"/>
      <c r="AF35"/>
      <c r="AG35"/>
      <c r="AH35"/>
      <c r="AL35" s="250"/>
      <c r="AY35" s="250"/>
      <c r="AZ35" s="250"/>
    </row>
    <row r="36" spans="20:52">
      <c r="T36" t="s">
        <v>11</v>
      </c>
      <c r="AC36"/>
      <c r="AD36"/>
      <c r="AE36"/>
      <c r="AF36"/>
      <c r="AG36"/>
      <c r="AH36"/>
      <c r="AL36" s="250"/>
      <c r="AY36" s="250"/>
      <c r="AZ36" s="250"/>
    </row>
    <row r="37" spans="20:52">
      <c r="AC37"/>
      <c r="AD37"/>
      <c r="AE37"/>
      <c r="AF37"/>
      <c r="AG37"/>
      <c r="AH37"/>
      <c r="AL37" s="250"/>
      <c r="AY37" s="250"/>
      <c r="AZ37" s="250"/>
    </row>
    <row r="38" spans="20:52">
      <c r="AC38"/>
      <c r="AD38"/>
      <c r="AE38"/>
      <c r="AF38"/>
      <c r="AG38"/>
      <c r="AH38"/>
      <c r="AL38" s="250"/>
      <c r="AY38" s="250"/>
      <c r="AZ38" s="250"/>
    </row>
    <row r="39" spans="20:52">
      <c r="AC39"/>
      <c r="AD39"/>
      <c r="AE39"/>
      <c r="AF39"/>
      <c r="AG39"/>
      <c r="AH39"/>
      <c r="AL39" s="250"/>
      <c r="AY39" s="250"/>
      <c r="AZ39" s="250"/>
    </row>
    <row r="40" spans="20:52">
      <c r="AC40"/>
      <c r="AD40"/>
      <c r="AE40"/>
      <c r="AF40"/>
      <c r="AG40"/>
      <c r="AH40"/>
      <c r="AL40" s="250"/>
      <c r="AY40" s="250"/>
      <c r="AZ40" s="250"/>
    </row>
    <row r="41" spans="20:52">
      <c r="AC41"/>
      <c r="AD41"/>
      <c r="AE41"/>
      <c r="AF41"/>
      <c r="AG41"/>
      <c r="AH41"/>
      <c r="AL41" s="250"/>
      <c r="AY41" s="250"/>
      <c r="AZ41" s="250"/>
    </row>
    <row r="42" spans="20:52">
      <c r="AC42"/>
      <c r="AD42"/>
      <c r="AE42"/>
      <c r="AF42"/>
      <c r="AG42"/>
      <c r="AH42"/>
      <c r="AL42" s="250"/>
      <c r="AY42" s="250"/>
      <c r="AZ42" s="250"/>
    </row>
    <row r="43" spans="20:52">
      <c r="AC43"/>
      <c r="AD43"/>
      <c r="AE43"/>
      <c r="AF43"/>
      <c r="AG43"/>
      <c r="AH43"/>
      <c r="AL43" s="250"/>
      <c r="AY43" s="250"/>
      <c r="AZ43" s="250"/>
    </row>
    <row r="44" spans="20:52">
      <c r="AC44"/>
      <c r="AD44"/>
      <c r="AE44"/>
      <c r="AF44"/>
      <c r="AG44"/>
      <c r="AH44"/>
      <c r="AL44" s="250"/>
      <c r="AY44" s="250"/>
      <c r="AZ44" s="250"/>
    </row>
    <row r="45" spans="20:52">
      <c r="AC45"/>
      <c r="AD45"/>
      <c r="AE45"/>
      <c r="AF45"/>
      <c r="AG45"/>
      <c r="AH45"/>
      <c r="AL45" s="250"/>
      <c r="AY45" s="250"/>
      <c r="AZ45" s="250"/>
    </row>
    <row r="46" spans="20:52">
      <c r="AC46"/>
      <c r="AD46"/>
      <c r="AE46"/>
      <c r="AF46"/>
      <c r="AG46"/>
      <c r="AH46"/>
      <c r="AL46" s="250"/>
      <c r="AY46" s="250"/>
      <c r="AZ46" s="250"/>
    </row>
    <row r="47" spans="20:52">
      <c r="AC47"/>
      <c r="AD47"/>
      <c r="AE47"/>
      <c r="AF47"/>
      <c r="AG47"/>
      <c r="AH47"/>
      <c r="AL47" s="250"/>
      <c r="AY47" s="250"/>
      <c r="AZ47" s="250"/>
    </row>
    <row r="48" spans="20:52">
      <c r="AC48"/>
      <c r="AD48"/>
      <c r="AE48"/>
      <c r="AF48"/>
      <c r="AG48"/>
      <c r="AH48"/>
      <c r="AL48" s="250"/>
      <c r="AY48" s="250"/>
      <c r="AZ48" s="250"/>
    </row>
    <row r="49" spans="29:52">
      <c r="AC49"/>
      <c r="AD49"/>
      <c r="AE49"/>
      <c r="AF49"/>
      <c r="AG49"/>
      <c r="AH49"/>
      <c r="AL49" s="250"/>
      <c r="AY49" s="250"/>
      <c r="AZ49" s="250"/>
    </row>
    <row r="50" spans="29:52">
      <c r="AC50"/>
      <c r="AD50"/>
      <c r="AE50"/>
      <c r="AF50"/>
      <c r="AG50"/>
      <c r="AH50"/>
      <c r="AL50" s="250"/>
      <c r="AY50" s="250"/>
      <c r="AZ50" s="250"/>
    </row>
    <row r="51" spans="29:52">
      <c r="AC51"/>
      <c r="AD51"/>
      <c r="AE51"/>
      <c r="AF51"/>
      <c r="AG51"/>
      <c r="AH51"/>
      <c r="AL51" s="250"/>
      <c r="AY51" s="250"/>
      <c r="AZ51" s="250"/>
    </row>
    <row r="52" spans="29:52">
      <c r="AC52"/>
      <c r="AD52"/>
      <c r="AE52"/>
      <c r="AF52"/>
      <c r="AG52"/>
      <c r="AH52"/>
      <c r="AL52" s="250"/>
      <c r="AY52" s="250"/>
      <c r="AZ52" s="250"/>
    </row>
    <row r="53" spans="29:52">
      <c r="AC53"/>
      <c r="AD53"/>
      <c r="AE53"/>
      <c r="AF53"/>
      <c r="AG53"/>
      <c r="AH53"/>
      <c r="AL53" s="250"/>
      <c r="AY53" s="250"/>
      <c r="AZ53" s="250"/>
    </row>
    <row r="54" spans="29:52">
      <c r="AC54"/>
      <c r="AD54"/>
      <c r="AE54"/>
      <c r="AF54"/>
      <c r="AG54"/>
      <c r="AH54"/>
      <c r="AL54" s="250"/>
      <c r="AY54" s="250"/>
      <c r="AZ54" s="250"/>
    </row>
    <row r="55" spans="29:52">
      <c r="AC55"/>
      <c r="AD55"/>
      <c r="AE55"/>
      <c r="AF55"/>
      <c r="AG55"/>
      <c r="AH55"/>
      <c r="AL55" s="250"/>
      <c r="AY55" s="250"/>
      <c r="AZ55" s="250"/>
    </row>
    <row r="56" spans="29:52">
      <c r="AC56"/>
      <c r="AD56"/>
      <c r="AE56"/>
      <c r="AF56"/>
      <c r="AG56"/>
      <c r="AH56"/>
      <c r="AL56" s="250"/>
      <c r="AY56" s="250"/>
      <c r="AZ56" s="250"/>
    </row>
    <row r="57" spans="29:52">
      <c r="AC57"/>
      <c r="AD57"/>
      <c r="AE57"/>
      <c r="AF57"/>
      <c r="AG57"/>
      <c r="AH57"/>
      <c r="AL57" s="250"/>
      <c r="AY57" s="250"/>
      <c r="AZ57" s="250"/>
    </row>
    <row r="58" spans="29:52">
      <c r="AC58"/>
      <c r="AD58"/>
      <c r="AE58"/>
      <c r="AF58"/>
      <c r="AG58"/>
      <c r="AH58"/>
      <c r="AL58" s="250"/>
      <c r="AY58" s="250"/>
      <c r="AZ58" s="250"/>
    </row>
    <row r="59" spans="29:52">
      <c r="AC59"/>
      <c r="AD59"/>
      <c r="AE59"/>
      <c r="AF59"/>
      <c r="AG59"/>
      <c r="AH59"/>
      <c r="AL59" s="250"/>
      <c r="AY59" s="250"/>
      <c r="AZ59" s="250"/>
    </row>
    <row r="60" spans="29:52">
      <c r="AC60"/>
      <c r="AD60"/>
      <c r="AE60"/>
      <c r="AF60"/>
      <c r="AG60"/>
      <c r="AH60"/>
      <c r="AL60" s="250"/>
      <c r="AY60" s="250"/>
      <c r="AZ60" s="250"/>
    </row>
    <row r="61" spans="29:52">
      <c r="AC61"/>
      <c r="AD61"/>
      <c r="AE61"/>
      <c r="AF61"/>
      <c r="AG61"/>
      <c r="AH61"/>
      <c r="AL61" s="250"/>
      <c r="AY61" s="250"/>
      <c r="AZ61" s="250"/>
    </row>
    <row r="62" spans="29:52">
      <c r="AC62"/>
      <c r="AD62"/>
      <c r="AE62"/>
      <c r="AF62"/>
      <c r="AG62"/>
      <c r="AH62"/>
      <c r="AL62" s="250"/>
      <c r="AY62" s="250"/>
      <c r="AZ62" s="250"/>
    </row>
    <row r="63" spans="29:52">
      <c r="AC63"/>
      <c r="AD63"/>
      <c r="AE63"/>
      <c r="AF63"/>
      <c r="AG63"/>
      <c r="AH63"/>
      <c r="AL63" s="250"/>
      <c r="AY63" s="250"/>
      <c r="AZ63" s="250"/>
    </row>
  </sheetData>
  <sheetProtection algorithmName="SHA-512" hashValue="qLnzWzMKp/RIUF0cPZKkWvwRuCJ6KjIPK1Jap2+UvF5JOzVHmpZpyZnNW9Q5GxdSHP++eYnrsR94t9AjBBpsXw==" saltValue="a4p8etx60UzrPPFQUKrTHQ==" spinCount="100000" sheet="1" objects="1" scenarios="1" formatRows="0" autoFilter="0"/>
  <mergeCells count="1">
    <mergeCell ref="A8:B8"/>
  </mergeCells>
  <phoneticPr fontId="0" type="noConversion"/>
  <hyperlinks>
    <hyperlink ref="AA6" r:id="rId1" display="https://www.gov.br/anp/pt-br/assuntos/precos-e-defesa-da-concorrencia/precos/precos-de-distribuicao-de-produtos-asfalticos" xr:uid="{00000000-0004-0000-0000-000000000000}"/>
    <hyperlink ref="AA7" r:id="rId2" display="https://www.gov.br/anp/pt-br/assuntos/precos-e-defesa-da-concorrencia/precos/precos-de-produtores-e-importadores-de-derivados-de-petroleo" xr:uid="{00000000-0004-0000-0000-000001000000}"/>
    <hyperlink ref="Z6" r:id="rId3" display="https://www.gov.br/anp/pt-br/assuntos/precos-e-defesa-da-concorrencia/precos/precos-de-distribuicao-de-produtos-asfalticos" xr:uid="{00000000-0004-0000-0000-000002000000}"/>
    <hyperlink ref="Z7" r:id="rId4" display="https://www.gov.br/anp/pt-br/assuntos/precos-e-defesa-da-concorrencia/precos/precos-de-produtores-e-importadores-de-derivados-de-petroleo" xr:uid="{00000000-0004-0000-0000-000003000000}"/>
  </hyperlinks>
  <pageMargins left="0.511811024" right="0.511811024" top="0.78740157499999996" bottom="0.78740157499999996" header="0.31496062000000002" footer="0.31496062000000002"/>
  <pageSetup paperSize="9" orientation="portrait" verticalDpi="0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K21"/>
  <sheetViews>
    <sheetView workbookViewId="0">
      <selection activeCell="O2492" sqref="O2492"/>
    </sheetView>
  </sheetViews>
  <sheetFormatPr defaultColWidth="9.33203125" defaultRowHeight="15"/>
  <cols>
    <col min="1" max="1" width="9.33203125" style="90"/>
    <col min="2" max="2" width="24.1640625" style="90" customWidth="1"/>
    <col min="3" max="4" width="31.1640625" style="90" customWidth="1"/>
    <col min="5" max="10" width="9.33203125" style="90"/>
    <col min="11" max="11" width="12" style="90" customWidth="1"/>
    <col min="12" max="16384" width="9.33203125" style="90"/>
  </cols>
  <sheetData>
    <row r="1" spans="1:11">
      <c r="A1" s="87" t="s">
        <v>595</v>
      </c>
      <c r="B1" s="88" t="s">
        <v>596</v>
      </c>
      <c r="C1" s="88"/>
      <c r="D1" s="88"/>
      <c r="E1" s="88"/>
      <c r="F1" s="88"/>
      <c r="G1" s="88"/>
      <c r="H1" s="88"/>
      <c r="I1" s="88"/>
      <c r="J1" s="88"/>
      <c r="K1" s="89"/>
    </row>
    <row r="2" spans="1:11" ht="21">
      <c r="A2" s="91"/>
      <c r="B2" s="92" t="s">
        <v>597</v>
      </c>
      <c r="C2" s="92"/>
      <c r="D2" s="92"/>
      <c r="E2" s="93"/>
      <c r="F2" s="93"/>
      <c r="G2" s="93"/>
      <c r="H2" s="93"/>
      <c r="I2" s="93"/>
      <c r="J2" s="93"/>
      <c r="K2" s="94"/>
    </row>
    <row r="3" spans="1:11" ht="13.9" customHeight="1">
      <c r="A3" s="91"/>
      <c r="B3" s="95" t="s">
        <v>598</v>
      </c>
      <c r="C3" s="96" t="s">
        <v>599</v>
      </c>
      <c r="D3" s="97"/>
      <c r="E3" s="93"/>
      <c r="F3" s="93"/>
      <c r="G3" s="93"/>
      <c r="H3" s="93"/>
      <c r="I3" s="93"/>
      <c r="J3" s="93"/>
      <c r="K3" s="94"/>
    </row>
    <row r="4" spans="1:11" ht="13.9" customHeight="1">
      <c r="A4" s="91"/>
      <c r="B4" s="98" t="s">
        <v>600</v>
      </c>
      <c r="C4" s="99" t="s">
        <v>601</v>
      </c>
      <c r="D4" s="99" t="s">
        <v>602</v>
      </c>
      <c r="E4" s="93"/>
      <c r="F4" s="93"/>
      <c r="G4" s="93"/>
      <c r="H4" s="93"/>
      <c r="I4" s="93"/>
      <c r="J4" s="93"/>
      <c r="K4" s="94"/>
    </row>
    <row r="5" spans="1:11" ht="13.15" customHeight="1">
      <c r="A5" s="91"/>
      <c r="B5" s="99" t="s">
        <v>608</v>
      </c>
      <c r="C5" s="1262" t="s">
        <v>603</v>
      </c>
      <c r="D5" s="99" t="s">
        <v>604</v>
      </c>
      <c r="E5" s="93"/>
      <c r="F5" s="93"/>
      <c r="G5" s="93"/>
      <c r="H5" s="93"/>
      <c r="I5" s="93"/>
      <c r="J5" s="93"/>
      <c r="K5" s="94"/>
    </row>
    <row r="6" spans="1:11" ht="13.15" customHeight="1">
      <c r="A6" s="91"/>
      <c r="B6" s="99" t="s">
        <v>610</v>
      </c>
      <c r="C6" s="99" t="s">
        <v>604</v>
      </c>
      <c r="D6" s="99" t="s">
        <v>605</v>
      </c>
      <c r="E6" s="100" t="s">
        <v>606</v>
      </c>
      <c r="F6" s="101" t="s">
        <v>607</v>
      </c>
      <c r="G6" s="93"/>
      <c r="H6" s="93"/>
      <c r="I6" s="93"/>
      <c r="J6" s="93"/>
      <c r="K6" s="94"/>
    </row>
    <row r="7" spans="1:11" ht="13.15" customHeight="1">
      <c r="A7" s="91"/>
      <c r="B7" s="99" t="s">
        <v>612</v>
      </c>
      <c r="C7" s="99" t="s">
        <v>605</v>
      </c>
      <c r="D7" s="99" t="s">
        <v>609</v>
      </c>
      <c r="E7" s="93"/>
      <c r="F7" s="93"/>
      <c r="G7" s="93"/>
      <c r="H7" s="93"/>
      <c r="I7" s="93"/>
      <c r="J7" s="93"/>
      <c r="K7" s="94"/>
    </row>
    <row r="8" spans="1:11" ht="13.15" customHeight="1">
      <c r="A8" s="91"/>
      <c r="B8" s="99" t="s">
        <v>614</v>
      </c>
      <c r="C8" s="99" t="s">
        <v>609</v>
      </c>
      <c r="D8" s="99" t="s">
        <v>611</v>
      </c>
      <c r="E8" s="93"/>
      <c r="F8" s="93"/>
      <c r="G8" s="93"/>
      <c r="H8" s="93"/>
      <c r="I8" s="93"/>
      <c r="J8" s="93"/>
      <c r="K8" s="94"/>
    </row>
    <row r="9" spans="1:11" ht="13.15" customHeight="1">
      <c r="A9" s="91"/>
      <c r="B9" s="99" t="s">
        <v>2266</v>
      </c>
      <c r="C9" s="99" t="s">
        <v>611</v>
      </c>
      <c r="D9" s="99" t="s">
        <v>613</v>
      </c>
      <c r="E9" s="93"/>
      <c r="F9" s="93"/>
      <c r="G9" s="93"/>
      <c r="H9" s="93"/>
      <c r="I9" s="93"/>
      <c r="J9" s="93"/>
      <c r="K9" s="94"/>
    </row>
    <row r="10" spans="1:11" ht="13.15" customHeight="1">
      <c r="A10" s="91"/>
      <c r="B10" s="99" t="s">
        <v>2267</v>
      </c>
      <c r="C10" s="99" t="s">
        <v>613</v>
      </c>
      <c r="D10" s="99" t="s">
        <v>615</v>
      </c>
      <c r="E10" s="93"/>
      <c r="F10" s="93"/>
      <c r="G10" s="93"/>
      <c r="H10" s="93"/>
      <c r="I10" s="93"/>
      <c r="J10" s="93"/>
      <c r="K10" s="94"/>
    </row>
    <row r="11" spans="1:11" ht="9" customHeight="1">
      <c r="A11" s="91"/>
      <c r="B11" s="102"/>
      <c r="C11" s="102"/>
      <c r="D11" s="102"/>
      <c r="E11" s="93"/>
      <c r="F11" s="93"/>
      <c r="G11" s="93"/>
      <c r="H11" s="93"/>
      <c r="I11" s="93"/>
      <c r="J11" s="93"/>
      <c r="K11" s="94"/>
    </row>
    <row r="12" spans="1:11" ht="13.15" customHeight="1">
      <c r="A12" s="103">
        <v>2</v>
      </c>
      <c r="B12" s="102" t="s">
        <v>616</v>
      </c>
      <c r="C12" s="102"/>
      <c r="D12" s="102"/>
      <c r="E12" s="92"/>
      <c r="F12" s="92"/>
      <c r="G12" s="92"/>
      <c r="H12" s="92"/>
      <c r="I12" s="92"/>
      <c r="J12" s="92"/>
      <c r="K12" s="94"/>
    </row>
    <row r="13" spans="1:11" ht="13.15" customHeight="1">
      <c r="A13" s="91"/>
      <c r="B13" s="102" t="s">
        <v>617</v>
      </c>
      <c r="C13" s="102"/>
      <c r="D13" s="102"/>
      <c r="E13" s="93"/>
      <c r="F13" s="93"/>
      <c r="G13" s="93"/>
      <c r="H13" s="93"/>
      <c r="I13" s="93"/>
      <c r="J13" s="93"/>
      <c r="K13" s="94"/>
    </row>
    <row r="14" spans="1:11" ht="13.15" customHeight="1">
      <c r="A14" s="91"/>
      <c r="B14" s="95" t="s">
        <v>598</v>
      </c>
      <c r="C14" s="96" t="s">
        <v>599</v>
      </c>
      <c r="D14" s="97"/>
      <c r="E14" s="93"/>
      <c r="F14" s="93"/>
      <c r="G14" s="93"/>
      <c r="H14" s="93"/>
      <c r="I14" s="93"/>
      <c r="J14" s="93"/>
      <c r="K14" s="94"/>
    </row>
    <row r="15" spans="1:11" ht="13.15" customHeight="1">
      <c r="A15" s="91"/>
      <c r="B15" s="98" t="s">
        <v>600</v>
      </c>
      <c r="C15" s="99" t="s">
        <v>601</v>
      </c>
      <c r="D15" s="99" t="s">
        <v>602</v>
      </c>
      <c r="E15" s="93"/>
      <c r="F15" s="93"/>
      <c r="G15" s="93"/>
      <c r="H15" s="93"/>
      <c r="I15" s="93"/>
      <c r="J15" s="93"/>
      <c r="K15" s="94"/>
    </row>
    <row r="16" spans="1:11" ht="13.15" customHeight="1">
      <c r="A16" s="91"/>
      <c r="B16" s="99" t="s">
        <v>608</v>
      </c>
      <c r="C16" s="1262" t="s">
        <v>603</v>
      </c>
      <c r="D16" s="99" t="s">
        <v>618</v>
      </c>
      <c r="E16" s="100" t="s">
        <v>606</v>
      </c>
      <c r="F16" s="101" t="s">
        <v>619</v>
      </c>
      <c r="G16" s="93"/>
      <c r="H16" s="93"/>
      <c r="I16" s="93"/>
      <c r="J16" s="93"/>
      <c r="K16" s="94"/>
    </row>
    <row r="17" spans="1:11" ht="13.15" customHeight="1">
      <c r="A17" s="91"/>
      <c r="B17" s="99" t="s">
        <v>610</v>
      </c>
      <c r="C17" s="99" t="s">
        <v>618</v>
      </c>
      <c r="D17" s="99" t="s">
        <v>620</v>
      </c>
      <c r="E17" s="93"/>
      <c r="F17" s="93"/>
      <c r="G17" s="93"/>
      <c r="H17" s="93"/>
      <c r="I17" s="93"/>
      <c r="J17" s="93"/>
      <c r="K17" s="94"/>
    </row>
    <row r="18" spans="1:11" ht="13.15" customHeight="1">
      <c r="A18" s="91"/>
      <c r="B18" s="99" t="s">
        <v>612</v>
      </c>
      <c r="C18" s="99" t="s">
        <v>620</v>
      </c>
      <c r="D18" s="99" t="s">
        <v>615</v>
      </c>
      <c r="E18" s="93"/>
      <c r="F18" s="93"/>
      <c r="G18" s="93"/>
      <c r="H18" s="93"/>
      <c r="I18" s="93"/>
      <c r="J18" s="93"/>
      <c r="K18" s="94"/>
    </row>
    <row r="19" spans="1:11" ht="13.15" customHeight="1">
      <c r="A19" s="91"/>
      <c r="B19" s="99" t="s">
        <v>614</v>
      </c>
      <c r="C19" s="99" t="s">
        <v>615</v>
      </c>
      <c r="D19" s="99" t="s">
        <v>621</v>
      </c>
      <c r="E19" s="93"/>
      <c r="F19" s="93"/>
      <c r="G19" s="93"/>
      <c r="H19" s="93"/>
      <c r="I19" s="93"/>
      <c r="J19" s="93"/>
      <c r="K19" s="94"/>
    </row>
    <row r="20" spans="1:11" ht="13.15" customHeight="1">
      <c r="A20" s="91"/>
      <c r="B20" s="99" t="s">
        <v>2266</v>
      </c>
      <c r="C20" s="99" t="s">
        <v>621</v>
      </c>
      <c r="D20" s="99" t="s">
        <v>622</v>
      </c>
      <c r="E20" s="93"/>
      <c r="F20" s="93"/>
      <c r="G20" s="93"/>
      <c r="H20" s="93"/>
      <c r="I20" s="93"/>
      <c r="J20" s="93"/>
      <c r="K20" s="94"/>
    </row>
    <row r="21" spans="1:11" ht="13.15" customHeight="1" thickBot="1">
      <c r="A21" s="104"/>
      <c r="B21" s="105" t="s">
        <v>2267</v>
      </c>
      <c r="C21" s="105" t="s">
        <v>622</v>
      </c>
      <c r="D21" s="105" t="s">
        <v>623</v>
      </c>
      <c r="E21" s="106"/>
      <c r="F21" s="106"/>
      <c r="G21" s="106"/>
      <c r="H21" s="106"/>
      <c r="I21" s="106"/>
      <c r="J21" s="106"/>
      <c r="K21" s="107"/>
    </row>
  </sheetData>
  <sheetProtection algorithmName="SHA-512" hashValue="kqS4qbxacnTlHNpy803Qzzyr6wx/7oPCvJ5e71SvN0nSCwzysz7SXXrYG7+nGbgEypwa53hbsA8f7ntyAy1ToQ==" saltValue="rTBChbLOz+z3Yf2fXIO83w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">
    <tabColor rgb="FFFFFF00"/>
    <pageSetUpPr fitToPage="1"/>
  </sheetPr>
  <dimension ref="A1:J21"/>
  <sheetViews>
    <sheetView showGridLines="0" workbookViewId="0">
      <selection activeCell="O2492" sqref="O2492"/>
    </sheetView>
  </sheetViews>
  <sheetFormatPr defaultColWidth="12" defaultRowHeight="12.75"/>
  <cols>
    <col min="1" max="1" width="18.6640625" style="427" customWidth="1"/>
    <col min="2" max="2" width="53.33203125" style="427" bestFit="1" customWidth="1"/>
    <col min="3" max="3" width="12" style="397" customWidth="1"/>
    <col min="4" max="4" width="17.83203125" style="397" customWidth="1"/>
    <col min="5" max="5" width="14.33203125" style="397" customWidth="1"/>
    <col min="6" max="6" width="24.83203125" style="397" bestFit="1" customWidth="1"/>
    <col min="7" max="7" width="14.5" style="397" customWidth="1"/>
    <col min="8" max="8" width="12" style="397"/>
    <col min="9" max="9" width="13.6640625" style="397" customWidth="1"/>
    <col min="10" max="16384" width="12" style="397"/>
  </cols>
  <sheetData>
    <row r="1" spans="1:10" ht="25.15" customHeight="1" thickBot="1">
      <c r="A1" s="585" t="s">
        <v>423</v>
      </c>
      <c r="B1" s="394"/>
      <c r="C1" s="395"/>
      <c r="D1" s="395"/>
      <c r="E1" s="395"/>
      <c r="F1" s="396"/>
    </row>
    <row r="2" spans="1:10" ht="18" customHeight="1">
      <c r="A2" s="431" t="s">
        <v>159</v>
      </c>
      <c r="B2" s="432" t="str">
        <f>'REF. DE PREÇOS n editavel'!C13</f>
        <v>DOIS VIZINHOS</v>
      </c>
      <c r="C2" s="433"/>
      <c r="D2" s="434"/>
      <c r="E2" s="435" t="s">
        <v>160</v>
      </c>
      <c r="F2" s="436" t="str">
        <f>'REF. DE PREÇOS n editavel'!O13</f>
        <v>XX</v>
      </c>
    </row>
    <row r="3" spans="1:10" ht="18" customHeight="1" thickBot="1">
      <c r="A3" s="437" t="s">
        <v>161</v>
      </c>
      <c r="B3" s="438" t="str">
        <f>'REF. DE PREÇOS n editavel'!C14</f>
        <v xml:space="preserve">PAVIMENTAÇÃO DE VIAS </v>
      </c>
      <c r="C3" s="439"/>
      <c r="D3" s="439"/>
      <c r="E3" s="440" t="s">
        <v>162</v>
      </c>
      <c r="F3" s="441" t="str">
        <f>'REF. DE PREÇOS n editavel'!O14</f>
        <v>1</v>
      </c>
      <c r="J3" s="398"/>
    </row>
    <row r="4" spans="1:10" ht="26.25" thickBot="1">
      <c r="A4" s="399"/>
      <c r="B4" s="400"/>
      <c r="C4" s="401"/>
      <c r="D4" s="401"/>
      <c r="E4" s="402"/>
      <c r="F4" s="57" t="s">
        <v>158</v>
      </c>
      <c r="G4" s="403" t="s">
        <v>424</v>
      </c>
      <c r="J4" s="404" t="s">
        <v>2082</v>
      </c>
    </row>
    <row r="5" spans="1:10" ht="15" customHeight="1" thickBot="1">
      <c r="A5" s="405">
        <v>1</v>
      </c>
      <c r="B5" s="406" t="s">
        <v>432</v>
      </c>
      <c r="C5" s="407"/>
      <c r="D5" s="407"/>
      <c r="E5" s="408"/>
      <c r="F5" s="1196">
        <f>'REF. DE PREÇOS n editavel'!O19</f>
        <v>504520.8</v>
      </c>
      <c r="G5" s="392">
        <f t="shared" ref="G5:G15" si="0">IF(F5=0,0,IF(J5=0,ROUND(F5/$F$17,4),IF(J5="b",ROUNDDOWN(F5/$F$17,4),ROUNDUP(F5/$F$17,4))))</f>
        <v>2.98E-2</v>
      </c>
      <c r="J5" s="393"/>
    </row>
    <row r="6" spans="1:10" ht="15" customHeight="1" thickBot="1">
      <c r="A6" s="409" t="s">
        <v>167</v>
      </c>
      <c r="B6" s="410" t="s">
        <v>428</v>
      </c>
      <c r="C6" s="411"/>
      <c r="D6" s="411"/>
      <c r="E6" s="412"/>
      <c r="F6" s="1196">
        <f>'REF. DE PREÇOS n editavel'!O69</f>
        <v>516870.58</v>
      </c>
      <c r="G6" s="392">
        <f t="shared" si="0"/>
        <v>3.0499999999999999E-2</v>
      </c>
      <c r="J6" s="393"/>
    </row>
    <row r="7" spans="1:10" ht="15" customHeight="1" thickBot="1">
      <c r="A7" s="409" t="s">
        <v>185</v>
      </c>
      <c r="B7" s="410" t="s">
        <v>434</v>
      </c>
      <c r="C7" s="411"/>
      <c r="D7" s="411"/>
      <c r="E7" s="412"/>
      <c r="F7" s="1196">
        <f>'REF. DE PREÇOS n editavel'!O117</f>
        <v>1241242.72</v>
      </c>
      <c r="G7" s="392">
        <f t="shared" si="0"/>
        <v>7.3300000000000004E-2</v>
      </c>
      <c r="J7" s="393"/>
    </row>
    <row r="8" spans="1:10" ht="15" customHeight="1" thickBot="1">
      <c r="A8" s="409" t="s">
        <v>203</v>
      </c>
      <c r="B8" s="413" t="s">
        <v>429</v>
      </c>
      <c r="E8" s="412"/>
      <c r="F8" s="1196">
        <f>'REF. DE PREÇOS n editavel'!O228</f>
        <v>12666584.600000001</v>
      </c>
      <c r="G8" s="392">
        <f t="shared" si="0"/>
        <v>0.74839999999999995</v>
      </c>
      <c r="J8" s="393"/>
    </row>
    <row r="9" spans="1:10" ht="15" customHeight="1" thickBot="1">
      <c r="A9" s="409" t="s">
        <v>166</v>
      </c>
      <c r="B9" s="410" t="s">
        <v>430</v>
      </c>
      <c r="C9" s="411"/>
      <c r="D9" s="411"/>
      <c r="E9" s="412"/>
      <c r="F9" s="1196">
        <f>'REF. DE PREÇOS n editavel'!O589</f>
        <v>0</v>
      </c>
      <c r="G9" s="392">
        <f t="shared" si="0"/>
        <v>0</v>
      </c>
      <c r="J9" s="393"/>
    </row>
    <row r="10" spans="1:10" ht="15" customHeight="1" thickBot="1">
      <c r="A10" s="409" t="s">
        <v>205</v>
      </c>
      <c r="B10" s="410" t="s">
        <v>569</v>
      </c>
      <c r="C10" s="411"/>
      <c r="D10" s="411"/>
      <c r="E10" s="412"/>
      <c r="F10" s="1196">
        <f>'REF. DE PREÇOS n editavel'!O644</f>
        <v>0</v>
      </c>
      <c r="G10" s="392">
        <f t="shared" si="0"/>
        <v>0</v>
      </c>
      <c r="J10" s="393"/>
    </row>
    <row r="11" spans="1:10" ht="15" customHeight="1" thickBot="1">
      <c r="A11" s="409" t="s">
        <v>417</v>
      </c>
      <c r="B11" s="414" t="s">
        <v>436</v>
      </c>
      <c r="C11" s="415"/>
      <c r="D11" s="415"/>
      <c r="E11" s="412"/>
      <c r="F11" s="1196">
        <f>'REF. DE PREÇOS n editavel'!O853</f>
        <v>733766.36</v>
      </c>
      <c r="G11" s="392">
        <f t="shared" si="0"/>
        <v>4.3400000000000001E-2</v>
      </c>
      <c r="J11" s="393"/>
    </row>
    <row r="12" spans="1:10" ht="15" customHeight="1" thickBot="1">
      <c r="A12" s="409" t="s">
        <v>310</v>
      </c>
      <c r="B12" s="414" t="s">
        <v>438</v>
      </c>
      <c r="C12" s="415"/>
      <c r="D12" s="415"/>
      <c r="E12" s="412"/>
      <c r="F12" s="1196">
        <f>'REF. DE PREÇOS n editavel'!O913</f>
        <v>0</v>
      </c>
      <c r="G12" s="392">
        <f t="shared" si="0"/>
        <v>0</v>
      </c>
      <c r="J12" s="393"/>
    </row>
    <row r="13" spans="1:10" ht="15" customHeight="1" thickBot="1">
      <c r="A13" s="409" t="s">
        <v>439</v>
      </c>
      <c r="B13" s="414" t="s">
        <v>440</v>
      </c>
      <c r="C13" s="415"/>
      <c r="D13" s="415"/>
      <c r="E13" s="412"/>
      <c r="F13" s="1196">
        <f>'REF. DE PREÇOS n editavel'!O1625</f>
        <v>32567.4</v>
      </c>
      <c r="G13" s="392">
        <f t="shared" si="0"/>
        <v>1.9E-3</v>
      </c>
      <c r="J13" s="393"/>
    </row>
    <row r="14" spans="1:10" ht="15" customHeight="1" thickBot="1">
      <c r="A14" s="409" t="s">
        <v>441</v>
      </c>
      <c r="B14" s="414" t="s">
        <v>431</v>
      </c>
      <c r="C14" s="415"/>
      <c r="D14" s="415"/>
      <c r="E14" s="412"/>
      <c r="F14" s="1196">
        <f>'REF. DE PREÇOS n editavel'!O1720</f>
        <v>1093168.6499999999</v>
      </c>
      <c r="G14" s="392">
        <f t="shared" si="0"/>
        <v>6.4600000000000005E-2</v>
      </c>
      <c r="J14" s="393"/>
    </row>
    <row r="15" spans="1:10" ht="15" customHeight="1" thickBot="1">
      <c r="A15" s="409" t="s">
        <v>487</v>
      </c>
      <c r="B15" s="414" t="s">
        <v>524</v>
      </c>
      <c r="C15" s="415"/>
      <c r="D15" s="415"/>
      <c r="E15" s="412"/>
      <c r="F15" s="1196">
        <f>'REF. DE PREÇOS n editavel'!O2499</f>
        <v>135836.03</v>
      </c>
      <c r="G15" s="392">
        <f t="shared" si="0"/>
        <v>8.0000000000000002E-3</v>
      </c>
      <c r="J15" s="393"/>
    </row>
    <row r="16" spans="1:10" ht="9" customHeight="1" thickBot="1">
      <c r="A16" s="397"/>
      <c r="B16" s="397"/>
      <c r="F16" s="533"/>
    </row>
    <row r="17" spans="1:10" ht="18" customHeight="1" thickBot="1">
      <c r="A17" s="416"/>
      <c r="B17" s="417"/>
      <c r="C17" s="418"/>
      <c r="D17" s="418"/>
      <c r="E17" s="584" t="s">
        <v>2135</v>
      </c>
      <c r="F17" s="1197">
        <f>SUM(F5:F15)</f>
        <v>16924557.140000001</v>
      </c>
      <c r="G17" s="419">
        <f>SUM(G5:G16)</f>
        <v>0.9998999999999999</v>
      </c>
      <c r="I17" s="420" t="s">
        <v>2083</v>
      </c>
    </row>
    <row r="18" spans="1:10" ht="31.9" customHeight="1">
      <c r="A18" s="421" t="s">
        <v>425</v>
      </c>
      <c r="B18" s="422"/>
      <c r="C18" s="422"/>
      <c r="D18" s="423" t="s">
        <v>426</v>
      </c>
      <c r="E18" s="423" t="s">
        <v>427</v>
      </c>
      <c r="F18" s="424" t="s">
        <v>2084</v>
      </c>
      <c r="G18" s="625"/>
      <c r="J18" s="442" t="str">
        <f>IF(G17=1,"OK","ATENÇÃO!! O VALOR DEVE SER 100,00%")</f>
        <v>ATENÇÃO!! O VALOR DEVE SER 100,00%</v>
      </c>
    </row>
    <row r="19" spans="1:10" ht="15" customHeight="1">
      <c r="A19" s="626" t="s">
        <v>2271</v>
      </c>
      <c r="B19" s="428"/>
      <c r="C19" s="428"/>
      <c r="D19" s="429">
        <f>'ORÇ. EDITAVEL '!E27+'ORÇ. EDITAVEL '!E29</f>
        <v>18728</v>
      </c>
      <c r="E19" s="430" t="s">
        <v>2272</v>
      </c>
      <c r="F19" s="583">
        <f>ROUND(D19*0.5,-1)</f>
        <v>9360</v>
      </c>
      <c r="G19" s="627"/>
    </row>
    <row r="20" spans="1:10" ht="13.5" thickBot="1">
      <c r="A20" s="425"/>
      <c r="B20" s="426"/>
      <c r="C20" s="415"/>
      <c r="D20" s="415"/>
      <c r="E20" s="415"/>
      <c r="F20" s="415"/>
      <c r="G20" s="628"/>
    </row>
    <row r="21" spans="1:10" ht="18" customHeight="1" thickBot="1">
      <c r="A21" s="1177"/>
      <c r="B21" s="400"/>
      <c r="C21" s="411"/>
      <c r="D21" s="411"/>
      <c r="E21" s="1178" t="str">
        <f>'REF. DE PREÇOS n editavel'!N16</f>
        <v xml:space="preserve">Data Base da aprovação do Orçamento (Decreto 10.086/22 do Paraná, que regulamenta a Lei 14.133/21): </v>
      </c>
      <c r="F21" s="1250">
        <f ca="1">'REF. DE PREÇOS n editavel'!O16</f>
        <v>45391</v>
      </c>
    </row>
  </sheetData>
  <sheetProtection formatColumns="0" formatRows="0" autoFilter="0"/>
  <autoFilter ref="A4:G4" xr:uid="{00000000-0009-0000-0000-000003000000}"/>
  <printOptions horizontalCentered="1"/>
  <pageMargins left="1.1811023622047245" right="0.78740157480314965" top="1.1811023622047245" bottom="1.1811023622047245" header="0.31496062992125984" footer="0.51181102362204722"/>
  <pageSetup paperSize="9" scale="65" orientation="portrait" r:id="rId1"/>
  <headerFooter alignWithMargins="0"/>
  <ignoredErrors>
    <ignoredError sqref="B2:F3" unlockedFormula="1"/>
    <ignoredError sqref="A6:A15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>
    <tabColor rgb="FF66FFFF"/>
    <pageSetUpPr fitToPage="1"/>
  </sheetPr>
  <dimension ref="A1:X56"/>
  <sheetViews>
    <sheetView showZeros="0" topLeftCell="B1" workbookViewId="0">
      <selection activeCell="G17" sqref="G17:J17"/>
    </sheetView>
  </sheetViews>
  <sheetFormatPr defaultColWidth="10.6640625" defaultRowHeight="12.75"/>
  <cols>
    <col min="1" max="1" width="5" style="82" hidden="1" customWidth="1"/>
    <col min="2" max="2" width="15.33203125" style="82" customWidth="1"/>
    <col min="3" max="3" width="26.1640625" style="82" customWidth="1"/>
    <col min="4" max="4" width="17.6640625" style="82" customWidth="1"/>
    <col min="5" max="5" width="3.83203125" style="82" customWidth="1"/>
    <col min="6" max="6" width="14.33203125" style="82" bestFit="1" customWidth="1"/>
    <col min="7" max="7" width="11.1640625" style="82" bestFit="1" customWidth="1"/>
    <col min="8" max="8" width="12.83203125" style="82" bestFit="1" customWidth="1"/>
    <col min="9" max="9" width="13" style="82" customWidth="1"/>
    <col min="10" max="10" width="12.83203125" style="82" bestFit="1" customWidth="1"/>
    <col min="11" max="11" width="16.33203125" style="82" customWidth="1"/>
    <col min="12" max="13" width="12.83203125" style="82" bestFit="1" customWidth="1"/>
    <col min="14" max="14" width="14.33203125" style="82" bestFit="1" customWidth="1"/>
    <col min="15" max="15" width="12.83203125" style="82" bestFit="1" customWidth="1"/>
    <col min="16" max="17" width="13.83203125" style="82" customWidth="1"/>
    <col min="18" max="18" width="8.33203125" style="82" bestFit="1" customWidth="1"/>
    <col min="19" max="19" width="18.6640625" style="82" customWidth="1"/>
    <col min="20" max="20" width="11.1640625" style="82" customWidth="1"/>
    <col min="21" max="21" width="10.6640625" style="82" customWidth="1"/>
    <col min="22" max="259" width="10.6640625" style="82"/>
    <col min="260" max="260" width="13.1640625" style="82" customWidth="1"/>
    <col min="261" max="261" width="79" style="82" customWidth="1"/>
    <col min="262" max="262" width="3.83203125" style="82" customWidth="1"/>
    <col min="263" max="275" width="12.5" style="82" customWidth="1"/>
    <col min="276" max="276" width="8.5" style="82" customWidth="1"/>
    <col min="277" max="515" width="10.6640625" style="82"/>
    <col min="516" max="516" width="13.1640625" style="82" customWidth="1"/>
    <col min="517" max="517" width="79" style="82" customWidth="1"/>
    <col min="518" max="518" width="3.83203125" style="82" customWidth="1"/>
    <col min="519" max="531" width="12.5" style="82" customWidth="1"/>
    <col min="532" max="532" width="8.5" style="82" customWidth="1"/>
    <col min="533" max="771" width="10.6640625" style="82"/>
    <col min="772" max="772" width="13.1640625" style="82" customWidth="1"/>
    <col min="773" max="773" width="79" style="82" customWidth="1"/>
    <col min="774" max="774" width="3.83203125" style="82" customWidth="1"/>
    <col min="775" max="787" width="12.5" style="82" customWidth="1"/>
    <col min="788" max="788" width="8.5" style="82" customWidth="1"/>
    <col min="789" max="1027" width="10.6640625" style="82"/>
    <col min="1028" max="1028" width="13.1640625" style="82" customWidth="1"/>
    <col min="1029" max="1029" width="79" style="82" customWidth="1"/>
    <col min="1030" max="1030" width="3.83203125" style="82" customWidth="1"/>
    <col min="1031" max="1043" width="12.5" style="82" customWidth="1"/>
    <col min="1044" max="1044" width="8.5" style="82" customWidth="1"/>
    <col min="1045" max="1283" width="10.6640625" style="82"/>
    <col min="1284" max="1284" width="13.1640625" style="82" customWidth="1"/>
    <col min="1285" max="1285" width="79" style="82" customWidth="1"/>
    <col min="1286" max="1286" width="3.83203125" style="82" customWidth="1"/>
    <col min="1287" max="1299" width="12.5" style="82" customWidth="1"/>
    <col min="1300" max="1300" width="8.5" style="82" customWidth="1"/>
    <col min="1301" max="1539" width="10.6640625" style="82"/>
    <col min="1540" max="1540" width="13.1640625" style="82" customWidth="1"/>
    <col min="1541" max="1541" width="79" style="82" customWidth="1"/>
    <col min="1542" max="1542" width="3.83203125" style="82" customWidth="1"/>
    <col min="1543" max="1555" width="12.5" style="82" customWidth="1"/>
    <col min="1556" max="1556" width="8.5" style="82" customWidth="1"/>
    <col min="1557" max="1795" width="10.6640625" style="82"/>
    <col min="1796" max="1796" width="13.1640625" style="82" customWidth="1"/>
    <col min="1797" max="1797" width="79" style="82" customWidth="1"/>
    <col min="1798" max="1798" width="3.83203125" style="82" customWidth="1"/>
    <col min="1799" max="1811" width="12.5" style="82" customWidth="1"/>
    <col min="1812" max="1812" width="8.5" style="82" customWidth="1"/>
    <col min="1813" max="2051" width="10.6640625" style="82"/>
    <col min="2052" max="2052" width="13.1640625" style="82" customWidth="1"/>
    <col min="2053" max="2053" width="79" style="82" customWidth="1"/>
    <col min="2054" max="2054" width="3.83203125" style="82" customWidth="1"/>
    <col min="2055" max="2067" width="12.5" style="82" customWidth="1"/>
    <col min="2068" max="2068" width="8.5" style="82" customWidth="1"/>
    <col min="2069" max="2307" width="10.6640625" style="82"/>
    <col min="2308" max="2308" width="13.1640625" style="82" customWidth="1"/>
    <col min="2309" max="2309" width="79" style="82" customWidth="1"/>
    <col min="2310" max="2310" width="3.83203125" style="82" customWidth="1"/>
    <col min="2311" max="2323" width="12.5" style="82" customWidth="1"/>
    <col min="2324" max="2324" width="8.5" style="82" customWidth="1"/>
    <col min="2325" max="2563" width="10.6640625" style="82"/>
    <col min="2564" max="2564" width="13.1640625" style="82" customWidth="1"/>
    <col min="2565" max="2565" width="79" style="82" customWidth="1"/>
    <col min="2566" max="2566" width="3.83203125" style="82" customWidth="1"/>
    <col min="2567" max="2579" width="12.5" style="82" customWidth="1"/>
    <col min="2580" max="2580" width="8.5" style="82" customWidth="1"/>
    <col min="2581" max="2819" width="10.6640625" style="82"/>
    <col min="2820" max="2820" width="13.1640625" style="82" customWidth="1"/>
    <col min="2821" max="2821" width="79" style="82" customWidth="1"/>
    <col min="2822" max="2822" width="3.83203125" style="82" customWidth="1"/>
    <col min="2823" max="2835" width="12.5" style="82" customWidth="1"/>
    <col min="2836" max="2836" width="8.5" style="82" customWidth="1"/>
    <col min="2837" max="3075" width="10.6640625" style="82"/>
    <col min="3076" max="3076" width="13.1640625" style="82" customWidth="1"/>
    <col min="3077" max="3077" width="79" style="82" customWidth="1"/>
    <col min="3078" max="3078" width="3.83203125" style="82" customWidth="1"/>
    <col min="3079" max="3091" width="12.5" style="82" customWidth="1"/>
    <col min="3092" max="3092" width="8.5" style="82" customWidth="1"/>
    <col min="3093" max="3331" width="10.6640625" style="82"/>
    <col min="3332" max="3332" width="13.1640625" style="82" customWidth="1"/>
    <col min="3333" max="3333" width="79" style="82" customWidth="1"/>
    <col min="3334" max="3334" width="3.83203125" style="82" customWidth="1"/>
    <col min="3335" max="3347" width="12.5" style="82" customWidth="1"/>
    <col min="3348" max="3348" width="8.5" style="82" customWidth="1"/>
    <col min="3349" max="3587" width="10.6640625" style="82"/>
    <col min="3588" max="3588" width="13.1640625" style="82" customWidth="1"/>
    <col min="3589" max="3589" width="79" style="82" customWidth="1"/>
    <col min="3590" max="3590" width="3.83203125" style="82" customWidth="1"/>
    <col min="3591" max="3603" width="12.5" style="82" customWidth="1"/>
    <col min="3604" max="3604" width="8.5" style="82" customWidth="1"/>
    <col min="3605" max="3843" width="10.6640625" style="82"/>
    <col min="3844" max="3844" width="13.1640625" style="82" customWidth="1"/>
    <col min="3845" max="3845" width="79" style="82" customWidth="1"/>
    <col min="3846" max="3846" width="3.83203125" style="82" customWidth="1"/>
    <col min="3847" max="3859" width="12.5" style="82" customWidth="1"/>
    <col min="3860" max="3860" width="8.5" style="82" customWidth="1"/>
    <col min="3861" max="4099" width="10.6640625" style="82"/>
    <col min="4100" max="4100" width="13.1640625" style="82" customWidth="1"/>
    <col min="4101" max="4101" width="79" style="82" customWidth="1"/>
    <col min="4102" max="4102" width="3.83203125" style="82" customWidth="1"/>
    <col min="4103" max="4115" width="12.5" style="82" customWidth="1"/>
    <col min="4116" max="4116" width="8.5" style="82" customWidth="1"/>
    <col min="4117" max="4355" width="10.6640625" style="82"/>
    <col min="4356" max="4356" width="13.1640625" style="82" customWidth="1"/>
    <col min="4357" max="4357" width="79" style="82" customWidth="1"/>
    <col min="4358" max="4358" width="3.83203125" style="82" customWidth="1"/>
    <col min="4359" max="4371" width="12.5" style="82" customWidth="1"/>
    <col min="4372" max="4372" width="8.5" style="82" customWidth="1"/>
    <col min="4373" max="4611" width="10.6640625" style="82"/>
    <col min="4612" max="4612" width="13.1640625" style="82" customWidth="1"/>
    <col min="4613" max="4613" width="79" style="82" customWidth="1"/>
    <col min="4614" max="4614" width="3.83203125" style="82" customWidth="1"/>
    <col min="4615" max="4627" width="12.5" style="82" customWidth="1"/>
    <col min="4628" max="4628" width="8.5" style="82" customWidth="1"/>
    <col min="4629" max="4867" width="10.6640625" style="82"/>
    <col min="4868" max="4868" width="13.1640625" style="82" customWidth="1"/>
    <col min="4869" max="4869" width="79" style="82" customWidth="1"/>
    <col min="4870" max="4870" width="3.83203125" style="82" customWidth="1"/>
    <col min="4871" max="4883" width="12.5" style="82" customWidth="1"/>
    <col min="4884" max="4884" width="8.5" style="82" customWidth="1"/>
    <col min="4885" max="5123" width="10.6640625" style="82"/>
    <col min="5124" max="5124" width="13.1640625" style="82" customWidth="1"/>
    <col min="5125" max="5125" width="79" style="82" customWidth="1"/>
    <col min="5126" max="5126" width="3.83203125" style="82" customWidth="1"/>
    <col min="5127" max="5139" width="12.5" style="82" customWidth="1"/>
    <col min="5140" max="5140" width="8.5" style="82" customWidth="1"/>
    <col min="5141" max="5379" width="10.6640625" style="82"/>
    <col min="5380" max="5380" width="13.1640625" style="82" customWidth="1"/>
    <col min="5381" max="5381" width="79" style="82" customWidth="1"/>
    <col min="5382" max="5382" width="3.83203125" style="82" customWidth="1"/>
    <col min="5383" max="5395" width="12.5" style="82" customWidth="1"/>
    <col min="5396" max="5396" width="8.5" style="82" customWidth="1"/>
    <col min="5397" max="5635" width="10.6640625" style="82"/>
    <col min="5636" max="5636" width="13.1640625" style="82" customWidth="1"/>
    <col min="5637" max="5637" width="79" style="82" customWidth="1"/>
    <col min="5638" max="5638" width="3.83203125" style="82" customWidth="1"/>
    <col min="5639" max="5651" width="12.5" style="82" customWidth="1"/>
    <col min="5652" max="5652" width="8.5" style="82" customWidth="1"/>
    <col min="5653" max="5891" width="10.6640625" style="82"/>
    <col min="5892" max="5892" width="13.1640625" style="82" customWidth="1"/>
    <col min="5893" max="5893" width="79" style="82" customWidth="1"/>
    <col min="5894" max="5894" width="3.83203125" style="82" customWidth="1"/>
    <col min="5895" max="5907" width="12.5" style="82" customWidth="1"/>
    <col min="5908" max="5908" width="8.5" style="82" customWidth="1"/>
    <col min="5909" max="6147" width="10.6640625" style="82"/>
    <col min="6148" max="6148" width="13.1640625" style="82" customWidth="1"/>
    <col min="6149" max="6149" width="79" style="82" customWidth="1"/>
    <col min="6150" max="6150" width="3.83203125" style="82" customWidth="1"/>
    <col min="6151" max="6163" width="12.5" style="82" customWidth="1"/>
    <col min="6164" max="6164" width="8.5" style="82" customWidth="1"/>
    <col min="6165" max="6403" width="10.6640625" style="82"/>
    <col min="6404" max="6404" width="13.1640625" style="82" customWidth="1"/>
    <col min="6405" max="6405" width="79" style="82" customWidth="1"/>
    <col min="6406" max="6406" width="3.83203125" style="82" customWidth="1"/>
    <col min="6407" max="6419" width="12.5" style="82" customWidth="1"/>
    <col min="6420" max="6420" width="8.5" style="82" customWidth="1"/>
    <col min="6421" max="6659" width="10.6640625" style="82"/>
    <col min="6660" max="6660" width="13.1640625" style="82" customWidth="1"/>
    <col min="6661" max="6661" width="79" style="82" customWidth="1"/>
    <col min="6662" max="6662" width="3.83203125" style="82" customWidth="1"/>
    <col min="6663" max="6675" width="12.5" style="82" customWidth="1"/>
    <col min="6676" max="6676" width="8.5" style="82" customWidth="1"/>
    <col min="6677" max="6915" width="10.6640625" style="82"/>
    <col min="6916" max="6916" width="13.1640625" style="82" customWidth="1"/>
    <col min="6917" max="6917" width="79" style="82" customWidth="1"/>
    <col min="6918" max="6918" width="3.83203125" style="82" customWidth="1"/>
    <col min="6919" max="6931" width="12.5" style="82" customWidth="1"/>
    <col min="6932" max="6932" width="8.5" style="82" customWidth="1"/>
    <col min="6933" max="7171" width="10.6640625" style="82"/>
    <col min="7172" max="7172" width="13.1640625" style="82" customWidth="1"/>
    <col min="7173" max="7173" width="79" style="82" customWidth="1"/>
    <col min="7174" max="7174" width="3.83203125" style="82" customWidth="1"/>
    <col min="7175" max="7187" width="12.5" style="82" customWidth="1"/>
    <col min="7188" max="7188" width="8.5" style="82" customWidth="1"/>
    <col min="7189" max="7427" width="10.6640625" style="82"/>
    <col min="7428" max="7428" width="13.1640625" style="82" customWidth="1"/>
    <col min="7429" max="7429" width="79" style="82" customWidth="1"/>
    <col min="7430" max="7430" width="3.83203125" style="82" customWidth="1"/>
    <col min="7431" max="7443" width="12.5" style="82" customWidth="1"/>
    <col min="7444" max="7444" width="8.5" style="82" customWidth="1"/>
    <col min="7445" max="7683" width="10.6640625" style="82"/>
    <col min="7684" max="7684" width="13.1640625" style="82" customWidth="1"/>
    <col min="7685" max="7685" width="79" style="82" customWidth="1"/>
    <col min="7686" max="7686" width="3.83203125" style="82" customWidth="1"/>
    <col min="7687" max="7699" width="12.5" style="82" customWidth="1"/>
    <col min="7700" max="7700" width="8.5" style="82" customWidth="1"/>
    <col min="7701" max="7939" width="10.6640625" style="82"/>
    <col min="7940" max="7940" width="13.1640625" style="82" customWidth="1"/>
    <col min="7941" max="7941" width="79" style="82" customWidth="1"/>
    <col min="7942" max="7942" width="3.83203125" style="82" customWidth="1"/>
    <col min="7943" max="7955" width="12.5" style="82" customWidth="1"/>
    <col min="7956" max="7956" width="8.5" style="82" customWidth="1"/>
    <col min="7957" max="8195" width="10.6640625" style="82"/>
    <col min="8196" max="8196" width="13.1640625" style="82" customWidth="1"/>
    <col min="8197" max="8197" width="79" style="82" customWidth="1"/>
    <col min="8198" max="8198" width="3.83203125" style="82" customWidth="1"/>
    <col min="8199" max="8211" width="12.5" style="82" customWidth="1"/>
    <col min="8212" max="8212" width="8.5" style="82" customWidth="1"/>
    <col min="8213" max="8451" width="10.6640625" style="82"/>
    <col min="8452" max="8452" width="13.1640625" style="82" customWidth="1"/>
    <col min="8453" max="8453" width="79" style="82" customWidth="1"/>
    <col min="8454" max="8454" width="3.83203125" style="82" customWidth="1"/>
    <col min="8455" max="8467" width="12.5" style="82" customWidth="1"/>
    <col min="8468" max="8468" width="8.5" style="82" customWidth="1"/>
    <col min="8469" max="8707" width="10.6640625" style="82"/>
    <col min="8708" max="8708" width="13.1640625" style="82" customWidth="1"/>
    <col min="8709" max="8709" width="79" style="82" customWidth="1"/>
    <col min="8710" max="8710" width="3.83203125" style="82" customWidth="1"/>
    <col min="8711" max="8723" width="12.5" style="82" customWidth="1"/>
    <col min="8724" max="8724" width="8.5" style="82" customWidth="1"/>
    <col min="8725" max="8963" width="10.6640625" style="82"/>
    <col min="8964" max="8964" width="13.1640625" style="82" customWidth="1"/>
    <col min="8965" max="8965" width="79" style="82" customWidth="1"/>
    <col min="8966" max="8966" width="3.83203125" style="82" customWidth="1"/>
    <col min="8967" max="8979" width="12.5" style="82" customWidth="1"/>
    <col min="8980" max="8980" width="8.5" style="82" customWidth="1"/>
    <col min="8981" max="9219" width="10.6640625" style="82"/>
    <col min="9220" max="9220" width="13.1640625" style="82" customWidth="1"/>
    <col min="9221" max="9221" width="79" style="82" customWidth="1"/>
    <col min="9222" max="9222" width="3.83203125" style="82" customWidth="1"/>
    <col min="9223" max="9235" width="12.5" style="82" customWidth="1"/>
    <col min="9236" max="9236" width="8.5" style="82" customWidth="1"/>
    <col min="9237" max="9475" width="10.6640625" style="82"/>
    <col min="9476" max="9476" width="13.1640625" style="82" customWidth="1"/>
    <col min="9477" max="9477" width="79" style="82" customWidth="1"/>
    <col min="9478" max="9478" width="3.83203125" style="82" customWidth="1"/>
    <col min="9479" max="9491" width="12.5" style="82" customWidth="1"/>
    <col min="9492" max="9492" width="8.5" style="82" customWidth="1"/>
    <col min="9493" max="9731" width="10.6640625" style="82"/>
    <col min="9732" max="9732" width="13.1640625" style="82" customWidth="1"/>
    <col min="9733" max="9733" width="79" style="82" customWidth="1"/>
    <col min="9734" max="9734" width="3.83203125" style="82" customWidth="1"/>
    <col min="9735" max="9747" width="12.5" style="82" customWidth="1"/>
    <col min="9748" max="9748" width="8.5" style="82" customWidth="1"/>
    <col min="9749" max="9987" width="10.6640625" style="82"/>
    <col min="9988" max="9988" width="13.1640625" style="82" customWidth="1"/>
    <col min="9989" max="9989" width="79" style="82" customWidth="1"/>
    <col min="9990" max="9990" width="3.83203125" style="82" customWidth="1"/>
    <col min="9991" max="10003" width="12.5" style="82" customWidth="1"/>
    <col min="10004" max="10004" width="8.5" style="82" customWidth="1"/>
    <col min="10005" max="10243" width="10.6640625" style="82"/>
    <col min="10244" max="10244" width="13.1640625" style="82" customWidth="1"/>
    <col min="10245" max="10245" width="79" style="82" customWidth="1"/>
    <col min="10246" max="10246" width="3.83203125" style="82" customWidth="1"/>
    <col min="10247" max="10259" width="12.5" style="82" customWidth="1"/>
    <col min="10260" max="10260" width="8.5" style="82" customWidth="1"/>
    <col min="10261" max="10499" width="10.6640625" style="82"/>
    <col min="10500" max="10500" width="13.1640625" style="82" customWidth="1"/>
    <col min="10501" max="10501" width="79" style="82" customWidth="1"/>
    <col min="10502" max="10502" width="3.83203125" style="82" customWidth="1"/>
    <col min="10503" max="10515" width="12.5" style="82" customWidth="1"/>
    <col min="10516" max="10516" width="8.5" style="82" customWidth="1"/>
    <col min="10517" max="10755" width="10.6640625" style="82"/>
    <col min="10756" max="10756" width="13.1640625" style="82" customWidth="1"/>
    <col min="10757" max="10757" width="79" style="82" customWidth="1"/>
    <col min="10758" max="10758" width="3.83203125" style="82" customWidth="1"/>
    <col min="10759" max="10771" width="12.5" style="82" customWidth="1"/>
    <col min="10772" max="10772" width="8.5" style="82" customWidth="1"/>
    <col min="10773" max="11011" width="10.6640625" style="82"/>
    <col min="11012" max="11012" width="13.1640625" style="82" customWidth="1"/>
    <col min="11013" max="11013" width="79" style="82" customWidth="1"/>
    <col min="11014" max="11014" width="3.83203125" style="82" customWidth="1"/>
    <col min="11015" max="11027" width="12.5" style="82" customWidth="1"/>
    <col min="11028" max="11028" width="8.5" style="82" customWidth="1"/>
    <col min="11029" max="11267" width="10.6640625" style="82"/>
    <col min="11268" max="11268" width="13.1640625" style="82" customWidth="1"/>
    <col min="11269" max="11269" width="79" style="82" customWidth="1"/>
    <col min="11270" max="11270" width="3.83203125" style="82" customWidth="1"/>
    <col min="11271" max="11283" width="12.5" style="82" customWidth="1"/>
    <col min="11284" max="11284" width="8.5" style="82" customWidth="1"/>
    <col min="11285" max="11523" width="10.6640625" style="82"/>
    <col min="11524" max="11524" width="13.1640625" style="82" customWidth="1"/>
    <col min="11525" max="11525" width="79" style="82" customWidth="1"/>
    <col min="11526" max="11526" width="3.83203125" style="82" customWidth="1"/>
    <col min="11527" max="11539" width="12.5" style="82" customWidth="1"/>
    <col min="11540" max="11540" width="8.5" style="82" customWidth="1"/>
    <col min="11541" max="11779" width="10.6640625" style="82"/>
    <col min="11780" max="11780" width="13.1640625" style="82" customWidth="1"/>
    <col min="11781" max="11781" width="79" style="82" customWidth="1"/>
    <col min="11782" max="11782" width="3.83203125" style="82" customWidth="1"/>
    <col min="11783" max="11795" width="12.5" style="82" customWidth="1"/>
    <col min="11796" max="11796" width="8.5" style="82" customWidth="1"/>
    <col min="11797" max="12035" width="10.6640625" style="82"/>
    <col min="12036" max="12036" width="13.1640625" style="82" customWidth="1"/>
    <col min="12037" max="12037" width="79" style="82" customWidth="1"/>
    <col min="12038" max="12038" width="3.83203125" style="82" customWidth="1"/>
    <col min="12039" max="12051" width="12.5" style="82" customWidth="1"/>
    <col min="12052" max="12052" width="8.5" style="82" customWidth="1"/>
    <col min="12053" max="12291" width="10.6640625" style="82"/>
    <col min="12292" max="12292" width="13.1640625" style="82" customWidth="1"/>
    <col min="12293" max="12293" width="79" style="82" customWidth="1"/>
    <col min="12294" max="12294" width="3.83203125" style="82" customWidth="1"/>
    <col min="12295" max="12307" width="12.5" style="82" customWidth="1"/>
    <col min="12308" max="12308" width="8.5" style="82" customWidth="1"/>
    <col min="12309" max="12547" width="10.6640625" style="82"/>
    <col min="12548" max="12548" width="13.1640625" style="82" customWidth="1"/>
    <col min="12549" max="12549" width="79" style="82" customWidth="1"/>
    <col min="12550" max="12550" width="3.83203125" style="82" customWidth="1"/>
    <col min="12551" max="12563" width="12.5" style="82" customWidth="1"/>
    <col min="12564" max="12564" width="8.5" style="82" customWidth="1"/>
    <col min="12565" max="12803" width="10.6640625" style="82"/>
    <col min="12804" max="12804" width="13.1640625" style="82" customWidth="1"/>
    <col min="12805" max="12805" width="79" style="82" customWidth="1"/>
    <col min="12806" max="12806" width="3.83203125" style="82" customWidth="1"/>
    <col min="12807" max="12819" width="12.5" style="82" customWidth="1"/>
    <col min="12820" max="12820" width="8.5" style="82" customWidth="1"/>
    <col min="12821" max="13059" width="10.6640625" style="82"/>
    <col min="13060" max="13060" width="13.1640625" style="82" customWidth="1"/>
    <col min="13061" max="13061" width="79" style="82" customWidth="1"/>
    <col min="13062" max="13062" width="3.83203125" style="82" customWidth="1"/>
    <col min="13063" max="13075" width="12.5" style="82" customWidth="1"/>
    <col min="13076" max="13076" width="8.5" style="82" customWidth="1"/>
    <col min="13077" max="13315" width="10.6640625" style="82"/>
    <col min="13316" max="13316" width="13.1640625" style="82" customWidth="1"/>
    <col min="13317" max="13317" width="79" style="82" customWidth="1"/>
    <col min="13318" max="13318" width="3.83203125" style="82" customWidth="1"/>
    <col min="13319" max="13331" width="12.5" style="82" customWidth="1"/>
    <col min="13332" max="13332" width="8.5" style="82" customWidth="1"/>
    <col min="13333" max="13571" width="10.6640625" style="82"/>
    <col min="13572" max="13572" width="13.1640625" style="82" customWidth="1"/>
    <col min="13573" max="13573" width="79" style="82" customWidth="1"/>
    <col min="13574" max="13574" width="3.83203125" style="82" customWidth="1"/>
    <col min="13575" max="13587" width="12.5" style="82" customWidth="1"/>
    <col min="13588" max="13588" width="8.5" style="82" customWidth="1"/>
    <col min="13589" max="13827" width="10.6640625" style="82"/>
    <col min="13828" max="13828" width="13.1640625" style="82" customWidth="1"/>
    <col min="13829" max="13829" width="79" style="82" customWidth="1"/>
    <col min="13830" max="13830" width="3.83203125" style="82" customWidth="1"/>
    <col min="13831" max="13843" width="12.5" style="82" customWidth="1"/>
    <col min="13844" max="13844" width="8.5" style="82" customWidth="1"/>
    <col min="13845" max="14083" width="10.6640625" style="82"/>
    <col min="14084" max="14084" width="13.1640625" style="82" customWidth="1"/>
    <col min="14085" max="14085" width="79" style="82" customWidth="1"/>
    <col min="14086" max="14086" width="3.83203125" style="82" customWidth="1"/>
    <col min="14087" max="14099" width="12.5" style="82" customWidth="1"/>
    <col min="14100" max="14100" width="8.5" style="82" customWidth="1"/>
    <col min="14101" max="14339" width="10.6640625" style="82"/>
    <col min="14340" max="14340" width="13.1640625" style="82" customWidth="1"/>
    <col min="14341" max="14341" width="79" style="82" customWidth="1"/>
    <col min="14342" max="14342" width="3.83203125" style="82" customWidth="1"/>
    <col min="14343" max="14355" width="12.5" style="82" customWidth="1"/>
    <col min="14356" max="14356" width="8.5" style="82" customWidth="1"/>
    <col min="14357" max="14595" width="10.6640625" style="82"/>
    <col min="14596" max="14596" width="13.1640625" style="82" customWidth="1"/>
    <col min="14597" max="14597" width="79" style="82" customWidth="1"/>
    <col min="14598" max="14598" width="3.83203125" style="82" customWidth="1"/>
    <col min="14599" max="14611" width="12.5" style="82" customWidth="1"/>
    <col min="14612" max="14612" width="8.5" style="82" customWidth="1"/>
    <col min="14613" max="14851" width="10.6640625" style="82"/>
    <col min="14852" max="14852" width="13.1640625" style="82" customWidth="1"/>
    <col min="14853" max="14853" width="79" style="82" customWidth="1"/>
    <col min="14854" max="14854" width="3.83203125" style="82" customWidth="1"/>
    <col min="14855" max="14867" width="12.5" style="82" customWidth="1"/>
    <col min="14868" max="14868" width="8.5" style="82" customWidth="1"/>
    <col min="14869" max="15107" width="10.6640625" style="82"/>
    <col min="15108" max="15108" width="13.1640625" style="82" customWidth="1"/>
    <col min="15109" max="15109" width="79" style="82" customWidth="1"/>
    <col min="15110" max="15110" width="3.83203125" style="82" customWidth="1"/>
    <col min="15111" max="15123" width="12.5" style="82" customWidth="1"/>
    <col min="15124" max="15124" width="8.5" style="82" customWidth="1"/>
    <col min="15125" max="15363" width="10.6640625" style="82"/>
    <col min="15364" max="15364" width="13.1640625" style="82" customWidth="1"/>
    <col min="15365" max="15365" width="79" style="82" customWidth="1"/>
    <col min="15366" max="15366" width="3.83203125" style="82" customWidth="1"/>
    <col min="15367" max="15379" width="12.5" style="82" customWidth="1"/>
    <col min="15380" max="15380" width="8.5" style="82" customWidth="1"/>
    <col min="15381" max="15619" width="10.6640625" style="82"/>
    <col min="15620" max="15620" width="13.1640625" style="82" customWidth="1"/>
    <col min="15621" max="15621" width="79" style="82" customWidth="1"/>
    <col min="15622" max="15622" width="3.83203125" style="82" customWidth="1"/>
    <col min="15623" max="15635" width="12.5" style="82" customWidth="1"/>
    <col min="15636" max="15636" width="8.5" style="82" customWidth="1"/>
    <col min="15637" max="15875" width="10.6640625" style="82"/>
    <col min="15876" max="15876" width="13.1640625" style="82" customWidth="1"/>
    <col min="15877" max="15877" width="79" style="82" customWidth="1"/>
    <col min="15878" max="15878" width="3.83203125" style="82" customWidth="1"/>
    <col min="15879" max="15891" width="12.5" style="82" customWidth="1"/>
    <col min="15892" max="15892" width="8.5" style="82" customWidth="1"/>
    <col min="15893" max="16131" width="10.6640625" style="82"/>
    <col min="16132" max="16132" width="13.1640625" style="82" customWidth="1"/>
    <col min="16133" max="16133" width="79" style="82" customWidth="1"/>
    <col min="16134" max="16134" width="3.83203125" style="82" customWidth="1"/>
    <col min="16135" max="16147" width="12.5" style="82" customWidth="1"/>
    <col min="16148" max="16148" width="8.5" style="82" customWidth="1"/>
    <col min="16149" max="16384" width="10.6640625" style="82"/>
  </cols>
  <sheetData>
    <row r="1" spans="1:24" ht="26.25">
      <c r="A1" s="108"/>
      <c r="B1" s="109"/>
      <c r="C1" s="637"/>
      <c r="D1" s="110"/>
      <c r="E1" s="111"/>
      <c r="F1" s="112"/>
      <c r="G1" s="112"/>
      <c r="H1" s="113"/>
      <c r="I1" s="113"/>
      <c r="J1" s="113"/>
      <c r="K1" s="114" t="s">
        <v>571</v>
      </c>
      <c r="L1" s="113"/>
      <c r="M1" s="113"/>
      <c r="N1" s="115"/>
      <c r="O1" s="115"/>
      <c r="P1" s="113"/>
      <c r="Q1" s="113"/>
      <c r="R1" s="113"/>
      <c r="S1" s="113"/>
      <c r="T1" s="116"/>
    </row>
    <row r="2" spans="1:24" s="645" customFormat="1" ht="18" customHeight="1">
      <c r="A2" s="501"/>
      <c r="B2" s="638" t="s">
        <v>159</v>
      </c>
      <c r="C2" s="653" t="str">
        <f>Grandes_Itens!B2</f>
        <v>DOIS VIZINHOS</v>
      </c>
      <c r="D2" s="654"/>
      <c r="E2" s="654"/>
      <c r="F2" s="655"/>
      <c r="G2" s="656"/>
      <c r="H2" s="639" t="s">
        <v>624</v>
      </c>
      <c r="I2" s="640"/>
      <c r="J2" s="639" t="s">
        <v>625</v>
      </c>
      <c r="K2" s="640"/>
      <c r="L2" s="639" t="s">
        <v>626</v>
      </c>
      <c r="M2" s="641"/>
      <c r="N2" s="639" t="s">
        <v>627</v>
      </c>
      <c r="O2" s="640"/>
      <c r="P2" s="642" t="s">
        <v>628</v>
      </c>
      <c r="Q2" s="643"/>
      <c r="R2" s="643"/>
      <c r="S2" s="665">
        <f>S21</f>
        <v>16924557.140000001</v>
      </c>
      <c r="T2" s="644">
        <f>IF(S21=0,0,ROUND(S2/S21,9))</f>
        <v>1</v>
      </c>
    </row>
    <row r="3" spans="1:24" s="645" customFormat="1" ht="18" customHeight="1" thickBot="1">
      <c r="A3" s="501"/>
      <c r="B3" s="646" t="s">
        <v>161</v>
      </c>
      <c r="C3" s="657" t="str">
        <f>Grandes_Itens!B3</f>
        <v xml:space="preserve">PAVIMENTAÇÃO DE VIAS </v>
      </c>
      <c r="D3" s="658"/>
      <c r="E3" s="659"/>
      <c r="F3" s="660" t="s">
        <v>162</v>
      </c>
      <c r="G3" s="661" t="str">
        <f>Grandes_Itens!F3</f>
        <v>1</v>
      </c>
      <c r="H3" s="647" t="s">
        <v>629</v>
      </c>
      <c r="I3" s="663">
        <f ca="1">TODAY()</f>
        <v>45391</v>
      </c>
      <c r="J3" s="647" t="s">
        <v>630</v>
      </c>
      <c r="K3" s="664">
        <f>80-10</f>
        <v>70</v>
      </c>
      <c r="L3" s="647" t="s">
        <v>629</v>
      </c>
      <c r="M3" s="648">
        <v>45382</v>
      </c>
      <c r="N3" s="647" t="s">
        <v>631</v>
      </c>
      <c r="O3" s="668"/>
      <c r="P3" s="649" t="s">
        <v>632</v>
      </c>
      <c r="Q3" s="650"/>
      <c r="R3" s="651"/>
      <c r="S3" s="662">
        <f>S21-S2</f>
        <v>0</v>
      </c>
      <c r="T3" s="652">
        <f>IF(S3=0,0,1-T2)</f>
        <v>0</v>
      </c>
    </row>
    <row r="4" spans="1:24" ht="18.75" thickBot="1">
      <c r="A4" s="108"/>
      <c r="B4" s="117" t="s">
        <v>633</v>
      </c>
      <c r="C4" s="1266">
        <v>85100</v>
      </c>
      <c r="D4" s="118"/>
      <c r="E4" s="119" t="s">
        <v>634</v>
      </c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1" t="s">
        <v>635</v>
      </c>
      <c r="Q4" s="122"/>
      <c r="R4" s="122"/>
      <c r="S4" s="1217">
        <f>SUM(S2:S3)</f>
        <v>16924557.140000001</v>
      </c>
      <c r="T4" s="123">
        <f>SUM(T2:T3)</f>
        <v>1</v>
      </c>
    </row>
    <row r="5" spans="1:24" ht="12.75" customHeight="1" thickBot="1">
      <c r="A5" s="108"/>
      <c r="B5" s="124" t="s">
        <v>636</v>
      </c>
      <c r="C5" s="125" t="s">
        <v>637</v>
      </c>
      <c r="D5" s="126"/>
      <c r="E5" s="127" t="s">
        <v>63</v>
      </c>
      <c r="F5" s="128" t="s">
        <v>638</v>
      </c>
      <c r="G5" s="129"/>
      <c r="H5" s="129"/>
      <c r="I5" s="129"/>
      <c r="J5" s="129"/>
      <c r="K5" s="129"/>
      <c r="L5" s="129"/>
      <c r="M5" s="130"/>
      <c r="N5" s="130"/>
      <c r="O5" s="130"/>
      <c r="P5" s="131"/>
      <c r="Q5" s="132"/>
      <c r="R5" s="133"/>
      <c r="S5" s="134" t="s">
        <v>468</v>
      </c>
      <c r="T5" s="135" t="s">
        <v>639</v>
      </c>
      <c r="W5" s="82" t="s">
        <v>640</v>
      </c>
      <c r="X5" s="136" t="str">
        <f>IF(S4=S51,"OK","erro")</f>
        <v>erro</v>
      </c>
    </row>
    <row r="6" spans="1:24" ht="13.5" thickBot="1">
      <c r="A6" s="108"/>
      <c r="B6" s="137" t="s">
        <v>641</v>
      </c>
      <c r="C6" s="138"/>
      <c r="D6" s="1263" t="str">
        <f>IF(E6&lt;6,"Deve ser no mínimo 6 meses =","ok")</f>
        <v>ok</v>
      </c>
      <c r="E6" s="1264">
        <v>24</v>
      </c>
      <c r="F6" s="140">
        <v>1</v>
      </c>
      <c r="G6" s="140">
        <v>2</v>
      </c>
      <c r="H6" s="140">
        <v>3</v>
      </c>
      <c r="I6" s="140">
        <v>4</v>
      </c>
      <c r="J6" s="140">
        <v>5</v>
      </c>
      <c r="K6" s="140">
        <v>6</v>
      </c>
      <c r="L6" s="140">
        <v>7</v>
      </c>
      <c r="M6" s="140">
        <v>8</v>
      </c>
      <c r="N6" s="140">
        <v>9</v>
      </c>
      <c r="O6" s="140">
        <v>10</v>
      </c>
      <c r="P6" s="140">
        <v>11</v>
      </c>
      <c r="Q6" s="141">
        <v>12</v>
      </c>
      <c r="R6" s="142"/>
      <c r="S6" s="143" t="s">
        <v>642</v>
      </c>
      <c r="T6" s="144" t="s">
        <v>468</v>
      </c>
    </row>
    <row r="7" spans="1:24" ht="14.25" thickTop="1" thickBot="1">
      <c r="A7" s="108"/>
      <c r="B7" s="137"/>
      <c r="C7" s="138" t="s">
        <v>643</v>
      </c>
      <c r="D7" s="139"/>
      <c r="E7" s="145"/>
      <c r="F7" s="146">
        <v>45382</v>
      </c>
      <c r="G7" s="146">
        <v>45413</v>
      </c>
      <c r="H7" s="146">
        <f>IF(H6=0,0,G8+1)</f>
        <v>45444</v>
      </c>
      <c r="I7" s="146">
        <f>IF(I6=0,0,H8+1)</f>
        <v>45475</v>
      </c>
      <c r="J7" s="146">
        <f>IF(J6=0,0,I8+1)</f>
        <v>45506</v>
      </c>
      <c r="K7" s="146">
        <f t="shared" ref="K7:Q7" si="0">IF(K6=0,0,J8+1)</f>
        <v>45537</v>
      </c>
      <c r="L7" s="146">
        <f t="shared" si="0"/>
        <v>45568</v>
      </c>
      <c r="M7" s="146">
        <f t="shared" si="0"/>
        <v>45599</v>
      </c>
      <c r="N7" s="146">
        <f t="shared" si="0"/>
        <v>45630</v>
      </c>
      <c r="O7" s="146">
        <f t="shared" si="0"/>
        <v>45661</v>
      </c>
      <c r="P7" s="146">
        <f t="shared" si="0"/>
        <v>45692</v>
      </c>
      <c r="Q7" s="147">
        <f t="shared" si="0"/>
        <v>45723</v>
      </c>
      <c r="R7" s="148"/>
      <c r="S7" s="143"/>
      <c r="T7" s="144"/>
    </row>
    <row r="8" spans="1:24" ht="14.25" thickTop="1" thickBot="1">
      <c r="A8" s="108"/>
      <c r="B8" s="137"/>
      <c r="C8" s="138" t="s">
        <v>644</v>
      </c>
      <c r="D8" s="139"/>
      <c r="E8" s="145"/>
      <c r="F8" s="146">
        <v>45412</v>
      </c>
      <c r="G8" s="146">
        <f>IF(G6=0,0,G7+30)</f>
        <v>45443</v>
      </c>
      <c r="H8" s="146">
        <f>IF(H6=0,0,H7+30)</f>
        <v>45474</v>
      </c>
      <c r="I8" s="146">
        <f>IF(I6=0,0,I7+30)</f>
        <v>45505</v>
      </c>
      <c r="J8" s="146">
        <f>IF(J6=0,0,J7+30)</f>
        <v>45536</v>
      </c>
      <c r="K8" s="146">
        <f t="shared" ref="K8:Q8" si="1">IF(K6=0,0,K7+30)</f>
        <v>45567</v>
      </c>
      <c r="L8" s="146">
        <f t="shared" si="1"/>
        <v>45598</v>
      </c>
      <c r="M8" s="146">
        <f t="shared" si="1"/>
        <v>45629</v>
      </c>
      <c r="N8" s="146">
        <f t="shared" si="1"/>
        <v>45660</v>
      </c>
      <c r="O8" s="146">
        <f t="shared" si="1"/>
        <v>45691</v>
      </c>
      <c r="P8" s="146">
        <f t="shared" si="1"/>
        <v>45722</v>
      </c>
      <c r="Q8" s="147">
        <f t="shared" si="1"/>
        <v>45753</v>
      </c>
      <c r="R8" s="148"/>
      <c r="S8" s="143"/>
      <c r="T8" s="144"/>
    </row>
    <row r="9" spans="1:24" ht="13.5" thickTop="1">
      <c r="A9" s="149" t="str">
        <f>CONCATENATE($E$6,"|",B9)</f>
        <v>24|1</v>
      </c>
      <c r="B9" s="150">
        <v>1</v>
      </c>
      <c r="C9" s="151" t="s">
        <v>432</v>
      </c>
      <c r="D9" s="152"/>
      <c r="E9" s="153">
        <v>1</v>
      </c>
      <c r="F9" s="623">
        <v>30</v>
      </c>
      <c r="G9" s="623">
        <v>40</v>
      </c>
      <c r="H9" s="623">
        <v>30</v>
      </c>
      <c r="I9" s="623"/>
      <c r="J9" s="623"/>
      <c r="K9" s="623"/>
      <c r="L9" s="623"/>
      <c r="M9" s="623"/>
      <c r="N9" s="623"/>
      <c r="O9" s="623"/>
      <c r="P9" s="623"/>
      <c r="Q9" s="624"/>
      <c r="R9" s="154"/>
      <c r="S9" s="1211">
        <f>IF(Grandes_Itens!F5=0,0,Grandes_Itens!F5)</f>
        <v>504520.8</v>
      </c>
      <c r="T9" s="1212">
        <f t="shared" ref="T9:T19" si="2">IF($S$21=0,0,(S9/$S$21)*100)</f>
        <v>2.9809985326446182</v>
      </c>
      <c r="W9" s="108">
        <f t="shared" ref="W9:W19" si="3">SUM(F9:Q9)</f>
        <v>100</v>
      </c>
    </row>
    <row r="10" spans="1:24">
      <c r="A10" s="149" t="str">
        <f t="shared" ref="A10:A19" si="4">CONCATENATE($E$6,"|",B10)</f>
        <v>24|2</v>
      </c>
      <c r="B10" s="155" t="s">
        <v>167</v>
      </c>
      <c r="C10" s="151" t="s">
        <v>428</v>
      </c>
      <c r="D10" s="152"/>
      <c r="E10" s="153">
        <v>40</v>
      </c>
      <c r="F10" s="623">
        <v>30</v>
      </c>
      <c r="G10" s="623">
        <v>30</v>
      </c>
      <c r="H10" s="623">
        <v>30</v>
      </c>
      <c r="I10" s="623">
        <v>10</v>
      </c>
      <c r="J10" s="623"/>
      <c r="K10" s="623"/>
      <c r="L10" s="623"/>
      <c r="M10" s="623"/>
      <c r="N10" s="623"/>
      <c r="O10" s="623"/>
      <c r="P10" s="623"/>
      <c r="Q10" s="624"/>
      <c r="R10" s="154"/>
      <c r="S10" s="1211">
        <f>IF(Grandes_Itens!F6=0,0,Grandes_Itens!F6)</f>
        <v>516870.58</v>
      </c>
      <c r="T10" s="1212">
        <f t="shared" si="2"/>
        <v>3.0539681229142048</v>
      </c>
      <c r="W10" s="108">
        <f t="shared" si="3"/>
        <v>100</v>
      </c>
    </row>
    <row r="11" spans="1:24">
      <c r="A11" s="149" t="str">
        <f t="shared" si="4"/>
        <v>24|3</v>
      </c>
      <c r="B11" s="155" t="s">
        <v>185</v>
      </c>
      <c r="C11" s="151" t="s">
        <v>434</v>
      </c>
      <c r="D11" s="152"/>
      <c r="E11" s="153">
        <v>3</v>
      </c>
      <c r="F11" s="623"/>
      <c r="G11" s="623">
        <v>25</v>
      </c>
      <c r="H11" s="623">
        <v>25</v>
      </c>
      <c r="I11" s="623">
        <v>25</v>
      </c>
      <c r="J11" s="623">
        <v>25</v>
      </c>
      <c r="K11" s="623"/>
      <c r="L11" s="623"/>
      <c r="M11" s="623"/>
      <c r="N11" s="623"/>
      <c r="O11" s="623"/>
      <c r="P11" s="623"/>
      <c r="Q11" s="624"/>
      <c r="R11" s="154"/>
      <c r="S11" s="1211">
        <f>IF(Grandes_Itens!F7=0,0,Grandes_Itens!F7)</f>
        <v>1241242.72</v>
      </c>
      <c r="T11" s="1212">
        <f t="shared" si="2"/>
        <v>7.3339745893049706</v>
      </c>
      <c r="W11" s="108">
        <f t="shared" si="3"/>
        <v>100</v>
      </c>
    </row>
    <row r="12" spans="1:24">
      <c r="A12" s="149" t="str">
        <f t="shared" si="4"/>
        <v>24|4</v>
      </c>
      <c r="B12" s="155" t="s">
        <v>203</v>
      </c>
      <c r="C12" s="151" t="s">
        <v>429</v>
      </c>
      <c r="D12" s="152"/>
      <c r="E12" s="153">
        <v>4</v>
      </c>
      <c r="F12" s="623"/>
      <c r="G12" s="623"/>
      <c r="H12" s="623"/>
      <c r="I12" s="623">
        <v>15</v>
      </c>
      <c r="J12" s="623">
        <v>15</v>
      </c>
      <c r="K12" s="623">
        <v>15</v>
      </c>
      <c r="L12" s="623">
        <v>15</v>
      </c>
      <c r="M12" s="623">
        <v>10</v>
      </c>
      <c r="N12" s="623">
        <v>10</v>
      </c>
      <c r="O12" s="623">
        <v>10</v>
      </c>
      <c r="P12" s="623">
        <v>10</v>
      </c>
      <c r="Q12" s="624"/>
      <c r="R12" s="154"/>
      <c r="S12" s="1211">
        <f>IF(Grandes_Itens!F8=0,0,Grandes_Itens!F8)</f>
        <v>12666584.600000001</v>
      </c>
      <c r="T12" s="1212">
        <f t="shared" si="2"/>
        <v>74.841453724442928</v>
      </c>
      <c r="W12" s="108">
        <f t="shared" si="3"/>
        <v>100</v>
      </c>
    </row>
    <row r="13" spans="1:24">
      <c r="A13" s="149" t="str">
        <f t="shared" si="4"/>
        <v>24|5</v>
      </c>
      <c r="B13" s="155" t="s">
        <v>166</v>
      </c>
      <c r="C13" s="151" t="s">
        <v>430</v>
      </c>
      <c r="D13" s="152"/>
      <c r="E13" s="153">
        <v>5</v>
      </c>
      <c r="F13" s="623"/>
      <c r="G13" s="623"/>
      <c r="H13" s="623"/>
      <c r="I13" s="623"/>
      <c r="J13" s="623"/>
      <c r="K13" s="623"/>
      <c r="L13" s="623"/>
      <c r="M13" s="623"/>
      <c r="N13" s="623"/>
      <c r="O13" s="623"/>
      <c r="P13" s="623"/>
      <c r="Q13" s="624"/>
      <c r="R13" s="154"/>
      <c r="S13" s="1211">
        <f>IF(Grandes_Itens!F9=0,0,Grandes_Itens!F9)</f>
        <v>0</v>
      </c>
      <c r="T13" s="1212">
        <f t="shared" si="2"/>
        <v>0</v>
      </c>
      <c r="W13" s="108">
        <f t="shared" si="3"/>
        <v>0</v>
      </c>
    </row>
    <row r="14" spans="1:24">
      <c r="A14" s="149" t="str">
        <f t="shared" si="4"/>
        <v>24|6</v>
      </c>
      <c r="B14" s="155" t="s">
        <v>205</v>
      </c>
      <c r="C14" s="151" t="s">
        <v>569</v>
      </c>
      <c r="D14" s="152"/>
      <c r="E14" s="153">
        <v>3</v>
      </c>
      <c r="F14" s="623"/>
      <c r="G14" s="623"/>
      <c r="H14" s="623"/>
      <c r="I14" s="623"/>
      <c r="J14" s="623"/>
      <c r="K14" s="623"/>
      <c r="L14" s="623"/>
      <c r="M14" s="623"/>
      <c r="N14" s="623"/>
      <c r="O14" s="623"/>
      <c r="P14" s="623"/>
      <c r="Q14" s="624"/>
      <c r="R14" s="154"/>
      <c r="S14" s="1211">
        <f>IF(Grandes_Itens!F10=0,0,Grandes_Itens!F10)</f>
        <v>0</v>
      </c>
      <c r="T14" s="1212">
        <f t="shared" si="2"/>
        <v>0</v>
      </c>
      <c r="W14" s="108">
        <f t="shared" si="3"/>
        <v>0</v>
      </c>
    </row>
    <row r="15" spans="1:24">
      <c r="A15" s="149" t="str">
        <f t="shared" si="4"/>
        <v>24|7</v>
      </c>
      <c r="B15" s="155" t="s">
        <v>417</v>
      </c>
      <c r="C15" s="151" t="s">
        <v>436</v>
      </c>
      <c r="D15" s="152"/>
      <c r="E15" s="153">
        <v>5</v>
      </c>
      <c r="F15" s="623"/>
      <c r="G15" s="623"/>
      <c r="H15" s="623"/>
      <c r="I15" s="623"/>
      <c r="J15" s="623"/>
      <c r="K15" s="623"/>
      <c r="L15" s="623"/>
      <c r="M15" s="623"/>
      <c r="N15" s="623"/>
      <c r="O15" s="623"/>
      <c r="P15" s="623">
        <v>50</v>
      </c>
      <c r="Q15" s="624">
        <v>50</v>
      </c>
      <c r="R15" s="154"/>
      <c r="S15" s="1211">
        <f>IF(Grandes_Itens!F11=0,0,Grandes_Itens!F11)</f>
        <v>733766.36</v>
      </c>
      <c r="T15" s="1212">
        <f t="shared" si="2"/>
        <v>4.3355129113883564</v>
      </c>
      <c r="W15" s="108">
        <f t="shared" si="3"/>
        <v>100</v>
      </c>
    </row>
    <row r="16" spans="1:24">
      <c r="A16" s="149" t="str">
        <f t="shared" si="4"/>
        <v>24|8</v>
      </c>
      <c r="B16" s="155" t="s">
        <v>310</v>
      </c>
      <c r="C16" s="151" t="s">
        <v>438</v>
      </c>
      <c r="D16" s="152"/>
      <c r="E16" s="153">
        <v>6</v>
      </c>
      <c r="F16" s="623"/>
      <c r="G16" s="623"/>
      <c r="H16" s="623"/>
      <c r="I16" s="623"/>
      <c r="J16" s="623"/>
      <c r="K16" s="623"/>
      <c r="L16" s="623"/>
      <c r="M16" s="623"/>
      <c r="N16" s="623"/>
      <c r="O16" s="623"/>
      <c r="P16" s="623"/>
      <c r="Q16" s="624"/>
      <c r="R16" s="154"/>
      <c r="S16" s="1211">
        <f>IF(Grandes_Itens!F12=0,0,Grandes_Itens!F12)</f>
        <v>0</v>
      </c>
      <c r="T16" s="1212">
        <f t="shared" si="2"/>
        <v>0</v>
      </c>
      <c r="W16" s="108">
        <f t="shared" si="3"/>
        <v>0</v>
      </c>
    </row>
    <row r="17" spans="1:23">
      <c r="A17" s="149" t="str">
        <f t="shared" si="4"/>
        <v>24|9</v>
      </c>
      <c r="B17" s="155" t="s">
        <v>439</v>
      </c>
      <c r="C17" s="151" t="s">
        <v>440</v>
      </c>
      <c r="D17" s="152"/>
      <c r="E17" s="153">
        <v>6</v>
      </c>
      <c r="F17" s="623"/>
      <c r="G17" s="623"/>
      <c r="H17" s="623"/>
      <c r="I17" s="623"/>
      <c r="J17" s="623"/>
      <c r="K17" s="623"/>
      <c r="L17" s="623"/>
      <c r="M17" s="623"/>
      <c r="N17" s="623"/>
      <c r="O17" s="623"/>
      <c r="P17" s="623"/>
      <c r="Q17" s="624"/>
      <c r="R17" s="154"/>
      <c r="S17" s="1211">
        <f>IF(Grandes_Itens!F13=0,0,Grandes_Itens!F13)</f>
        <v>32567.4</v>
      </c>
      <c r="T17" s="1212">
        <f t="shared" si="2"/>
        <v>0.19242689619942396</v>
      </c>
      <c r="W17" s="108">
        <f t="shared" si="3"/>
        <v>0</v>
      </c>
    </row>
    <row r="18" spans="1:23">
      <c r="A18" s="149" t="str">
        <f t="shared" si="4"/>
        <v>24|10</v>
      </c>
      <c r="B18" s="155" t="s">
        <v>441</v>
      </c>
      <c r="C18" s="151" t="s">
        <v>431</v>
      </c>
      <c r="D18" s="152"/>
      <c r="E18" s="153"/>
      <c r="F18" s="623">
        <v>25</v>
      </c>
      <c r="G18" s="623">
        <v>25</v>
      </c>
      <c r="H18" s="623">
        <v>25</v>
      </c>
      <c r="I18" s="623">
        <v>25</v>
      </c>
      <c r="J18" s="623"/>
      <c r="K18" s="623"/>
      <c r="L18" s="623"/>
      <c r="M18" s="623"/>
      <c r="N18" s="623"/>
      <c r="O18" s="623"/>
      <c r="P18" s="623"/>
      <c r="Q18" s="624"/>
      <c r="R18" s="154"/>
      <c r="S18" s="1211">
        <f>ORÇAMENTO!O1720</f>
        <v>1093168.6499999999</v>
      </c>
      <c r="T18" s="1212">
        <f t="shared" si="2"/>
        <v>6.4590679741709316</v>
      </c>
      <c r="W18" s="108">
        <f t="shared" si="3"/>
        <v>100</v>
      </c>
    </row>
    <row r="19" spans="1:23">
      <c r="A19" s="149" t="str">
        <f t="shared" si="4"/>
        <v>24|11</v>
      </c>
      <c r="B19" s="155" t="s">
        <v>487</v>
      </c>
      <c r="C19" s="151" t="s">
        <v>524</v>
      </c>
      <c r="D19" s="152"/>
      <c r="E19" s="153"/>
      <c r="F19" s="623"/>
      <c r="G19" s="623"/>
      <c r="H19" s="623"/>
      <c r="I19" s="623"/>
      <c r="J19" s="623"/>
      <c r="K19" s="623"/>
      <c r="L19" s="623"/>
      <c r="M19" s="623"/>
      <c r="N19" s="623"/>
      <c r="O19" s="623"/>
      <c r="P19" s="623"/>
      <c r="Q19" s="624">
        <v>100</v>
      </c>
      <c r="R19" s="154"/>
      <c r="S19" s="1211">
        <f>IF(Grandes_Itens!F15=0,0,Grandes_Itens!F15)</f>
        <v>135836.03</v>
      </c>
      <c r="T19" s="1212">
        <f t="shared" si="2"/>
        <v>0.80259724893457385</v>
      </c>
      <c r="W19" s="108">
        <f t="shared" si="3"/>
        <v>100</v>
      </c>
    </row>
    <row r="20" spans="1:23" ht="13.5" thickBot="1">
      <c r="A20" s="108"/>
      <c r="B20" s="156"/>
      <c r="C20" s="157"/>
      <c r="D20" s="157"/>
      <c r="E20" s="157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213"/>
      <c r="T20" s="1214"/>
    </row>
    <row r="21" spans="1:23" ht="14.25" thickTop="1" thickBot="1">
      <c r="A21" s="108"/>
      <c r="B21" s="159"/>
      <c r="C21" s="160"/>
      <c r="D21" s="160" t="s">
        <v>645</v>
      </c>
      <c r="E21" s="161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215">
        <f>SUM(S9:S19)</f>
        <v>16924557.140000001</v>
      </c>
      <c r="T21" s="1216">
        <f>SUM(T9:T19)</f>
        <v>100</v>
      </c>
    </row>
    <row r="22" spans="1:23" ht="18.75" thickTop="1">
      <c r="A22" s="108"/>
      <c r="B22" s="163" t="s">
        <v>646</v>
      </c>
      <c r="C22" s="164"/>
      <c r="D22" s="164"/>
      <c r="E22" s="164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6"/>
    </row>
    <row r="23" spans="1:23" ht="13.5" thickBot="1">
      <c r="A23" s="108"/>
      <c r="B23" s="167" t="s">
        <v>641</v>
      </c>
      <c r="C23" s="168"/>
      <c r="D23" s="168"/>
      <c r="E23" s="168"/>
      <c r="F23" s="169" t="s">
        <v>647</v>
      </c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70"/>
      <c r="R23" s="133" t="s">
        <v>648</v>
      </c>
      <c r="S23" s="171" t="s">
        <v>468</v>
      </c>
      <c r="T23" s="172" t="s">
        <v>639</v>
      </c>
    </row>
    <row r="24" spans="1:23" ht="13.5" thickTop="1">
      <c r="A24" s="108"/>
      <c r="B24" s="173"/>
      <c r="C24" s="174"/>
      <c r="D24" s="175"/>
      <c r="E24" s="175"/>
      <c r="F24" s="176">
        <f t="shared" ref="F24:Q24" si="5">F6</f>
        <v>1</v>
      </c>
      <c r="G24" s="176">
        <f t="shared" si="5"/>
        <v>2</v>
      </c>
      <c r="H24" s="176">
        <f t="shared" si="5"/>
        <v>3</v>
      </c>
      <c r="I24" s="176">
        <f t="shared" si="5"/>
        <v>4</v>
      </c>
      <c r="J24" s="176">
        <f t="shared" si="5"/>
        <v>5</v>
      </c>
      <c r="K24" s="176">
        <f t="shared" si="5"/>
        <v>6</v>
      </c>
      <c r="L24" s="176">
        <f t="shared" si="5"/>
        <v>7</v>
      </c>
      <c r="M24" s="176">
        <f t="shared" si="5"/>
        <v>8</v>
      </c>
      <c r="N24" s="176">
        <f t="shared" si="5"/>
        <v>9</v>
      </c>
      <c r="O24" s="176">
        <f t="shared" si="5"/>
        <v>10</v>
      </c>
      <c r="P24" s="176">
        <f t="shared" si="5"/>
        <v>11</v>
      </c>
      <c r="Q24" s="177">
        <f t="shared" si="5"/>
        <v>12</v>
      </c>
      <c r="R24" s="178" t="s">
        <v>649</v>
      </c>
      <c r="S24" s="179" t="s">
        <v>641</v>
      </c>
      <c r="T24" s="180" t="s">
        <v>641</v>
      </c>
    </row>
    <row r="25" spans="1:23">
      <c r="A25" s="108"/>
      <c r="B25" s="181" t="s">
        <v>650</v>
      </c>
      <c r="C25" s="182" t="s">
        <v>432</v>
      </c>
      <c r="D25" s="183" t="s">
        <v>651</v>
      </c>
      <c r="E25" s="184" t="s">
        <v>652</v>
      </c>
      <c r="F25" s="1198">
        <f t="shared" ref="F25:Q25" si="6">((F9/100)*$S$9)*$T$2</f>
        <v>151356.24</v>
      </c>
      <c r="G25" s="1198">
        <f t="shared" si="6"/>
        <v>201808.32</v>
      </c>
      <c r="H25" s="1198">
        <f t="shared" si="6"/>
        <v>151356.24</v>
      </c>
      <c r="I25" s="1198">
        <f t="shared" si="6"/>
        <v>0</v>
      </c>
      <c r="J25" s="1198">
        <f t="shared" si="6"/>
        <v>0</v>
      </c>
      <c r="K25" s="1198">
        <f t="shared" si="6"/>
        <v>0</v>
      </c>
      <c r="L25" s="1198">
        <f t="shared" si="6"/>
        <v>0</v>
      </c>
      <c r="M25" s="1198">
        <f t="shared" si="6"/>
        <v>0</v>
      </c>
      <c r="N25" s="1198">
        <f t="shared" si="6"/>
        <v>0</v>
      </c>
      <c r="O25" s="1198">
        <f t="shared" si="6"/>
        <v>0</v>
      </c>
      <c r="P25" s="1198">
        <f t="shared" si="6"/>
        <v>0</v>
      </c>
      <c r="Q25" s="1199">
        <f t="shared" si="6"/>
        <v>0</v>
      </c>
      <c r="R25" s="185">
        <f>COUNTIF(F25:Q25,"&gt;0")</f>
        <v>3</v>
      </c>
      <c r="S25" s="1204">
        <f t="shared" ref="S25:S46" si="7">SUM(F25:Q25)</f>
        <v>504520.8</v>
      </c>
      <c r="T25" s="186">
        <f t="shared" ref="T25:T46" si="8">IF($S$51=0,0,(S25/$S$51))</f>
        <v>2.9867458349521821E-2</v>
      </c>
    </row>
    <row r="26" spans="1:23">
      <c r="A26" s="108"/>
      <c r="B26" s="181" t="s">
        <v>653</v>
      </c>
      <c r="C26" s="187"/>
      <c r="D26" s="183" t="s">
        <v>654</v>
      </c>
      <c r="E26" s="184" t="s">
        <v>652</v>
      </c>
      <c r="F26" s="1198">
        <f>((F9/100)*$S$9)*T3</f>
        <v>0</v>
      </c>
      <c r="G26" s="1198">
        <f t="shared" ref="G26:Q26" si="9">((G9/100)*$S$9)*$T$3</f>
        <v>0</v>
      </c>
      <c r="H26" s="1198">
        <f t="shared" si="9"/>
        <v>0</v>
      </c>
      <c r="I26" s="1198">
        <f t="shared" si="9"/>
        <v>0</v>
      </c>
      <c r="J26" s="1198">
        <f t="shared" si="9"/>
        <v>0</v>
      </c>
      <c r="K26" s="1198">
        <f t="shared" si="9"/>
        <v>0</v>
      </c>
      <c r="L26" s="1198">
        <f t="shared" si="9"/>
        <v>0</v>
      </c>
      <c r="M26" s="1198">
        <f t="shared" si="9"/>
        <v>0</v>
      </c>
      <c r="N26" s="1198">
        <f t="shared" si="9"/>
        <v>0</v>
      </c>
      <c r="O26" s="1198">
        <f t="shared" si="9"/>
        <v>0</v>
      </c>
      <c r="P26" s="1198">
        <f t="shared" si="9"/>
        <v>0</v>
      </c>
      <c r="Q26" s="1199">
        <f t="shared" si="9"/>
        <v>0</v>
      </c>
      <c r="R26" s="188">
        <f t="shared" ref="R26:R46" si="10">COUNTIF(F26:Q26,"&gt;0")</f>
        <v>0</v>
      </c>
      <c r="S26" s="1204">
        <f t="shared" si="7"/>
        <v>0</v>
      </c>
      <c r="T26" s="186">
        <f t="shared" si="8"/>
        <v>0</v>
      </c>
      <c r="U26" s="189"/>
    </row>
    <row r="27" spans="1:23">
      <c r="A27" s="108"/>
      <c r="B27" s="181" t="s">
        <v>655</v>
      </c>
      <c r="C27" s="190" t="s">
        <v>428</v>
      </c>
      <c r="D27" s="184" t="s">
        <v>651</v>
      </c>
      <c r="E27" s="184" t="s">
        <v>652</v>
      </c>
      <c r="F27" s="1198">
        <f t="shared" ref="F27:Q27" si="11">((F10/100)*$S$10)*$T$2</f>
        <v>155061.174</v>
      </c>
      <c r="G27" s="1198">
        <f t="shared" si="11"/>
        <v>155061.174</v>
      </c>
      <c r="H27" s="1198">
        <f t="shared" si="11"/>
        <v>155061.174</v>
      </c>
      <c r="I27" s="1198">
        <f t="shared" si="11"/>
        <v>51687.058000000005</v>
      </c>
      <c r="J27" s="1198">
        <f t="shared" si="11"/>
        <v>0</v>
      </c>
      <c r="K27" s="1198">
        <f t="shared" si="11"/>
        <v>0</v>
      </c>
      <c r="L27" s="1198">
        <f t="shared" si="11"/>
        <v>0</v>
      </c>
      <c r="M27" s="1198">
        <f t="shared" si="11"/>
        <v>0</v>
      </c>
      <c r="N27" s="1198">
        <f t="shared" si="11"/>
        <v>0</v>
      </c>
      <c r="O27" s="1198">
        <f t="shared" si="11"/>
        <v>0</v>
      </c>
      <c r="P27" s="1198">
        <f t="shared" si="11"/>
        <v>0</v>
      </c>
      <c r="Q27" s="1199">
        <f t="shared" si="11"/>
        <v>0</v>
      </c>
      <c r="R27" s="188">
        <f t="shared" si="10"/>
        <v>4</v>
      </c>
      <c r="S27" s="1204">
        <f t="shared" si="7"/>
        <v>516870.58</v>
      </c>
      <c r="T27" s="186">
        <f t="shared" si="8"/>
        <v>3.0598561090530236E-2</v>
      </c>
    </row>
    <row r="28" spans="1:23">
      <c r="A28" s="108"/>
      <c r="B28" s="181" t="s">
        <v>656</v>
      </c>
      <c r="C28" s="191"/>
      <c r="D28" s="184" t="s">
        <v>654</v>
      </c>
      <c r="E28" s="184" t="s">
        <v>652</v>
      </c>
      <c r="F28" s="1198">
        <f t="shared" ref="F28:Q28" si="12">((F10/100)*$S$10)*$T$3</f>
        <v>0</v>
      </c>
      <c r="G28" s="1198">
        <f t="shared" si="12"/>
        <v>0</v>
      </c>
      <c r="H28" s="1198">
        <f t="shared" si="12"/>
        <v>0</v>
      </c>
      <c r="I28" s="1198">
        <f t="shared" si="12"/>
        <v>0</v>
      </c>
      <c r="J28" s="1198">
        <f t="shared" si="12"/>
        <v>0</v>
      </c>
      <c r="K28" s="1198">
        <f t="shared" si="12"/>
        <v>0</v>
      </c>
      <c r="L28" s="1198">
        <f t="shared" si="12"/>
        <v>0</v>
      </c>
      <c r="M28" s="1198">
        <f t="shared" si="12"/>
        <v>0</v>
      </c>
      <c r="N28" s="1198">
        <f t="shared" si="12"/>
        <v>0</v>
      </c>
      <c r="O28" s="1198">
        <f t="shared" si="12"/>
        <v>0</v>
      </c>
      <c r="P28" s="1198">
        <f t="shared" si="12"/>
        <v>0</v>
      </c>
      <c r="Q28" s="1199">
        <f t="shared" si="12"/>
        <v>0</v>
      </c>
      <c r="R28" s="188">
        <f t="shared" si="10"/>
        <v>0</v>
      </c>
      <c r="S28" s="1204">
        <f t="shared" si="7"/>
        <v>0</v>
      </c>
      <c r="T28" s="186">
        <f t="shared" si="8"/>
        <v>0</v>
      </c>
      <c r="U28" s="189"/>
    </row>
    <row r="29" spans="1:23">
      <c r="A29" s="108"/>
      <c r="B29" s="181" t="s">
        <v>657</v>
      </c>
      <c r="C29" s="190" t="s">
        <v>434</v>
      </c>
      <c r="D29" s="184" t="s">
        <v>651</v>
      </c>
      <c r="E29" s="184" t="s">
        <v>652</v>
      </c>
      <c r="F29" s="1198">
        <f t="shared" ref="F29:Q29" si="13">((F11/100)*$S$11)*$T$2</f>
        <v>0</v>
      </c>
      <c r="G29" s="1198">
        <f t="shared" si="13"/>
        <v>310310.68</v>
      </c>
      <c r="H29" s="1198">
        <f t="shared" si="13"/>
        <v>310310.68</v>
      </c>
      <c r="I29" s="1198">
        <f t="shared" si="13"/>
        <v>310310.68</v>
      </c>
      <c r="J29" s="1198">
        <f t="shared" si="13"/>
        <v>310310.68</v>
      </c>
      <c r="K29" s="1198">
        <f t="shared" si="13"/>
        <v>0</v>
      </c>
      <c r="L29" s="1198">
        <f t="shared" si="13"/>
        <v>0</v>
      </c>
      <c r="M29" s="1198">
        <f t="shared" si="13"/>
        <v>0</v>
      </c>
      <c r="N29" s="1198">
        <f t="shared" si="13"/>
        <v>0</v>
      </c>
      <c r="O29" s="1198">
        <f t="shared" si="13"/>
        <v>0</v>
      </c>
      <c r="P29" s="1198">
        <f t="shared" si="13"/>
        <v>0</v>
      </c>
      <c r="Q29" s="1199">
        <f t="shared" si="13"/>
        <v>0</v>
      </c>
      <c r="R29" s="188">
        <f t="shared" si="10"/>
        <v>4</v>
      </c>
      <c r="S29" s="1204">
        <f t="shared" si="7"/>
        <v>1241242.72</v>
      </c>
      <c r="T29" s="186">
        <f t="shared" si="8"/>
        <v>7.3481143376541019E-2</v>
      </c>
    </row>
    <row r="30" spans="1:23">
      <c r="A30" s="108"/>
      <c r="B30" s="181" t="s">
        <v>658</v>
      </c>
      <c r="C30" s="191"/>
      <c r="D30" s="184" t="s">
        <v>654</v>
      </c>
      <c r="E30" s="184" t="s">
        <v>652</v>
      </c>
      <c r="F30" s="1198">
        <f t="shared" ref="F30:Q30" si="14">((F11/100)*$S$11)*$T$3</f>
        <v>0</v>
      </c>
      <c r="G30" s="1198">
        <f t="shared" si="14"/>
        <v>0</v>
      </c>
      <c r="H30" s="1198">
        <f t="shared" si="14"/>
        <v>0</v>
      </c>
      <c r="I30" s="1198">
        <f t="shared" si="14"/>
        <v>0</v>
      </c>
      <c r="J30" s="1198">
        <f t="shared" si="14"/>
        <v>0</v>
      </c>
      <c r="K30" s="1198">
        <f t="shared" si="14"/>
        <v>0</v>
      </c>
      <c r="L30" s="1198">
        <f t="shared" si="14"/>
        <v>0</v>
      </c>
      <c r="M30" s="1198">
        <f t="shared" si="14"/>
        <v>0</v>
      </c>
      <c r="N30" s="1198">
        <f t="shared" si="14"/>
        <v>0</v>
      </c>
      <c r="O30" s="1198">
        <f t="shared" si="14"/>
        <v>0</v>
      </c>
      <c r="P30" s="1198">
        <f t="shared" si="14"/>
        <v>0</v>
      </c>
      <c r="Q30" s="1199">
        <f t="shared" si="14"/>
        <v>0</v>
      </c>
      <c r="R30" s="188">
        <f t="shared" si="10"/>
        <v>0</v>
      </c>
      <c r="S30" s="1204">
        <f t="shared" si="7"/>
        <v>0</v>
      </c>
      <c r="T30" s="186">
        <f t="shared" si="8"/>
        <v>0</v>
      </c>
      <c r="U30" s="189"/>
    </row>
    <row r="31" spans="1:23">
      <c r="A31" s="108"/>
      <c r="B31" s="181" t="s">
        <v>659</v>
      </c>
      <c r="C31" s="190" t="s">
        <v>429</v>
      </c>
      <c r="D31" s="184" t="s">
        <v>651</v>
      </c>
      <c r="E31" s="184" t="s">
        <v>652</v>
      </c>
      <c r="F31" s="1198">
        <f>((F12/100)*$S$12)*T2</f>
        <v>0</v>
      </c>
      <c r="G31" s="1198">
        <f t="shared" ref="G31:Q31" si="15">((G12/100)*$S$12)*$T$2</f>
        <v>0</v>
      </c>
      <c r="H31" s="1198">
        <f>((H12/100)*$S$12)*$T$2</f>
        <v>0</v>
      </c>
      <c r="I31" s="1198">
        <f t="shared" si="15"/>
        <v>1899987.6900000002</v>
      </c>
      <c r="J31" s="1198">
        <f t="shared" si="15"/>
        <v>1899987.6900000002</v>
      </c>
      <c r="K31" s="1198">
        <f t="shared" si="15"/>
        <v>1899987.6900000002</v>
      </c>
      <c r="L31" s="1198">
        <f t="shared" si="15"/>
        <v>1899987.6900000002</v>
      </c>
      <c r="M31" s="1198">
        <f t="shared" si="15"/>
        <v>1266658.4600000002</v>
      </c>
      <c r="N31" s="1198">
        <f t="shared" si="15"/>
        <v>1266658.4600000002</v>
      </c>
      <c r="O31" s="1198">
        <f t="shared" si="15"/>
        <v>1266658.4600000002</v>
      </c>
      <c r="P31" s="1198">
        <f t="shared" si="15"/>
        <v>1266658.4600000002</v>
      </c>
      <c r="Q31" s="1199">
        <f t="shared" si="15"/>
        <v>0</v>
      </c>
      <c r="R31" s="188">
        <f t="shared" si="10"/>
        <v>8</v>
      </c>
      <c r="S31" s="1204">
        <f t="shared" si="7"/>
        <v>12666584.600000003</v>
      </c>
      <c r="T31" s="186">
        <f t="shared" si="8"/>
        <v>0.74985746468965131</v>
      </c>
    </row>
    <row r="32" spans="1:23">
      <c r="A32" s="108"/>
      <c r="B32" s="181" t="s">
        <v>660</v>
      </c>
      <c r="C32" s="191"/>
      <c r="D32" s="184" t="s">
        <v>654</v>
      </c>
      <c r="E32" s="184" t="s">
        <v>652</v>
      </c>
      <c r="F32" s="1198">
        <f t="shared" ref="F32:Q32" si="16">((F12/100)*$S$12)*$T$3</f>
        <v>0</v>
      </c>
      <c r="G32" s="1198">
        <f t="shared" si="16"/>
        <v>0</v>
      </c>
      <c r="H32" s="1198">
        <f t="shared" si="16"/>
        <v>0</v>
      </c>
      <c r="I32" s="1198">
        <f t="shared" si="16"/>
        <v>0</v>
      </c>
      <c r="J32" s="1198">
        <f t="shared" si="16"/>
        <v>0</v>
      </c>
      <c r="K32" s="1198">
        <f t="shared" si="16"/>
        <v>0</v>
      </c>
      <c r="L32" s="1198">
        <f t="shared" si="16"/>
        <v>0</v>
      </c>
      <c r="M32" s="1198">
        <f t="shared" si="16"/>
        <v>0</v>
      </c>
      <c r="N32" s="1198">
        <f t="shared" si="16"/>
        <v>0</v>
      </c>
      <c r="O32" s="1198">
        <f t="shared" si="16"/>
        <v>0</v>
      </c>
      <c r="P32" s="1198">
        <f t="shared" si="16"/>
        <v>0</v>
      </c>
      <c r="Q32" s="1199">
        <f t="shared" si="16"/>
        <v>0</v>
      </c>
      <c r="R32" s="188">
        <f t="shared" si="10"/>
        <v>0</v>
      </c>
      <c r="S32" s="1204">
        <f t="shared" si="7"/>
        <v>0</v>
      </c>
      <c r="T32" s="186">
        <f t="shared" si="8"/>
        <v>0</v>
      </c>
      <c r="U32" s="189"/>
    </row>
    <row r="33" spans="1:21">
      <c r="A33" s="108"/>
      <c r="B33" s="181" t="s">
        <v>661</v>
      </c>
      <c r="C33" s="190" t="s">
        <v>430</v>
      </c>
      <c r="D33" s="184" t="s">
        <v>651</v>
      </c>
      <c r="E33" s="184" t="s">
        <v>652</v>
      </c>
      <c r="F33" s="1198">
        <f t="shared" ref="F33:Q33" si="17">((F13/100)*$S$13)*$T$2</f>
        <v>0</v>
      </c>
      <c r="G33" s="1198">
        <f t="shared" si="17"/>
        <v>0</v>
      </c>
      <c r="H33" s="1198">
        <f t="shared" si="17"/>
        <v>0</v>
      </c>
      <c r="I33" s="1198">
        <f t="shared" si="17"/>
        <v>0</v>
      </c>
      <c r="J33" s="1198">
        <f t="shared" si="17"/>
        <v>0</v>
      </c>
      <c r="K33" s="1198">
        <f t="shared" si="17"/>
        <v>0</v>
      </c>
      <c r="L33" s="1198">
        <f t="shared" si="17"/>
        <v>0</v>
      </c>
      <c r="M33" s="1198">
        <f t="shared" si="17"/>
        <v>0</v>
      </c>
      <c r="N33" s="1198">
        <f t="shared" si="17"/>
        <v>0</v>
      </c>
      <c r="O33" s="1198">
        <f t="shared" si="17"/>
        <v>0</v>
      </c>
      <c r="P33" s="1198">
        <f t="shared" si="17"/>
        <v>0</v>
      </c>
      <c r="Q33" s="1199">
        <f t="shared" si="17"/>
        <v>0</v>
      </c>
      <c r="R33" s="188">
        <f t="shared" si="10"/>
        <v>0</v>
      </c>
      <c r="S33" s="1204">
        <f t="shared" si="7"/>
        <v>0</v>
      </c>
      <c r="T33" s="186">
        <f t="shared" si="8"/>
        <v>0</v>
      </c>
    </row>
    <row r="34" spans="1:21">
      <c r="A34" s="108"/>
      <c r="B34" s="181" t="s">
        <v>662</v>
      </c>
      <c r="C34" s="191"/>
      <c r="D34" s="184" t="s">
        <v>654</v>
      </c>
      <c r="E34" s="184" t="s">
        <v>652</v>
      </c>
      <c r="F34" s="1198">
        <f t="shared" ref="F34:Q34" si="18">((F13/100)*$S$13)*$T$3</f>
        <v>0</v>
      </c>
      <c r="G34" s="1198">
        <f t="shared" si="18"/>
        <v>0</v>
      </c>
      <c r="H34" s="1198">
        <f t="shared" si="18"/>
        <v>0</v>
      </c>
      <c r="I34" s="1198">
        <f t="shared" si="18"/>
        <v>0</v>
      </c>
      <c r="J34" s="1198">
        <f t="shared" si="18"/>
        <v>0</v>
      </c>
      <c r="K34" s="1198">
        <f t="shared" si="18"/>
        <v>0</v>
      </c>
      <c r="L34" s="1198">
        <f t="shared" si="18"/>
        <v>0</v>
      </c>
      <c r="M34" s="1198">
        <f t="shared" si="18"/>
        <v>0</v>
      </c>
      <c r="N34" s="1198">
        <f t="shared" si="18"/>
        <v>0</v>
      </c>
      <c r="O34" s="1198">
        <f t="shared" si="18"/>
        <v>0</v>
      </c>
      <c r="P34" s="1198">
        <f t="shared" si="18"/>
        <v>0</v>
      </c>
      <c r="Q34" s="1199">
        <f t="shared" si="18"/>
        <v>0</v>
      </c>
      <c r="R34" s="188">
        <f t="shared" si="10"/>
        <v>0</v>
      </c>
      <c r="S34" s="1204">
        <f t="shared" si="7"/>
        <v>0</v>
      </c>
      <c r="T34" s="186">
        <f t="shared" si="8"/>
        <v>0</v>
      </c>
      <c r="U34" s="189"/>
    </row>
    <row r="35" spans="1:21">
      <c r="A35" s="108"/>
      <c r="B35" s="181" t="s">
        <v>663</v>
      </c>
      <c r="C35" s="190" t="s">
        <v>569</v>
      </c>
      <c r="D35" s="184" t="s">
        <v>651</v>
      </c>
      <c r="E35" s="184" t="s">
        <v>652</v>
      </c>
      <c r="F35" s="1198">
        <f t="shared" ref="F35:Q35" si="19">((F14/100)*$S$14)*$T$2</f>
        <v>0</v>
      </c>
      <c r="G35" s="1198">
        <f t="shared" si="19"/>
        <v>0</v>
      </c>
      <c r="H35" s="1198">
        <f t="shared" si="19"/>
        <v>0</v>
      </c>
      <c r="I35" s="1198">
        <f t="shared" si="19"/>
        <v>0</v>
      </c>
      <c r="J35" s="1198">
        <f t="shared" si="19"/>
        <v>0</v>
      </c>
      <c r="K35" s="1198">
        <f t="shared" si="19"/>
        <v>0</v>
      </c>
      <c r="L35" s="1198">
        <f t="shared" si="19"/>
        <v>0</v>
      </c>
      <c r="M35" s="1198">
        <f t="shared" si="19"/>
        <v>0</v>
      </c>
      <c r="N35" s="1198">
        <f t="shared" si="19"/>
        <v>0</v>
      </c>
      <c r="O35" s="1198">
        <f t="shared" si="19"/>
        <v>0</v>
      </c>
      <c r="P35" s="1198">
        <f t="shared" si="19"/>
        <v>0</v>
      </c>
      <c r="Q35" s="1199">
        <f t="shared" si="19"/>
        <v>0</v>
      </c>
      <c r="R35" s="188">
        <f t="shared" si="10"/>
        <v>0</v>
      </c>
      <c r="S35" s="1204">
        <f t="shared" si="7"/>
        <v>0</v>
      </c>
      <c r="T35" s="186">
        <f t="shared" si="8"/>
        <v>0</v>
      </c>
    </row>
    <row r="36" spans="1:21">
      <c r="A36" s="108"/>
      <c r="B36" s="181" t="s">
        <v>664</v>
      </c>
      <c r="C36" s="191"/>
      <c r="D36" s="184" t="s">
        <v>654</v>
      </c>
      <c r="E36" s="184" t="s">
        <v>652</v>
      </c>
      <c r="F36" s="1198">
        <f t="shared" ref="F36:Q36" si="20">((F14/100)*$S$14)*$T$3</f>
        <v>0</v>
      </c>
      <c r="G36" s="1198">
        <f t="shared" si="20"/>
        <v>0</v>
      </c>
      <c r="H36" s="1198">
        <f t="shared" si="20"/>
        <v>0</v>
      </c>
      <c r="I36" s="1198">
        <f t="shared" si="20"/>
        <v>0</v>
      </c>
      <c r="J36" s="1198">
        <f t="shared" si="20"/>
        <v>0</v>
      </c>
      <c r="K36" s="1198">
        <f t="shared" si="20"/>
        <v>0</v>
      </c>
      <c r="L36" s="1198">
        <f t="shared" si="20"/>
        <v>0</v>
      </c>
      <c r="M36" s="1198">
        <f t="shared" si="20"/>
        <v>0</v>
      </c>
      <c r="N36" s="1198">
        <f t="shared" si="20"/>
        <v>0</v>
      </c>
      <c r="O36" s="1198">
        <f t="shared" si="20"/>
        <v>0</v>
      </c>
      <c r="P36" s="1198">
        <f t="shared" si="20"/>
        <v>0</v>
      </c>
      <c r="Q36" s="1199">
        <f t="shared" si="20"/>
        <v>0</v>
      </c>
      <c r="R36" s="188">
        <f t="shared" si="10"/>
        <v>0</v>
      </c>
      <c r="S36" s="1204">
        <f t="shared" si="7"/>
        <v>0</v>
      </c>
      <c r="T36" s="186">
        <f t="shared" si="8"/>
        <v>0</v>
      </c>
      <c r="U36" s="189"/>
    </row>
    <row r="37" spans="1:21">
      <c r="A37" s="108"/>
      <c r="B37" s="181" t="s">
        <v>665</v>
      </c>
      <c r="C37" s="190" t="s">
        <v>436</v>
      </c>
      <c r="D37" s="184" t="s">
        <v>651</v>
      </c>
      <c r="E37" s="184" t="s">
        <v>652</v>
      </c>
      <c r="F37" s="1198">
        <f t="shared" ref="F37:Q37" si="21">((F15/100)*$S$15)*$T$2</f>
        <v>0</v>
      </c>
      <c r="G37" s="1198">
        <f t="shared" si="21"/>
        <v>0</v>
      </c>
      <c r="H37" s="1198">
        <f t="shared" si="21"/>
        <v>0</v>
      </c>
      <c r="I37" s="1198">
        <f t="shared" si="21"/>
        <v>0</v>
      </c>
      <c r="J37" s="1198">
        <f t="shared" si="21"/>
        <v>0</v>
      </c>
      <c r="K37" s="1198">
        <f t="shared" si="21"/>
        <v>0</v>
      </c>
      <c r="L37" s="1198">
        <f t="shared" si="21"/>
        <v>0</v>
      </c>
      <c r="M37" s="1198">
        <f t="shared" si="21"/>
        <v>0</v>
      </c>
      <c r="N37" s="1198">
        <f t="shared" si="21"/>
        <v>0</v>
      </c>
      <c r="O37" s="1198">
        <f t="shared" si="21"/>
        <v>0</v>
      </c>
      <c r="P37" s="1198">
        <f t="shared" si="21"/>
        <v>366883.18</v>
      </c>
      <c r="Q37" s="1199">
        <f t="shared" si="21"/>
        <v>366883.18</v>
      </c>
      <c r="R37" s="188">
        <f t="shared" si="10"/>
        <v>2</v>
      </c>
      <c r="S37" s="1204">
        <f t="shared" si="7"/>
        <v>733766.36</v>
      </c>
      <c r="T37" s="186">
        <f t="shared" si="8"/>
        <v>4.3438716888541035E-2</v>
      </c>
    </row>
    <row r="38" spans="1:21">
      <c r="A38" s="108"/>
      <c r="B38" s="181" t="s">
        <v>666</v>
      </c>
      <c r="C38" s="191"/>
      <c r="D38" s="184" t="s">
        <v>654</v>
      </c>
      <c r="E38" s="184" t="s">
        <v>652</v>
      </c>
      <c r="F38" s="1198">
        <f t="shared" ref="F38:Q38" si="22">((F15/100)*$S$15)*$T$3</f>
        <v>0</v>
      </c>
      <c r="G38" s="1198">
        <f t="shared" si="22"/>
        <v>0</v>
      </c>
      <c r="H38" s="1198">
        <f t="shared" si="22"/>
        <v>0</v>
      </c>
      <c r="I38" s="1198">
        <f t="shared" si="22"/>
        <v>0</v>
      </c>
      <c r="J38" s="1198">
        <f t="shared" si="22"/>
        <v>0</v>
      </c>
      <c r="K38" s="1198">
        <f t="shared" si="22"/>
        <v>0</v>
      </c>
      <c r="L38" s="1198">
        <f t="shared" si="22"/>
        <v>0</v>
      </c>
      <c r="M38" s="1198">
        <f t="shared" si="22"/>
        <v>0</v>
      </c>
      <c r="N38" s="1198">
        <f t="shared" si="22"/>
        <v>0</v>
      </c>
      <c r="O38" s="1198">
        <f t="shared" si="22"/>
        <v>0</v>
      </c>
      <c r="P38" s="1198">
        <f t="shared" si="22"/>
        <v>0</v>
      </c>
      <c r="Q38" s="1199">
        <f t="shared" si="22"/>
        <v>0</v>
      </c>
      <c r="R38" s="188">
        <f t="shared" si="10"/>
        <v>0</v>
      </c>
      <c r="S38" s="1204">
        <f t="shared" si="7"/>
        <v>0</v>
      </c>
      <c r="T38" s="186">
        <f t="shared" si="8"/>
        <v>0</v>
      </c>
      <c r="U38" s="189"/>
    </row>
    <row r="39" spans="1:21">
      <c r="A39" s="108"/>
      <c r="B39" s="181" t="s">
        <v>667</v>
      </c>
      <c r="C39" s="190" t="s">
        <v>438</v>
      </c>
      <c r="D39" s="184" t="s">
        <v>651</v>
      </c>
      <c r="E39" s="184" t="s">
        <v>652</v>
      </c>
      <c r="F39" s="1198">
        <f t="shared" ref="F39:Q39" si="23">((F16/100)*$S$16)*$T$2</f>
        <v>0</v>
      </c>
      <c r="G39" s="1198">
        <f t="shared" si="23"/>
        <v>0</v>
      </c>
      <c r="H39" s="1198">
        <f t="shared" si="23"/>
        <v>0</v>
      </c>
      <c r="I39" s="1198">
        <f t="shared" si="23"/>
        <v>0</v>
      </c>
      <c r="J39" s="1198">
        <f t="shared" si="23"/>
        <v>0</v>
      </c>
      <c r="K39" s="1198">
        <f t="shared" si="23"/>
        <v>0</v>
      </c>
      <c r="L39" s="1198">
        <f t="shared" si="23"/>
        <v>0</v>
      </c>
      <c r="M39" s="1198">
        <f t="shared" si="23"/>
        <v>0</v>
      </c>
      <c r="N39" s="1198">
        <f t="shared" si="23"/>
        <v>0</v>
      </c>
      <c r="O39" s="1198">
        <f t="shared" si="23"/>
        <v>0</v>
      </c>
      <c r="P39" s="1198">
        <f t="shared" si="23"/>
        <v>0</v>
      </c>
      <c r="Q39" s="1199">
        <f t="shared" si="23"/>
        <v>0</v>
      </c>
      <c r="R39" s="188">
        <f t="shared" si="10"/>
        <v>0</v>
      </c>
      <c r="S39" s="1204">
        <f t="shared" si="7"/>
        <v>0</v>
      </c>
      <c r="T39" s="186">
        <f t="shared" si="8"/>
        <v>0</v>
      </c>
    </row>
    <row r="40" spans="1:21">
      <c r="A40" s="108"/>
      <c r="B40" s="181" t="s">
        <v>668</v>
      </c>
      <c r="C40" s="191"/>
      <c r="D40" s="184" t="s">
        <v>654</v>
      </c>
      <c r="E40" s="184" t="s">
        <v>652</v>
      </c>
      <c r="F40" s="1198">
        <f t="shared" ref="F40:Q40" si="24">((F16/100)*$S$16)*$T$3</f>
        <v>0</v>
      </c>
      <c r="G40" s="1198">
        <f t="shared" si="24"/>
        <v>0</v>
      </c>
      <c r="H40" s="1198">
        <f t="shared" si="24"/>
        <v>0</v>
      </c>
      <c r="I40" s="1198">
        <f t="shared" si="24"/>
        <v>0</v>
      </c>
      <c r="J40" s="1198">
        <f t="shared" si="24"/>
        <v>0</v>
      </c>
      <c r="K40" s="1198">
        <f t="shared" si="24"/>
        <v>0</v>
      </c>
      <c r="L40" s="1198">
        <f t="shared" si="24"/>
        <v>0</v>
      </c>
      <c r="M40" s="1198">
        <f t="shared" si="24"/>
        <v>0</v>
      </c>
      <c r="N40" s="1198">
        <f t="shared" si="24"/>
        <v>0</v>
      </c>
      <c r="O40" s="1198">
        <f t="shared" si="24"/>
        <v>0</v>
      </c>
      <c r="P40" s="1198">
        <f t="shared" si="24"/>
        <v>0</v>
      </c>
      <c r="Q40" s="1199">
        <f t="shared" si="24"/>
        <v>0</v>
      </c>
      <c r="R40" s="188">
        <f t="shared" si="10"/>
        <v>0</v>
      </c>
      <c r="S40" s="1204">
        <f t="shared" si="7"/>
        <v>0</v>
      </c>
      <c r="T40" s="186">
        <f t="shared" si="8"/>
        <v>0</v>
      </c>
      <c r="U40" s="189"/>
    </row>
    <row r="41" spans="1:21">
      <c r="A41" s="108"/>
      <c r="B41" s="181" t="s">
        <v>669</v>
      </c>
      <c r="C41" s="190" t="s">
        <v>440</v>
      </c>
      <c r="D41" s="184" t="s">
        <v>651</v>
      </c>
      <c r="E41" s="184" t="s">
        <v>652</v>
      </c>
      <c r="F41" s="1198">
        <f t="shared" ref="F41:Q41" si="25">((F17/100)*$S$17)*$T$2</f>
        <v>0</v>
      </c>
      <c r="G41" s="1198">
        <f t="shared" si="25"/>
        <v>0</v>
      </c>
      <c r="H41" s="1198">
        <f t="shared" si="25"/>
        <v>0</v>
      </c>
      <c r="I41" s="1198">
        <f t="shared" si="25"/>
        <v>0</v>
      </c>
      <c r="J41" s="1198">
        <f t="shared" si="25"/>
        <v>0</v>
      </c>
      <c r="K41" s="1198">
        <f t="shared" si="25"/>
        <v>0</v>
      </c>
      <c r="L41" s="1198">
        <f t="shared" si="25"/>
        <v>0</v>
      </c>
      <c r="M41" s="1198">
        <f t="shared" si="25"/>
        <v>0</v>
      </c>
      <c r="N41" s="1198">
        <f t="shared" si="25"/>
        <v>0</v>
      </c>
      <c r="O41" s="1198">
        <f t="shared" si="25"/>
        <v>0</v>
      </c>
      <c r="P41" s="1198">
        <f t="shared" si="25"/>
        <v>0</v>
      </c>
      <c r="Q41" s="1199">
        <f t="shared" si="25"/>
        <v>0</v>
      </c>
      <c r="R41" s="188">
        <f t="shared" si="10"/>
        <v>0</v>
      </c>
      <c r="S41" s="1204">
        <f t="shared" si="7"/>
        <v>0</v>
      </c>
      <c r="T41" s="186">
        <f t="shared" si="8"/>
        <v>0</v>
      </c>
    </row>
    <row r="42" spans="1:21">
      <c r="A42" s="108"/>
      <c r="B42" s="181" t="s">
        <v>670</v>
      </c>
      <c r="C42" s="191"/>
      <c r="D42" s="184" t="s">
        <v>654</v>
      </c>
      <c r="E42" s="184" t="s">
        <v>652</v>
      </c>
      <c r="F42" s="1198">
        <f t="shared" ref="F42:Q42" si="26">((F17/100)*$S$17)*$T$3</f>
        <v>0</v>
      </c>
      <c r="G42" s="1198">
        <f t="shared" si="26"/>
        <v>0</v>
      </c>
      <c r="H42" s="1198">
        <f t="shared" si="26"/>
        <v>0</v>
      </c>
      <c r="I42" s="1198">
        <f t="shared" si="26"/>
        <v>0</v>
      </c>
      <c r="J42" s="1198">
        <f t="shared" si="26"/>
        <v>0</v>
      </c>
      <c r="K42" s="1198">
        <f t="shared" si="26"/>
        <v>0</v>
      </c>
      <c r="L42" s="1198">
        <f t="shared" si="26"/>
        <v>0</v>
      </c>
      <c r="M42" s="1198">
        <f t="shared" si="26"/>
        <v>0</v>
      </c>
      <c r="N42" s="1198">
        <f t="shared" si="26"/>
        <v>0</v>
      </c>
      <c r="O42" s="1198">
        <f t="shared" si="26"/>
        <v>0</v>
      </c>
      <c r="P42" s="1198">
        <f t="shared" si="26"/>
        <v>0</v>
      </c>
      <c r="Q42" s="1199">
        <f t="shared" si="26"/>
        <v>0</v>
      </c>
      <c r="R42" s="188">
        <f t="shared" si="10"/>
        <v>0</v>
      </c>
      <c r="S42" s="1204">
        <f t="shared" si="7"/>
        <v>0</v>
      </c>
      <c r="T42" s="186">
        <f t="shared" si="8"/>
        <v>0</v>
      </c>
      <c r="U42" s="189"/>
    </row>
    <row r="43" spans="1:21">
      <c r="A43" s="108"/>
      <c r="B43" s="181" t="s">
        <v>671</v>
      </c>
      <c r="C43" s="190" t="s">
        <v>431</v>
      </c>
      <c r="D43" s="184" t="s">
        <v>651</v>
      </c>
      <c r="E43" s="184" t="s">
        <v>652</v>
      </c>
      <c r="F43" s="1198">
        <f t="shared" ref="F43:Q43" si="27">((F18/100)*$S$18)*$T$2</f>
        <v>273292.16249999998</v>
      </c>
      <c r="G43" s="1198">
        <f t="shared" si="27"/>
        <v>273292.16249999998</v>
      </c>
      <c r="H43" s="1198">
        <f t="shared" si="27"/>
        <v>273292.16249999998</v>
      </c>
      <c r="I43" s="1198">
        <f t="shared" si="27"/>
        <v>273292.16249999998</v>
      </c>
      <c r="J43" s="1198">
        <f t="shared" si="27"/>
        <v>0</v>
      </c>
      <c r="K43" s="1198">
        <f t="shared" si="27"/>
        <v>0</v>
      </c>
      <c r="L43" s="1198">
        <f t="shared" si="27"/>
        <v>0</v>
      </c>
      <c r="M43" s="1198">
        <f t="shared" si="27"/>
        <v>0</v>
      </c>
      <c r="N43" s="1198">
        <f t="shared" si="27"/>
        <v>0</v>
      </c>
      <c r="O43" s="1198">
        <f t="shared" si="27"/>
        <v>0</v>
      </c>
      <c r="P43" s="1198">
        <f t="shared" si="27"/>
        <v>0</v>
      </c>
      <c r="Q43" s="1199">
        <f t="shared" si="27"/>
        <v>0</v>
      </c>
      <c r="R43" s="188">
        <f t="shared" si="10"/>
        <v>4</v>
      </c>
      <c r="S43" s="1204">
        <f t="shared" si="7"/>
        <v>1093168.6499999999</v>
      </c>
      <c r="T43" s="186">
        <f t="shared" si="8"/>
        <v>6.4715209210161398E-2</v>
      </c>
    </row>
    <row r="44" spans="1:21">
      <c r="A44" s="108"/>
      <c r="B44" s="181" t="s">
        <v>672</v>
      </c>
      <c r="C44" s="191"/>
      <c r="D44" s="184" t="s">
        <v>654</v>
      </c>
      <c r="E44" s="184" t="s">
        <v>652</v>
      </c>
      <c r="F44" s="1198">
        <f t="shared" ref="F44:Q44" si="28">((F18/100)*$S$18)*$T$3</f>
        <v>0</v>
      </c>
      <c r="G44" s="1198">
        <f t="shared" si="28"/>
        <v>0</v>
      </c>
      <c r="H44" s="1198">
        <f t="shared" si="28"/>
        <v>0</v>
      </c>
      <c r="I44" s="1198">
        <f t="shared" si="28"/>
        <v>0</v>
      </c>
      <c r="J44" s="1198">
        <f t="shared" si="28"/>
        <v>0</v>
      </c>
      <c r="K44" s="1198">
        <f t="shared" si="28"/>
        <v>0</v>
      </c>
      <c r="L44" s="1198">
        <f t="shared" si="28"/>
        <v>0</v>
      </c>
      <c r="M44" s="1198">
        <f t="shared" si="28"/>
        <v>0</v>
      </c>
      <c r="N44" s="1198">
        <f t="shared" si="28"/>
        <v>0</v>
      </c>
      <c r="O44" s="1198">
        <f t="shared" si="28"/>
        <v>0</v>
      </c>
      <c r="P44" s="1198">
        <f t="shared" si="28"/>
        <v>0</v>
      </c>
      <c r="Q44" s="1199">
        <f t="shared" si="28"/>
        <v>0</v>
      </c>
      <c r="R44" s="188">
        <f t="shared" si="10"/>
        <v>0</v>
      </c>
      <c r="S44" s="1204">
        <f t="shared" si="7"/>
        <v>0</v>
      </c>
      <c r="T44" s="186">
        <f t="shared" si="8"/>
        <v>0</v>
      </c>
      <c r="U44" s="189"/>
    </row>
    <row r="45" spans="1:21">
      <c r="A45" s="108"/>
      <c r="B45" s="181" t="s">
        <v>673</v>
      </c>
      <c r="C45" s="190" t="s">
        <v>524</v>
      </c>
      <c r="D45" s="184" t="s">
        <v>651</v>
      </c>
      <c r="E45" s="184" t="s">
        <v>652</v>
      </c>
      <c r="F45" s="1198">
        <f t="shared" ref="F45:Q45" si="29">((F19/100)*$S$19)*$T$2</f>
        <v>0</v>
      </c>
      <c r="G45" s="1198">
        <f t="shared" si="29"/>
        <v>0</v>
      </c>
      <c r="H45" s="1198">
        <f t="shared" si="29"/>
        <v>0</v>
      </c>
      <c r="I45" s="1198">
        <f t="shared" si="29"/>
        <v>0</v>
      </c>
      <c r="J45" s="1198">
        <f t="shared" si="29"/>
        <v>0</v>
      </c>
      <c r="K45" s="1198">
        <f t="shared" si="29"/>
        <v>0</v>
      </c>
      <c r="L45" s="1198">
        <f t="shared" si="29"/>
        <v>0</v>
      </c>
      <c r="M45" s="1198">
        <f t="shared" si="29"/>
        <v>0</v>
      </c>
      <c r="N45" s="1198">
        <f t="shared" si="29"/>
        <v>0</v>
      </c>
      <c r="O45" s="1198">
        <f t="shared" si="29"/>
        <v>0</v>
      </c>
      <c r="P45" s="1198">
        <f t="shared" si="29"/>
        <v>0</v>
      </c>
      <c r="Q45" s="1199">
        <f t="shared" si="29"/>
        <v>135836.03</v>
      </c>
      <c r="R45" s="188">
        <f t="shared" si="10"/>
        <v>1</v>
      </c>
      <c r="S45" s="1204">
        <f t="shared" si="7"/>
        <v>135836.03</v>
      </c>
      <c r="T45" s="186">
        <f t="shared" si="8"/>
        <v>8.041446395053279E-3</v>
      </c>
    </row>
    <row r="46" spans="1:21">
      <c r="A46" s="108"/>
      <c r="B46" s="181" t="s">
        <v>674</v>
      </c>
      <c r="C46" s="191"/>
      <c r="D46" s="184" t="s">
        <v>654</v>
      </c>
      <c r="E46" s="184" t="s">
        <v>652</v>
      </c>
      <c r="F46" s="1198">
        <f t="shared" ref="F46:Q46" si="30">((F19/100)*$S$19)*$T$3</f>
        <v>0</v>
      </c>
      <c r="G46" s="1198">
        <f t="shared" si="30"/>
        <v>0</v>
      </c>
      <c r="H46" s="1198">
        <f t="shared" si="30"/>
        <v>0</v>
      </c>
      <c r="I46" s="1198">
        <f t="shared" si="30"/>
        <v>0</v>
      </c>
      <c r="J46" s="1198">
        <f t="shared" si="30"/>
        <v>0</v>
      </c>
      <c r="K46" s="1198">
        <f t="shared" si="30"/>
        <v>0</v>
      </c>
      <c r="L46" s="1198">
        <f t="shared" si="30"/>
        <v>0</v>
      </c>
      <c r="M46" s="1198">
        <f t="shared" si="30"/>
        <v>0</v>
      </c>
      <c r="N46" s="1198">
        <f t="shared" si="30"/>
        <v>0</v>
      </c>
      <c r="O46" s="1198">
        <f t="shared" si="30"/>
        <v>0</v>
      </c>
      <c r="P46" s="1198">
        <f t="shared" si="30"/>
        <v>0</v>
      </c>
      <c r="Q46" s="1199">
        <f t="shared" si="30"/>
        <v>0</v>
      </c>
      <c r="R46" s="188">
        <f t="shared" si="10"/>
        <v>0</v>
      </c>
      <c r="S46" s="1204">
        <f t="shared" si="7"/>
        <v>0</v>
      </c>
      <c r="T46" s="186">
        <f t="shared" si="8"/>
        <v>0</v>
      </c>
      <c r="U46" s="189"/>
    </row>
    <row r="47" spans="1:21">
      <c r="A47" s="108"/>
      <c r="B47" s="192"/>
      <c r="C47" s="193"/>
      <c r="D47" s="193"/>
      <c r="E47" s="193"/>
      <c r="F47" s="1200"/>
      <c r="G47" s="1200"/>
      <c r="H47" s="1200"/>
      <c r="I47" s="1200"/>
      <c r="J47" s="1200"/>
      <c r="K47" s="1200"/>
      <c r="L47" s="1200"/>
      <c r="M47" s="1200"/>
      <c r="N47" s="1200"/>
      <c r="O47" s="1200"/>
      <c r="P47" s="1200"/>
      <c r="Q47" s="1201"/>
      <c r="R47" s="194"/>
      <c r="S47" s="1200"/>
      <c r="T47" s="196"/>
    </row>
    <row r="48" spans="1:21">
      <c r="A48" s="108"/>
      <c r="B48" s="181" t="s">
        <v>675</v>
      </c>
      <c r="C48" s="190" t="s">
        <v>645</v>
      </c>
      <c r="D48" s="187" t="s">
        <v>651</v>
      </c>
      <c r="E48" s="187" t="s">
        <v>652</v>
      </c>
      <c r="F48" s="1202">
        <f>SUM(F25:F43)</f>
        <v>579709.57649999997</v>
      </c>
      <c r="G48" s="1202">
        <f>SUM(G25:G43)</f>
        <v>940472.33649999998</v>
      </c>
      <c r="H48" s="1202">
        <f>SUM(H25:H43)</f>
        <v>890020.25650000002</v>
      </c>
      <c r="I48" s="1202">
        <f>SUM(I27:I43)</f>
        <v>2535277.5905000004</v>
      </c>
      <c r="J48" s="1202">
        <f t="shared" ref="J48:T48" si="31">SUMIF($D$25:$D$46,"TESOURO",J$25:J$46)</f>
        <v>2210298.37</v>
      </c>
      <c r="K48" s="1202">
        <f t="shared" si="31"/>
        <v>1899987.6900000002</v>
      </c>
      <c r="L48" s="1202">
        <f t="shared" si="31"/>
        <v>1899987.6900000002</v>
      </c>
      <c r="M48" s="1202">
        <f t="shared" si="31"/>
        <v>1266658.4600000002</v>
      </c>
      <c r="N48" s="1202">
        <f t="shared" si="31"/>
        <v>1266658.4600000002</v>
      </c>
      <c r="O48" s="1202">
        <f t="shared" si="31"/>
        <v>1266658.4600000002</v>
      </c>
      <c r="P48" s="1202">
        <f>SUM(P31:P37)</f>
        <v>1633541.6400000001</v>
      </c>
      <c r="Q48" s="1203">
        <f t="shared" si="31"/>
        <v>502719.20999999996</v>
      </c>
      <c r="R48" s="197"/>
      <c r="S48" s="1205">
        <f>SUM(S25:S45)</f>
        <v>16891989.740000002</v>
      </c>
      <c r="T48" s="198">
        <f t="shared" si="31"/>
        <v>1</v>
      </c>
    </row>
    <row r="49" spans="1:20">
      <c r="A49" s="108"/>
      <c r="B49" s="181" t="s">
        <v>676</v>
      </c>
      <c r="C49" s="191"/>
      <c r="D49" s="199" t="s">
        <v>654</v>
      </c>
      <c r="E49" s="199" t="s">
        <v>652</v>
      </c>
      <c r="F49" s="1202">
        <f t="shared" ref="F49:T49" si="32">SUMIF($D$25:$D$46,"CONTRAPARTIDA",F$25:F$46)</f>
        <v>0</v>
      </c>
      <c r="G49" s="1202">
        <f t="shared" si="32"/>
        <v>0</v>
      </c>
      <c r="H49" s="1202">
        <f t="shared" si="32"/>
        <v>0</v>
      </c>
      <c r="I49" s="1202">
        <f t="shared" si="32"/>
        <v>0</v>
      </c>
      <c r="J49" s="1202">
        <f t="shared" si="32"/>
        <v>0</v>
      </c>
      <c r="K49" s="1202">
        <f t="shared" si="32"/>
        <v>0</v>
      </c>
      <c r="L49" s="1202">
        <f t="shared" si="32"/>
        <v>0</v>
      </c>
      <c r="M49" s="1202">
        <f t="shared" si="32"/>
        <v>0</v>
      </c>
      <c r="N49" s="1202">
        <f t="shared" si="32"/>
        <v>0</v>
      </c>
      <c r="O49" s="1202">
        <f t="shared" si="32"/>
        <v>0</v>
      </c>
      <c r="P49" s="1202">
        <f t="shared" si="32"/>
        <v>0</v>
      </c>
      <c r="Q49" s="1203">
        <f t="shared" si="32"/>
        <v>0</v>
      </c>
      <c r="R49" s="200"/>
      <c r="S49" s="1205">
        <f t="shared" si="32"/>
        <v>0</v>
      </c>
      <c r="T49" s="198">
        <f t="shared" si="32"/>
        <v>0</v>
      </c>
    </row>
    <row r="50" spans="1:20">
      <c r="A50" s="108"/>
      <c r="B50" s="201"/>
      <c r="C50" s="193"/>
      <c r="D50" s="193"/>
      <c r="E50" s="193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5"/>
      <c r="R50" s="194"/>
      <c r="S50" s="1206"/>
      <c r="T50" s="202"/>
    </row>
    <row r="51" spans="1:20" ht="15" customHeight="1" thickBot="1">
      <c r="A51" s="108"/>
      <c r="B51" s="203" t="s">
        <v>677</v>
      </c>
      <c r="C51" s="204"/>
      <c r="D51" s="204"/>
      <c r="E51" s="205" t="s">
        <v>652</v>
      </c>
      <c r="F51" s="1208">
        <f t="shared" ref="F51:Q51" si="33">SUM(F48:F49)</f>
        <v>579709.57649999997</v>
      </c>
      <c r="G51" s="1208">
        <f t="shared" si="33"/>
        <v>940472.33649999998</v>
      </c>
      <c r="H51" s="1208">
        <f t="shared" si="33"/>
        <v>890020.25650000002</v>
      </c>
      <c r="I51" s="1208">
        <f t="shared" si="33"/>
        <v>2535277.5905000004</v>
      </c>
      <c r="J51" s="1208">
        <f t="shared" si="33"/>
        <v>2210298.37</v>
      </c>
      <c r="K51" s="1208">
        <f t="shared" si="33"/>
        <v>1899987.6900000002</v>
      </c>
      <c r="L51" s="1209">
        <f t="shared" si="33"/>
        <v>1899987.6900000002</v>
      </c>
      <c r="M51" s="1209">
        <f t="shared" si="33"/>
        <v>1266658.4600000002</v>
      </c>
      <c r="N51" s="1209">
        <f t="shared" si="33"/>
        <v>1266658.4600000002</v>
      </c>
      <c r="O51" s="1209">
        <f t="shared" si="33"/>
        <v>1266658.4600000002</v>
      </c>
      <c r="P51" s="1209">
        <f t="shared" si="33"/>
        <v>1633541.6400000001</v>
      </c>
      <c r="Q51" s="1210">
        <f t="shared" si="33"/>
        <v>502719.20999999996</v>
      </c>
      <c r="R51" s="206"/>
      <c r="S51" s="1207">
        <f>SUM(F51:Q51)</f>
        <v>16891989.740000002</v>
      </c>
      <c r="T51" s="207">
        <f>SUM(T48:T49)</f>
        <v>1</v>
      </c>
    </row>
    <row r="52" spans="1:20" ht="15" customHeight="1" thickTop="1" thickBot="1">
      <c r="A52" s="108"/>
      <c r="B52" s="208" t="s">
        <v>678</v>
      </c>
      <c r="C52" s="209"/>
      <c r="D52" s="209"/>
      <c r="E52" s="210" t="s">
        <v>652</v>
      </c>
      <c r="F52" s="211">
        <f t="shared" ref="F52:Q52" si="34">IF($S$51=0,0,F51/$S$51)</f>
        <v>3.4318608134555964E-2</v>
      </c>
      <c r="G52" s="211">
        <f t="shared" si="34"/>
        <v>5.5675639813643402E-2</v>
      </c>
      <c r="H52" s="211">
        <f t="shared" si="34"/>
        <v>5.2688893978691226E-2</v>
      </c>
      <c r="I52" s="211">
        <f t="shared" si="34"/>
        <v>0.1500875639591763</v>
      </c>
      <c r="J52" s="211">
        <f t="shared" si="34"/>
        <v>0.13084890554758291</v>
      </c>
      <c r="K52" s="211">
        <f t="shared" si="34"/>
        <v>0.11247861970344768</v>
      </c>
      <c r="L52" s="211">
        <f t="shared" si="34"/>
        <v>0.11247861970344768</v>
      </c>
      <c r="M52" s="211">
        <f t="shared" si="34"/>
        <v>7.4985746468965123E-2</v>
      </c>
      <c r="N52" s="211">
        <f t="shared" si="34"/>
        <v>7.4985746468965123E-2</v>
      </c>
      <c r="O52" s="211">
        <f t="shared" si="34"/>
        <v>7.4985746468965123E-2</v>
      </c>
      <c r="P52" s="211">
        <f t="shared" si="34"/>
        <v>9.670510491323564E-2</v>
      </c>
      <c r="Q52" s="212">
        <f t="shared" si="34"/>
        <v>2.9760804839323796E-2</v>
      </c>
      <c r="R52" s="213"/>
      <c r="S52" s="1207">
        <f>S48+S49</f>
        <v>16891989.740000002</v>
      </c>
      <c r="T52" s="214">
        <f>SUM(F52:Q52)</f>
        <v>0.99999999999999989</v>
      </c>
    </row>
    <row r="53" spans="1:20" ht="15" customHeight="1" thickTop="1" thickBot="1">
      <c r="A53" s="108"/>
      <c r="B53" s="215" t="s">
        <v>679</v>
      </c>
      <c r="C53" s="216"/>
      <c r="D53" s="216"/>
      <c r="E53" s="217" t="s">
        <v>652</v>
      </c>
      <c r="F53" s="218">
        <f>F52</f>
        <v>3.4318608134555964E-2</v>
      </c>
      <c r="G53" s="218">
        <f>IF(G51=0,0,F53+G52)</f>
        <v>8.9994247948199366E-2</v>
      </c>
      <c r="H53" s="218">
        <f>IF(H51=0,0,G53+H52)</f>
        <v>0.14268314192689058</v>
      </c>
      <c r="I53" s="218">
        <f>IF(I51=0,0,H53+I52)</f>
        <v>0.29277070588606691</v>
      </c>
      <c r="J53" s="218">
        <f t="shared" ref="J53:Q53" si="35">IF(J51=0,0,I53+J52)</f>
        <v>0.42361961143364979</v>
      </c>
      <c r="K53" s="218">
        <f t="shared" si="35"/>
        <v>0.53609823113709743</v>
      </c>
      <c r="L53" s="218">
        <f t="shared" si="35"/>
        <v>0.64857685084054506</v>
      </c>
      <c r="M53" s="218">
        <f t="shared" si="35"/>
        <v>0.72356259730951022</v>
      </c>
      <c r="N53" s="218">
        <f t="shared" si="35"/>
        <v>0.79854834377847539</v>
      </c>
      <c r="O53" s="218">
        <f t="shared" si="35"/>
        <v>0.87353409024744055</v>
      </c>
      <c r="P53" s="218">
        <f t="shared" si="35"/>
        <v>0.97023919516067614</v>
      </c>
      <c r="Q53" s="219">
        <f t="shared" si="35"/>
        <v>0.99999999999999989</v>
      </c>
      <c r="R53" s="220"/>
      <c r="S53" s="666" t="str">
        <f>IF(S51=S52,"OK","CORRIGIR")</f>
        <v>OK</v>
      </c>
      <c r="T53" s="667" t="str">
        <f>IF(T51=T52,"OK","CORRIGIR")</f>
        <v>OK</v>
      </c>
    </row>
    <row r="54" spans="1:20" ht="15" customHeight="1">
      <c r="A54" s="108"/>
      <c r="B54" s="221" t="s">
        <v>680</v>
      </c>
      <c r="C54" s="222"/>
      <c r="D54" s="223"/>
      <c r="E54" s="224"/>
      <c r="F54" s="222" t="s">
        <v>681</v>
      </c>
      <c r="G54" s="225"/>
      <c r="H54" s="225"/>
      <c r="I54" s="226"/>
      <c r="J54" s="1182" t="s">
        <v>682</v>
      </c>
      <c r="K54" s="1183"/>
      <c r="L54" s="1183"/>
      <c r="M54" s="1184"/>
      <c r="N54" s="1185" t="s">
        <v>681</v>
      </c>
      <c r="O54" s="1186"/>
      <c r="P54" s="1187"/>
      <c r="Q54" s="222" t="s">
        <v>683</v>
      </c>
      <c r="R54" s="227"/>
      <c r="S54" s="227"/>
      <c r="T54" s="228"/>
    </row>
    <row r="55" spans="1:20" ht="60" customHeight="1" thickBot="1">
      <c r="A55" s="108"/>
      <c r="B55" s="229"/>
      <c r="C55" s="230"/>
      <c r="D55" s="231"/>
      <c r="E55" s="232"/>
      <c r="F55" s="232"/>
      <c r="G55" s="233"/>
      <c r="H55" s="232"/>
      <c r="I55" s="234"/>
      <c r="J55" s="1188"/>
      <c r="K55" s="1189"/>
      <c r="L55" s="595"/>
      <c r="M55" s="1190"/>
      <c r="N55" s="1191"/>
      <c r="O55" s="1192"/>
      <c r="P55" s="1193"/>
      <c r="Q55" s="235"/>
      <c r="R55" s="236"/>
      <c r="S55" s="236"/>
      <c r="T55" s="237"/>
    </row>
    <row r="56" spans="1:20" ht="18" customHeight="1" thickBot="1">
      <c r="B56" s="1179" t="str">
        <f>'REF. DE PREÇOS n editavel'!$O$15</f>
        <v>Tabela Referência: DER/PR de FEVEREIRO/2023 sem desoneração</v>
      </c>
      <c r="C56" s="1180"/>
      <c r="D56" s="1180"/>
      <c r="E56" s="1180"/>
      <c r="F56" s="1180"/>
      <c r="G56" s="1180"/>
      <c r="H56" s="1180"/>
      <c r="I56" s="1180"/>
      <c r="J56" s="1180"/>
      <c r="K56" s="1180"/>
      <c r="L56" s="1180"/>
      <c r="M56" s="1180"/>
      <c r="N56" s="1180"/>
      <c r="O56" s="1180"/>
      <c r="P56" s="1180"/>
      <c r="Q56" s="1180"/>
      <c r="R56" s="1181" t="str">
        <f>'REF. DE PREÇOS n editavel'!$N$16</f>
        <v xml:space="preserve">Data Base da aprovação do Orçamento (Decreto 10.086/22 do Paraná, que regulamenta a Lei 14.133/21): </v>
      </c>
      <c r="S56" s="1195">
        <f ca="1">'REF. DE PREÇOS n editavel'!$O$16</f>
        <v>45391</v>
      </c>
      <c r="T56" s="1194"/>
    </row>
  </sheetData>
  <sheetProtection formatColumns="0" formatRows="0" autoFilter="0"/>
  <printOptions horizontalCentered="1"/>
  <pageMargins left="1.1811023622047245" right="0.78740157480314965" top="1.1811023622047245" bottom="1.1811023622047245" header="0.51181102362204722" footer="0.51181102362204722"/>
  <pageSetup paperSize="8" scale="90" orientation="landscape" r:id="rId1"/>
  <headerFooter alignWithMargins="0"/>
  <ignoredErrors>
    <ignoredError sqref="C3:K3 T3 Q25:Q53 X5 C2:E2 H2:K2" unlockedFormula="1"/>
    <ignoredError sqref="W9:W17" formulaRange="1"/>
    <ignoredError sqref="B10:B19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12</vt:i4>
      </vt:variant>
    </vt:vector>
  </HeadingPairs>
  <TitlesOfParts>
    <vt:vector size="26" baseType="lpstr">
      <vt:lpstr>ORÇAMENTO</vt:lpstr>
      <vt:lpstr>viab-pav</vt:lpstr>
      <vt:lpstr>Novos_Traços_CBUQ</vt:lpstr>
      <vt:lpstr>viab-praça</vt:lpstr>
      <vt:lpstr>ENSAIOS DE ORÇAMENTO</vt:lpstr>
      <vt:lpstr>LIGANTES</vt:lpstr>
      <vt:lpstr>Prazos e Áreas</vt:lpstr>
      <vt:lpstr>Grandes_Itens</vt:lpstr>
      <vt:lpstr>Cronograma PAM</vt:lpstr>
      <vt:lpstr>BDI</vt:lpstr>
      <vt:lpstr>DMT</vt:lpstr>
      <vt:lpstr>ORÇ. EDITAVEL </vt:lpstr>
      <vt:lpstr>CRONO EDITAVEL </vt:lpstr>
      <vt:lpstr>REF. DE PREÇOS n editavel</vt:lpstr>
      <vt:lpstr>BDI!Area_de_impressao</vt:lpstr>
      <vt:lpstr>'CRONO EDITAVEL '!Area_de_impressao</vt:lpstr>
      <vt:lpstr>'Cronograma PAM'!Area_de_impressao</vt:lpstr>
      <vt:lpstr>DMT!Area_de_impressao</vt:lpstr>
      <vt:lpstr>Grandes_Itens!Area_de_impressao</vt:lpstr>
      <vt:lpstr>ORÇAMENTO!Area_de_impressao</vt:lpstr>
      <vt:lpstr>'REF. DE PREÇOS n editavel'!Area_de_impressao</vt:lpstr>
      <vt:lpstr>ORÇAMENTO!j</vt:lpstr>
      <vt:lpstr>j</vt:lpstr>
      <vt:lpstr>Grandes_Itens!Titulos_de_impressao</vt:lpstr>
      <vt:lpstr>ORÇAMENTO!Titulos_de_impressao</vt:lpstr>
      <vt:lpstr>'REF. DE PREÇOS n editavel'!Titulos_de_impressao</vt:lpstr>
    </vt:vector>
  </TitlesOfParts>
  <Manager>COP</Manager>
  <Company>PARANACIDADE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OrçaPAV - fev/2023</dc:title>
  <dc:subject>Orçamento de Pavimentação e Recape</dc:subject>
  <dc:creator>Roberto Chun Yan Pan</dc:creator>
  <cp:keywords>Paranacidade</cp:keywords>
  <cp:lastModifiedBy>FABIANO TOSCAN</cp:lastModifiedBy>
  <cp:lastPrinted>2024-04-09T14:44:39Z</cp:lastPrinted>
  <dcterms:created xsi:type="dcterms:W3CDTF">2008-09-16T14:08:54Z</dcterms:created>
  <dcterms:modified xsi:type="dcterms:W3CDTF">2024-04-09T14:45:42Z</dcterms:modified>
</cp:coreProperties>
</file>